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ladi\PycharmProjects\Crypto_parser\"/>
    </mc:Choice>
  </mc:AlternateContent>
  <xr:revisionPtr revIDLastSave="0" documentId="13_ncr:1_{D84A0D1C-33EE-4B8C-A70F-178430D641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inGecko Token API List" sheetId="1" r:id="rId1"/>
    <sheet name="doNotDelete" sheetId="2" state="hidden" r:id="rId2"/>
  </sheets>
  <calcPr calcId="191029"/>
</workbook>
</file>

<file path=xl/calcChain.xml><?xml version="1.0" encoding="utf-8"?>
<calcChain xmlns="http://schemas.openxmlformats.org/spreadsheetml/2006/main">
  <c r="C14795" i="1" l="1"/>
  <c r="B14795" i="1"/>
  <c r="A14795" i="1"/>
  <c r="C14794" i="1"/>
  <c r="B14794" i="1"/>
  <c r="A14794" i="1"/>
  <c r="C14793" i="1"/>
  <c r="B14793" i="1"/>
  <c r="A14793" i="1"/>
  <c r="C14792" i="1"/>
  <c r="B14792" i="1"/>
  <c r="A14792" i="1"/>
  <c r="C14791" i="1"/>
  <c r="B14791" i="1"/>
  <c r="A14791" i="1"/>
  <c r="C14790" i="1"/>
  <c r="B14790" i="1"/>
  <c r="A14790" i="1"/>
  <c r="C14789" i="1"/>
  <c r="B14789" i="1"/>
  <c r="A14789" i="1"/>
  <c r="C14788" i="1"/>
  <c r="B14788" i="1"/>
  <c r="A14788" i="1"/>
  <c r="C14787" i="1"/>
  <c r="B14787" i="1"/>
  <c r="A14787" i="1"/>
  <c r="C14786" i="1"/>
  <c r="B14786" i="1"/>
  <c r="A14786" i="1"/>
  <c r="C14785" i="1"/>
  <c r="B14785" i="1"/>
  <c r="A14785" i="1"/>
  <c r="C14784" i="1"/>
  <c r="B14784" i="1"/>
  <c r="A14784" i="1"/>
  <c r="C14783" i="1"/>
  <c r="B14783" i="1"/>
  <c r="A14783" i="1"/>
  <c r="C14782" i="1"/>
  <c r="B14782" i="1"/>
  <c r="A14782" i="1"/>
  <c r="C14781" i="1"/>
  <c r="B14781" i="1"/>
  <c r="A14781" i="1"/>
  <c r="C14780" i="1"/>
  <c r="B14780" i="1"/>
  <c r="A14780" i="1"/>
  <c r="C14779" i="1"/>
  <c r="B14779" i="1"/>
  <c r="A14779" i="1"/>
  <c r="C14778" i="1"/>
  <c r="B14778" i="1"/>
  <c r="A14778" i="1"/>
  <c r="C14777" i="1"/>
  <c r="B14777" i="1"/>
  <c r="A14777" i="1"/>
  <c r="C14776" i="1"/>
  <c r="B14776" i="1"/>
  <c r="A14776" i="1"/>
  <c r="C14775" i="1"/>
  <c r="B14775" i="1"/>
  <c r="A14775" i="1"/>
  <c r="C14774" i="1"/>
  <c r="B14774" i="1"/>
  <c r="A14774" i="1"/>
  <c r="C14773" i="1"/>
  <c r="B14773" i="1"/>
  <c r="A14773" i="1"/>
  <c r="C14772" i="1"/>
  <c r="B14772" i="1"/>
  <c r="A14772" i="1"/>
  <c r="C14771" i="1"/>
  <c r="B14771" i="1"/>
  <c r="A14771" i="1"/>
  <c r="C14770" i="1"/>
  <c r="B14770" i="1"/>
  <c r="A14770" i="1"/>
  <c r="C14769" i="1"/>
  <c r="B14769" i="1"/>
  <c r="A14769" i="1"/>
  <c r="C14768" i="1"/>
  <c r="B14768" i="1"/>
  <c r="A14768" i="1"/>
  <c r="C14767" i="1"/>
  <c r="B14767" i="1"/>
  <c r="A14767" i="1"/>
  <c r="C14766" i="1"/>
  <c r="B14766" i="1"/>
  <c r="A14766" i="1"/>
  <c r="C14765" i="1"/>
  <c r="B14765" i="1"/>
  <c r="A14765" i="1"/>
  <c r="C14764" i="1"/>
  <c r="B14764" i="1"/>
  <c r="A14764" i="1"/>
  <c r="C14763" i="1"/>
  <c r="B14763" i="1"/>
  <c r="A14763" i="1"/>
  <c r="C14762" i="1"/>
  <c r="B14762" i="1"/>
  <c r="A14762" i="1"/>
  <c r="C14761" i="1"/>
  <c r="B14761" i="1"/>
  <c r="A14761" i="1"/>
  <c r="C14760" i="1"/>
  <c r="B14760" i="1"/>
  <c r="A14760" i="1"/>
  <c r="C14759" i="1"/>
  <c r="B14759" i="1"/>
  <c r="A14759" i="1"/>
  <c r="C14758" i="1"/>
  <c r="B14758" i="1"/>
  <c r="A14758" i="1"/>
  <c r="C14757" i="1"/>
  <c r="B14757" i="1"/>
  <c r="A14757" i="1"/>
  <c r="C14756" i="1"/>
  <c r="B14756" i="1"/>
  <c r="A14756" i="1"/>
  <c r="C14755" i="1"/>
  <c r="B14755" i="1"/>
  <c r="A14755" i="1"/>
  <c r="C14754" i="1"/>
  <c r="B14754" i="1"/>
  <c r="A14754" i="1"/>
  <c r="C14753" i="1"/>
  <c r="B14753" i="1"/>
  <c r="A14753" i="1"/>
  <c r="C14752" i="1"/>
  <c r="B14752" i="1"/>
  <c r="A14752" i="1"/>
  <c r="C14751" i="1"/>
  <c r="B14751" i="1"/>
  <c r="A14751" i="1"/>
  <c r="C14750" i="1"/>
  <c r="B14750" i="1"/>
  <c r="A14750" i="1"/>
  <c r="C14749" i="1"/>
  <c r="B14749" i="1"/>
  <c r="A14749" i="1"/>
  <c r="C14748" i="1"/>
  <c r="B14748" i="1"/>
  <c r="A14748" i="1"/>
  <c r="C14747" i="1"/>
  <c r="B14747" i="1"/>
  <c r="A14747" i="1"/>
  <c r="C14746" i="1"/>
  <c r="B14746" i="1"/>
  <c r="A14746" i="1"/>
  <c r="C14745" i="1"/>
  <c r="B14745" i="1"/>
  <c r="A14745" i="1"/>
  <c r="C14744" i="1"/>
  <c r="B14744" i="1"/>
  <c r="A14744" i="1"/>
  <c r="C14743" i="1"/>
  <c r="B14743" i="1"/>
  <c r="A14743" i="1"/>
  <c r="C14742" i="1"/>
  <c r="B14742" i="1"/>
  <c r="A14742" i="1"/>
  <c r="C14741" i="1"/>
  <c r="B14741" i="1"/>
  <c r="A14741" i="1"/>
  <c r="C14740" i="1"/>
  <c r="B14740" i="1"/>
  <c r="A14740" i="1"/>
  <c r="C14739" i="1"/>
  <c r="B14739" i="1"/>
  <c r="A14739" i="1"/>
  <c r="C14738" i="1"/>
  <c r="B14738" i="1"/>
  <c r="A14738" i="1"/>
  <c r="C14737" i="1"/>
  <c r="B14737" i="1"/>
  <c r="A14737" i="1"/>
  <c r="C14736" i="1"/>
  <c r="B14736" i="1"/>
  <c r="A14736" i="1"/>
  <c r="C14735" i="1"/>
  <c r="B14735" i="1"/>
  <c r="A14735" i="1"/>
  <c r="C14734" i="1"/>
  <c r="B14734" i="1"/>
  <c r="A14734" i="1"/>
  <c r="C14733" i="1"/>
  <c r="B14733" i="1"/>
  <c r="A14733" i="1"/>
  <c r="C14732" i="1"/>
  <c r="B14732" i="1"/>
  <c r="A14732" i="1"/>
  <c r="C14731" i="1"/>
  <c r="B14731" i="1"/>
  <c r="A14731" i="1"/>
  <c r="C14730" i="1"/>
  <c r="B14730" i="1"/>
  <c r="A14730" i="1"/>
  <c r="C14729" i="1"/>
  <c r="B14729" i="1"/>
  <c r="A14729" i="1"/>
  <c r="C14728" i="1"/>
  <c r="B14728" i="1"/>
  <c r="A14728" i="1"/>
  <c r="C14727" i="1"/>
  <c r="B14727" i="1"/>
  <c r="A14727" i="1"/>
  <c r="C14726" i="1"/>
  <c r="B14726" i="1"/>
  <c r="A14726" i="1"/>
  <c r="C14725" i="1"/>
  <c r="B14725" i="1"/>
  <c r="A14725" i="1"/>
  <c r="C14724" i="1"/>
  <c r="B14724" i="1"/>
  <c r="A14724" i="1"/>
  <c r="C14723" i="1"/>
  <c r="B14723" i="1"/>
  <c r="A14723" i="1"/>
  <c r="C14722" i="1"/>
  <c r="B14722" i="1"/>
  <c r="A14722" i="1"/>
  <c r="C14721" i="1"/>
  <c r="B14721" i="1"/>
  <c r="A14721" i="1"/>
  <c r="C14720" i="1"/>
  <c r="B14720" i="1"/>
  <c r="A14720" i="1"/>
  <c r="C14719" i="1"/>
  <c r="B14719" i="1"/>
  <c r="A14719" i="1"/>
  <c r="C14718" i="1"/>
  <c r="B14718" i="1"/>
  <c r="A14718" i="1"/>
  <c r="C14717" i="1"/>
  <c r="B14717" i="1"/>
  <c r="A14717" i="1"/>
  <c r="C14716" i="1"/>
  <c r="B14716" i="1"/>
  <c r="A14716" i="1"/>
  <c r="C14715" i="1"/>
  <c r="B14715" i="1"/>
  <c r="A14715" i="1"/>
  <c r="C14714" i="1"/>
  <c r="B14714" i="1"/>
  <c r="A14714" i="1"/>
  <c r="C14713" i="1"/>
  <c r="B14713" i="1"/>
  <c r="A14713" i="1"/>
  <c r="C14712" i="1"/>
  <c r="B14712" i="1"/>
  <c r="A14712" i="1"/>
  <c r="C14711" i="1"/>
  <c r="B14711" i="1"/>
  <c r="A14711" i="1"/>
  <c r="C14710" i="1"/>
  <c r="B14710" i="1"/>
  <c r="A14710" i="1"/>
  <c r="C14709" i="1"/>
  <c r="B14709" i="1"/>
  <c r="A14709" i="1"/>
  <c r="C14708" i="1"/>
  <c r="B14708" i="1"/>
  <c r="A14708" i="1"/>
  <c r="C14707" i="1"/>
  <c r="B14707" i="1"/>
  <c r="A14707" i="1"/>
  <c r="C14706" i="1"/>
  <c r="B14706" i="1"/>
  <c r="A14706" i="1"/>
  <c r="C14705" i="1"/>
  <c r="B14705" i="1"/>
  <c r="A14705" i="1"/>
  <c r="C14704" i="1"/>
  <c r="B14704" i="1"/>
  <c r="A14704" i="1"/>
  <c r="C14703" i="1"/>
  <c r="B14703" i="1"/>
  <c r="A14703" i="1"/>
  <c r="C14702" i="1"/>
  <c r="B14702" i="1"/>
  <c r="A14702" i="1"/>
  <c r="C14701" i="1"/>
  <c r="B14701" i="1"/>
  <c r="A14701" i="1"/>
  <c r="C14700" i="1"/>
  <c r="B14700" i="1"/>
  <c r="A14700" i="1"/>
  <c r="C14699" i="1"/>
  <c r="B14699" i="1"/>
  <c r="A14699" i="1"/>
  <c r="C14698" i="1"/>
  <c r="B14698" i="1"/>
  <c r="A14698" i="1"/>
  <c r="C14697" i="1"/>
  <c r="B14697" i="1"/>
  <c r="A14697" i="1"/>
  <c r="C14696" i="1"/>
  <c r="B14696" i="1"/>
  <c r="A14696" i="1"/>
  <c r="C14695" i="1"/>
  <c r="B14695" i="1"/>
  <c r="A14695" i="1"/>
  <c r="C14694" i="1"/>
  <c r="B14694" i="1"/>
  <c r="A14694" i="1"/>
  <c r="C14693" i="1"/>
  <c r="B14693" i="1"/>
  <c r="A14693" i="1"/>
  <c r="C14692" i="1"/>
  <c r="B14692" i="1"/>
  <c r="A14692" i="1"/>
  <c r="C14691" i="1"/>
  <c r="B14691" i="1"/>
  <c r="A14691" i="1"/>
  <c r="C14690" i="1"/>
  <c r="B14690" i="1"/>
  <c r="A14690" i="1"/>
  <c r="C14689" i="1"/>
  <c r="B14689" i="1"/>
  <c r="A14689" i="1"/>
  <c r="C14688" i="1"/>
  <c r="B14688" i="1"/>
  <c r="A14688" i="1"/>
  <c r="C14687" i="1"/>
  <c r="B14687" i="1"/>
  <c r="A14687" i="1"/>
  <c r="C14686" i="1"/>
  <c r="B14686" i="1"/>
  <c r="A14686" i="1"/>
  <c r="C14685" i="1"/>
  <c r="B14685" i="1"/>
  <c r="A14685" i="1"/>
  <c r="C14684" i="1"/>
  <c r="B14684" i="1"/>
  <c r="A14684" i="1"/>
  <c r="C14683" i="1"/>
  <c r="B14683" i="1"/>
  <c r="A14683" i="1"/>
  <c r="C14682" i="1"/>
  <c r="B14682" i="1"/>
  <c r="A14682" i="1"/>
  <c r="C14681" i="1"/>
  <c r="B14681" i="1"/>
  <c r="A14681" i="1"/>
  <c r="C14680" i="1"/>
  <c r="B14680" i="1"/>
  <c r="A14680" i="1"/>
  <c r="C14679" i="1"/>
  <c r="B14679" i="1"/>
  <c r="A14679" i="1"/>
  <c r="C14678" i="1"/>
  <c r="B14678" i="1"/>
  <c r="A14678" i="1"/>
  <c r="C14677" i="1"/>
  <c r="B14677" i="1"/>
  <c r="A14677" i="1"/>
  <c r="C14676" i="1"/>
  <c r="B14676" i="1"/>
  <c r="A14676" i="1"/>
  <c r="C14675" i="1"/>
  <c r="B14675" i="1"/>
  <c r="A14675" i="1"/>
  <c r="C14674" i="1"/>
  <c r="B14674" i="1"/>
  <c r="A14674" i="1"/>
  <c r="C14673" i="1"/>
  <c r="B14673" i="1"/>
  <c r="A14673" i="1"/>
  <c r="C14672" i="1"/>
  <c r="B14672" i="1"/>
  <c r="A14672" i="1"/>
  <c r="C14671" i="1"/>
  <c r="B14671" i="1"/>
  <c r="A14671" i="1"/>
  <c r="C14670" i="1"/>
  <c r="B14670" i="1"/>
  <c r="A14670" i="1"/>
  <c r="C14669" i="1"/>
  <c r="B14669" i="1"/>
  <c r="A14669" i="1"/>
  <c r="C14668" i="1"/>
  <c r="B14668" i="1"/>
  <c r="A14668" i="1"/>
  <c r="C14667" i="1"/>
  <c r="B14667" i="1"/>
  <c r="A14667" i="1"/>
  <c r="C14666" i="1"/>
  <c r="B14666" i="1"/>
  <c r="A14666" i="1"/>
  <c r="C14665" i="1"/>
  <c r="B14665" i="1"/>
  <c r="A14665" i="1"/>
  <c r="C14664" i="1"/>
  <c r="B14664" i="1"/>
  <c r="A14664" i="1"/>
  <c r="C14663" i="1"/>
  <c r="B14663" i="1"/>
  <c r="A14663" i="1"/>
  <c r="C14662" i="1"/>
  <c r="B14662" i="1"/>
  <c r="A14662" i="1"/>
  <c r="C14661" i="1"/>
  <c r="B14661" i="1"/>
  <c r="A14661" i="1"/>
  <c r="C14660" i="1"/>
  <c r="B14660" i="1"/>
  <c r="A14660" i="1"/>
  <c r="C14659" i="1"/>
  <c r="B14659" i="1"/>
  <c r="A14659" i="1"/>
  <c r="C14658" i="1"/>
  <c r="B14658" i="1"/>
  <c r="A14658" i="1"/>
  <c r="C14657" i="1"/>
  <c r="B14657" i="1"/>
  <c r="A14657" i="1"/>
  <c r="C14656" i="1"/>
  <c r="B14656" i="1"/>
  <c r="A14656" i="1"/>
  <c r="C14655" i="1"/>
  <c r="B14655" i="1"/>
  <c r="A14655" i="1"/>
  <c r="C14654" i="1"/>
  <c r="B14654" i="1"/>
  <c r="A14654" i="1"/>
  <c r="C14653" i="1"/>
  <c r="B14653" i="1"/>
  <c r="A14653" i="1"/>
  <c r="C14652" i="1"/>
  <c r="B14652" i="1"/>
  <c r="A14652" i="1"/>
  <c r="C14651" i="1"/>
  <c r="B14651" i="1"/>
  <c r="A14651" i="1"/>
  <c r="C14650" i="1"/>
  <c r="B14650" i="1"/>
  <c r="A14650" i="1"/>
  <c r="C14649" i="1"/>
  <c r="B14649" i="1"/>
  <c r="A14649" i="1"/>
  <c r="C14648" i="1"/>
  <c r="B14648" i="1"/>
  <c r="A14648" i="1"/>
  <c r="C14647" i="1"/>
  <c r="B14647" i="1"/>
  <c r="A14647" i="1"/>
  <c r="C14646" i="1"/>
  <c r="B14646" i="1"/>
  <c r="A14646" i="1"/>
  <c r="C14645" i="1"/>
  <c r="B14645" i="1"/>
  <c r="A14645" i="1"/>
  <c r="C14644" i="1"/>
  <c r="B14644" i="1"/>
  <c r="A14644" i="1"/>
  <c r="C14643" i="1"/>
  <c r="B14643" i="1"/>
  <c r="A14643" i="1"/>
  <c r="C14642" i="1"/>
  <c r="B14642" i="1"/>
  <c r="A14642" i="1"/>
  <c r="C14641" i="1"/>
  <c r="B14641" i="1"/>
  <c r="A14641" i="1"/>
  <c r="C14640" i="1"/>
  <c r="B14640" i="1"/>
  <c r="A14640" i="1"/>
  <c r="C14639" i="1"/>
  <c r="B14639" i="1"/>
  <c r="A14639" i="1"/>
  <c r="C14638" i="1"/>
  <c r="B14638" i="1"/>
  <c r="A14638" i="1"/>
  <c r="C14637" i="1"/>
  <c r="B14637" i="1"/>
  <c r="A14637" i="1"/>
  <c r="C14636" i="1"/>
  <c r="B14636" i="1"/>
  <c r="A14636" i="1"/>
  <c r="C14635" i="1"/>
  <c r="B14635" i="1"/>
  <c r="A14635" i="1"/>
  <c r="C14634" i="1"/>
  <c r="B14634" i="1"/>
  <c r="A14634" i="1"/>
  <c r="C14633" i="1"/>
  <c r="B14633" i="1"/>
  <c r="A14633" i="1"/>
  <c r="C14632" i="1"/>
  <c r="B14632" i="1"/>
  <c r="A14632" i="1"/>
  <c r="C14631" i="1"/>
  <c r="B14631" i="1"/>
  <c r="A14631" i="1"/>
  <c r="C14630" i="1"/>
  <c r="B14630" i="1"/>
  <c r="A14630" i="1"/>
  <c r="C14629" i="1"/>
  <c r="B14629" i="1"/>
  <c r="A14629" i="1"/>
  <c r="C14628" i="1"/>
  <c r="B14628" i="1"/>
  <c r="A14628" i="1"/>
  <c r="C14627" i="1"/>
  <c r="B14627" i="1"/>
  <c r="A14627" i="1"/>
  <c r="C14626" i="1"/>
  <c r="B14626" i="1"/>
  <c r="A14626" i="1"/>
  <c r="C14625" i="1"/>
  <c r="B14625" i="1"/>
  <c r="A14625" i="1"/>
  <c r="C14624" i="1"/>
  <c r="B14624" i="1"/>
  <c r="A14624" i="1"/>
  <c r="C14623" i="1"/>
  <c r="B14623" i="1"/>
  <c r="A14623" i="1"/>
  <c r="C14622" i="1"/>
  <c r="B14622" i="1"/>
  <c r="A14622" i="1"/>
  <c r="C14621" i="1"/>
  <c r="B14621" i="1"/>
  <c r="A14621" i="1"/>
  <c r="C14620" i="1"/>
  <c r="B14620" i="1"/>
  <c r="A14620" i="1"/>
  <c r="C14619" i="1"/>
  <c r="B14619" i="1"/>
  <c r="A14619" i="1"/>
  <c r="C14618" i="1"/>
  <c r="B14618" i="1"/>
  <c r="A14618" i="1"/>
  <c r="C14617" i="1"/>
  <c r="B14617" i="1"/>
  <c r="A14617" i="1"/>
  <c r="C14616" i="1"/>
  <c r="B14616" i="1"/>
  <c r="A14616" i="1"/>
  <c r="C14615" i="1"/>
  <c r="B14615" i="1"/>
  <c r="A14615" i="1"/>
  <c r="C14614" i="1"/>
  <c r="B14614" i="1"/>
  <c r="A14614" i="1"/>
  <c r="C14613" i="1"/>
  <c r="B14613" i="1"/>
  <c r="A14613" i="1"/>
  <c r="C14612" i="1"/>
  <c r="B14612" i="1"/>
  <c r="A14612" i="1"/>
  <c r="C14611" i="1"/>
  <c r="B14611" i="1"/>
  <c r="A14611" i="1"/>
  <c r="C14610" i="1"/>
  <c r="B14610" i="1"/>
  <c r="A14610" i="1"/>
  <c r="C14609" i="1"/>
  <c r="B14609" i="1"/>
  <c r="A14609" i="1"/>
  <c r="C14608" i="1"/>
  <c r="B14608" i="1"/>
  <c r="A14608" i="1"/>
  <c r="C14607" i="1"/>
  <c r="B14607" i="1"/>
  <c r="A14607" i="1"/>
  <c r="C14606" i="1"/>
  <c r="B14606" i="1"/>
  <c r="A14606" i="1"/>
  <c r="C14605" i="1"/>
  <c r="B14605" i="1"/>
  <c r="A14605" i="1"/>
  <c r="C14604" i="1"/>
  <c r="B14604" i="1"/>
  <c r="A14604" i="1"/>
  <c r="C14603" i="1"/>
  <c r="B14603" i="1"/>
  <c r="A14603" i="1"/>
  <c r="C14602" i="1"/>
  <c r="B14602" i="1"/>
  <c r="A14602" i="1"/>
  <c r="C14601" i="1"/>
  <c r="B14601" i="1"/>
  <c r="A14601" i="1"/>
  <c r="C14600" i="1"/>
  <c r="B14600" i="1"/>
  <c r="A14600" i="1"/>
  <c r="C14599" i="1"/>
  <c r="B14599" i="1"/>
  <c r="A14599" i="1"/>
  <c r="C14598" i="1"/>
  <c r="B14598" i="1"/>
  <c r="A14598" i="1"/>
  <c r="C14597" i="1"/>
  <c r="B14597" i="1"/>
  <c r="A14597" i="1"/>
  <c r="C14596" i="1"/>
  <c r="B14596" i="1"/>
  <c r="A14596" i="1"/>
  <c r="C14595" i="1"/>
  <c r="B14595" i="1"/>
  <c r="A14595" i="1"/>
  <c r="C14594" i="1"/>
  <c r="B14594" i="1"/>
  <c r="A14594" i="1"/>
  <c r="C14593" i="1"/>
  <c r="B14593" i="1"/>
  <c r="A14593" i="1"/>
  <c r="C14592" i="1"/>
  <c r="B14592" i="1"/>
  <c r="A14592" i="1"/>
  <c r="C14591" i="1"/>
  <c r="B14591" i="1"/>
  <c r="A14591" i="1"/>
  <c r="C14590" i="1"/>
  <c r="B14590" i="1"/>
  <c r="A14590" i="1"/>
  <c r="C14589" i="1"/>
  <c r="B14589" i="1"/>
  <c r="A14589" i="1"/>
  <c r="C14588" i="1"/>
  <c r="B14588" i="1"/>
  <c r="A14588" i="1"/>
  <c r="C14587" i="1"/>
  <c r="B14587" i="1"/>
  <c r="A14587" i="1"/>
  <c r="C14586" i="1"/>
  <c r="B14586" i="1"/>
  <c r="A14586" i="1"/>
  <c r="C14585" i="1"/>
  <c r="B14585" i="1"/>
  <c r="A14585" i="1"/>
  <c r="C14584" i="1"/>
  <c r="B14584" i="1"/>
  <c r="A14584" i="1"/>
  <c r="C14583" i="1"/>
  <c r="B14583" i="1"/>
  <c r="A14583" i="1"/>
  <c r="C14582" i="1"/>
  <c r="B14582" i="1"/>
  <c r="A14582" i="1"/>
  <c r="C14581" i="1"/>
  <c r="B14581" i="1"/>
  <c r="A14581" i="1"/>
  <c r="C14580" i="1"/>
  <c r="B14580" i="1"/>
  <c r="A14580" i="1"/>
  <c r="C14579" i="1"/>
  <c r="B14579" i="1"/>
  <c r="A14579" i="1"/>
  <c r="C14578" i="1"/>
  <c r="B14578" i="1"/>
  <c r="A14578" i="1"/>
  <c r="C14577" i="1"/>
  <c r="B14577" i="1"/>
  <c r="A14577" i="1"/>
  <c r="C14576" i="1"/>
  <c r="B14576" i="1"/>
  <c r="A14576" i="1"/>
  <c r="C14575" i="1"/>
  <c r="B14575" i="1"/>
  <c r="A14575" i="1"/>
  <c r="C14574" i="1"/>
  <c r="B14574" i="1"/>
  <c r="A14574" i="1"/>
  <c r="C14573" i="1"/>
  <c r="B14573" i="1"/>
  <c r="A14573" i="1"/>
  <c r="C14572" i="1"/>
  <c r="B14572" i="1"/>
  <c r="A14572" i="1"/>
  <c r="C14571" i="1"/>
  <c r="B14571" i="1"/>
  <c r="A14571" i="1"/>
  <c r="C14570" i="1"/>
  <c r="B14570" i="1"/>
  <c r="A14570" i="1"/>
  <c r="C14569" i="1"/>
  <c r="B14569" i="1"/>
  <c r="A14569" i="1"/>
  <c r="C14568" i="1"/>
  <c r="B14568" i="1"/>
  <c r="A14568" i="1"/>
  <c r="C14567" i="1"/>
  <c r="B14567" i="1"/>
  <c r="A14567" i="1"/>
  <c r="C14566" i="1"/>
  <c r="B14566" i="1"/>
  <c r="A14566" i="1"/>
  <c r="C14565" i="1"/>
  <c r="B14565" i="1"/>
  <c r="A14565" i="1"/>
  <c r="C14564" i="1"/>
  <c r="B14564" i="1"/>
  <c r="A14564" i="1"/>
  <c r="C14563" i="1"/>
  <c r="B14563" i="1"/>
  <c r="A14563" i="1"/>
  <c r="C14562" i="1"/>
  <c r="B14562" i="1"/>
  <c r="A14562" i="1"/>
  <c r="C14561" i="1"/>
  <c r="B14561" i="1"/>
  <c r="A14561" i="1"/>
  <c r="C14560" i="1"/>
  <c r="B14560" i="1"/>
  <c r="A14560" i="1"/>
  <c r="C14559" i="1"/>
  <c r="B14559" i="1"/>
  <c r="A14559" i="1"/>
  <c r="C14558" i="1"/>
  <c r="B14558" i="1"/>
  <c r="A14558" i="1"/>
  <c r="C14557" i="1"/>
  <c r="B14557" i="1"/>
  <c r="A14557" i="1"/>
  <c r="C14556" i="1"/>
  <c r="B14556" i="1"/>
  <c r="A14556" i="1"/>
  <c r="C14555" i="1"/>
  <c r="B14555" i="1"/>
  <c r="A14555" i="1"/>
  <c r="C14554" i="1"/>
  <c r="B14554" i="1"/>
  <c r="A14554" i="1"/>
  <c r="C14553" i="1"/>
  <c r="B14553" i="1"/>
  <c r="A14553" i="1"/>
  <c r="C14552" i="1"/>
  <c r="B14552" i="1"/>
  <c r="A14552" i="1"/>
  <c r="C14551" i="1"/>
  <c r="B14551" i="1"/>
  <c r="A14551" i="1"/>
  <c r="C14550" i="1"/>
  <c r="B14550" i="1"/>
  <c r="A14550" i="1"/>
  <c r="C14549" i="1"/>
  <c r="B14549" i="1"/>
  <c r="A14549" i="1"/>
  <c r="C14548" i="1"/>
  <c r="B14548" i="1"/>
  <c r="A14548" i="1"/>
  <c r="C14547" i="1"/>
  <c r="B14547" i="1"/>
  <c r="A14547" i="1"/>
  <c r="C14546" i="1"/>
  <c r="B14546" i="1"/>
  <c r="A14546" i="1"/>
  <c r="C14545" i="1"/>
  <c r="B14545" i="1"/>
  <c r="A14545" i="1"/>
  <c r="C14544" i="1"/>
  <c r="B14544" i="1"/>
  <c r="A14544" i="1"/>
  <c r="C14543" i="1"/>
  <c r="B14543" i="1"/>
  <c r="A14543" i="1"/>
  <c r="C14542" i="1"/>
  <c r="B14542" i="1"/>
  <c r="A14542" i="1"/>
  <c r="C14541" i="1"/>
  <c r="B14541" i="1"/>
  <c r="A14541" i="1"/>
  <c r="C14540" i="1"/>
  <c r="B14540" i="1"/>
  <c r="A14540" i="1"/>
  <c r="C14539" i="1"/>
  <c r="B14539" i="1"/>
  <c r="A14539" i="1"/>
  <c r="C14538" i="1"/>
  <c r="B14538" i="1"/>
  <c r="A14538" i="1"/>
  <c r="C14537" i="1"/>
  <c r="B14537" i="1"/>
  <c r="A14537" i="1"/>
  <c r="C14536" i="1"/>
  <c r="B14536" i="1"/>
  <c r="A14536" i="1"/>
  <c r="C14535" i="1"/>
  <c r="B14535" i="1"/>
  <c r="A14535" i="1"/>
  <c r="C14534" i="1"/>
  <c r="B14534" i="1"/>
  <c r="A14534" i="1"/>
  <c r="C14533" i="1"/>
  <c r="B14533" i="1"/>
  <c r="A14533" i="1"/>
  <c r="C14532" i="1"/>
  <c r="B14532" i="1"/>
  <c r="A14532" i="1"/>
  <c r="C14531" i="1"/>
  <c r="B14531" i="1"/>
  <c r="A14531" i="1"/>
  <c r="C14530" i="1"/>
  <c r="B14530" i="1"/>
  <c r="A14530" i="1"/>
  <c r="C14529" i="1"/>
  <c r="B14529" i="1"/>
  <c r="A14529" i="1"/>
  <c r="C14528" i="1"/>
  <c r="B14528" i="1"/>
  <c r="A14528" i="1"/>
  <c r="C14527" i="1"/>
  <c r="B14527" i="1"/>
  <c r="A14527" i="1"/>
  <c r="C14526" i="1"/>
  <c r="B14526" i="1"/>
  <c r="A14526" i="1"/>
  <c r="C14525" i="1"/>
  <c r="B14525" i="1"/>
  <c r="A14525" i="1"/>
  <c r="C14524" i="1"/>
  <c r="B14524" i="1"/>
  <c r="A14524" i="1"/>
  <c r="C14523" i="1"/>
  <c r="B14523" i="1"/>
  <c r="A14523" i="1"/>
  <c r="C14522" i="1"/>
  <c r="B14522" i="1"/>
  <c r="A14522" i="1"/>
  <c r="C14521" i="1"/>
  <c r="B14521" i="1"/>
  <c r="A14521" i="1"/>
  <c r="C14520" i="1"/>
  <c r="B14520" i="1"/>
  <c r="A14520" i="1"/>
  <c r="C14519" i="1"/>
  <c r="B14519" i="1"/>
  <c r="A14519" i="1"/>
  <c r="C14518" i="1"/>
  <c r="B14518" i="1"/>
  <c r="A14518" i="1"/>
  <c r="C14517" i="1"/>
  <c r="B14517" i="1"/>
  <c r="A14517" i="1"/>
  <c r="C14516" i="1"/>
  <c r="B14516" i="1"/>
  <c r="A14516" i="1"/>
  <c r="C14515" i="1"/>
  <c r="B14515" i="1"/>
  <c r="A14515" i="1"/>
  <c r="C14514" i="1"/>
  <c r="B14514" i="1"/>
  <c r="A14514" i="1"/>
  <c r="C14513" i="1"/>
  <c r="B14513" i="1"/>
  <c r="A14513" i="1"/>
  <c r="C14512" i="1"/>
  <c r="B14512" i="1"/>
  <c r="A14512" i="1"/>
  <c r="C14511" i="1"/>
  <c r="B14511" i="1"/>
  <c r="A14511" i="1"/>
  <c r="C14510" i="1"/>
  <c r="B14510" i="1"/>
  <c r="A14510" i="1"/>
  <c r="C14509" i="1"/>
  <c r="B14509" i="1"/>
  <c r="A14509" i="1"/>
  <c r="C14508" i="1"/>
  <c r="B14508" i="1"/>
  <c r="A14508" i="1"/>
  <c r="C14507" i="1"/>
  <c r="B14507" i="1"/>
  <c r="A14507" i="1"/>
  <c r="C14506" i="1"/>
  <c r="B14506" i="1"/>
  <c r="A14506" i="1"/>
  <c r="C14505" i="1"/>
  <c r="B14505" i="1"/>
  <c r="A14505" i="1"/>
  <c r="C14504" i="1"/>
  <c r="B14504" i="1"/>
  <c r="A14504" i="1"/>
  <c r="C14503" i="1"/>
  <c r="B14503" i="1"/>
  <c r="A14503" i="1"/>
  <c r="C14502" i="1"/>
  <c r="B14502" i="1"/>
  <c r="A14502" i="1"/>
  <c r="C14501" i="1"/>
  <c r="B14501" i="1"/>
  <c r="A14501" i="1"/>
  <c r="C14500" i="1"/>
  <c r="B14500" i="1"/>
  <c r="A14500" i="1"/>
  <c r="C14499" i="1"/>
  <c r="B14499" i="1"/>
  <c r="A14499" i="1"/>
  <c r="C14498" i="1"/>
  <c r="B14498" i="1"/>
  <c r="A14498" i="1"/>
  <c r="C14497" i="1"/>
  <c r="B14497" i="1"/>
  <c r="A14497" i="1"/>
  <c r="C14496" i="1"/>
  <c r="B14496" i="1"/>
  <c r="A14496" i="1"/>
  <c r="C14495" i="1"/>
  <c r="B14495" i="1"/>
  <c r="A14495" i="1"/>
  <c r="C14494" i="1"/>
  <c r="B14494" i="1"/>
  <c r="A14494" i="1"/>
  <c r="C14493" i="1"/>
  <c r="B14493" i="1"/>
  <c r="A14493" i="1"/>
  <c r="C14492" i="1"/>
  <c r="B14492" i="1"/>
  <c r="A14492" i="1"/>
  <c r="C14491" i="1"/>
  <c r="B14491" i="1"/>
  <c r="A14491" i="1"/>
  <c r="C14490" i="1"/>
  <c r="B14490" i="1"/>
  <c r="A14490" i="1"/>
  <c r="C14489" i="1"/>
  <c r="B14489" i="1"/>
  <c r="A14489" i="1"/>
  <c r="C14488" i="1"/>
  <c r="B14488" i="1"/>
  <c r="A14488" i="1"/>
  <c r="C14487" i="1"/>
  <c r="B14487" i="1"/>
  <c r="A14487" i="1"/>
  <c r="C14486" i="1"/>
  <c r="B14486" i="1"/>
  <c r="A14486" i="1"/>
  <c r="C14485" i="1"/>
  <c r="B14485" i="1"/>
  <c r="A14485" i="1"/>
  <c r="C14484" i="1"/>
  <c r="B14484" i="1"/>
  <c r="A14484" i="1"/>
  <c r="C14483" i="1"/>
  <c r="B14483" i="1"/>
  <c r="A14483" i="1"/>
  <c r="C14482" i="1"/>
  <c r="B14482" i="1"/>
  <c r="A14482" i="1"/>
  <c r="C14481" i="1"/>
  <c r="B14481" i="1"/>
  <c r="A14481" i="1"/>
  <c r="C14480" i="1"/>
  <c r="B14480" i="1"/>
  <c r="A14480" i="1"/>
  <c r="C14479" i="1"/>
  <c r="B14479" i="1"/>
  <c r="A14479" i="1"/>
  <c r="C14478" i="1"/>
  <c r="B14478" i="1"/>
  <c r="A14478" i="1"/>
  <c r="C14477" i="1"/>
  <c r="B14477" i="1"/>
  <c r="A14477" i="1"/>
  <c r="C14476" i="1"/>
  <c r="B14476" i="1"/>
  <c r="A14476" i="1"/>
  <c r="C14475" i="1"/>
  <c r="B14475" i="1"/>
  <c r="A14475" i="1"/>
  <c r="C14474" i="1"/>
  <c r="B14474" i="1"/>
  <c r="A14474" i="1"/>
  <c r="C14473" i="1"/>
  <c r="B14473" i="1"/>
  <c r="A14473" i="1"/>
  <c r="C14472" i="1"/>
  <c r="B14472" i="1"/>
  <c r="A14472" i="1"/>
  <c r="C14471" i="1"/>
  <c r="B14471" i="1"/>
  <c r="A14471" i="1"/>
  <c r="C14470" i="1"/>
  <c r="B14470" i="1"/>
  <c r="A14470" i="1"/>
  <c r="C14469" i="1"/>
  <c r="B14469" i="1"/>
  <c r="A14469" i="1"/>
  <c r="C14468" i="1"/>
  <c r="B14468" i="1"/>
  <c r="A14468" i="1"/>
  <c r="C14467" i="1"/>
  <c r="B14467" i="1"/>
  <c r="A14467" i="1"/>
  <c r="C14466" i="1"/>
  <c r="B14466" i="1"/>
  <c r="A14466" i="1"/>
  <c r="C14465" i="1"/>
  <c r="B14465" i="1"/>
  <c r="A14465" i="1"/>
  <c r="C14464" i="1"/>
  <c r="B14464" i="1"/>
  <c r="A14464" i="1"/>
  <c r="C14463" i="1"/>
  <c r="B14463" i="1"/>
  <c r="A14463" i="1"/>
  <c r="C14462" i="1"/>
  <c r="B14462" i="1"/>
  <c r="A14462" i="1"/>
  <c r="C14461" i="1"/>
  <c r="B14461" i="1"/>
  <c r="A14461" i="1"/>
  <c r="C14460" i="1"/>
  <c r="B14460" i="1"/>
  <c r="A14460" i="1"/>
  <c r="C14459" i="1"/>
  <c r="B14459" i="1"/>
  <c r="A14459" i="1"/>
  <c r="C14458" i="1"/>
  <c r="B14458" i="1"/>
  <c r="A14458" i="1"/>
  <c r="C14457" i="1"/>
  <c r="B14457" i="1"/>
  <c r="A14457" i="1"/>
  <c r="C14456" i="1"/>
  <c r="B14456" i="1"/>
  <c r="A14456" i="1"/>
  <c r="C14455" i="1"/>
  <c r="B14455" i="1"/>
  <c r="A14455" i="1"/>
  <c r="C14454" i="1"/>
  <c r="B14454" i="1"/>
  <c r="A14454" i="1"/>
  <c r="C14453" i="1"/>
  <c r="B14453" i="1"/>
  <c r="A14453" i="1"/>
  <c r="C14452" i="1"/>
  <c r="B14452" i="1"/>
  <c r="A14452" i="1"/>
  <c r="C14451" i="1"/>
  <c r="B14451" i="1"/>
  <c r="A14451" i="1"/>
  <c r="C14450" i="1"/>
  <c r="B14450" i="1"/>
  <c r="A14450" i="1"/>
  <c r="C14449" i="1"/>
  <c r="B14449" i="1"/>
  <c r="A14449" i="1"/>
  <c r="C14448" i="1"/>
  <c r="B14448" i="1"/>
  <c r="A14448" i="1"/>
  <c r="C14447" i="1"/>
  <c r="B14447" i="1"/>
  <c r="A14447" i="1"/>
  <c r="C14446" i="1"/>
  <c r="B14446" i="1"/>
  <c r="A14446" i="1"/>
  <c r="C14445" i="1"/>
  <c r="B14445" i="1"/>
  <c r="A14445" i="1"/>
  <c r="C14444" i="1"/>
  <c r="B14444" i="1"/>
  <c r="A14444" i="1"/>
  <c r="C14443" i="1"/>
  <c r="B14443" i="1"/>
  <c r="A14443" i="1"/>
  <c r="C14442" i="1"/>
  <c r="B14442" i="1"/>
  <c r="A14442" i="1"/>
  <c r="C14441" i="1"/>
  <c r="B14441" i="1"/>
  <c r="A14441" i="1"/>
  <c r="C14440" i="1"/>
  <c r="B14440" i="1"/>
  <c r="A14440" i="1"/>
  <c r="C14439" i="1"/>
  <c r="B14439" i="1"/>
  <c r="A14439" i="1"/>
  <c r="C14438" i="1"/>
  <c r="B14438" i="1"/>
  <c r="A14438" i="1"/>
  <c r="C14437" i="1"/>
  <c r="B14437" i="1"/>
  <c r="A14437" i="1"/>
  <c r="C14436" i="1"/>
  <c r="B14436" i="1"/>
  <c r="A14436" i="1"/>
  <c r="C14435" i="1"/>
  <c r="B14435" i="1"/>
  <c r="A14435" i="1"/>
  <c r="C14434" i="1"/>
  <c r="B14434" i="1"/>
  <c r="A14434" i="1"/>
  <c r="C14433" i="1"/>
  <c r="B14433" i="1"/>
  <c r="A14433" i="1"/>
  <c r="C14432" i="1"/>
  <c r="B14432" i="1"/>
  <c r="A14432" i="1"/>
  <c r="C14431" i="1"/>
  <c r="B14431" i="1"/>
  <c r="A14431" i="1"/>
  <c r="C14430" i="1"/>
  <c r="B14430" i="1"/>
  <c r="A14430" i="1"/>
  <c r="C14429" i="1"/>
  <c r="B14429" i="1"/>
  <c r="A14429" i="1"/>
  <c r="C14428" i="1"/>
  <c r="B14428" i="1"/>
  <c r="A14428" i="1"/>
  <c r="C14427" i="1"/>
  <c r="B14427" i="1"/>
  <c r="A14427" i="1"/>
  <c r="C14426" i="1"/>
  <c r="B14426" i="1"/>
  <c r="A14426" i="1"/>
  <c r="C14425" i="1"/>
  <c r="B14425" i="1"/>
  <c r="A14425" i="1"/>
  <c r="C14424" i="1"/>
  <c r="B14424" i="1"/>
  <c r="A14424" i="1"/>
  <c r="C14423" i="1"/>
  <c r="B14423" i="1"/>
  <c r="A14423" i="1"/>
  <c r="C14422" i="1"/>
  <c r="B14422" i="1"/>
  <c r="A14422" i="1"/>
  <c r="C14421" i="1"/>
  <c r="B14421" i="1"/>
  <c r="A14421" i="1"/>
  <c r="C14420" i="1"/>
  <c r="B14420" i="1"/>
  <c r="A14420" i="1"/>
  <c r="C14419" i="1"/>
  <c r="B14419" i="1"/>
  <c r="A14419" i="1"/>
  <c r="C14418" i="1"/>
  <c r="B14418" i="1"/>
  <c r="A14418" i="1"/>
  <c r="C14417" i="1"/>
  <c r="B14417" i="1"/>
  <c r="A14417" i="1"/>
  <c r="C14416" i="1"/>
  <c r="B14416" i="1"/>
  <c r="A14416" i="1"/>
  <c r="C14415" i="1"/>
  <c r="B14415" i="1"/>
  <c r="A14415" i="1"/>
  <c r="C14414" i="1"/>
  <c r="B14414" i="1"/>
  <c r="A14414" i="1"/>
  <c r="C14413" i="1"/>
  <c r="B14413" i="1"/>
  <c r="A14413" i="1"/>
  <c r="C14412" i="1"/>
  <c r="B14412" i="1"/>
  <c r="A14412" i="1"/>
  <c r="C14411" i="1"/>
  <c r="B14411" i="1"/>
  <c r="A14411" i="1"/>
  <c r="C14410" i="1"/>
  <c r="B14410" i="1"/>
  <c r="A14410" i="1"/>
  <c r="C14409" i="1"/>
  <c r="B14409" i="1"/>
  <c r="A14409" i="1"/>
  <c r="C14408" i="1"/>
  <c r="B14408" i="1"/>
  <c r="A14408" i="1"/>
  <c r="C14407" i="1"/>
  <c r="B14407" i="1"/>
  <c r="A14407" i="1"/>
  <c r="C14406" i="1"/>
  <c r="B14406" i="1"/>
  <c r="A14406" i="1"/>
  <c r="C14405" i="1"/>
  <c r="B14405" i="1"/>
  <c r="A14405" i="1"/>
  <c r="C14404" i="1"/>
  <c r="B14404" i="1"/>
  <c r="A14404" i="1"/>
  <c r="C14403" i="1"/>
  <c r="B14403" i="1"/>
  <c r="A14403" i="1"/>
  <c r="C14402" i="1"/>
  <c r="B14402" i="1"/>
  <c r="A14402" i="1"/>
  <c r="C14401" i="1"/>
  <c r="B14401" i="1"/>
  <c r="A14401" i="1"/>
  <c r="C14400" i="1"/>
  <c r="B14400" i="1"/>
  <c r="A14400" i="1"/>
  <c r="C14399" i="1"/>
  <c r="B14399" i="1"/>
  <c r="A14399" i="1"/>
  <c r="C14398" i="1"/>
  <c r="B14398" i="1"/>
  <c r="A14398" i="1"/>
  <c r="C14397" i="1"/>
  <c r="B14397" i="1"/>
  <c r="A14397" i="1"/>
  <c r="C14396" i="1"/>
  <c r="B14396" i="1"/>
  <c r="A14396" i="1"/>
  <c r="C14395" i="1"/>
  <c r="B14395" i="1"/>
  <c r="A14395" i="1"/>
  <c r="C14394" i="1"/>
  <c r="B14394" i="1"/>
  <c r="A14394" i="1"/>
  <c r="C14393" i="1"/>
  <c r="B14393" i="1"/>
  <c r="A14393" i="1"/>
  <c r="C14392" i="1"/>
  <c r="B14392" i="1"/>
  <c r="A14392" i="1"/>
  <c r="C14391" i="1"/>
  <c r="B14391" i="1"/>
  <c r="A14391" i="1"/>
  <c r="C14390" i="1"/>
  <c r="B14390" i="1"/>
  <c r="A14390" i="1"/>
  <c r="C14389" i="1"/>
  <c r="B14389" i="1"/>
  <c r="A14389" i="1"/>
  <c r="C14388" i="1"/>
  <c r="B14388" i="1"/>
  <c r="A14388" i="1"/>
  <c r="C14387" i="1"/>
  <c r="B14387" i="1"/>
  <c r="A14387" i="1"/>
  <c r="C14386" i="1"/>
  <c r="B14386" i="1"/>
  <c r="A14386" i="1"/>
  <c r="C14385" i="1"/>
  <c r="B14385" i="1"/>
  <c r="A14385" i="1"/>
  <c r="C14384" i="1"/>
  <c r="B14384" i="1"/>
  <c r="A14384" i="1"/>
  <c r="C14383" i="1"/>
  <c r="B14383" i="1"/>
  <c r="A14383" i="1"/>
  <c r="C14382" i="1"/>
  <c r="B14382" i="1"/>
  <c r="A14382" i="1"/>
  <c r="C14381" i="1"/>
  <c r="B14381" i="1"/>
  <c r="A14381" i="1"/>
  <c r="C14380" i="1"/>
  <c r="B14380" i="1"/>
  <c r="A14380" i="1"/>
  <c r="C14379" i="1"/>
  <c r="B14379" i="1"/>
  <c r="A14379" i="1"/>
  <c r="C14378" i="1"/>
  <c r="B14378" i="1"/>
  <c r="A14378" i="1"/>
  <c r="C14377" i="1"/>
  <c r="B14377" i="1"/>
  <c r="A14377" i="1"/>
  <c r="C14376" i="1"/>
  <c r="B14376" i="1"/>
  <c r="A14376" i="1"/>
  <c r="C14375" i="1"/>
  <c r="B14375" i="1"/>
  <c r="A14375" i="1"/>
  <c r="C14374" i="1"/>
  <c r="B14374" i="1"/>
  <c r="A14374" i="1"/>
  <c r="C14373" i="1"/>
  <c r="B14373" i="1"/>
  <c r="A14373" i="1"/>
  <c r="C14372" i="1"/>
  <c r="B14372" i="1"/>
  <c r="A14372" i="1"/>
  <c r="C14371" i="1"/>
  <c r="B14371" i="1"/>
  <c r="A14371" i="1"/>
  <c r="C14370" i="1"/>
  <c r="B14370" i="1"/>
  <c r="A14370" i="1"/>
  <c r="C14369" i="1"/>
  <c r="B14369" i="1"/>
  <c r="A14369" i="1"/>
  <c r="C14368" i="1"/>
  <c r="B14368" i="1"/>
  <c r="A14368" i="1"/>
  <c r="C14367" i="1"/>
  <c r="B14367" i="1"/>
  <c r="A14367" i="1"/>
  <c r="C14366" i="1"/>
  <c r="B14366" i="1"/>
  <c r="A14366" i="1"/>
  <c r="C14365" i="1"/>
  <c r="B14365" i="1"/>
  <c r="A14365" i="1"/>
  <c r="C14364" i="1"/>
  <c r="B14364" i="1"/>
  <c r="A14364" i="1"/>
  <c r="C14363" i="1"/>
  <c r="B14363" i="1"/>
  <c r="A14363" i="1"/>
  <c r="C14362" i="1"/>
  <c r="B14362" i="1"/>
  <c r="A14362" i="1"/>
  <c r="C14361" i="1"/>
  <c r="B14361" i="1"/>
  <c r="A14361" i="1"/>
  <c r="C14360" i="1"/>
  <c r="B14360" i="1"/>
  <c r="A14360" i="1"/>
  <c r="C14359" i="1"/>
  <c r="B14359" i="1"/>
  <c r="A14359" i="1"/>
  <c r="C14358" i="1"/>
  <c r="B14358" i="1"/>
  <c r="A14358" i="1"/>
  <c r="C14357" i="1"/>
  <c r="B14357" i="1"/>
  <c r="A14357" i="1"/>
  <c r="C14356" i="1"/>
  <c r="B14356" i="1"/>
  <c r="A14356" i="1"/>
  <c r="C14355" i="1"/>
  <c r="B14355" i="1"/>
  <c r="A14355" i="1"/>
  <c r="C14354" i="1"/>
  <c r="B14354" i="1"/>
  <c r="A14354" i="1"/>
  <c r="C14353" i="1"/>
  <c r="B14353" i="1"/>
  <c r="A14353" i="1"/>
  <c r="C14352" i="1"/>
  <c r="B14352" i="1"/>
  <c r="A14352" i="1"/>
  <c r="C14351" i="1"/>
  <c r="B14351" i="1"/>
  <c r="A14351" i="1"/>
  <c r="C14350" i="1"/>
  <c r="B14350" i="1"/>
  <c r="A14350" i="1"/>
  <c r="C14349" i="1"/>
  <c r="B14349" i="1"/>
  <c r="A14349" i="1"/>
  <c r="C14348" i="1"/>
  <c r="B14348" i="1"/>
  <c r="A14348" i="1"/>
  <c r="C14347" i="1"/>
  <c r="B14347" i="1"/>
  <c r="A14347" i="1"/>
  <c r="C14346" i="1"/>
  <c r="B14346" i="1"/>
  <c r="A14346" i="1"/>
  <c r="C14345" i="1"/>
  <c r="B14345" i="1"/>
  <c r="A14345" i="1"/>
  <c r="C14344" i="1"/>
  <c r="B14344" i="1"/>
  <c r="A14344" i="1"/>
  <c r="C14343" i="1"/>
  <c r="B14343" i="1"/>
  <c r="A14343" i="1"/>
  <c r="C14342" i="1"/>
  <c r="B14342" i="1"/>
  <c r="A14342" i="1"/>
  <c r="C14341" i="1"/>
  <c r="B14341" i="1"/>
  <c r="A14341" i="1"/>
  <c r="C14340" i="1"/>
  <c r="B14340" i="1"/>
  <c r="A14340" i="1"/>
  <c r="C14339" i="1"/>
  <c r="B14339" i="1"/>
  <c r="A14339" i="1"/>
  <c r="C14338" i="1"/>
  <c r="B14338" i="1"/>
  <c r="A14338" i="1"/>
  <c r="C14337" i="1"/>
  <c r="B14337" i="1"/>
  <c r="A14337" i="1"/>
  <c r="C14336" i="1"/>
  <c r="B14336" i="1"/>
  <c r="A14336" i="1"/>
  <c r="C14335" i="1"/>
  <c r="B14335" i="1"/>
  <c r="A14335" i="1"/>
  <c r="C14334" i="1"/>
  <c r="B14334" i="1"/>
  <c r="A14334" i="1"/>
  <c r="C14333" i="1"/>
  <c r="B14333" i="1"/>
  <c r="A14333" i="1"/>
  <c r="C14332" i="1"/>
  <c r="B14332" i="1"/>
  <c r="A14332" i="1"/>
  <c r="C14331" i="1"/>
  <c r="B14331" i="1"/>
  <c r="A14331" i="1"/>
  <c r="C14330" i="1"/>
  <c r="B14330" i="1"/>
  <c r="A14330" i="1"/>
  <c r="C14329" i="1"/>
  <c r="B14329" i="1"/>
  <c r="A14329" i="1"/>
  <c r="C14328" i="1"/>
  <c r="B14328" i="1"/>
  <c r="A14328" i="1"/>
  <c r="C14327" i="1"/>
  <c r="B14327" i="1"/>
  <c r="A14327" i="1"/>
  <c r="C14326" i="1"/>
  <c r="B14326" i="1"/>
  <c r="A14326" i="1"/>
  <c r="C14325" i="1"/>
  <c r="B14325" i="1"/>
  <c r="A14325" i="1"/>
  <c r="C14324" i="1"/>
  <c r="B14324" i="1"/>
  <c r="A14324" i="1"/>
  <c r="C14323" i="1"/>
  <c r="B14323" i="1"/>
  <c r="A14323" i="1"/>
  <c r="C14322" i="1"/>
  <c r="B14322" i="1"/>
  <c r="A14322" i="1"/>
  <c r="C14321" i="1"/>
  <c r="B14321" i="1"/>
  <c r="A14321" i="1"/>
  <c r="C14320" i="1"/>
  <c r="B14320" i="1"/>
  <c r="A14320" i="1"/>
  <c r="C14319" i="1"/>
  <c r="B14319" i="1"/>
  <c r="A14319" i="1"/>
  <c r="C14318" i="1"/>
  <c r="B14318" i="1"/>
  <c r="A14318" i="1"/>
  <c r="C14317" i="1"/>
  <c r="B14317" i="1"/>
  <c r="A14317" i="1"/>
  <c r="C14316" i="1"/>
  <c r="B14316" i="1"/>
  <c r="A14316" i="1"/>
  <c r="C14315" i="1"/>
  <c r="B14315" i="1"/>
  <c r="A14315" i="1"/>
  <c r="C14314" i="1"/>
  <c r="B14314" i="1"/>
  <c r="A14314" i="1"/>
  <c r="C14313" i="1"/>
  <c r="B14313" i="1"/>
  <c r="A14313" i="1"/>
  <c r="C14312" i="1"/>
  <c r="B14312" i="1"/>
  <c r="A14312" i="1"/>
  <c r="C14311" i="1"/>
  <c r="B14311" i="1"/>
  <c r="A14311" i="1"/>
  <c r="C14310" i="1"/>
  <c r="B14310" i="1"/>
  <c r="A14310" i="1"/>
  <c r="C14309" i="1"/>
  <c r="B14309" i="1"/>
  <c r="A14309" i="1"/>
  <c r="C14308" i="1"/>
  <c r="B14308" i="1"/>
  <c r="A14308" i="1"/>
  <c r="C14307" i="1"/>
  <c r="B14307" i="1"/>
  <c r="A14307" i="1"/>
  <c r="C14306" i="1"/>
  <c r="B14306" i="1"/>
  <c r="A14306" i="1"/>
  <c r="C14305" i="1"/>
  <c r="B14305" i="1"/>
  <c r="A14305" i="1"/>
  <c r="C14304" i="1"/>
  <c r="B14304" i="1"/>
  <c r="A14304" i="1"/>
  <c r="C14303" i="1"/>
  <c r="B14303" i="1"/>
  <c r="A14303" i="1"/>
  <c r="C14302" i="1"/>
  <c r="B14302" i="1"/>
  <c r="A14302" i="1"/>
  <c r="C14301" i="1"/>
  <c r="B14301" i="1"/>
  <c r="A14301" i="1"/>
  <c r="C14300" i="1"/>
  <c r="B14300" i="1"/>
  <c r="A14300" i="1"/>
  <c r="C14299" i="1"/>
  <c r="B14299" i="1"/>
  <c r="A14299" i="1"/>
  <c r="C14298" i="1"/>
  <c r="B14298" i="1"/>
  <c r="A14298" i="1"/>
  <c r="C14297" i="1"/>
  <c r="B14297" i="1"/>
  <c r="A14297" i="1"/>
  <c r="C14296" i="1"/>
  <c r="B14296" i="1"/>
  <c r="A14296" i="1"/>
  <c r="C14295" i="1"/>
  <c r="B14295" i="1"/>
  <c r="A14295" i="1"/>
  <c r="C14294" i="1"/>
  <c r="B14294" i="1"/>
  <c r="A14294" i="1"/>
  <c r="C14293" i="1"/>
  <c r="B14293" i="1"/>
  <c r="A14293" i="1"/>
  <c r="C14292" i="1"/>
  <c r="B14292" i="1"/>
  <c r="A14292" i="1"/>
  <c r="C14291" i="1"/>
  <c r="B14291" i="1"/>
  <c r="A14291" i="1"/>
  <c r="C14290" i="1"/>
  <c r="B14290" i="1"/>
  <c r="A14290" i="1"/>
  <c r="C14289" i="1"/>
  <c r="B14289" i="1"/>
  <c r="A14289" i="1"/>
  <c r="C14288" i="1"/>
  <c r="B14288" i="1"/>
  <c r="A14288" i="1"/>
  <c r="C14287" i="1"/>
  <c r="B14287" i="1"/>
  <c r="A14287" i="1"/>
  <c r="C14286" i="1"/>
  <c r="B14286" i="1"/>
  <c r="A14286" i="1"/>
  <c r="C14285" i="1"/>
  <c r="B14285" i="1"/>
  <c r="A14285" i="1"/>
  <c r="C14284" i="1"/>
  <c r="B14284" i="1"/>
  <c r="A14284" i="1"/>
  <c r="C14283" i="1"/>
  <c r="B14283" i="1"/>
  <c r="A14283" i="1"/>
  <c r="C14282" i="1"/>
  <c r="B14282" i="1"/>
  <c r="A14282" i="1"/>
  <c r="C14281" i="1"/>
  <c r="B14281" i="1"/>
  <c r="A14281" i="1"/>
  <c r="C14280" i="1"/>
  <c r="B14280" i="1"/>
  <c r="A14280" i="1"/>
  <c r="C14279" i="1"/>
  <c r="B14279" i="1"/>
  <c r="A14279" i="1"/>
  <c r="C14278" i="1"/>
  <c r="B14278" i="1"/>
  <c r="A14278" i="1"/>
  <c r="C14277" i="1"/>
  <c r="B14277" i="1"/>
  <c r="A14277" i="1"/>
  <c r="C14276" i="1"/>
  <c r="B14276" i="1"/>
  <c r="A14276" i="1"/>
  <c r="C14275" i="1"/>
  <c r="B14275" i="1"/>
  <c r="A14275" i="1"/>
  <c r="C14274" i="1"/>
  <c r="B14274" i="1"/>
  <c r="A14274" i="1"/>
  <c r="C14273" i="1"/>
  <c r="B14273" i="1"/>
  <c r="A14273" i="1"/>
  <c r="C14272" i="1"/>
  <c r="B14272" i="1"/>
  <c r="A14272" i="1"/>
  <c r="C14271" i="1"/>
  <c r="B14271" i="1"/>
  <c r="A14271" i="1"/>
  <c r="C14270" i="1"/>
  <c r="B14270" i="1"/>
  <c r="A14270" i="1"/>
  <c r="C14269" i="1"/>
  <c r="B14269" i="1"/>
  <c r="A14269" i="1"/>
  <c r="C14268" i="1"/>
  <c r="B14268" i="1"/>
  <c r="A14268" i="1"/>
  <c r="C14267" i="1"/>
  <c r="B14267" i="1"/>
  <c r="A14267" i="1"/>
  <c r="C14266" i="1"/>
  <c r="B14266" i="1"/>
  <c r="A14266" i="1"/>
  <c r="C14265" i="1"/>
  <c r="B14265" i="1"/>
  <c r="A14265" i="1"/>
  <c r="C14264" i="1"/>
  <c r="B14264" i="1"/>
  <c r="A14264" i="1"/>
  <c r="C14263" i="1"/>
  <c r="B14263" i="1"/>
  <c r="A14263" i="1"/>
  <c r="C14262" i="1"/>
  <c r="B14262" i="1"/>
  <c r="A14262" i="1"/>
  <c r="C14261" i="1"/>
  <c r="B14261" i="1"/>
  <c r="A14261" i="1"/>
  <c r="C14260" i="1"/>
  <c r="B14260" i="1"/>
  <c r="A14260" i="1"/>
  <c r="C14259" i="1"/>
  <c r="B14259" i="1"/>
  <c r="A14259" i="1"/>
  <c r="C14258" i="1"/>
  <c r="B14258" i="1"/>
  <c r="A14258" i="1"/>
  <c r="C14257" i="1"/>
  <c r="B14257" i="1"/>
  <c r="A14257" i="1"/>
  <c r="C14256" i="1"/>
  <c r="B14256" i="1"/>
  <c r="A14256" i="1"/>
  <c r="C14255" i="1"/>
  <c r="B14255" i="1"/>
  <c r="A14255" i="1"/>
  <c r="C14254" i="1"/>
  <c r="B14254" i="1"/>
  <c r="A14254" i="1"/>
  <c r="C14253" i="1"/>
  <c r="B14253" i="1"/>
  <c r="A14253" i="1"/>
  <c r="C14252" i="1"/>
  <c r="B14252" i="1"/>
  <c r="A14252" i="1"/>
  <c r="C14251" i="1"/>
  <c r="B14251" i="1"/>
  <c r="A14251" i="1"/>
  <c r="C14250" i="1"/>
  <c r="B14250" i="1"/>
  <c r="A14250" i="1"/>
  <c r="C14249" i="1"/>
  <c r="B14249" i="1"/>
  <c r="A14249" i="1"/>
  <c r="C14248" i="1"/>
  <c r="B14248" i="1"/>
  <c r="A14248" i="1"/>
  <c r="C14247" i="1"/>
  <c r="B14247" i="1"/>
  <c r="A14247" i="1"/>
  <c r="C14246" i="1"/>
  <c r="B14246" i="1"/>
  <c r="A14246" i="1"/>
  <c r="C14245" i="1"/>
  <c r="B14245" i="1"/>
  <c r="A14245" i="1"/>
  <c r="C14244" i="1"/>
  <c r="B14244" i="1"/>
  <c r="A14244" i="1"/>
  <c r="C14243" i="1"/>
  <c r="B14243" i="1"/>
  <c r="A14243" i="1"/>
  <c r="C14242" i="1"/>
  <c r="B14242" i="1"/>
  <c r="A14242" i="1"/>
  <c r="C14241" i="1"/>
  <c r="B14241" i="1"/>
  <c r="A14241" i="1"/>
  <c r="C14240" i="1"/>
  <c r="B14240" i="1"/>
  <c r="A14240" i="1"/>
  <c r="C14239" i="1"/>
  <c r="B14239" i="1"/>
  <c r="A14239" i="1"/>
  <c r="C14238" i="1"/>
  <c r="B14238" i="1"/>
  <c r="A14238" i="1"/>
  <c r="C14237" i="1"/>
  <c r="B14237" i="1"/>
  <c r="A14237" i="1"/>
  <c r="C14236" i="1"/>
  <c r="B14236" i="1"/>
  <c r="A14236" i="1"/>
  <c r="C14235" i="1"/>
  <c r="B14235" i="1"/>
  <c r="A14235" i="1"/>
  <c r="C14234" i="1"/>
  <c r="B14234" i="1"/>
  <c r="A14234" i="1"/>
  <c r="C14233" i="1"/>
  <c r="B14233" i="1"/>
  <c r="A14233" i="1"/>
  <c r="C14232" i="1"/>
  <c r="B14232" i="1"/>
  <c r="A14232" i="1"/>
  <c r="C14231" i="1"/>
  <c r="B14231" i="1"/>
  <c r="A14231" i="1"/>
  <c r="C14230" i="1"/>
  <c r="B14230" i="1"/>
  <c r="A14230" i="1"/>
  <c r="C14229" i="1"/>
  <c r="B14229" i="1"/>
  <c r="A14229" i="1"/>
  <c r="C14228" i="1"/>
  <c r="B14228" i="1"/>
  <c r="A14228" i="1"/>
  <c r="C14227" i="1"/>
  <c r="B14227" i="1"/>
  <c r="A14227" i="1"/>
  <c r="C14226" i="1"/>
  <c r="B14226" i="1"/>
  <c r="A14226" i="1"/>
  <c r="C14225" i="1"/>
  <c r="B14225" i="1"/>
  <c r="A14225" i="1"/>
  <c r="C14224" i="1"/>
  <c r="B14224" i="1"/>
  <c r="A14224" i="1"/>
  <c r="C14223" i="1"/>
  <c r="B14223" i="1"/>
  <c r="A14223" i="1"/>
  <c r="C14222" i="1"/>
  <c r="B14222" i="1"/>
  <c r="A14222" i="1"/>
  <c r="C14221" i="1"/>
  <c r="B14221" i="1"/>
  <c r="A14221" i="1"/>
  <c r="C14220" i="1"/>
  <c r="B14220" i="1"/>
  <c r="A14220" i="1"/>
  <c r="C14219" i="1"/>
  <c r="B14219" i="1"/>
  <c r="A14219" i="1"/>
  <c r="C14218" i="1"/>
  <c r="B14218" i="1"/>
  <c r="A14218" i="1"/>
  <c r="C14217" i="1"/>
  <c r="B14217" i="1"/>
  <c r="A14217" i="1"/>
  <c r="C14216" i="1"/>
  <c r="B14216" i="1"/>
  <c r="A14216" i="1"/>
  <c r="C14215" i="1"/>
  <c r="B14215" i="1"/>
  <c r="A14215" i="1"/>
  <c r="C14214" i="1"/>
  <c r="B14214" i="1"/>
  <c r="A14214" i="1"/>
  <c r="C14213" i="1"/>
  <c r="B14213" i="1"/>
  <c r="A14213" i="1"/>
  <c r="C14212" i="1"/>
  <c r="B14212" i="1"/>
  <c r="A14212" i="1"/>
  <c r="C14211" i="1"/>
  <c r="B14211" i="1"/>
  <c r="A14211" i="1"/>
  <c r="C14210" i="1"/>
  <c r="B14210" i="1"/>
  <c r="A14210" i="1"/>
  <c r="C14209" i="1"/>
  <c r="B14209" i="1"/>
  <c r="A14209" i="1"/>
  <c r="C14208" i="1"/>
  <c r="B14208" i="1"/>
  <c r="A14208" i="1"/>
  <c r="C14207" i="1"/>
  <c r="B14207" i="1"/>
  <c r="A14207" i="1"/>
  <c r="C14206" i="1"/>
  <c r="B14206" i="1"/>
  <c r="A14206" i="1"/>
  <c r="C14205" i="1"/>
  <c r="B14205" i="1"/>
  <c r="A14205" i="1"/>
  <c r="C14204" i="1"/>
  <c r="B14204" i="1"/>
  <c r="A14204" i="1"/>
  <c r="C14203" i="1"/>
  <c r="B14203" i="1"/>
  <c r="A14203" i="1"/>
  <c r="C14202" i="1"/>
  <c r="B14202" i="1"/>
  <c r="A14202" i="1"/>
  <c r="C14201" i="1"/>
  <c r="B14201" i="1"/>
  <c r="A14201" i="1"/>
  <c r="C14200" i="1"/>
  <c r="B14200" i="1"/>
  <c r="A14200" i="1"/>
  <c r="C14199" i="1"/>
  <c r="B14199" i="1"/>
  <c r="A14199" i="1"/>
  <c r="C14198" i="1"/>
  <c r="B14198" i="1"/>
  <c r="A14198" i="1"/>
  <c r="C14197" i="1"/>
  <c r="B14197" i="1"/>
  <c r="A14197" i="1"/>
  <c r="C14196" i="1"/>
  <c r="B14196" i="1"/>
  <c r="A14196" i="1"/>
  <c r="C14195" i="1"/>
  <c r="B14195" i="1"/>
  <c r="A14195" i="1"/>
  <c r="C14194" i="1"/>
  <c r="B14194" i="1"/>
  <c r="A14194" i="1"/>
  <c r="C14193" i="1"/>
  <c r="B14193" i="1"/>
  <c r="A14193" i="1"/>
  <c r="C14192" i="1"/>
  <c r="B14192" i="1"/>
  <c r="A14192" i="1"/>
  <c r="C14191" i="1"/>
  <c r="B14191" i="1"/>
  <c r="A14191" i="1"/>
  <c r="C14190" i="1"/>
  <c r="B14190" i="1"/>
  <c r="A14190" i="1"/>
  <c r="C14189" i="1"/>
  <c r="B14189" i="1"/>
  <c r="A14189" i="1"/>
  <c r="C14188" i="1"/>
  <c r="B14188" i="1"/>
  <c r="A14188" i="1"/>
  <c r="C14187" i="1"/>
  <c r="B14187" i="1"/>
  <c r="A14187" i="1"/>
  <c r="C14186" i="1"/>
  <c r="B14186" i="1"/>
  <c r="A14186" i="1"/>
  <c r="C14185" i="1"/>
  <c r="B14185" i="1"/>
  <c r="A14185" i="1"/>
  <c r="C14184" i="1"/>
  <c r="B14184" i="1"/>
  <c r="A14184" i="1"/>
  <c r="C14183" i="1"/>
  <c r="B14183" i="1"/>
  <c r="A14183" i="1"/>
  <c r="C14182" i="1"/>
  <c r="B14182" i="1"/>
  <c r="A14182" i="1"/>
  <c r="C14181" i="1"/>
  <c r="B14181" i="1"/>
  <c r="A14181" i="1"/>
  <c r="C14180" i="1"/>
  <c r="B14180" i="1"/>
  <c r="A14180" i="1"/>
  <c r="C14179" i="1"/>
  <c r="B14179" i="1"/>
  <c r="A14179" i="1"/>
  <c r="C14178" i="1"/>
  <c r="B14178" i="1"/>
  <c r="A14178" i="1"/>
  <c r="C14177" i="1"/>
  <c r="B14177" i="1"/>
  <c r="A14177" i="1"/>
  <c r="C14176" i="1"/>
  <c r="B14176" i="1"/>
  <c r="A14176" i="1"/>
  <c r="C14175" i="1"/>
  <c r="B14175" i="1"/>
  <c r="A14175" i="1"/>
  <c r="C14174" i="1"/>
  <c r="B14174" i="1"/>
  <c r="A14174" i="1"/>
  <c r="C14173" i="1"/>
  <c r="B14173" i="1"/>
  <c r="A14173" i="1"/>
  <c r="C14172" i="1"/>
  <c r="B14172" i="1"/>
  <c r="A14172" i="1"/>
  <c r="C14171" i="1"/>
  <c r="B14171" i="1"/>
  <c r="A14171" i="1"/>
  <c r="C14170" i="1"/>
  <c r="B14170" i="1"/>
  <c r="A14170" i="1"/>
  <c r="C14169" i="1"/>
  <c r="B14169" i="1"/>
  <c r="A14169" i="1"/>
  <c r="C14168" i="1"/>
  <c r="B14168" i="1"/>
  <c r="A14168" i="1"/>
  <c r="C14167" i="1"/>
  <c r="B14167" i="1"/>
  <c r="A14167" i="1"/>
  <c r="C14166" i="1"/>
  <c r="B14166" i="1"/>
  <c r="A14166" i="1"/>
  <c r="C14165" i="1"/>
  <c r="B14165" i="1"/>
  <c r="A14165" i="1"/>
  <c r="C14164" i="1"/>
  <c r="B14164" i="1"/>
  <c r="A14164" i="1"/>
  <c r="C14163" i="1"/>
  <c r="B14163" i="1"/>
  <c r="A14163" i="1"/>
  <c r="C14162" i="1"/>
  <c r="B14162" i="1"/>
  <c r="A14162" i="1"/>
  <c r="C14161" i="1"/>
  <c r="B14161" i="1"/>
  <c r="A14161" i="1"/>
  <c r="C14160" i="1"/>
  <c r="B14160" i="1"/>
  <c r="A14160" i="1"/>
  <c r="C14159" i="1"/>
  <c r="B14159" i="1"/>
  <c r="A14159" i="1"/>
  <c r="C14158" i="1"/>
  <c r="B14158" i="1"/>
  <c r="A14158" i="1"/>
  <c r="C14157" i="1"/>
  <c r="B14157" i="1"/>
  <c r="A14157" i="1"/>
  <c r="C14156" i="1"/>
  <c r="B14156" i="1"/>
  <c r="A14156" i="1"/>
  <c r="C14155" i="1"/>
  <c r="B14155" i="1"/>
  <c r="A14155" i="1"/>
  <c r="C14154" i="1"/>
  <c r="B14154" i="1"/>
  <c r="A14154" i="1"/>
  <c r="C14153" i="1"/>
  <c r="B14153" i="1"/>
  <c r="A14153" i="1"/>
  <c r="C14152" i="1"/>
  <c r="B14152" i="1"/>
  <c r="A14152" i="1"/>
  <c r="C14151" i="1"/>
  <c r="B14151" i="1"/>
  <c r="A14151" i="1"/>
  <c r="C14150" i="1"/>
  <c r="B14150" i="1"/>
  <c r="A14150" i="1"/>
  <c r="C14149" i="1"/>
  <c r="B14149" i="1"/>
  <c r="A14149" i="1"/>
  <c r="C14148" i="1"/>
  <c r="B14148" i="1"/>
  <c r="A14148" i="1"/>
  <c r="C14147" i="1"/>
  <c r="B14147" i="1"/>
  <c r="A14147" i="1"/>
  <c r="C14146" i="1"/>
  <c r="B14146" i="1"/>
  <c r="A14146" i="1"/>
  <c r="C14145" i="1"/>
  <c r="B14145" i="1"/>
  <c r="A14145" i="1"/>
  <c r="C14144" i="1"/>
  <c r="B14144" i="1"/>
  <c r="A14144" i="1"/>
  <c r="C14143" i="1"/>
  <c r="B14143" i="1"/>
  <c r="A14143" i="1"/>
  <c r="C14142" i="1"/>
  <c r="B14142" i="1"/>
  <c r="A14142" i="1"/>
  <c r="C14141" i="1"/>
  <c r="B14141" i="1"/>
  <c r="A14141" i="1"/>
  <c r="C14140" i="1"/>
  <c r="B14140" i="1"/>
  <c r="A14140" i="1"/>
  <c r="C14139" i="1"/>
  <c r="B14139" i="1"/>
  <c r="A14139" i="1"/>
  <c r="C14138" i="1"/>
  <c r="B14138" i="1"/>
  <c r="A14138" i="1"/>
  <c r="C14137" i="1"/>
  <c r="B14137" i="1"/>
  <c r="A14137" i="1"/>
  <c r="C14136" i="1"/>
  <c r="B14136" i="1"/>
  <c r="A14136" i="1"/>
  <c r="C14135" i="1"/>
  <c r="B14135" i="1"/>
  <c r="A14135" i="1"/>
  <c r="C14134" i="1"/>
  <c r="B14134" i="1"/>
  <c r="A14134" i="1"/>
  <c r="C14133" i="1"/>
  <c r="B14133" i="1"/>
  <c r="A14133" i="1"/>
  <c r="C14132" i="1"/>
  <c r="B14132" i="1"/>
  <c r="A14132" i="1"/>
  <c r="C14131" i="1"/>
  <c r="B14131" i="1"/>
  <c r="A14131" i="1"/>
  <c r="C14130" i="1"/>
  <c r="B14130" i="1"/>
  <c r="A14130" i="1"/>
  <c r="C14129" i="1"/>
  <c r="B14129" i="1"/>
  <c r="A14129" i="1"/>
  <c r="C14128" i="1"/>
  <c r="B14128" i="1"/>
  <c r="A14128" i="1"/>
  <c r="C14127" i="1"/>
  <c r="B14127" i="1"/>
  <c r="A14127" i="1"/>
  <c r="C14126" i="1"/>
  <c r="B14126" i="1"/>
  <c r="A14126" i="1"/>
  <c r="C14125" i="1"/>
  <c r="B14125" i="1"/>
  <c r="A14125" i="1"/>
  <c r="C14124" i="1"/>
  <c r="B14124" i="1"/>
  <c r="A14124" i="1"/>
  <c r="C14123" i="1"/>
  <c r="B14123" i="1"/>
  <c r="A14123" i="1"/>
  <c r="C14122" i="1"/>
  <c r="B14122" i="1"/>
  <c r="A14122" i="1"/>
  <c r="C14121" i="1"/>
  <c r="B14121" i="1"/>
  <c r="A14121" i="1"/>
  <c r="C14120" i="1"/>
  <c r="B14120" i="1"/>
  <c r="A14120" i="1"/>
  <c r="C14119" i="1"/>
  <c r="B14119" i="1"/>
  <c r="A14119" i="1"/>
  <c r="C14118" i="1"/>
  <c r="B14118" i="1"/>
  <c r="A14118" i="1"/>
  <c r="C14117" i="1"/>
  <c r="B14117" i="1"/>
  <c r="A14117" i="1"/>
  <c r="C14116" i="1"/>
  <c r="B14116" i="1"/>
  <c r="A14116" i="1"/>
  <c r="C14115" i="1"/>
  <c r="B14115" i="1"/>
  <c r="A14115" i="1"/>
  <c r="C14114" i="1"/>
  <c r="B14114" i="1"/>
  <c r="A14114" i="1"/>
  <c r="C14113" i="1"/>
  <c r="B14113" i="1"/>
  <c r="A14113" i="1"/>
  <c r="C14112" i="1"/>
  <c r="B14112" i="1"/>
  <c r="A14112" i="1"/>
  <c r="C14111" i="1"/>
  <c r="B14111" i="1"/>
  <c r="A14111" i="1"/>
  <c r="C14110" i="1"/>
  <c r="B14110" i="1"/>
  <c r="A14110" i="1"/>
  <c r="C14109" i="1"/>
  <c r="B14109" i="1"/>
  <c r="A14109" i="1"/>
  <c r="C14108" i="1"/>
  <c r="B14108" i="1"/>
  <c r="A14108" i="1"/>
  <c r="C14107" i="1"/>
  <c r="B14107" i="1"/>
  <c r="A14107" i="1"/>
  <c r="C14106" i="1"/>
  <c r="B14106" i="1"/>
  <c r="A14106" i="1"/>
  <c r="C14105" i="1"/>
  <c r="B14105" i="1"/>
  <c r="A14105" i="1"/>
  <c r="C14104" i="1"/>
  <c r="B14104" i="1"/>
  <c r="A14104" i="1"/>
  <c r="C14103" i="1"/>
  <c r="B14103" i="1"/>
  <c r="A14103" i="1"/>
  <c r="C14102" i="1"/>
  <c r="B14102" i="1"/>
  <c r="A14102" i="1"/>
  <c r="C14101" i="1"/>
  <c r="B14101" i="1"/>
  <c r="A14101" i="1"/>
  <c r="C14100" i="1"/>
  <c r="B14100" i="1"/>
  <c r="A14100" i="1"/>
  <c r="C14099" i="1"/>
  <c r="B14099" i="1"/>
  <c r="A14099" i="1"/>
  <c r="C14098" i="1"/>
  <c r="B14098" i="1"/>
  <c r="A14098" i="1"/>
  <c r="C14097" i="1"/>
  <c r="B14097" i="1"/>
  <c r="A14097" i="1"/>
  <c r="C14096" i="1"/>
  <c r="B14096" i="1"/>
  <c r="A14096" i="1"/>
  <c r="C14095" i="1"/>
  <c r="B14095" i="1"/>
  <c r="A14095" i="1"/>
  <c r="C14094" i="1"/>
  <c r="B14094" i="1"/>
  <c r="A14094" i="1"/>
  <c r="C14093" i="1"/>
  <c r="B14093" i="1"/>
  <c r="A14093" i="1"/>
  <c r="C14092" i="1"/>
  <c r="B14092" i="1"/>
  <c r="A14092" i="1"/>
  <c r="C14091" i="1"/>
  <c r="B14091" i="1"/>
  <c r="A14091" i="1"/>
  <c r="C14090" i="1"/>
  <c r="B14090" i="1"/>
  <c r="A14090" i="1"/>
  <c r="C14089" i="1"/>
  <c r="B14089" i="1"/>
  <c r="A14089" i="1"/>
  <c r="C14088" i="1"/>
  <c r="B14088" i="1"/>
  <c r="A14088" i="1"/>
  <c r="C14087" i="1"/>
  <c r="B14087" i="1"/>
  <c r="A14087" i="1"/>
  <c r="C14086" i="1"/>
  <c r="B14086" i="1"/>
  <c r="A14086" i="1"/>
  <c r="C14085" i="1"/>
  <c r="B14085" i="1"/>
  <c r="A14085" i="1"/>
  <c r="C14084" i="1"/>
  <c r="B14084" i="1"/>
  <c r="A14084" i="1"/>
  <c r="C14083" i="1"/>
  <c r="B14083" i="1"/>
  <c r="A14083" i="1"/>
  <c r="C14082" i="1"/>
  <c r="B14082" i="1"/>
  <c r="A14082" i="1"/>
  <c r="C14081" i="1"/>
  <c r="B14081" i="1"/>
  <c r="A14081" i="1"/>
  <c r="C14080" i="1"/>
  <c r="B14080" i="1"/>
  <c r="A14080" i="1"/>
  <c r="C14079" i="1"/>
  <c r="B14079" i="1"/>
  <c r="A14079" i="1"/>
  <c r="C14078" i="1"/>
  <c r="B14078" i="1"/>
  <c r="A14078" i="1"/>
  <c r="C14077" i="1"/>
  <c r="B14077" i="1"/>
  <c r="A14077" i="1"/>
  <c r="C14076" i="1"/>
  <c r="B14076" i="1"/>
  <c r="A14076" i="1"/>
  <c r="C14075" i="1"/>
  <c r="B14075" i="1"/>
  <c r="A14075" i="1"/>
  <c r="C14074" i="1"/>
  <c r="B14074" i="1"/>
  <c r="A14074" i="1"/>
  <c r="C14073" i="1"/>
  <c r="B14073" i="1"/>
  <c r="A14073" i="1"/>
  <c r="C14072" i="1"/>
  <c r="B14072" i="1"/>
  <c r="A14072" i="1"/>
  <c r="C14071" i="1"/>
  <c r="B14071" i="1"/>
  <c r="A14071" i="1"/>
  <c r="C14070" i="1"/>
  <c r="B14070" i="1"/>
  <c r="A14070" i="1"/>
  <c r="C14069" i="1"/>
  <c r="B14069" i="1"/>
  <c r="A14069" i="1"/>
  <c r="C14068" i="1"/>
  <c r="B14068" i="1"/>
  <c r="A14068" i="1"/>
  <c r="C14067" i="1"/>
  <c r="B14067" i="1"/>
  <c r="A14067" i="1"/>
  <c r="C14066" i="1"/>
  <c r="B14066" i="1"/>
  <c r="A14066" i="1"/>
  <c r="C14065" i="1"/>
  <c r="B14065" i="1"/>
  <c r="A14065" i="1"/>
  <c r="C14064" i="1"/>
  <c r="B14064" i="1"/>
  <c r="A14064" i="1"/>
  <c r="C14063" i="1"/>
  <c r="B14063" i="1"/>
  <c r="A14063" i="1"/>
  <c r="C14062" i="1"/>
  <c r="B14062" i="1"/>
  <c r="A14062" i="1"/>
  <c r="C14061" i="1"/>
  <c r="B14061" i="1"/>
  <c r="A14061" i="1"/>
  <c r="C14060" i="1"/>
  <c r="B14060" i="1"/>
  <c r="A14060" i="1"/>
  <c r="C14059" i="1"/>
  <c r="B14059" i="1"/>
  <c r="A14059" i="1"/>
  <c r="C14058" i="1"/>
  <c r="B14058" i="1"/>
  <c r="A14058" i="1"/>
  <c r="C14057" i="1"/>
  <c r="B14057" i="1"/>
  <c r="A14057" i="1"/>
  <c r="C14056" i="1"/>
  <c r="B14056" i="1"/>
  <c r="A14056" i="1"/>
  <c r="C14055" i="1"/>
  <c r="B14055" i="1"/>
  <c r="A14055" i="1"/>
  <c r="C14054" i="1"/>
  <c r="B14054" i="1"/>
  <c r="A14054" i="1"/>
  <c r="C14053" i="1"/>
  <c r="B14053" i="1"/>
  <c r="A14053" i="1"/>
  <c r="C14052" i="1"/>
  <c r="B14052" i="1"/>
  <c r="A14052" i="1"/>
  <c r="C14051" i="1"/>
  <c r="B14051" i="1"/>
  <c r="A14051" i="1"/>
  <c r="C14050" i="1"/>
  <c r="B14050" i="1"/>
  <c r="A14050" i="1"/>
  <c r="C14049" i="1"/>
  <c r="B14049" i="1"/>
  <c r="A14049" i="1"/>
  <c r="C14048" i="1"/>
  <c r="B14048" i="1"/>
  <c r="A14048" i="1"/>
  <c r="C14047" i="1"/>
  <c r="B14047" i="1"/>
  <c r="A14047" i="1"/>
  <c r="C14046" i="1"/>
  <c r="B14046" i="1"/>
  <c r="A14046" i="1"/>
  <c r="C14045" i="1"/>
  <c r="B14045" i="1"/>
  <c r="A14045" i="1"/>
  <c r="C14044" i="1"/>
  <c r="B14044" i="1"/>
  <c r="A14044" i="1"/>
  <c r="C14043" i="1"/>
  <c r="B14043" i="1"/>
  <c r="A14043" i="1"/>
  <c r="C14042" i="1"/>
  <c r="B14042" i="1"/>
  <c r="A14042" i="1"/>
  <c r="C14041" i="1"/>
  <c r="B14041" i="1"/>
  <c r="A14041" i="1"/>
  <c r="C14040" i="1"/>
  <c r="B14040" i="1"/>
  <c r="A14040" i="1"/>
  <c r="C14039" i="1"/>
  <c r="B14039" i="1"/>
  <c r="A14039" i="1"/>
  <c r="C14038" i="1"/>
  <c r="B14038" i="1"/>
  <c r="A14038" i="1"/>
  <c r="C14037" i="1"/>
  <c r="B14037" i="1"/>
  <c r="A14037" i="1"/>
  <c r="C14036" i="1"/>
  <c r="B14036" i="1"/>
  <c r="A14036" i="1"/>
  <c r="C14035" i="1"/>
  <c r="B14035" i="1"/>
  <c r="A14035" i="1"/>
  <c r="C14034" i="1"/>
  <c r="B14034" i="1"/>
  <c r="A14034" i="1"/>
  <c r="C14033" i="1"/>
  <c r="B14033" i="1"/>
  <c r="A14033" i="1"/>
  <c r="C14032" i="1"/>
  <c r="B14032" i="1"/>
  <c r="A14032" i="1"/>
  <c r="C14031" i="1"/>
  <c r="B14031" i="1"/>
  <c r="A14031" i="1"/>
  <c r="C14030" i="1"/>
  <c r="B14030" i="1"/>
  <c r="A14030" i="1"/>
  <c r="C14029" i="1"/>
  <c r="B14029" i="1"/>
  <c r="A14029" i="1"/>
  <c r="C14028" i="1"/>
  <c r="B14028" i="1"/>
  <c r="A14028" i="1"/>
  <c r="C14027" i="1"/>
  <c r="B14027" i="1"/>
  <c r="A14027" i="1"/>
  <c r="C14026" i="1"/>
  <c r="B14026" i="1"/>
  <c r="A14026" i="1"/>
  <c r="C14025" i="1"/>
  <c r="B14025" i="1"/>
  <c r="A14025" i="1"/>
  <c r="C14024" i="1"/>
  <c r="B14024" i="1"/>
  <c r="A14024" i="1"/>
  <c r="C14023" i="1"/>
  <c r="B14023" i="1"/>
  <c r="A14023" i="1"/>
  <c r="C14022" i="1"/>
  <c r="B14022" i="1"/>
  <c r="A14022" i="1"/>
  <c r="C14021" i="1"/>
  <c r="B14021" i="1"/>
  <c r="A14021" i="1"/>
  <c r="C14020" i="1"/>
  <c r="B14020" i="1"/>
  <c r="A14020" i="1"/>
  <c r="C14019" i="1"/>
  <c r="B14019" i="1"/>
  <c r="A14019" i="1"/>
  <c r="C14018" i="1"/>
  <c r="B14018" i="1"/>
  <c r="A14018" i="1"/>
  <c r="C14017" i="1"/>
  <c r="B14017" i="1"/>
  <c r="A14017" i="1"/>
  <c r="C14016" i="1"/>
  <c r="B14016" i="1"/>
  <c r="A14016" i="1"/>
  <c r="C14015" i="1"/>
  <c r="B14015" i="1"/>
  <c r="A14015" i="1"/>
  <c r="C14014" i="1"/>
  <c r="B14014" i="1"/>
  <c r="A14014" i="1"/>
  <c r="C14013" i="1"/>
  <c r="B14013" i="1"/>
  <c r="A14013" i="1"/>
  <c r="C14012" i="1"/>
  <c r="B14012" i="1"/>
  <c r="A14012" i="1"/>
  <c r="C14011" i="1"/>
  <c r="B14011" i="1"/>
  <c r="A14011" i="1"/>
  <c r="C14010" i="1"/>
  <c r="B14010" i="1"/>
  <c r="A14010" i="1"/>
  <c r="C14009" i="1"/>
  <c r="B14009" i="1"/>
  <c r="A14009" i="1"/>
  <c r="C14008" i="1"/>
  <c r="B14008" i="1"/>
  <c r="A14008" i="1"/>
  <c r="C14007" i="1"/>
  <c r="B14007" i="1"/>
  <c r="A14007" i="1"/>
  <c r="C14006" i="1"/>
  <c r="B14006" i="1"/>
  <c r="A14006" i="1"/>
  <c r="C14005" i="1"/>
  <c r="B14005" i="1"/>
  <c r="A14005" i="1"/>
  <c r="C14004" i="1"/>
  <c r="B14004" i="1"/>
  <c r="A14004" i="1"/>
  <c r="C14003" i="1"/>
  <c r="B14003" i="1"/>
  <c r="A14003" i="1"/>
  <c r="C14002" i="1"/>
  <c r="B14002" i="1"/>
  <c r="A14002" i="1"/>
  <c r="C14001" i="1"/>
  <c r="B14001" i="1"/>
  <c r="A14001" i="1"/>
  <c r="C14000" i="1"/>
  <c r="B14000" i="1"/>
  <c r="A14000" i="1"/>
  <c r="C13999" i="1"/>
  <c r="B13999" i="1"/>
  <c r="A13999" i="1"/>
  <c r="C13998" i="1"/>
  <c r="B13998" i="1"/>
  <c r="A13998" i="1"/>
  <c r="C13997" i="1"/>
  <c r="B13997" i="1"/>
  <c r="A13997" i="1"/>
  <c r="C13996" i="1"/>
  <c r="B13996" i="1"/>
  <c r="A13996" i="1"/>
  <c r="C13995" i="1"/>
  <c r="B13995" i="1"/>
  <c r="A13995" i="1"/>
  <c r="C13994" i="1"/>
  <c r="B13994" i="1"/>
  <c r="A13994" i="1"/>
  <c r="C13993" i="1"/>
  <c r="B13993" i="1"/>
  <c r="A13993" i="1"/>
  <c r="C13992" i="1"/>
  <c r="B13992" i="1"/>
  <c r="A13992" i="1"/>
  <c r="C13991" i="1"/>
  <c r="B13991" i="1"/>
  <c r="A13991" i="1"/>
  <c r="C13990" i="1"/>
  <c r="B13990" i="1"/>
  <c r="A13990" i="1"/>
  <c r="C13989" i="1"/>
  <c r="B13989" i="1"/>
  <c r="A13989" i="1"/>
  <c r="C13988" i="1"/>
  <c r="B13988" i="1"/>
  <c r="A13988" i="1"/>
  <c r="C13987" i="1"/>
  <c r="B13987" i="1"/>
  <c r="A13987" i="1"/>
  <c r="C13986" i="1"/>
  <c r="B13986" i="1"/>
  <c r="A13986" i="1"/>
  <c r="C13985" i="1"/>
  <c r="B13985" i="1"/>
  <c r="A13985" i="1"/>
  <c r="C13984" i="1"/>
  <c r="B13984" i="1"/>
  <c r="A13984" i="1"/>
  <c r="C13983" i="1"/>
  <c r="B13983" i="1"/>
  <c r="A13983" i="1"/>
  <c r="C13982" i="1"/>
  <c r="B13982" i="1"/>
  <c r="A13982" i="1"/>
  <c r="C13981" i="1"/>
  <c r="B13981" i="1"/>
  <c r="A13981" i="1"/>
  <c r="C13980" i="1"/>
  <c r="B13980" i="1"/>
  <c r="A13980" i="1"/>
  <c r="C13979" i="1"/>
  <c r="B13979" i="1"/>
  <c r="A13979" i="1"/>
  <c r="C13978" i="1"/>
  <c r="B13978" i="1"/>
  <c r="A13978" i="1"/>
  <c r="C13977" i="1"/>
  <c r="B13977" i="1"/>
  <c r="A13977" i="1"/>
  <c r="C13976" i="1"/>
  <c r="B13976" i="1"/>
  <c r="A13976" i="1"/>
  <c r="C13975" i="1"/>
  <c r="B13975" i="1"/>
  <c r="A13975" i="1"/>
  <c r="C13974" i="1"/>
  <c r="B13974" i="1"/>
  <c r="A13974" i="1"/>
  <c r="C13973" i="1"/>
  <c r="B13973" i="1"/>
  <c r="A13973" i="1"/>
  <c r="C13972" i="1"/>
  <c r="B13972" i="1"/>
  <c r="A13972" i="1"/>
  <c r="C13971" i="1"/>
  <c r="B13971" i="1"/>
  <c r="A13971" i="1"/>
  <c r="C13970" i="1"/>
  <c r="B13970" i="1"/>
  <c r="A13970" i="1"/>
  <c r="C13969" i="1"/>
  <c r="B13969" i="1"/>
  <c r="A13969" i="1"/>
  <c r="C13968" i="1"/>
  <c r="B13968" i="1"/>
  <c r="A13968" i="1"/>
  <c r="C13967" i="1"/>
  <c r="B13967" i="1"/>
  <c r="A13967" i="1"/>
  <c r="C13966" i="1"/>
  <c r="B13966" i="1"/>
  <c r="A13966" i="1"/>
  <c r="C13965" i="1"/>
  <c r="B13965" i="1"/>
  <c r="A13965" i="1"/>
  <c r="C13964" i="1"/>
  <c r="B13964" i="1"/>
  <c r="A13964" i="1"/>
  <c r="C13963" i="1"/>
  <c r="B13963" i="1"/>
  <c r="A13963" i="1"/>
  <c r="C13962" i="1"/>
  <c r="B13962" i="1"/>
  <c r="A13962" i="1"/>
  <c r="C13961" i="1"/>
  <c r="B13961" i="1"/>
  <c r="A13961" i="1"/>
  <c r="C13960" i="1"/>
  <c r="B13960" i="1"/>
  <c r="A13960" i="1"/>
  <c r="C13959" i="1"/>
  <c r="B13959" i="1"/>
  <c r="A13959" i="1"/>
  <c r="C13958" i="1"/>
  <c r="B13958" i="1"/>
  <c r="A13958" i="1"/>
  <c r="C13957" i="1"/>
  <c r="B13957" i="1"/>
  <c r="A13957" i="1"/>
  <c r="C13956" i="1"/>
  <c r="B13956" i="1"/>
  <c r="A13956" i="1"/>
  <c r="C13955" i="1"/>
  <c r="B13955" i="1"/>
  <c r="A13955" i="1"/>
  <c r="C13954" i="1"/>
  <c r="B13954" i="1"/>
  <c r="A13954" i="1"/>
  <c r="C13953" i="1"/>
  <c r="B13953" i="1"/>
  <c r="A13953" i="1"/>
  <c r="C13952" i="1"/>
  <c r="B13952" i="1"/>
  <c r="A13952" i="1"/>
  <c r="C13951" i="1"/>
  <c r="B13951" i="1"/>
  <c r="A13951" i="1"/>
  <c r="C13950" i="1"/>
  <c r="B13950" i="1"/>
  <c r="A13950" i="1"/>
  <c r="C13949" i="1"/>
  <c r="B13949" i="1"/>
  <c r="A13949" i="1"/>
  <c r="C13948" i="1"/>
  <c r="B13948" i="1"/>
  <c r="A13948" i="1"/>
  <c r="C13947" i="1"/>
  <c r="B13947" i="1"/>
  <c r="A13947" i="1"/>
  <c r="C13946" i="1"/>
  <c r="B13946" i="1"/>
  <c r="A13946" i="1"/>
  <c r="C13945" i="1"/>
  <c r="B13945" i="1"/>
  <c r="A13945" i="1"/>
  <c r="C13944" i="1"/>
  <c r="B13944" i="1"/>
  <c r="A13944" i="1"/>
  <c r="C13943" i="1"/>
  <c r="B13943" i="1"/>
  <c r="A13943" i="1"/>
  <c r="C13942" i="1"/>
  <c r="B13942" i="1"/>
  <c r="A13942" i="1"/>
  <c r="C13941" i="1"/>
  <c r="B13941" i="1"/>
  <c r="A13941" i="1"/>
  <c r="C13940" i="1"/>
  <c r="B13940" i="1"/>
  <c r="A13940" i="1"/>
  <c r="C13939" i="1"/>
  <c r="B13939" i="1"/>
  <c r="A13939" i="1"/>
  <c r="C13938" i="1"/>
  <c r="B13938" i="1"/>
  <c r="A13938" i="1"/>
  <c r="C13937" i="1"/>
  <c r="B13937" i="1"/>
  <c r="A13937" i="1"/>
  <c r="C13936" i="1"/>
  <c r="B13936" i="1"/>
  <c r="A13936" i="1"/>
  <c r="C13935" i="1"/>
  <c r="B13935" i="1"/>
  <c r="A13935" i="1"/>
  <c r="C13934" i="1"/>
  <c r="B13934" i="1"/>
  <c r="A13934" i="1"/>
  <c r="C13933" i="1"/>
  <c r="B13933" i="1"/>
  <c r="A13933" i="1"/>
  <c r="C13932" i="1"/>
  <c r="B13932" i="1"/>
  <c r="A13932" i="1"/>
  <c r="C13931" i="1"/>
  <c r="B13931" i="1"/>
  <c r="A13931" i="1"/>
  <c r="C13930" i="1"/>
  <c r="B13930" i="1"/>
  <c r="A13930" i="1"/>
  <c r="C13929" i="1"/>
  <c r="B13929" i="1"/>
  <c r="A13929" i="1"/>
  <c r="C13928" i="1"/>
  <c r="B13928" i="1"/>
  <c r="A13928" i="1"/>
  <c r="C13927" i="1"/>
  <c r="B13927" i="1"/>
  <c r="A13927" i="1"/>
  <c r="C13926" i="1"/>
  <c r="B13926" i="1"/>
  <c r="A13926" i="1"/>
  <c r="C13925" i="1"/>
  <c r="B13925" i="1"/>
  <c r="A13925" i="1"/>
  <c r="C13924" i="1"/>
  <c r="B13924" i="1"/>
  <c r="A13924" i="1"/>
  <c r="C13923" i="1"/>
  <c r="B13923" i="1"/>
  <c r="A13923" i="1"/>
  <c r="C13922" i="1"/>
  <c r="B13922" i="1"/>
  <c r="A13922" i="1"/>
  <c r="C13921" i="1"/>
  <c r="B13921" i="1"/>
  <c r="A13921" i="1"/>
  <c r="C13920" i="1"/>
  <c r="B13920" i="1"/>
  <c r="A13920" i="1"/>
  <c r="C13919" i="1"/>
  <c r="B13919" i="1"/>
  <c r="A13919" i="1"/>
  <c r="C13918" i="1"/>
  <c r="B13918" i="1"/>
  <c r="A13918" i="1"/>
  <c r="C13917" i="1"/>
  <c r="B13917" i="1"/>
  <c r="A13917" i="1"/>
  <c r="C13916" i="1"/>
  <c r="B13916" i="1"/>
  <c r="A13916" i="1"/>
  <c r="C13915" i="1"/>
  <c r="B13915" i="1"/>
  <c r="A13915" i="1"/>
  <c r="C13914" i="1"/>
  <c r="B13914" i="1"/>
  <c r="A13914" i="1"/>
  <c r="C13913" i="1"/>
  <c r="B13913" i="1"/>
  <c r="A13913" i="1"/>
  <c r="C13912" i="1"/>
  <c r="B13912" i="1"/>
  <c r="A13912" i="1"/>
  <c r="C13911" i="1"/>
  <c r="B13911" i="1"/>
  <c r="A13911" i="1"/>
  <c r="C13910" i="1"/>
  <c r="B13910" i="1"/>
  <c r="A13910" i="1"/>
  <c r="C13909" i="1"/>
  <c r="B13909" i="1"/>
  <c r="A13909" i="1"/>
  <c r="C13908" i="1"/>
  <c r="B13908" i="1"/>
  <c r="A13908" i="1"/>
  <c r="C13907" i="1"/>
  <c r="B13907" i="1"/>
  <c r="A13907" i="1"/>
  <c r="C13906" i="1"/>
  <c r="B13906" i="1"/>
  <c r="A13906" i="1"/>
  <c r="C13905" i="1"/>
  <c r="B13905" i="1"/>
  <c r="A13905" i="1"/>
  <c r="C13904" i="1"/>
  <c r="B13904" i="1"/>
  <c r="A13904" i="1"/>
  <c r="C13903" i="1"/>
  <c r="B13903" i="1"/>
  <c r="A13903" i="1"/>
  <c r="C13902" i="1"/>
  <c r="B13902" i="1"/>
  <c r="A13902" i="1"/>
  <c r="C13901" i="1"/>
  <c r="B13901" i="1"/>
  <c r="A13901" i="1"/>
  <c r="C13900" i="1"/>
  <c r="B13900" i="1"/>
  <c r="A13900" i="1"/>
  <c r="C13899" i="1"/>
  <c r="B13899" i="1"/>
  <c r="A13899" i="1"/>
  <c r="C13898" i="1"/>
  <c r="B13898" i="1"/>
  <c r="A13898" i="1"/>
  <c r="C13897" i="1"/>
  <c r="B13897" i="1"/>
  <c r="A13897" i="1"/>
  <c r="C13896" i="1"/>
  <c r="B13896" i="1"/>
  <c r="A13896" i="1"/>
  <c r="C13895" i="1"/>
  <c r="B13895" i="1"/>
  <c r="A13895" i="1"/>
  <c r="C13894" i="1"/>
  <c r="B13894" i="1"/>
  <c r="A13894" i="1"/>
  <c r="C13893" i="1"/>
  <c r="B13893" i="1"/>
  <c r="A13893" i="1"/>
  <c r="C13892" i="1"/>
  <c r="B13892" i="1"/>
  <c r="A13892" i="1"/>
  <c r="C13891" i="1"/>
  <c r="B13891" i="1"/>
  <c r="A13891" i="1"/>
  <c r="C13890" i="1"/>
  <c r="B13890" i="1"/>
  <c r="A13890" i="1"/>
  <c r="C13889" i="1"/>
  <c r="B13889" i="1"/>
  <c r="A13889" i="1"/>
  <c r="C13888" i="1"/>
  <c r="B13888" i="1"/>
  <c r="A13888" i="1"/>
  <c r="C13887" i="1"/>
  <c r="B13887" i="1"/>
  <c r="A13887" i="1"/>
  <c r="C13886" i="1"/>
  <c r="B13886" i="1"/>
  <c r="A13886" i="1"/>
  <c r="C13885" i="1"/>
  <c r="B13885" i="1"/>
  <c r="A13885" i="1"/>
  <c r="C13884" i="1"/>
  <c r="B13884" i="1"/>
  <c r="A13884" i="1"/>
  <c r="C13883" i="1"/>
  <c r="B13883" i="1"/>
  <c r="A13883" i="1"/>
  <c r="C13882" i="1"/>
  <c r="B13882" i="1"/>
  <c r="A13882" i="1"/>
  <c r="C13881" i="1"/>
  <c r="B13881" i="1"/>
  <c r="A13881" i="1"/>
  <c r="C13880" i="1"/>
  <c r="B13880" i="1"/>
  <c r="A13880" i="1"/>
  <c r="C13879" i="1"/>
  <c r="B13879" i="1"/>
  <c r="A13879" i="1"/>
  <c r="C13878" i="1"/>
  <c r="B13878" i="1"/>
  <c r="A13878" i="1"/>
  <c r="C13877" i="1"/>
  <c r="B13877" i="1"/>
  <c r="A13877" i="1"/>
  <c r="C13876" i="1"/>
  <c r="B13876" i="1"/>
  <c r="A13876" i="1"/>
  <c r="C13875" i="1"/>
  <c r="B13875" i="1"/>
  <c r="A13875" i="1"/>
  <c r="C13874" i="1"/>
  <c r="B13874" i="1"/>
  <c r="A13874" i="1"/>
  <c r="C13873" i="1"/>
  <c r="B13873" i="1"/>
  <c r="A13873" i="1"/>
  <c r="C13872" i="1"/>
  <c r="B13872" i="1"/>
  <c r="A13872" i="1"/>
  <c r="C13871" i="1"/>
  <c r="B13871" i="1"/>
  <c r="A13871" i="1"/>
  <c r="C13870" i="1"/>
  <c r="B13870" i="1"/>
  <c r="A13870" i="1"/>
  <c r="C13869" i="1"/>
  <c r="B13869" i="1"/>
  <c r="A13869" i="1"/>
  <c r="C13868" i="1"/>
  <c r="B13868" i="1"/>
  <c r="A13868" i="1"/>
  <c r="C13867" i="1"/>
  <c r="B13867" i="1"/>
  <c r="A13867" i="1"/>
  <c r="C13866" i="1"/>
  <c r="B13866" i="1"/>
  <c r="A13866" i="1"/>
  <c r="C13865" i="1"/>
  <c r="B13865" i="1"/>
  <c r="A13865" i="1"/>
  <c r="C13864" i="1"/>
  <c r="B13864" i="1"/>
  <c r="A13864" i="1"/>
  <c r="C13863" i="1"/>
  <c r="B13863" i="1"/>
  <c r="A13863" i="1"/>
  <c r="C13862" i="1"/>
  <c r="B13862" i="1"/>
  <c r="A13862" i="1"/>
  <c r="C13861" i="1"/>
  <c r="B13861" i="1"/>
  <c r="A13861" i="1"/>
  <c r="C13860" i="1"/>
  <c r="B13860" i="1"/>
  <c r="A13860" i="1"/>
  <c r="C13859" i="1"/>
  <c r="B13859" i="1"/>
  <c r="A13859" i="1"/>
  <c r="C13858" i="1"/>
  <c r="B13858" i="1"/>
  <c r="A13858" i="1"/>
  <c r="C13857" i="1"/>
  <c r="B13857" i="1"/>
  <c r="A13857" i="1"/>
  <c r="C13856" i="1"/>
  <c r="B13856" i="1"/>
  <c r="A13856" i="1"/>
  <c r="C13855" i="1"/>
  <c r="B13855" i="1"/>
  <c r="A13855" i="1"/>
  <c r="C13854" i="1"/>
  <c r="B13854" i="1"/>
  <c r="A13854" i="1"/>
  <c r="C13853" i="1"/>
  <c r="B13853" i="1"/>
  <c r="A13853" i="1"/>
  <c r="C13852" i="1"/>
  <c r="B13852" i="1"/>
  <c r="A13852" i="1"/>
  <c r="C13851" i="1"/>
  <c r="B13851" i="1"/>
  <c r="A13851" i="1"/>
  <c r="C13850" i="1"/>
  <c r="B13850" i="1"/>
  <c r="A13850" i="1"/>
  <c r="C13849" i="1"/>
  <c r="B13849" i="1"/>
  <c r="A13849" i="1"/>
  <c r="C13848" i="1"/>
  <c r="B13848" i="1"/>
  <c r="A13848" i="1"/>
  <c r="C13847" i="1"/>
  <c r="B13847" i="1"/>
  <c r="A13847" i="1"/>
  <c r="C13846" i="1"/>
  <c r="B13846" i="1"/>
  <c r="A13846" i="1"/>
  <c r="C13845" i="1"/>
  <c r="B13845" i="1"/>
  <c r="A13845" i="1"/>
  <c r="C13844" i="1"/>
  <c r="B13844" i="1"/>
  <c r="A13844" i="1"/>
  <c r="C13843" i="1"/>
  <c r="B13843" i="1"/>
  <c r="A13843" i="1"/>
  <c r="C13842" i="1"/>
  <c r="B13842" i="1"/>
  <c r="A13842" i="1"/>
  <c r="C13841" i="1"/>
  <c r="B13841" i="1"/>
  <c r="A13841" i="1"/>
  <c r="C13840" i="1"/>
  <c r="B13840" i="1"/>
  <c r="A13840" i="1"/>
  <c r="C13839" i="1"/>
  <c r="B13839" i="1"/>
  <c r="A13839" i="1"/>
  <c r="C13838" i="1"/>
  <c r="B13838" i="1"/>
  <c r="A13838" i="1"/>
  <c r="C13837" i="1"/>
  <c r="B13837" i="1"/>
  <c r="A13837" i="1"/>
  <c r="C13836" i="1"/>
  <c r="B13836" i="1"/>
  <c r="A13836" i="1"/>
  <c r="C13835" i="1"/>
  <c r="B13835" i="1"/>
  <c r="A13835" i="1"/>
  <c r="C13834" i="1"/>
  <c r="B13834" i="1"/>
  <c r="A13834" i="1"/>
  <c r="C13833" i="1"/>
  <c r="B13833" i="1"/>
  <c r="A13833" i="1"/>
  <c r="C13832" i="1"/>
  <c r="B13832" i="1"/>
  <c r="A13832" i="1"/>
  <c r="C13831" i="1"/>
  <c r="B13831" i="1"/>
  <c r="A13831" i="1"/>
  <c r="C13830" i="1"/>
  <c r="B13830" i="1"/>
  <c r="A13830" i="1"/>
  <c r="C13829" i="1"/>
  <c r="B13829" i="1"/>
  <c r="A13829" i="1"/>
  <c r="C13828" i="1"/>
  <c r="B13828" i="1"/>
  <c r="A13828" i="1"/>
  <c r="C13827" i="1"/>
  <c r="B13827" i="1"/>
  <c r="A13827" i="1"/>
  <c r="C13826" i="1"/>
  <c r="B13826" i="1"/>
  <c r="A13826" i="1"/>
  <c r="C13825" i="1"/>
  <c r="B13825" i="1"/>
  <c r="A13825" i="1"/>
  <c r="C13824" i="1"/>
  <c r="B13824" i="1"/>
  <c r="A13824" i="1"/>
  <c r="C13823" i="1"/>
  <c r="B13823" i="1"/>
  <c r="A13823" i="1"/>
  <c r="C13822" i="1"/>
  <c r="B13822" i="1"/>
  <c r="A13822" i="1"/>
  <c r="C13821" i="1"/>
  <c r="B13821" i="1"/>
  <c r="A13821" i="1"/>
  <c r="C13820" i="1"/>
  <c r="B13820" i="1"/>
  <c r="A13820" i="1"/>
  <c r="C13819" i="1"/>
  <c r="B13819" i="1"/>
  <c r="A13819" i="1"/>
  <c r="C13818" i="1"/>
  <c r="B13818" i="1"/>
  <c r="A13818" i="1"/>
  <c r="C13817" i="1"/>
  <c r="B13817" i="1"/>
  <c r="A13817" i="1"/>
  <c r="C13816" i="1"/>
  <c r="B13816" i="1"/>
  <c r="A13816" i="1"/>
  <c r="C13815" i="1"/>
  <c r="B13815" i="1"/>
  <c r="A13815" i="1"/>
  <c r="C13814" i="1"/>
  <c r="B13814" i="1"/>
  <c r="A13814" i="1"/>
  <c r="C13813" i="1"/>
  <c r="B13813" i="1"/>
  <c r="A13813" i="1"/>
  <c r="C13812" i="1"/>
  <c r="B13812" i="1"/>
  <c r="A13812" i="1"/>
  <c r="C13811" i="1"/>
  <c r="B13811" i="1"/>
  <c r="A13811" i="1"/>
  <c r="C13810" i="1"/>
  <c r="B13810" i="1"/>
  <c r="A13810" i="1"/>
  <c r="C13809" i="1"/>
  <c r="B13809" i="1"/>
  <c r="A13809" i="1"/>
  <c r="C13808" i="1"/>
  <c r="B13808" i="1"/>
  <c r="A13808" i="1"/>
  <c r="C13807" i="1"/>
  <c r="B13807" i="1"/>
  <c r="A13807" i="1"/>
  <c r="C13806" i="1"/>
  <c r="B13806" i="1"/>
  <c r="A13806" i="1"/>
  <c r="C13805" i="1"/>
  <c r="B13805" i="1"/>
  <c r="A13805" i="1"/>
  <c r="C13804" i="1"/>
  <c r="B13804" i="1"/>
  <c r="A13804" i="1"/>
  <c r="C13803" i="1"/>
  <c r="B13803" i="1"/>
  <c r="A13803" i="1"/>
  <c r="C13802" i="1"/>
  <c r="B13802" i="1"/>
  <c r="A13802" i="1"/>
  <c r="C13801" i="1"/>
  <c r="B13801" i="1"/>
  <c r="A13801" i="1"/>
  <c r="C13800" i="1"/>
  <c r="B13800" i="1"/>
  <c r="A13800" i="1"/>
  <c r="C13799" i="1"/>
  <c r="B13799" i="1"/>
  <c r="A13799" i="1"/>
  <c r="C13798" i="1"/>
  <c r="B13798" i="1"/>
  <c r="A13798" i="1"/>
  <c r="C13797" i="1"/>
  <c r="B13797" i="1"/>
  <c r="A13797" i="1"/>
  <c r="C13796" i="1"/>
  <c r="B13796" i="1"/>
  <c r="A13796" i="1"/>
  <c r="C13795" i="1"/>
  <c r="B13795" i="1"/>
  <c r="A13795" i="1"/>
  <c r="C13794" i="1"/>
  <c r="B13794" i="1"/>
  <c r="A13794" i="1"/>
  <c r="C13793" i="1"/>
  <c r="B13793" i="1"/>
  <c r="A13793" i="1"/>
  <c r="C13792" i="1"/>
  <c r="B13792" i="1"/>
  <c r="A13792" i="1"/>
  <c r="C13791" i="1"/>
  <c r="B13791" i="1"/>
  <c r="A13791" i="1"/>
  <c r="C13790" i="1"/>
  <c r="B13790" i="1"/>
  <c r="A13790" i="1"/>
  <c r="C13789" i="1"/>
  <c r="B13789" i="1"/>
  <c r="A13789" i="1"/>
  <c r="C13788" i="1"/>
  <c r="B13788" i="1"/>
  <c r="A13788" i="1"/>
  <c r="C13787" i="1"/>
  <c r="B13787" i="1"/>
  <c r="A13787" i="1"/>
  <c r="C13786" i="1"/>
  <c r="B13786" i="1"/>
  <c r="A13786" i="1"/>
  <c r="C13785" i="1"/>
  <c r="B13785" i="1"/>
  <c r="A13785" i="1"/>
  <c r="C13784" i="1"/>
  <c r="B13784" i="1"/>
  <c r="A13784" i="1"/>
  <c r="C13783" i="1"/>
  <c r="B13783" i="1"/>
  <c r="A13783" i="1"/>
  <c r="C13782" i="1"/>
  <c r="B13782" i="1"/>
  <c r="A13782" i="1"/>
  <c r="C13781" i="1"/>
  <c r="B13781" i="1"/>
  <c r="A13781" i="1"/>
  <c r="C13780" i="1"/>
  <c r="B13780" i="1"/>
  <c r="A13780" i="1"/>
  <c r="C13779" i="1"/>
  <c r="B13779" i="1"/>
  <c r="A13779" i="1"/>
  <c r="C13778" i="1"/>
  <c r="B13778" i="1"/>
  <c r="A13778" i="1"/>
  <c r="C13777" i="1"/>
  <c r="B13777" i="1"/>
  <c r="A13777" i="1"/>
  <c r="C13776" i="1"/>
  <c r="B13776" i="1"/>
  <c r="A13776" i="1"/>
  <c r="C13775" i="1"/>
  <c r="B13775" i="1"/>
  <c r="A13775" i="1"/>
  <c r="C13774" i="1"/>
  <c r="B13774" i="1"/>
  <c r="A13774" i="1"/>
  <c r="C13773" i="1"/>
  <c r="B13773" i="1"/>
  <c r="A13773" i="1"/>
  <c r="C13772" i="1"/>
  <c r="B13772" i="1"/>
  <c r="A13772" i="1"/>
  <c r="C13771" i="1"/>
  <c r="B13771" i="1"/>
  <c r="A13771" i="1"/>
  <c r="C13770" i="1"/>
  <c r="B13770" i="1"/>
  <c r="A13770" i="1"/>
  <c r="C13769" i="1"/>
  <c r="B13769" i="1"/>
  <c r="A13769" i="1"/>
  <c r="C13768" i="1"/>
  <c r="B13768" i="1"/>
  <c r="A13768" i="1"/>
  <c r="C13767" i="1"/>
  <c r="B13767" i="1"/>
  <c r="A13767" i="1"/>
  <c r="C13766" i="1"/>
  <c r="B13766" i="1"/>
  <c r="A13766" i="1"/>
  <c r="C13765" i="1"/>
  <c r="B13765" i="1"/>
  <c r="A13765" i="1"/>
  <c r="C13764" i="1"/>
  <c r="B13764" i="1"/>
  <c r="A13764" i="1"/>
  <c r="C13763" i="1"/>
  <c r="B13763" i="1"/>
  <c r="A13763" i="1"/>
  <c r="C13762" i="1"/>
  <c r="B13762" i="1"/>
  <c r="A13762" i="1"/>
  <c r="C13761" i="1"/>
  <c r="B13761" i="1"/>
  <c r="A13761" i="1"/>
  <c r="C13760" i="1"/>
  <c r="B13760" i="1"/>
  <c r="A13760" i="1"/>
  <c r="C13759" i="1"/>
  <c r="B13759" i="1"/>
  <c r="A13759" i="1"/>
  <c r="C13758" i="1"/>
  <c r="B13758" i="1"/>
  <c r="A13758" i="1"/>
  <c r="C13757" i="1"/>
  <c r="B13757" i="1"/>
  <c r="A13757" i="1"/>
  <c r="C13756" i="1"/>
  <c r="B13756" i="1"/>
  <c r="A13756" i="1"/>
  <c r="C13755" i="1"/>
  <c r="B13755" i="1"/>
  <c r="A13755" i="1"/>
  <c r="C13754" i="1"/>
  <c r="B13754" i="1"/>
  <c r="A13754" i="1"/>
  <c r="C13753" i="1"/>
  <c r="B13753" i="1"/>
  <c r="A13753" i="1"/>
  <c r="C13752" i="1"/>
  <c r="B13752" i="1"/>
  <c r="A13752" i="1"/>
  <c r="C13751" i="1"/>
  <c r="B13751" i="1"/>
  <c r="A13751" i="1"/>
  <c r="C13750" i="1"/>
  <c r="B13750" i="1"/>
  <c r="A13750" i="1"/>
  <c r="C13749" i="1"/>
  <c r="B13749" i="1"/>
  <c r="A13749" i="1"/>
  <c r="C13748" i="1"/>
  <c r="B13748" i="1"/>
  <c r="A13748" i="1"/>
  <c r="C13747" i="1"/>
  <c r="B13747" i="1"/>
  <c r="A13747" i="1"/>
  <c r="C13746" i="1"/>
  <c r="B13746" i="1"/>
  <c r="A13746" i="1"/>
  <c r="C13745" i="1"/>
  <c r="B13745" i="1"/>
  <c r="A13745" i="1"/>
  <c r="C13744" i="1"/>
  <c r="B13744" i="1"/>
  <c r="A13744" i="1"/>
  <c r="C13743" i="1"/>
  <c r="B13743" i="1"/>
  <c r="A13743" i="1"/>
  <c r="C13742" i="1"/>
  <c r="B13742" i="1"/>
  <c r="A13742" i="1"/>
  <c r="C13741" i="1"/>
  <c r="B13741" i="1"/>
  <c r="A13741" i="1"/>
  <c r="C13740" i="1"/>
  <c r="B13740" i="1"/>
  <c r="A13740" i="1"/>
  <c r="C13739" i="1"/>
  <c r="B13739" i="1"/>
  <c r="A13739" i="1"/>
  <c r="C13738" i="1"/>
  <c r="B13738" i="1"/>
  <c r="A13738" i="1"/>
  <c r="C13737" i="1"/>
  <c r="B13737" i="1"/>
  <c r="A13737" i="1"/>
  <c r="C13736" i="1"/>
  <c r="B13736" i="1"/>
  <c r="A13736" i="1"/>
  <c r="C13735" i="1"/>
  <c r="B13735" i="1"/>
  <c r="A13735" i="1"/>
  <c r="C13734" i="1"/>
  <c r="B13734" i="1"/>
  <c r="A13734" i="1"/>
  <c r="C13733" i="1"/>
  <c r="B13733" i="1"/>
  <c r="A13733" i="1"/>
  <c r="C13732" i="1"/>
  <c r="B13732" i="1"/>
  <c r="A13732" i="1"/>
  <c r="C13731" i="1"/>
  <c r="B13731" i="1"/>
  <c r="A13731" i="1"/>
  <c r="C13730" i="1"/>
  <c r="B13730" i="1"/>
  <c r="A13730" i="1"/>
  <c r="C13729" i="1"/>
  <c r="B13729" i="1"/>
  <c r="A13729" i="1"/>
  <c r="C13728" i="1"/>
  <c r="B13728" i="1"/>
  <c r="A13728" i="1"/>
  <c r="C13727" i="1"/>
  <c r="B13727" i="1"/>
  <c r="A13727" i="1"/>
  <c r="C13726" i="1"/>
  <c r="B13726" i="1"/>
  <c r="A13726" i="1"/>
  <c r="C13725" i="1"/>
  <c r="B13725" i="1"/>
  <c r="A13725" i="1"/>
  <c r="C13724" i="1"/>
  <c r="B13724" i="1"/>
  <c r="A13724" i="1"/>
  <c r="C13723" i="1"/>
  <c r="B13723" i="1"/>
  <c r="A13723" i="1"/>
  <c r="C13722" i="1"/>
  <c r="B13722" i="1"/>
  <c r="A13722" i="1"/>
  <c r="C13721" i="1"/>
  <c r="B13721" i="1"/>
  <c r="A13721" i="1"/>
  <c r="C13720" i="1"/>
  <c r="B13720" i="1"/>
  <c r="A13720" i="1"/>
  <c r="C13719" i="1"/>
  <c r="B13719" i="1"/>
  <c r="A13719" i="1"/>
  <c r="C13718" i="1"/>
  <c r="B13718" i="1"/>
  <c r="A13718" i="1"/>
  <c r="C13717" i="1"/>
  <c r="B13717" i="1"/>
  <c r="A13717" i="1"/>
  <c r="C13716" i="1"/>
  <c r="B13716" i="1"/>
  <c r="A13716" i="1"/>
  <c r="C13715" i="1"/>
  <c r="B13715" i="1"/>
  <c r="A13715" i="1"/>
  <c r="C13714" i="1"/>
  <c r="B13714" i="1"/>
  <c r="A13714" i="1"/>
  <c r="C13713" i="1"/>
  <c r="B13713" i="1"/>
  <c r="A13713" i="1"/>
  <c r="C13712" i="1"/>
  <c r="B13712" i="1"/>
  <c r="A13712" i="1"/>
  <c r="C13711" i="1"/>
  <c r="B13711" i="1"/>
  <c r="A13711" i="1"/>
  <c r="C13710" i="1"/>
  <c r="B13710" i="1"/>
  <c r="A13710" i="1"/>
  <c r="C13709" i="1"/>
  <c r="B13709" i="1"/>
  <c r="A13709" i="1"/>
  <c r="C13708" i="1"/>
  <c r="B13708" i="1"/>
  <c r="A13708" i="1"/>
  <c r="C13707" i="1"/>
  <c r="B13707" i="1"/>
  <c r="A13707" i="1"/>
  <c r="C13706" i="1"/>
  <c r="B13706" i="1"/>
  <c r="A13706" i="1"/>
  <c r="C13705" i="1"/>
  <c r="B13705" i="1"/>
  <c r="A13705" i="1"/>
  <c r="C13704" i="1"/>
  <c r="B13704" i="1"/>
  <c r="A13704" i="1"/>
  <c r="C13703" i="1"/>
  <c r="B13703" i="1"/>
  <c r="A13703" i="1"/>
  <c r="C13702" i="1"/>
  <c r="B13702" i="1"/>
  <c r="A13702" i="1"/>
  <c r="C13701" i="1"/>
  <c r="B13701" i="1"/>
  <c r="A13701" i="1"/>
  <c r="C13700" i="1"/>
  <c r="B13700" i="1"/>
  <c r="A13700" i="1"/>
  <c r="C13699" i="1"/>
  <c r="B13699" i="1"/>
  <c r="A13699" i="1"/>
  <c r="C13698" i="1"/>
  <c r="B13698" i="1"/>
  <c r="A13698" i="1"/>
  <c r="C13697" i="1"/>
  <c r="B13697" i="1"/>
  <c r="A13697" i="1"/>
  <c r="C13696" i="1"/>
  <c r="B13696" i="1"/>
  <c r="A13696" i="1"/>
  <c r="C13695" i="1"/>
  <c r="B13695" i="1"/>
  <c r="A13695" i="1"/>
  <c r="C13694" i="1"/>
  <c r="B13694" i="1"/>
  <c r="A13694" i="1"/>
  <c r="C13693" i="1"/>
  <c r="B13693" i="1"/>
  <c r="A13693" i="1"/>
  <c r="C13692" i="1"/>
  <c r="B13692" i="1"/>
  <c r="A13692" i="1"/>
  <c r="C13691" i="1"/>
  <c r="B13691" i="1"/>
  <c r="A13691" i="1"/>
  <c r="C13690" i="1"/>
  <c r="B13690" i="1"/>
  <c r="A13690" i="1"/>
  <c r="C13689" i="1"/>
  <c r="B13689" i="1"/>
  <c r="A13689" i="1"/>
  <c r="C13688" i="1"/>
  <c r="B13688" i="1"/>
  <c r="A13688" i="1"/>
  <c r="C13687" i="1"/>
  <c r="B13687" i="1"/>
  <c r="A13687" i="1"/>
  <c r="C13686" i="1"/>
  <c r="B13686" i="1"/>
  <c r="A13686" i="1"/>
  <c r="C13685" i="1"/>
  <c r="B13685" i="1"/>
  <c r="A13685" i="1"/>
  <c r="C13684" i="1"/>
  <c r="B13684" i="1"/>
  <c r="A13684" i="1"/>
  <c r="C13683" i="1"/>
  <c r="B13683" i="1"/>
  <c r="A13683" i="1"/>
  <c r="C13682" i="1"/>
  <c r="B13682" i="1"/>
  <c r="A13682" i="1"/>
  <c r="C13681" i="1"/>
  <c r="B13681" i="1"/>
  <c r="A13681" i="1"/>
  <c r="C13680" i="1"/>
  <c r="B13680" i="1"/>
  <c r="A13680" i="1"/>
  <c r="C13679" i="1"/>
  <c r="B13679" i="1"/>
  <c r="A13679" i="1"/>
  <c r="C13678" i="1"/>
  <c r="B13678" i="1"/>
  <c r="A13678" i="1"/>
  <c r="C13677" i="1"/>
  <c r="B13677" i="1"/>
  <c r="A13677" i="1"/>
  <c r="C13676" i="1"/>
  <c r="B13676" i="1"/>
  <c r="A13676" i="1"/>
  <c r="C13675" i="1"/>
  <c r="B13675" i="1"/>
  <c r="A13675" i="1"/>
  <c r="C13674" i="1"/>
  <c r="B13674" i="1"/>
  <c r="A13674" i="1"/>
  <c r="C13673" i="1"/>
  <c r="B13673" i="1"/>
  <c r="A13673" i="1"/>
  <c r="C13672" i="1"/>
  <c r="B13672" i="1"/>
  <c r="A13672" i="1"/>
  <c r="C13671" i="1"/>
  <c r="B13671" i="1"/>
  <c r="A13671" i="1"/>
  <c r="C13670" i="1"/>
  <c r="B13670" i="1"/>
  <c r="A13670" i="1"/>
  <c r="C13669" i="1"/>
  <c r="B13669" i="1"/>
  <c r="A13669" i="1"/>
  <c r="C13668" i="1"/>
  <c r="B13668" i="1"/>
  <c r="A13668" i="1"/>
  <c r="C13667" i="1"/>
  <c r="B13667" i="1"/>
  <c r="A13667" i="1"/>
  <c r="C13666" i="1"/>
  <c r="B13666" i="1"/>
  <c r="A13666" i="1"/>
  <c r="C13665" i="1"/>
  <c r="B13665" i="1"/>
  <c r="A13665" i="1"/>
  <c r="C13664" i="1"/>
  <c r="B13664" i="1"/>
  <c r="A13664" i="1"/>
  <c r="C13663" i="1"/>
  <c r="B13663" i="1"/>
  <c r="A13663" i="1"/>
  <c r="C13662" i="1"/>
  <c r="B13662" i="1"/>
  <c r="A13662" i="1"/>
  <c r="C13661" i="1"/>
  <c r="B13661" i="1"/>
  <c r="A13661" i="1"/>
  <c r="C13660" i="1"/>
  <c r="B13660" i="1"/>
  <c r="A13660" i="1"/>
  <c r="C13659" i="1"/>
  <c r="B13659" i="1"/>
  <c r="A13659" i="1"/>
  <c r="C13658" i="1"/>
  <c r="B13658" i="1"/>
  <c r="A13658" i="1"/>
  <c r="C13657" i="1"/>
  <c r="B13657" i="1"/>
  <c r="A13657" i="1"/>
  <c r="C13656" i="1"/>
  <c r="B13656" i="1"/>
  <c r="A13656" i="1"/>
  <c r="C13655" i="1"/>
  <c r="B13655" i="1"/>
  <c r="A13655" i="1"/>
  <c r="C13654" i="1"/>
  <c r="B13654" i="1"/>
  <c r="A13654" i="1"/>
  <c r="C13653" i="1"/>
  <c r="B13653" i="1"/>
  <c r="A13653" i="1"/>
  <c r="C13652" i="1"/>
  <c r="B13652" i="1"/>
  <c r="A13652" i="1"/>
  <c r="C13651" i="1"/>
  <c r="B13651" i="1"/>
  <c r="A13651" i="1"/>
  <c r="C13650" i="1"/>
  <c r="B13650" i="1"/>
  <c r="A13650" i="1"/>
  <c r="C13649" i="1"/>
  <c r="B13649" i="1"/>
  <c r="A13649" i="1"/>
  <c r="C13648" i="1"/>
  <c r="B13648" i="1"/>
  <c r="A13648" i="1"/>
  <c r="C13647" i="1"/>
  <c r="B13647" i="1"/>
  <c r="A13647" i="1"/>
  <c r="C13646" i="1"/>
  <c r="B13646" i="1"/>
  <c r="A13646" i="1"/>
  <c r="C13645" i="1"/>
  <c r="B13645" i="1"/>
  <c r="A13645" i="1"/>
  <c r="C13644" i="1"/>
  <c r="B13644" i="1"/>
  <c r="A13644" i="1"/>
  <c r="C13643" i="1"/>
  <c r="B13643" i="1"/>
  <c r="A13643" i="1"/>
  <c r="C13642" i="1"/>
  <c r="B13642" i="1"/>
  <c r="A13642" i="1"/>
  <c r="C13641" i="1"/>
  <c r="B13641" i="1"/>
  <c r="A13641" i="1"/>
  <c r="C13640" i="1"/>
  <c r="B13640" i="1"/>
  <c r="A13640" i="1"/>
  <c r="C13639" i="1"/>
  <c r="B13639" i="1"/>
  <c r="A13639" i="1"/>
  <c r="C13638" i="1"/>
  <c r="B13638" i="1"/>
  <c r="A13638" i="1"/>
  <c r="C13637" i="1"/>
  <c r="B13637" i="1"/>
  <c r="A13637" i="1"/>
  <c r="C13636" i="1"/>
  <c r="B13636" i="1"/>
  <c r="A13636" i="1"/>
  <c r="C13635" i="1"/>
  <c r="B13635" i="1"/>
  <c r="A13635" i="1"/>
  <c r="C13634" i="1"/>
  <c r="B13634" i="1"/>
  <c r="A13634" i="1"/>
  <c r="C13633" i="1"/>
  <c r="B13633" i="1"/>
  <c r="A13633" i="1"/>
  <c r="C13632" i="1"/>
  <c r="B13632" i="1"/>
  <c r="A13632" i="1"/>
  <c r="C13631" i="1"/>
  <c r="B13631" i="1"/>
  <c r="A13631" i="1"/>
  <c r="C13630" i="1"/>
  <c r="B13630" i="1"/>
  <c r="A13630" i="1"/>
  <c r="C13629" i="1"/>
  <c r="B13629" i="1"/>
  <c r="A13629" i="1"/>
  <c r="C13628" i="1"/>
  <c r="B13628" i="1"/>
  <c r="A13628" i="1"/>
  <c r="C13627" i="1"/>
  <c r="B13627" i="1"/>
  <c r="A13627" i="1"/>
  <c r="C13626" i="1"/>
  <c r="B13626" i="1"/>
  <c r="A13626" i="1"/>
  <c r="C13625" i="1"/>
  <c r="B13625" i="1"/>
  <c r="A13625" i="1"/>
  <c r="C13624" i="1"/>
  <c r="B13624" i="1"/>
  <c r="A13624" i="1"/>
  <c r="C13623" i="1"/>
  <c r="B13623" i="1"/>
  <c r="A13623" i="1"/>
  <c r="C13622" i="1"/>
  <c r="B13622" i="1"/>
  <c r="A13622" i="1"/>
  <c r="C13621" i="1"/>
  <c r="B13621" i="1"/>
  <c r="A13621" i="1"/>
  <c r="C13620" i="1"/>
  <c r="B13620" i="1"/>
  <c r="A13620" i="1"/>
  <c r="C13619" i="1"/>
  <c r="B13619" i="1"/>
  <c r="A13619" i="1"/>
  <c r="C13618" i="1"/>
  <c r="B13618" i="1"/>
  <c r="A13618" i="1"/>
  <c r="C13617" i="1"/>
  <c r="B13617" i="1"/>
  <c r="A13617" i="1"/>
  <c r="C13616" i="1"/>
  <c r="B13616" i="1"/>
  <c r="A13616" i="1"/>
  <c r="C13615" i="1"/>
  <c r="B13615" i="1"/>
  <c r="A13615" i="1"/>
  <c r="C13614" i="1"/>
  <c r="B13614" i="1"/>
  <c r="A13614" i="1"/>
  <c r="C13613" i="1"/>
  <c r="B13613" i="1"/>
  <c r="A13613" i="1"/>
  <c r="C13612" i="1"/>
  <c r="B13612" i="1"/>
  <c r="A13612" i="1"/>
  <c r="C13611" i="1"/>
  <c r="B13611" i="1"/>
  <c r="A13611" i="1"/>
  <c r="C13610" i="1"/>
  <c r="B13610" i="1"/>
  <c r="A13610" i="1"/>
  <c r="C13609" i="1"/>
  <c r="B13609" i="1"/>
  <c r="A13609" i="1"/>
  <c r="C13608" i="1"/>
  <c r="B13608" i="1"/>
  <c r="A13608" i="1"/>
  <c r="C13607" i="1"/>
  <c r="B13607" i="1"/>
  <c r="A13607" i="1"/>
  <c r="C13606" i="1"/>
  <c r="B13606" i="1"/>
  <c r="A13606" i="1"/>
  <c r="C13605" i="1"/>
  <c r="B13605" i="1"/>
  <c r="A13605" i="1"/>
  <c r="C13604" i="1"/>
  <c r="B13604" i="1"/>
  <c r="A13604" i="1"/>
  <c r="C13603" i="1"/>
  <c r="B13603" i="1"/>
  <c r="A13603" i="1"/>
  <c r="C13602" i="1"/>
  <c r="B13602" i="1"/>
  <c r="A13602" i="1"/>
  <c r="C13601" i="1"/>
  <c r="B13601" i="1"/>
  <c r="A13601" i="1"/>
  <c r="C13600" i="1"/>
  <c r="B13600" i="1"/>
  <c r="A13600" i="1"/>
  <c r="C13599" i="1"/>
  <c r="B13599" i="1"/>
  <c r="A13599" i="1"/>
  <c r="C13598" i="1"/>
  <c r="B13598" i="1"/>
  <c r="A13598" i="1"/>
  <c r="C13597" i="1"/>
  <c r="B13597" i="1"/>
  <c r="A13597" i="1"/>
  <c r="C13596" i="1"/>
  <c r="B13596" i="1"/>
  <c r="A13596" i="1"/>
  <c r="C13595" i="1"/>
  <c r="B13595" i="1"/>
  <c r="A13595" i="1"/>
  <c r="C13594" i="1"/>
  <c r="B13594" i="1"/>
  <c r="A13594" i="1"/>
  <c r="C13593" i="1"/>
  <c r="B13593" i="1"/>
  <c r="A13593" i="1"/>
  <c r="C13592" i="1"/>
  <c r="B13592" i="1"/>
  <c r="A13592" i="1"/>
  <c r="C13591" i="1"/>
  <c r="B13591" i="1"/>
  <c r="A13591" i="1"/>
  <c r="C13590" i="1"/>
  <c r="B13590" i="1"/>
  <c r="A13590" i="1"/>
  <c r="C13589" i="1"/>
  <c r="B13589" i="1"/>
  <c r="A13589" i="1"/>
  <c r="C13588" i="1"/>
  <c r="B13588" i="1"/>
  <c r="A13588" i="1"/>
  <c r="C13587" i="1"/>
  <c r="B13587" i="1"/>
  <c r="A13587" i="1"/>
  <c r="C13586" i="1"/>
  <c r="B13586" i="1"/>
  <c r="A13586" i="1"/>
  <c r="C13585" i="1"/>
  <c r="B13585" i="1"/>
  <c r="A13585" i="1"/>
  <c r="C13584" i="1"/>
  <c r="B13584" i="1"/>
  <c r="A13584" i="1"/>
  <c r="C13583" i="1"/>
  <c r="B13583" i="1"/>
  <c r="A13583" i="1"/>
  <c r="C13582" i="1"/>
  <c r="B13582" i="1"/>
  <c r="A13582" i="1"/>
  <c r="C13581" i="1"/>
  <c r="B13581" i="1"/>
  <c r="A13581" i="1"/>
  <c r="C13580" i="1"/>
  <c r="B13580" i="1"/>
  <c r="A13580" i="1"/>
  <c r="C13579" i="1"/>
  <c r="B13579" i="1"/>
  <c r="A13579" i="1"/>
  <c r="C13578" i="1"/>
  <c r="B13578" i="1"/>
  <c r="A13578" i="1"/>
  <c r="C13577" i="1"/>
  <c r="B13577" i="1"/>
  <c r="A13577" i="1"/>
  <c r="C13576" i="1"/>
  <c r="B13576" i="1"/>
  <c r="A13576" i="1"/>
  <c r="C13575" i="1"/>
  <c r="B13575" i="1"/>
  <c r="A13575" i="1"/>
  <c r="C13574" i="1"/>
  <c r="B13574" i="1"/>
  <c r="A13574" i="1"/>
  <c r="C13573" i="1"/>
  <c r="B13573" i="1"/>
  <c r="A13573" i="1"/>
  <c r="C13572" i="1"/>
  <c r="B13572" i="1"/>
  <c r="A13572" i="1"/>
  <c r="C13571" i="1"/>
  <c r="B13571" i="1"/>
  <c r="A13571" i="1"/>
  <c r="C13570" i="1"/>
  <c r="B13570" i="1"/>
  <c r="A13570" i="1"/>
  <c r="C13569" i="1"/>
  <c r="B13569" i="1"/>
  <c r="A13569" i="1"/>
  <c r="C13568" i="1"/>
  <c r="B13568" i="1"/>
  <c r="A13568" i="1"/>
  <c r="C13567" i="1"/>
  <c r="B13567" i="1"/>
  <c r="A13567" i="1"/>
  <c r="C13566" i="1"/>
  <c r="B13566" i="1"/>
  <c r="A13566" i="1"/>
  <c r="C13565" i="1"/>
  <c r="B13565" i="1"/>
  <c r="A13565" i="1"/>
  <c r="C13564" i="1"/>
  <c r="B13564" i="1"/>
  <c r="A13564" i="1"/>
  <c r="C13563" i="1"/>
  <c r="B13563" i="1"/>
  <c r="A13563" i="1"/>
  <c r="C13562" i="1"/>
  <c r="B13562" i="1"/>
  <c r="A13562" i="1"/>
  <c r="C13561" i="1"/>
  <c r="B13561" i="1"/>
  <c r="A13561" i="1"/>
  <c r="C13560" i="1"/>
  <c r="B13560" i="1"/>
  <c r="A13560" i="1"/>
  <c r="C13559" i="1"/>
  <c r="B13559" i="1"/>
  <c r="A13559" i="1"/>
  <c r="C13558" i="1"/>
  <c r="B13558" i="1"/>
  <c r="A13558" i="1"/>
  <c r="C13557" i="1"/>
  <c r="B13557" i="1"/>
  <c r="A13557" i="1"/>
  <c r="C13556" i="1"/>
  <c r="B13556" i="1"/>
  <c r="A13556" i="1"/>
  <c r="C13555" i="1"/>
  <c r="B13555" i="1"/>
  <c r="A13555" i="1"/>
  <c r="C13554" i="1"/>
  <c r="B13554" i="1"/>
  <c r="A13554" i="1"/>
  <c r="C13553" i="1"/>
  <c r="B13553" i="1"/>
  <c r="A13553" i="1"/>
  <c r="C13552" i="1"/>
  <c r="B13552" i="1"/>
  <c r="A13552" i="1"/>
  <c r="C13551" i="1"/>
  <c r="B13551" i="1"/>
  <c r="A13551" i="1"/>
  <c r="C13550" i="1"/>
  <c r="B13550" i="1"/>
  <c r="A13550" i="1"/>
  <c r="C13549" i="1"/>
  <c r="B13549" i="1"/>
  <c r="A13549" i="1"/>
  <c r="C13548" i="1"/>
  <c r="B13548" i="1"/>
  <c r="A13548" i="1"/>
  <c r="C13547" i="1"/>
  <c r="B13547" i="1"/>
  <c r="A13547" i="1"/>
  <c r="C13546" i="1"/>
  <c r="B13546" i="1"/>
  <c r="A13546" i="1"/>
  <c r="C13545" i="1"/>
  <c r="B13545" i="1"/>
  <c r="A13545" i="1"/>
  <c r="C13544" i="1"/>
  <c r="B13544" i="1"/>
  <c r="A13544" i="1"/>
  <c r="C13543" i="1"/>
  <c r="B13543" i="1"/>
  <c r="A13543" i="1"/>
  <c r="C13542" i="1"/>
  <c r="B13542" i="1"/>
  <c r="A13542" i="1"/>
  <c r="C13541" i="1"/>
  <c r="B13541" i="1"/>
  <c r="A13541" i="1"/>
  <c r="C13540" i="1"/>
  <c r="B13540" i="1"/>
  <c r="A13540" i="1"/>
  <c r="C13539" i="1"/>
  <c r="B13539" i="1"/>
  <c r="A13539" i="1"/>
  <c r="C13538" i="1"/>
  <c r="B13538" i="1"/>
  <c r="A13538" i="1"/>
  <c r="C13537" i="1"/>
  <c r="B13537" i="1"/>
  <c r="A13537" i="1"/>
  <c r="C13536" i="1"/>
  <c r="B13536" i="1"/>
  <c r="A13536" i="1"/>
  <c r="C13535" i="1"/>
  <c r="B13535" i="1"/>
  <c r="A13535" i="1"/>
  <c r="C13534" i="1"/>
  <c r="B13534" i="1"/>
  <c r="A13534" i="1"/>
  <c r="C13533" i="1"/>
  <c r="B13533" i="1"/>
  <c r="A13533" i="1"/>
  <c r="C13532" i="1"/>
  <c r="B13532" i="1"/>
  <c r="A13532" i="1"/>
  <c r="C13531" i="1"/>
  <c r="B13531" i="1"/>
  <c r="A13531" i="1"/>
  <c r="C13530" i="1"/>
  <c r="B13530" i="1"/>
  <c r="A13530" i="1"/>
  <c r="C13529" i="1"/>
  <c r="B13529" i="1"/>
  <c r="A13529" i="1"/>
  <c r="C13528" i="1"/>
  <c r="B13528" i="1"/>
  <c r="A13528" i="1"/>
  <c r="C13527" i="1"/>
  <c r="B13527" i="1"/>
  <c r="A13527" i="1"/>
  <c r="C13526" i="1"/>
  <c r="B13526" i="1"/>
  <c r="A13526" i="1"/>
  <c r="C13525" i="1"/>
  <c r="B13525" i="1"/>
  <c r="A13525" i="1"/>
  <c r="C13524" i="1"/>
  <c r="B13524" i="1"/>
  <c r="A13524" i="1"/>
  <c r="C13523" i="1"/>
  <c r="B13523" i="1"/>
  <c r="A13523" i="1"/>
  <c r="C13522" i="1"/>
  <c r="B13522" i="1"/>
  <c r="A13522" i="1"/>
  <c r="C13521" i="1"/>
  <c r="B13521" i="1"/>
  <c r="A13521" i="1"/>
  <c r="C13520" i="1"/>
  <c r="B13520" i="1"/>
  <c r="A13520" i="1"/>
  <c r="C13519" i="1"/>
  <c r="B13519" i="1"/>
  <c r="A13519" i="1"/>
  <c r="C13518" i="1"/>
  <c r="B13518" i="1"/>
  <c r="A13518" i="1"/>
  <c r="C13517" i="1"/>
  <c r="B13517" i="1"/>
  <c r="A13517" i="1"/>
  <c r="C13516" i="1"/>
  <c r="B13516" i="1"/>
  <c r="A13516" i="1"/>
  <c r="C13515" i="1"/>
  <c r="B13515" i="1"/>
  <c r="A13515" i="1"/>
  <c r="C13514" i="1"/>
  <c r="B13514" i="1"/>
  <c r="A13514" i="1"/>
  <c r="C13513" i="1"/>
  <c r="B13513" i="1"/>
  <c r="A13513" i="1"/>
  <c r="C13512" i="1"/>
  <c r="B13512" i="1"/>
  <c r="A13512" i="1"/>
  <c r="C13511" i="1"/>
  <c r="B13511" i="1"/>
  <c r="A13511" i="1"/>
  <c r="C13510" i="1"/>
  <c r="B13510" i="1"/>
  <c r="A13510" i="1"/>
  <c r="C13509" i="1"/>
  <c r="B13509" i="1"/>
  <c r="A13509" i="1"/>
  <c r="C13508" i="1"/>
  <c r="B13508" i="1"/>
  <c r="A13508" i="1"/>
  <c r="C13507" i="1"/>
  <c r="B13507" i="1"/>
  <c r="A13507" i="1"/>
  <c r="C13506" i="1"/>
  <c r="B13506" i="1"/>
  <c r="A13506" i="1"/>
  <c r="C13505" i="1"/>
  <c r="B13505" i="1"/>
  <c r="A13505" i="1"/>
  <c r="C13504" i="1"/>
  <c r="B13504" i="1"/>
  <c r="A13504" i="1"/>
  <c r="C13503" i="1"/>
  <c r="B13503" i="1"/>
  <c r="A13503" i="1"/>
  <c r="C13502" i="1"/>
  <c r="B13502" i="1"/>
  <c r="A13502" i="1"/>
  <c r="C13501" i="1"/>
  <c r="B13501" i="1"/>
  <c r="A13501" i="1"/>
  <c r="C13500" i="1"/>
  <c r="B13500" i="1"/>
  <c r="A13500" i="1"/>
  <c r="C13499" i="1"/>
  <c r="B13499" i="1"/>
  <c r="A13499" i="1"/>
  <c r="C13498" i="1"/>
  <c r="B13498" i="1"/>
  <c r="A13498" i="1"/>
  <c r="C13497" i="1"/>
  <c r="B13497" i="1"/>
  <c r="A13497" i="1"/>
  <c r="C13496" i="1"/>
  <c r="B13496" i="1"/>
  <c r="A13496" i="1"/>
  <c r="C13495" i="1"/>
  <c r="B13495" i="1"/>
  <c r="A13495" i="1"/>
  <c r="C13494" i="1"/>
  <c r="B13494" i="1"/>
  <c r="A13494" i="1"/>
  <c r="C13493" i="1"/>
  <c r="B13493" i="1"/>
  <c r="A13493" i="1"/>
  <c r="C13492" i="1"/>
  <c r="B13492" i="1"/>
  <c r="A13492" i="1"/>
  <c r="C13491" i="1"/>
  <c r="B13491" i="1"/>
  <c r="A13491" i="1"/>
  <c r="C13490" i="1"/>
  <c r="B13490" i="1"/>
  <c r="A13490" i="1"/>
  <c r="C13489" i="1"/>
  <c r="B13489" i="1"/>
  <c r="A13489" i="1"/>
  <c r="C13488" i="1"/>
  <c r="B13488" i="1"/>
  <c r="A13488" i="1"/>
  <c r="C13487" i="1"/>
  <c r="B13487" i="1"/>
  <c r="A13487" i="1"/>
  <c r="C13486" i="1"/>
  <c r="B13486" i="1"/>
  <c r="A13486" i="1"/>
  <c r="C13485" i="1"/>
  <c r="B13485" i="1"/>
  <c r="A13485" i="1"/>
  <c r="C13484" i="1"/>
  <c r="B13484" i="1"/>
  <c r="A13484" i="1"/>
  <c r="C13483" i="1"/>
  <c r="B13483" i="1"/>
  <c r="A13483" i="1"/>
  <c r="C13482" i="1"/>
  <c r="B13482" i="1"/>
  <c r="A13482" i="1"/>
  <c r="C13481" i="1"/>
  <c r="B13481" i="1"/>
  <c r="A13481" i="1"/>
  <c r="C13480" i="1"/>
  <c r="B13480" i="1"/>
  <c r="A13480" i="1"/>
  <c r="C13479" i="1"/>
  <c r="B13479" i="1"/>
  <c r="A13479" i="1"/>
  <c r="C13478" i="1"/>
  <c r="B13478" i="1"/>
  <c r="A13478" i="1"/>
  <c r="C13477" i="1"/>
  <c r="B13477" i="1"/>
  <c r="A13477" i="1"/>
  <c r="C13476" i="1"/>
  <c r="B13476" i="1"/>
  <c r="A13476" i="1"/>
  <c r="C13475" i="1"/>
  <c r="B13475" i="1"/>
  <c r="A13475" i="1"/>
  <c r="C13474" i="1"/>
  <c r="B13474" i="1"/>
  <c r="A13474" i="1"/>
  <c r="C13473" i="1"/>
  <c r="B13473" i="1"/>
  <c r="A13473" i="1"/>
  <c r="C13472" i="1"/>
  <c r="B13472" i="1"/>
  <c r="A13472" i="1"/>
  <c r="C13471" i="1"/>
  <c r="B13471" i="1"/>
  <c r="A13471" i="1"/>
  <c r="C13470" i="1"/>
  <c r="B13470" i="1"/>
  <c r="A13470" i="1"/>
  <c r="C13469" i="1"/>
  <c r="B13469" i="1"/>
  <c r="A13469" i="1"/>
  <c r="C13468" i="1"/>
  <c r="B13468" i="1"/>
  <c r="A13468" i="1"/>
  <c r="C13467" i="1"/>
  <c r="B13467" i="1"/>
  <c r="A13467" i="1"/>
  <c r="C13466" i="1"/>
  <c r="B13466" i="1"/>
  <c r="A13466" i="1"/>
  <c r="C13465" i="1"/>
  <c r="B13465" i="1"/>
  <c r="A13465" i="1"/>
  <c r="C13464" i="1"/>
  <c r="B13464" i="1"/>
  <c r="A13464" i="1"/>
  <c r="C13463" i="1"/>
  <c r="B13463" i="1"/>
  <c r="A13463" i="1"/>
  <c r="C13462" i="1"/>
  <c r="B13462" i="1"/>
  <c r="A13462" i="1"/>
  <c r="C13461" i="1"/>
  <c r="B13461" i="1"/>
  <c r="A13461" i="1"/>
  <c r="C13460" i="1"/>
  <c r="B13460" i="1"/>
  <c r="A13460" i="1"/>
  <c r="C13459" i="1"/>
  <c r="B13459" i="1"/>
  <c r="A13459" i="1"/>
  <c r="C13458" i="1"/>
  <c r="B13458" i="1"/>
  <c r="A13458" i="1"/>
  <c r="C13457" i="1"/>
  <c r="B13457" i="1"/>
  <c r="A13457" i="1"/>
  <c r="C13456" i="1"/>
  <c r="B13456" i="1"/>
  <c r="A13456" i="1"/>
  <c r="C13455" i="1"/>
  <c r="B13455" i="1"/>
  <c r="A13455" i="1"/>
  <c r="C13454" i="1"/>
  <c r="B13454" i="1"/>
  <c r="A13454" i="1"/>
  <c r="C13453" i="1"/>
  <c r="B13453" i="1"/>
  <c r="A13453" i="1"/>
  <c r="C13452" i="1"/>
  <c r="B13452" i="1"/>
  <c r="A13452" i="1"/>
  <c r="C13451" i="1"/>
  <c r="B13451" i="1"/>
  <c r="A13451" i="1"/>
  <c r="C13450" i="1"/>
  <c r="B13450" i="1"/>
  <c r="A13450" i="1"/>
  <c r="C13449" i="1"/>
  <c r="B13449" i="1"/>
  <c r="A13449" i="1"/>
  <c r="C13448" i="1"/>
  <c r="B13448" i="1"/>
  <c r="A13448" i="1"/>
  <c r="C13447" i="1"/>
  <c r="B13447" i="1"/>
  <c r="A13447" i="1"/>
  <c r="C13446" i="1"/>
  <c r="B13446" i="1"/>
  <c r="A13446" i="1"/>
  <c r="C13445" i="1"/>
  <c r="B13445" i="1"/>
  <c r="A13445" i="1"/>
  <c r="C13444" i="1"/>
  <c r="B13444" i="1"/>
  <c r="A13444" i="1"/>
  <c r="C13443" i="1"/>
  <c r="B13443" i="1"/>
  <c r="A13443" i="1"/>
  <c r="C13442" i="1"/>
  <c r="B13442" i="1"/>
  <c r="A13442" i="1"/>
  <c r="C13441" i="1"/>
  <c r="B13441" i="1"/>
  <c r="A13441" i="1"/>
  <c r="C13440" i="1"/>
  <c r="B13440" i="1"/>
  <c r="A13440" i="1"/>
  <c r="C13439" i="1"/>
  <c r="B13439" i="1"/>
  <c r="A13439" i="1"/>
  <c r="C13438" i="1"/>
  <c r="B13438" i="1"/>
  <c r="A13438" i="1"/>
  <c r="C13437" i="1"/>
  <c r="B13437" i="1"/>
  <c r="A13437" i="1"/>
  <c r="C13436" i="1"/>
  <c r="B13436" i="1"/>
  <c r="A13436" i="1"/>
  <c r="C13435" i="1"/>
  <c r="B13435" i="1"/>
  <c r="A13435" i="1"/>
  <c r="C13434" i="1"/>
  <c r="B13434" i="1"/>
  <c r="A13434" i="1"/>
  <c r="C13433" i="1"/>
  <c r="B13433" i="1"/>
  <c r="A13433" i="1"/>
  <c r="C13432" i="1"/>
  <c r="B13432" i="1"/>
  <c r="A13432" i="1"/>
  <c r="C13431" i="1"/>
  <c r="B13431" i="1"/>
  <c r="A13431" i="1"/>
  <c r="C13430" i="1"/>
  <c r="B13430" i="1"/>
  <c r="A13430" i="1"/>
  <c r="C13429" i="1"/>
  <c r="B13429" i="1"/>
  <c r="A13429" i="1"/>
  <c r="C13428" i="1"/>
  <c r="B13428" i="1"/>
  <c r="A13428" i="1"/>
  <c r="C13427" i="1"/>
  <c r="B13427" i="1"/>
  <c r="A13427" i="1"/>
  <c r="C13426" i="1"/>
  <c r="B13426" i="1"/>
  <c r="A13426" i="1"/>
  <c r="C13425" i="1"/>
  <c r="B13425" i="1"/>
  <c r="A13425" i="1"/>
  <c r="C13424" i="1"/>
  <c r="B13424" i="1"/>
  <c r="A13424" i="1"/>
  <c r="C13423" i="1"/>
  <c r="B13423" i="1"/>
  <c r="A13423" i="1"/>
  <c r="C13422" i="1"/>
  <c r="B13422" i="1"/>
  <c r="A13422" i="1"/>
  <c r="C13421" i="1"/>
  <c r="B13421" i="1"/>
  <c r="A13421" i="1"/>
  <c r="C13420" i="1"/>
  <c r="B13420" i="1"/>
  <c r="A13420" i="1"/>
  <c r="C13419" i="1"/>
  <c r="B13419" i="1"/>
  <c r="A13419" i="1"/>
  <c r="C13418" i="1"/>
  <c r="B13418" i="1"/>
  <c r="A13418" i="1"/>
  <c r="C13417" i="1"/>
  <c r="B13417" i="1"/>
  <c r="A13417" i="1"/>
  <c r="C13416" i="1"/>
  <c r="B13416" i="1"/>
  <c r="A13416" i="1"/>
  <c r="C13415" i="1"/>
  <c r="B13415" i="1"/>
  <c r="A13415" i="1"/>
  <c r="C13414" i="1"/>
  <c r="B13414" i="1"/>
  <c r="A13414" i="1"/>
  <c r="C13413" i="1"/>
  <c r="B13413" i="1"/>
  <c r="A13413" i="1"/>
  <c r="C13412" i="1"/>
  <c r="B13412" i="1"/>
  <c r="A13412" i="1"/>
  <c r="C13411" i="1"/>
  <c r="B13411" i="1"/>
  <c r="A13411" i="1"/>
  <c r="C13410" i="1"/>
  <c r="B13410" i="1"/>
  <c r="A13410" i="1"/>
  <c r="C13409" i="1"/>
  <c r="B13409" i="1"/>
  <c r="A13409" i="1"/>
  <c r="C13408" i="1"/>
  <c r="B13408" i="1"/>
  <c r="A13408" i="1"/>
  <c r="C13407" i="1"/>
  <c r="B13407" i="1"/>
  <c r="A13407" i="1"/>
  <c r="C13406" i="1"/>
  <c r="B13406" i="1"/>
  <c r="A13406" i="1"/>
  <c r="C13405" i="1"/>
  <c r="B13405" i="1"/>
  <c r="A13405" i="1"/>
  <c r="C13404" i="1"/>
  <c r="B13404" i="1"/>
  <c r="A13404" i="1"/>
  <c r="C13403" i="1"/>
  <c r="B13403" i="1"/>
  <c r="A13403" i="1"/>
  <c r="C13402" i="1"/>
  <c r="B13402" i="1"/>
  <c r="A13402" i="1"/>
  <c r="C13401" i="1"/>
  <c r="B13401" i="1"/>
  <c r="A13401" i="1"/>
  <c r="C13400" i="1"/>
  <c r="B13400" i="1"/>
  <c r="A13400" i="1"/>
  <c r="C13399" i="1"/>
  <c r="B13399" i="1"/>
  <c r="A13399" i="1"/>
  <c r="C13398" i="1"/>
  <c r="B13398" i="1"/>
  <c r="A13398" i="1"/>
  <c r="C13397" i="1"/>
  <c r="B13397" i="1"/>
  <c r="A13397" i="1"/>
  <c r="C13396" i="1"/>
  <c r="B13396" i="1"/>
  <c r="A13396" i="1"/>
  <c r="C13395" i="1"/>
  <c r="B13395" i="1"/>
  <c r="A13395" i="1"/>
  <c r="C13394" i="1"/>
  <c r="B13394" i="1"/>
  <c r="A13394" i="1"/>
  <c r="C13393" i="1"/>
  <c r="B13393" i="1"/>
  <c r="A13393" i="1"/>
  <c r="C13392" i="1"/>
  <c r="B13392" i="1"/>
  <c r="A13392" i="1"/>
  <c r="C13391" i="1"/>
  <c r="B13391" i="1"/>
  <c r="A13391" i="1"/>
  <c r="C13390" i="1"/>
  <c r="B13390" i="1"/>
  <c r="A13390" i="1"/>
  <c r="C13389" i="1"/>
  <c r="B13389" i="1"/>
  <c r="A13389" i="1"/>
  <c r="C13388" i="1"/>
  <c r="B13388" i="1"/>
  <c r="A13388" i="1"/>
  <c r="C13387" i="1"/>
  <c r="B13387" i="1"/>
  <c r="A13387" i="1"/>
  <c r="C13386" i="1"/>
  <c r="B13386" i="1"/>
  <c r="A13386" i="1"/>
  <c r="C13385" i="1"/>
  <c r="B13385" i="1"/>
  <c r="A13385" i="1"/>
  <c r="C13384" i="1"/>
  <c r="B13384" i="1"/>
  <c r="A13384" i="1"/>
  <c r="C13383" i="1"/>
  <c r="B13383" i="1"/>
  <c r="A13383" i="1"/>
  <c r="C13382" i="1"/>
  <c r="B13382" i="1"/>
  <c r="A13382" i="1"/>
  <c r="C13381" i="1"/>
  <c r="B13381" i="1"/>
  <c r="A13381" i="1"/>
  <c r="C13380" i="1"/>
  <c r="B13380" i="1"/>
  <c r="A13380" i="1"/>
  <c r="C13379" i="1"/>
  <c r="B13379" i="1"/>
  <c r="A13379" i="1"/>
  <c r="C13378" i="1"/>
  <c r="B13378" i="1"/>
  <c r="A13378" i="1"/>
  <c r="C13377" i="1"/>
  <c r="B13377" i="1"/>
  <c r="A13377" i="1"/>
  <c r="C13376" i="1"/>
  <c r="B13376" i="1"/>
  <c r="A13376" i="1"/>
  <c r="C13375" i="1"/>
  <c r="B13375" i="1"/>
  <c r="A13375" i="1"/>
  <c r="C13374" i="1"/>
  <c r="B13374" i="1"/>
  <c r="A13374" i="1"/>
  <c r="C13373" i="1"/>
  <c r="B13373" i="1"/>
  <c r="A13373" i="1"/>
  <c r="C13372" i="1"/>
  <c r="B13372" i="1"/>
  <c r="A13372" i="1"/>
  <c r="C13371" i="1"/>
  <c r="B13371" i="1"/>
  <c r="A13371" i="1"/>
  <c r="C13370" i="1"/>
  <c r="B13370" i="1"/>
  <c r="A13370" i="1"/>
  <c r="C13369" i="1"/>
  <c r="B13369" i="1"/>
  <c r="A13369" i="1"/>
  <c r="C13368" i="1"/>
  <c r="B13368" i="1"/>
  <c r="A13368" i="1"/>
  <c r="C13367" i="1"/>
  <c r="B13367" i="1"/>
  <c r="A13367" i="1"/>
  <c r="C13366" i="1"/>
  <c r="B13366" i="1"/>
  <c r="A13366" i="1"/>
  <c r="C13365" i="1"/>
  <c r="B13365" i="1"/>
  <c r="A13365" i="1"/>
  <c r="C13364" i="1"/>
  <c r="B13364" i="1"/>
  <c r="A13364" i="1"/>
  <c r="C13363" i="1"/>
  <c r="B13363" i="1"/>
  <c r="A13363" i="1"/>
  <c r="C13362" i="1"/>
  <c r="B13362" i="1"/>
  <c r="A13362" i="1"/>
  <c r="C13361" i="1"/>
  <c r="B13361" i="1"/>
  <c r="A13361" i="1"/>
  <c r="C13360" i="1"/>
  <c r="B13360" i="1"/>
  <c r="A13360" i="1"/>
  <c r="C13359" i="1"/>
  <c r="B13359" i="1"/>
  <c r="A13359" i="1"/>
  <c r="C13358" i="1"/>
  <c r="B13358" i="1"/>
  <c r="A13358" i="1"/>
  <c r="C13357" i="1"/>
  <c r="B13357" i="1"/>
  <c r="A13357" i="1"/>
  <c r="C13356" i="1"/>
  <c r="B13356" i="1"/>
  <c r="A13356" i="1"/>
  <c r="C13355" i="1"/>
  <c r="B13355" i="1"/>
  <c r="A13355" i="1"/>
  <c r="C13354" i="1"/>
  <c r="B13354" i="1"/>
  <c r="A13354" i="1"/>
  <c r="C13353" i="1"/>
  <c r="B13353" i="1"/>
  <c r="A13353" i="1"/>
  <c r="C13352" i="1"/>
  <c r="B13352" i="1"/>
  <c r="A13352" i="1"/>
  <c r="C13351" i="1"/>
  <c r="B13351" i="1"/>
  <c r="A13351" i="1"/>
  <c r="C13350" i="1"/>
  <c r="B13350" i="1"/>
  <c r="A13350" i="1"/>
  <c r="C13349" i="1"/>
  <c r="B13349" i="1"/>
  <c r="A13349" i="1"/>
  <c r="C13348" i="1"/>
  <c r="B13348" i="1"/>
  <c r="A13348" i="1"/>
  <c r="C13347" i="1"/>
  <c r="B13347" i="1"/>
  <c r="A13347" i="1"/>
  <c r="C13346" i="1"/>
  <c r="B13346" i="1"/>
  <c r="A13346" i="1"/>
  <c r="C13345" i="1"/>
  <c r="B13345" i="1"/>
  <c r="A13345" i="1"/>
  <c r="C13344" i="1"/>
  <c r="B13344" i="1"/>
  <c r="A13344" i="1"/>
  <c r="C13343" i="1"/>
  <c r="B13343" i="1"/>
  <c r="A13343" i="1"/>
  <c r="C13342" i="1"/>
  <c r="B13342" i="1"/>
  <c r="A13342" i="1"/>
  <c r="C13341" i="1"/>
  <c r="B13341" i="1"/>
  <c r="A13341" i="1"/>
  <c r="C13340" i="1"/>
  <c r="B13340" i="1"/>
  <c r="A13340" i="1"/>
  <c r="C13339" i="1"/>
  <c r="B13339" i="1"/>
  <c r="A13339" i="1"/>
  <c r="C13338" i="1"/>
  <c r="B13338" i="1"/>
  <c r="A13338" i="1"/>
  <c r="C13337" i="1"/>
  <c r="B13337" i="1"/>
  <c r="A13337" i="1"/>
  <c r="C13336" i="1"/>
  <c r="B13336" i="1"/>
  <c r="A13336" i="1"/>
  <c r="C13335" i="1"/>
  <c r="B13335" i="1"/>
  <c r="A13335" i="1"/>
  <c r="C13334" i="1"/>
  <c r="B13334" i="1"/>
  <c r="A13334" i="1"/>
  <c r="C13333" i="1"/>
  <c r="B13333" i="1"/>
  <c r="A13333" i="1"/>
  <c r="C13332" i="1"/>
  <c r="B13332" i="1"/>
  <c r="A13332" i="1"/>
  <c r="C13331" i="1"/>
  <c r="B13331" i="1"/>
  <c r="A13331" i="1"/>
  <c r="C13330" i="1"/>
  <c r="B13330" i="1"/>
  <c r="A13330" i="1"/>
  <c r="C13329" i="1"/>
  <c r="B13329" i="1"/>
  <c r="A13329" i="1"/>
  <c r="C13328" i="1"/>
  <c r="B13328" i="1"/>
  <c r="A13328" i="1"/>
  <c r="C13327" i="1"/>
  <c r="B13327" i="1"/>
  <c r="A13327" i="1"/>
  <c r="C13326" i="1"/>
  <c r="B13326" i="1"/>
  <c r="A13326" i="1"/>
  <c r="C13325" i="1"/>
  <c r="B13325" i="1"/>
  <c r="A13325" i="1"/>
  <c r="C13324" i="1"/>
  <c r="B13324" i="1"/>
  <c r="A13324" i="1"/>
  <c r="C13323" i="1"/>
  <c r="B13323" i="1"/>
  <c r="A13323" i="1"/>
  <c r="C13322" i="1"/>
  <c r="B13322" i="1"/>
  <c r="A13322" i="1"/>
  <c r="C13321" i="1"/>
  <c r="B13321" i="1"/>
  <c r="A13321" i="1"/>
  <c r="C13320" i="1"/>
  <c r="B13320" i="1"/>
  <c r="A13320" i="1"/>
  <c r="C13319" i="1"/>
  <c r="B13319" i="1"/>
  <c r="A13319" i="1"/>
  <c r="C13318" i="1"/>
  <c r="B13318" i="1"/>
  <c r="A13318" i="1"/>
  <c r="C13317" i="1"/>
  <c r="B13317" i="1"/>
  <c r="A13317" i="1"/>
  <c r="C13316" i="1"/>
  <c r="B13316" i="1"/>
  <c r="A13316" i="1"/>
  <c r="C13315" i="1"/>
  <c r="B13315" i="1"/>
  <c r="A13315" i="1"/>
  <c r="C13314" i="1"/>
  <c r="B13314" i="1"/>
  <c r="A13314" i="1"/>
  <c r="C13313" i="1"/>
  <c r="B13313" i="1"/>
  <c r="A13313" i="1"/>
  <c r="C13312" i="1"/>
  <c r="B13312" i="1"/>
  <c r="A13312" i="1"/>
  <c r="C13311" i="1"/>
  <c r="B13311" i="1"/>
  <c r="A13311" i="1"/>
  <c r="C13310" i="1"/>
  <c r="B13310" i="1"/>
  <c r="A13310" i="1"/>
  <c r="C13309" i="1"/>
  <c r="B13309" i="1"/>
  <c r="A13309" i="1"/>
  <c r="C13308" i="1"/>
  <c r="B13308" i="1"/>
  <c r="A13308" i="1"/>
  <c r="C13307" i="1"/>
  <c r="B13307" i="1"/>
  <c r="A13307" i="1"/>
  <c r="C13306" i="1"/>
  <c r="B13306" i="1"/>
  <c r="A13306" i="1"/>
  <c r="C13305" i="1"/>
  <c r="B13305" i="1"/>
  <c r="A13305" i="1"/>
  <c r="C13304" i="1"/>
  <c r="B13304" i="1"/>
  <c r="A13304" i="1"/>
  <c r="C13303" i="1"/>
  <c r="B13303" i="1"/>
  <c r="A13303" i="1"/>
  <c r="C13302" i="1"/>
  <c r="B13302" i="1"/>
  <c r="A13302" i="1"/>
  <c r="C13301" i="1"/>
  <c r="B13301" i="1"/>
  <c r="A13301" i="1"/>
  <c r="C13300" i="1"/>
  <c r="B13300" i="1"/>
  <c r="A13300" i="1"/>
  <c r="C13299" i="1"/>
  <c r="B13299" i="1"/>
  <c r="A13299" i="1"/>
  <c r="C13298" i="1"/>
  <c r="B13298" i="1"/>
  <c r="A13298" i="1"/>
  <c r="C13297" i="1"/>
  <c r="B13297" i="1"/>
  <c r="A13297" i="1"/>
  <c r="C13296" i="1"/>
  <c r="B13296" i="1"/>
  <c r="A13296" i="1"/>
  <c r="C13295" i="1"/>
  <c r="B13295" i="1"/>
  <c r="A13295" i="1"/>
  <c r="C13294" i="1"/>
  <c r="B13294" i="1"/>
  <c r="A13294" i="1"/>
  <c r="C13293" i="1"/>
  <c r="B13293" i="1"/>
  <c r="A13293" i="1"/>
  <c r="C13292" i="1"/>
  <c r="B13292" i="1"/>
  <c r="A13292" i="1"/>
  <c r="C13291" i="1"/>
  <c r="B13291" i="1"/>
  <c r="A13291" i="1"/>
  <c r="C13290" i="1"/>
  <c r="B13290" i="1"/>
  <c r="A13290" i="1"/>
  <c r="C13289" i="1"/>
  <c r="B13289" i="1"/>
  <c r="A13289" i="1"/>
  <c r="C13288" i="1"/>
  <c r="B13288" i="1"/>
  <c r="A13288" i="1"/>
  <c r="C13287" i="1"/>
  <c r="B13287" i="1"/>
  <c r="A13287" i="1"/>
  <c r="C13286" i="1"/>
  <c r="B13286" i="1"/>
  <c r="A13286" i="1"/>
  <c r="C13285" i="1"/>
  <c r="B13285" i="1"/>
  <c r="A13285" i="1"/>
  <c r="C13284" i="1"/>
  <c r="B13284" i="1"/>
  <c r="A13284" i="1"/>
  <c r="C13283" i="1"/>
  <c r="B13283" i="1"/>
  <c r="A13283" i="1"/>
  <c r="C13282" i="1"/>
  <c r="B13282" i="1"/>
  <c r="A13282" i="1"/>
  <c r="C13281" i="1"/>
  <c r="B13281" i="1"/>
  <c r="A13281" i="1"/>
  <c r="C13280" i="1"/>
  <c r="B13280" i="1"/>
  <c r="A13280" i="1"/>
  <c r="C13279" i="1"/>
  <c r="B13279" i="1"/>
  <c r="A13279" i="1"/>
  <c r="C13278" i="1"/>
  <c r="B13278" i="1"/>
  <c r="A13278" i="1"/>
  <c r="C13277" i="1"/>
  <c r="B13277" i="1"/>
  <c r="A13277" i="1"/>
  <c r="C13276" i="1"/>
  <c r="B13276" i="1"/>
  <c r="A13276" i="1"/>
  <c r="C13275" i="1"/>
  <c r="B13275" i="1"/>
  <c r="A13275" i="1"/>
  <c r="C13274" i="1"/>
  <c r="B13274" i="1"/>
  <c r="A13274" i="1"/>
  <c r="C13273" i="1"/>
  <c r="B13273" i="1"/>
  <c r="A13273" i="1"/>
  <c r="C13272" i="1"/>
  <c r="B13272" i="1"/>
  <c r="A13272" i="1"/>
  <c r="C13271" i="1"/>
  <c r="B13271" i="1"/>
  <c r="A13271" i="1"/>
  <c r="C13270" i="1"/>
  <c r="B13270" i="1"/>
  <c r="A13270" i="1"/>
  <c r="C13269" i="1"/>
  <c r="B13269" i="1"/>
  <c r="A13269" i="1"/>
  <c r="C13268" i="1"/>
  <c r="B13268" i="1"/>
  <c r="A13268" i="1"/>
  <c r="C13267" i="1"/>
  <c r="B13267" i="1"/>
  <c r="A13267" i="1"/>
  <c r="C13266" i="1"/>
  <c r="B13266" i="1"/>
  <c r="A13266" i="1"/>
  <c r="C13265" i="1"/>
  <c r="B13265" i="1"/>
  <c r="A13265" i="1"/>
  <c r="C13264" i="1"/>
  <c r="B13264" i="1"/>
  <c r="A13264" i="1"/>
  <c r="C13263" i="1"/>
  <c r="B13263" i="1"/>
  <c r="A13263" i="1"/>
  <c r="C13262" i="1"/>
  <c r="B13262" i="1"/>
  <c r="A13262" i="1"/>
  <c r="C13261" i="1"/>
  <c r="B13261" i="1"/>
  <c r="A13261" i="1"/>
  <c r="C13260" i="1"/>
  <c r="B13260" i="1"/>
  <c r="A13260" i="1"/>
  <c r="C13259" i="1"/>
  <c r="B13259" i="1"/>
  <c r="A13259" i="1"/>
  <c r="C13258" i="1"/>
  <c r="B13258" i="1"/>
  <c r="A13258" i="1"/>
  <c r="C13257" i="1"/>
  <c r="B13257" i="1"/>
  <c r="A13257" i="1"/>
  <c r="C13256" i="1"/>
  <c r="B13256" i="1"/>
  <c r="A13256" i="1"/>
  <c r="C13255" i="1"/>
  <c r="B13255" i="1"/>
  <c r="A13255" i="1"/>
  <c r="C13254" i="1"/>
  <c r="B13254" i="1"/>
  <c r="A13254" i="1"/>
  <c r="C13253" i="1"/>
  <c r="B13253" i="1"/>
  <c r="A13253" i="1"/>
  <c r="C13252" i="1"/>
  <c r="B13252" i="1"/>
  <c r="A13252" i="1"/>
  <c r="C13251" i="1"/>
  <c r="B13251" i="1"/>
  <c r="A13251" i="1"/>
  <c r="C13250" i="1"/>
  <c r="B13250" i="1"/>
  <c r="A13250" i="1"/>
  <c r="C13249" i="1"/>
  <c r="B13249" i="1"/>
  <c r="A13249" i="1"/>
  <c r="C13248" i="1"/>
  <c r="B13248" i="1"/>
  <c r="A13248" i="1"/>
  <c r="C13247" i="1"/>
  <c r="B13247" i="1"/>
  <c r="A13247" i="1"/>
  <c r="C13246" i="1"/>
  <c r="B13246" i="1"/>
  <c r="A13246" i="1"/>
  <c r="C13245" i="1"/>
  <c r="B13245" i="1"/>
  <c r="A13245" i="1"/>
  <c r="C13244" i="1"/>
  <c r="B13244" i="1"/>
  <c r="A13244" i="1"/>
  <c r="C13243" i="1"/>
  <c r="B13243" i="1"/>
  <c r="A13243" i="1"/>
  <c r="C13242" i="1"/>
  <c r="B13242" i="1"/>
  <c r="A13242" i="1"/>
  <c r="C13241" i="1"/>
  <c r="B13241" i="1"/>
  <c r="A13241" i="1"/>
  <c r="C13240" i="1"/>
  <c r="B13240" i="1"/>
  <c r="A13240" i="1"/>
  <c r="C13239" i="1"/>
  <c r="B13239" i="1"/>
  <c r="A13239" i="1"/>
  <c r="C13238" i="1"/>
  <c r="B13238" i="1"/>
  <c r="A13238" i="1"/>
  <c r="C13237" i="1"/>
  <c r="B13237" i="1"/>
  <c r="A13237" i="1"/>
  <c r="C13236" i="1"/>
  <c r="B13236" i="1"/>
  <c r="A13236" i="1"/>
  <c r="C13235" i="1"/>
  <c r="B13235" i="1"/>
  <c r="A13235" i="1"/>
  <c r="C13234" i="1"/>
  <c r="B13234" i="1"/>
  <c r="A13234" i="1"/>
  <c r="C13233" i="1"/>
  <c r="B13233" i="1"/>
  <c r="A13233" i="1"/>
  <c r="C13232" i="1"/>
  <c r="B13232" i="1"/>
  <c r="A13232" i="1"/>
  <c r="C13231" i="1"/>
  <c r="B13231" i="1"/>
  <c r="A13231" i="1"/>
  <c r="C13230" i="1"/>
  <c r="B13230" i="1"/>
  <c r="A13230" i="1"/>
  <c r="C13229" i="1"/>
  <c r="B13229" i="1"/>
  <c r="A13229" i="1"/>
  <c r="C13228" i="1"/>
  <c r="B13228" i="1"/>
  <c r="A13228" i="1"/>
  <c r="C13227" i="1"/>
  <c r="B13227" i="1"/>
  <c r="A13227" i="1"/>
  <c r="C13226" i="1"/>
  <c r="B13226" i="1"/>
  <c r="A13226" i="1"/>
  <c r="C13225" i="1"/>
  <c r="B13225" i="1"/>
  <c r="A13225" i="1"/>
  <c r="C13224" i="1"/>
  <c r="B13224" i="1"/>
  <c r="A13224" i="1"/>
  <c r="C13223" i="1"/>
  <c r="B13223" i="1"/>
  <c r="A13223" i="1"/>
  <c r="C13222" i="1"/>
  <c r="B13222" i="1"/>
  <c r="A13222" i="1"/>
  <c r="C13221" i="1"/>
  <c r="B13221" i="1"/>
  <c r="A13221" i="1"/>
  <c r="C13220" i="1"/>
  <c r="B13220" i="1"/>
  <c r="A13220" i="1"/>
  <c r="C13219" i="1"/>
  <c r="B13219" i="1"/>
  <c r="A13219" i="1"/>
  <c r="C13218" i="1"/>
  <c r="B13218" i="1"/>
  <c r="A13218" i="1"/>
  <c r="C13217" i="1"/>
  <c r="B13217" i="1"/>
  <c r="A13217" i="1"/>
  <c r="C13216" i="1"/>
  <c r="B13216" i="1"/>
  <c r="A13216" i="1"/>
  <c r="C13215" i="1"/>
  <c r="B13215" i="1"/>
  <c r="A13215" i="1"/>
  <c r="C13214" i="1"/>
  <c r="B13214" i="1"/>
  <c r="A13214" i="1"/>
  <c r="C13213" i="1"/>
  <c r="B13213" i="1"/>
  <c r="A13213" i="1"/>
  <c r="C13212" i="1"/>
  <c r="B13212" i="1"/>
  <c r="A13212" i="1"/>
  <c r="C13211" i="1"/>
  <c r="B13211" i="1"/>
  <c r="A13211" i="1"/>
  <c r="C13210" i="1"/>
  <c r="B13210" i="1"/>
  <c r="A13210" i="1"/>
  <c r="C13209" i="1"/>
  <c r="B13209" i="1"/>
  <c r="A13209" i="1"/>
  <c r="C13208" i="1"/>
  <c r="B13208" i="1"/>
  <c r="A13208" i="1"/>
  <c r="C13207" i="1"/>
  <c r="B13207" i="1"/>
  <c r="A13207" i="1"/>
  <c r="C13206" i="1"/>
  <c r="B13206" i="1"/>
  <c r="A13206" i="1"/>
  <c r="C13205" i="1"/>
  <c r="B13205" i="1"/>
  <c r="A13205" i="1"/>
  <c r="C13204" i="1"/>
  <c r="B13204" i="1"/>
  <c r="A13204" i="1"/>
  <c r="C13203" i="1"/>
  <c r="B13203" i="1"/>
  <c r="A13203" i="1"/>
  <c r="C13202" i="1"/>
  <c r="B13202" i="1"/>
  <c r="A13202" i="1"/>
  <c r="C13201" i="1"/>
  <c r="B13201" i="1"/>
  <c r="A13201" i="1"/>
  <c r="C13200" i="1"/>
  <c r="B13200" i="1"/>
  <c r="A13200" i="1"/>
  <c r="C13199" i="1"/>
  <c r="B13199" i="1"/>
  <c r="A13199" i="1"/>
  <c r="C13198" i="1"/>
  <c r="B13198" i="1"/>
  <c r="A13198" i="1"/>
  <c r="C13197" i="1"/>
  <c r="B13197" i="1"/>
  <c r="A13197" i="1"/>
  <c r="C13196" i="1"/>
  <c r="B13196" i="1"/>
  <c r="A13196" i="1"/>
  <c r="C13195" i="1"/>
  <c r="B13195" i="1"/>
  <c r="A13195" i="1"/>
  <c r="C13194" i="1"/>
  <c r="B13194" i="1"/>
  <c r="A13194" i="1"/>
  <c r="C13193" i="1"/>
  <c r="B13193" i="1"/>
  <c r="A13193" i="1"/>
  <c r="C13192" i="1"/>
  <c r="B13192" i="1"/>
  <c r="A13192" i="1"/>
  <c r="C13191" i="1"/>
  <c r="B13191" i="1"/>
  <c r="A13191" i="1"/>
  <c r="C13190" i="1"/>
  <c r="B13190" i="1"/>
  <c r="A13190" i="1"/>
  <c r="C13189" i="1"/>
  <c r="B13189" i="1"/>
  <c r="A13189" i="1"/>
  <c r="C13188" i="1"/>
  <c r="B13188" i="1"/>
  <c r="A13188" i="1"/>
  <c r="C13187" i="1"/>
  <c r="B13187" i="1"/>
  <c r="A13187" i="1"/>
  <c r="C13186" i="1"/>
  <c r="B13186" i="1"/>
  <c r="A13186" i="1"/>
  <c r="C13185" i="1"/>
  <c r="B13185" i="1"/>
  <c r="A13185" i="1"/>
  <c r="C13184" i="1"/>
  <c r="B13184" i="1"/>
  <c r="A13184" i="1"/>
  <c r="C13183" i="1"/>
  <c r="B13183" i="1"/>
  <c r="A13183" i="1"/>
  <c r="C13182" i="1"/>
  <c r="B13182" i="1"/>
  <c r="A13182" i="1"/>
  <c r="C13181" i="1"/>
  <c r="B13181" i="1"/>
  <c r="A13181" i="1"/>
  <c r="C13180" i="1"/>
  <c r="B13180" i="1"/>
  <c r="A13180" i="1"/>
  <c r="C13179" i="1"/>
  <c r="B13179" i="1"/>
  <c r="A13179" i="1"/>
  <c r="C13178" i="1"/>
  <c r="B13178" i="1"/>
  <c r="A13178" i="1"/>
  <c r="C13177" i="1"/>
  <c r="B13177" i="1"/>
  <c r="A13177" i="1"/>
  <c r="C13176" i="1"/>
  <c r="B13176" i="1"/>
  <c r="A13176" i="1"/>
  <c r="C13175" i="1"/>
  <c r="B13175" i="1"/>
  <c r="A13175" i="1"/>
  <c r="C13174" i="1"/>
  <c r="B13174" i="1"/>
  <c r="A13174" i="1"/>
  <c r="C13173" i="1"/>
  <c r="B13173" i="1"/>
  <c r="A13173" i="1"/>
  <c r="C13172" i="1"/>
  <c r="B13172" i="1"/>
  <c r="A13172" i="1"/>
  <c r="C13171" i="1"/>
  <c r="B13171" i="1"/>
  <c r="A13171" i="1"/>
  <c r="C13170" i="1"/>
  <c r="B13170" i="1"/>
  <c r="A13170" i="1"/>
  <c r="C13169" i="1"/>
  <c r="B13169" i="1"/>
  <c r="A13169" i="1"/>
  <c r="C13168" i="1"/>
  <c r="B13168" i="1"/>
  <c r="A13168" i="1"/>
  <c r="C13167" i="1"/>
  <c r="B13167" i="1"/>
  <c r="A13167" i="1"/>
  <c r="C13166" i="1"/>
  <c r="B13166" i="1"/>
  <c r="A13166" i="1"/>
  <c r="C13165" i="1"/>
  <c r="B13165" i="1"/>
  <c r="A13165" i="1"/>
  <c r="C13164" i="1"/>
  <c r="B13164" i="1"/>
  <c r="A13164" i="1"/>
  <c r="C13163" i="1"/>
  <c r="B13163" i="1"/>
  <c r="A13163" i="1"/>
  <c r="C13162" i="1"/>
  <c r="B13162" i="1"/>
  <c r="A13162" i="1"/>
  <c r="C13161" i="1"/>
  <c r="B13161" i="1"/>
  <c r="A13161" i="1"/>
  <c r="C13160" i="1"/>
  <c r="B13160" i="1"/>
  <c r="A13160" i="1"/>
  <c r="C13159" i="1"/>
  <c r="B13159" i="1"/>
  <c r="A13159" i="1"/>
  <c r="C13158" i="1"/>
  <c r="B13158" i="1"/>
  <c r="A13158" i="1"/>
  <c r="C13157" i="1"/>
  <c r="B13157" i="1"/>
  <c r="A13157" i="1"/>
  <c r="C13156" i="1"/>
  <c r="B13156" i="1"/>
  <c r="A13156" i="1"/>
  <c r="C13155" i="1"/>
  <c r="B13155" i="1"/>
  <c r="A13155" i="1"/>
  <c r="C13154" i="1"/>
  <c r="B13154" i="1"/>
  <c r="A13154" i="1"/>
  <c r="C13153" i="1"/>
  <c r="B13153" i="1"/>
  <c r="A13153" i="1"/>
  <c r="C13152" i="1"/>
  <c r="B13152" i="1"/>
  <c r="A13152" i="1"/>
  <c r="C13151" i="1"/>
  <c r="B13151" i="1"/>
  <c r="A13151" i="1"/>
  <c r="C13150" i="1"/>
  <c r="B13150" i="1"/>
  <c r="A13150" i="1"/>
  <c r="C13149" i="1"/>
  <c r="B13149" i="1"/>
  <c r="A13149" i="1"/>
  <c r="C13148" i="1"/>
  <c r="B13148" i="1"/>
  <c r="A13148" i="1"/>
  <c r="C13147" i="1"/>
  <c r="B13147" i="1"/>
  <c r="A13147" i="1"/>
  <c r="C13146" i="1"/>
  <c r="B13146" i="1"/>
  <c r="A13146" i="1"/>
  <c r="C13145" i="1"/>
  <c r="B13145" i="1"/>
  <c r="A13145" i="1"/>
  <c r="C13144" i="1"/>
  <c r="B13144" i="1"/>
  <c r="A13144" i="1"/>
  <c r="C13143" i="1"/>
  <c r="B13143" i="1"/>
  <c r="A13143" i="1"/>
  <c r="C13142" i="1"/>
  <c r="B13142" i="1"/>
  <c r="A13142" i="1"/>
  <c r="C13141" i="1"/>
  <c r="B13141" i="1"/>
  <c r="A13141" i="1"/>
  <c r="C13140" i="1"/>
  <c r="B13140" i="1"/>
  <c r="A13140" i="1"/>
  <c r="C13139" i="1"/>
  <c r="B13139" i="1"/>
  <c r="A13139" i="1"/>
  <c r="C13138" i="1"/>
  <c r="B13138" i="1"/>
  <c r="A13138" i="1"/>
  <c r="C13137" i="1"/>
  <c r="B13137" i="1"/>
  <c r="A13137" i="1"/>
  <c r="C13136" i="1"/>
  <c r="B13136" i="1"/>
  <c r="A13136" i="1"/>
  <c r="C13135" i="1"/>
  <c r="B13135" i="1"/>
  <c r="A13135" i="1"/>
  <c r="C13134" i="1"/>
  <c r="B13134" i="1"/>
  <c r="A13134" i="1"/>
  <c r="C13133" i="1"/>
  <c r="B13133" i="1"/>
  <c r="A13133" i="1"/>
  <c r="C13132" i="1"/>
  <c r="B13132" i="1"/>
  <c r="A13132" i="1"/>
  <c r="C13131" i="1"/>
  <c r="B13131" i="1"/>
  <c r="A13131" i="1"/>
  <c r="C13130" i="1"/>
  <c r="B13130" i="1"/>
  <c r="A13130" i="1"/>
  <c r="C13129" i="1"/>
  <c r="B13129" i="1"/>
  <c r="A13129" i="1"/>
  <c r="C13128" i="1"/>
  <c r="B13128" i="1"/>
  <c r="A13128" i="1"/>
  <c r="C13127" i="1"/>
  <c r="B13127" i="1"/>
  <c r="A13127" i="1"/>
  <c r="C13126" i="1"/>
  <c r="B13126" i="1"/>
  <c r="A13126" i="1"/>
  <c r="C13125" i="1"/>
  <c r="B13125" i="1"/>
  <c r="A13125" i="1"/>
  <c r="C13124" i="1"/>
  <c r="B13124" i="1"/>
  <c r="A13124" i="1"/>
  <c r="C13123" i="1"/>
  <c r="B13123" i="1"/>
  <c r="A13123" i="1"/>
  <c r="C13122" i="1"/>
  <c r="B13122" i="1"/>
  <c r="A13122" i="1"/>
  <c r="C13121" i="1"/>
  <c r="B13121" i="1"/>
  <c r="A13121" i="1"/>
  <c r="C13120" i="1"/>
  <c r="B13120" i="1"/>
  <c r="A13120" i="1"/>
  <c r="C13119" i="1"/>
  <c r="B13119" i="1"/>
  <c r="A13119" i="1"/>
  <c r="C13118" i="1"/>
  <c r="B13118" i="1"/>
  <c r="A13118" i="1"/>
  <c r="C13117" i="1"/>
  <c r="B13117" i="1"/>
  <c r="A13117" i="1"/>
  <c r="C13116" i="1"/>
  <c r="B13116" i="1"/>
  <c r="A13116" i="1"/>
  <c r="C13115" i="1"/>
  <c r="B13115" i="1"/>
  <c r="A13115" i="1"/>
  <c r="C13114" i="1"/>
  <c r="B13114" i="1"/>
  <c r="A13114" i="1"/>
  <c r="C13113" i="1"/>
  <c r="B13113" i="1"/>
  <c r="A13113" i="1"/>
  <c r="C13112" i="1"/>
  <c r="B13112" i="1"/>
  <c r="A13112" i="1"/>
  <c r="C13111" i="1"/>
  <c r="B13111" i="1"/>
  <c r="A13111" i="1"/>
  <c r="C13110" i="1"/>
  <c r="B13110" i="1"/>
  <c r="A13110" i="1"/>
  <c r="C13109" i="1"/>
  <c r="B13109" i="1"/>
  <c r="A13109" i="1"/>
  <c r="C13108" i="1"/>
  <c r="B13108" i="1"/>
  <c r="A13108" i="1"/>
  <c r="C13107" i="1"/>
  <c r="B13107" i="1"/>
  <c r="A13107" i="1"/>
  <c r="C13106" i="1"/>
  <c r="B13106" i="1"/>
  <c r="A13106" i="1"/>
  <c r="C13105" i="1"/>
  <c r="B13105" i="1"/>
  <c r="A13105" i="1"/>
  <c r="C13104" i="1"/>
  <c r="B13104" i="1"/>
  <c r="A13104" i="1"/>
  <c r="C13103" i="1"/>
  <c r="B13103" i="1"/>
  <c r="A13103" i="1"/>
  <c r="C13102" i="1"/>
  <c r="B13102" i="1"/>
  <c r="A13102" i="1"/>
  <c r="C13101" i="1"/>
  <c r="B13101" i="1"/>
  <c r="A13101" i="1"/>
  <c r="C13100" i="1"/>
  <c r="B13100" i="1"/>
  <c r="A13100" i="1"/>
  <c r="C13099" i="1"/>
  <c r="B13099" i="1"/>
  <c r="A13099" i="1"/>
  <c r="C13098" i="1"/>
  <c r="B13098" i="1"/>
  <c r="A13098" i="1"/>
  <c r="C13097" i="1"/>
  <c r="B13097" i="1"/>
  <c r="A13097" i="1"/>
  <c r="C13096" i="1"/>
  <c r="B13096" i="1"/>
  <c r="A13096" i="1"/>
  <c r="C13095" i="1"/>
  <c r="B13095" i="1"/>
  <c r="A13095" i="1"/>
  <c r="C13094" i="1"/>
  <c r="B13094" i="1"/>
  <c r="A13094" i="1"/>
  <c r="C13093" i="1"/>
  <c r="B13093" i="1"/>
  <c r="A13093" i="1"/>
  <c r="C13092" i="1"/>
  <c r="B13092" i="1"/>
  <c r="A13092" i="1"/>
  <c r="C13091" i="1"/>
  <c r="B13091" i="1"/>
  <c r="A13091" i="1"/>
  <c r="C13090" i="1"/>
  <c r="B13090" i="1"/>
  <c r="A13090" i="1"/>
  <c r="C13089" i="1"/>
  <c r="B13089" i="1"/>
  <c r="A13089" i="1"/>
  <c r="C13088" i="1"/>
  <c r="B13088" i="1"/>
  <c r="A13088" i="1"/>
  <c r="C13087" i="1"/>
  <c r="B13087" i="1"/>
  <c r="A13087" i="1"/>
  <c r="C13086" i="1"/>
  <c r="B13086" i="1"/>
  <c r="A13086" i="1"/>
  <c r="C13085" i="1"/>
  <c r="B13085" i="1"/>
  <c r="A13085" i="1"/>
  <c r="C13084" i="1"/>
  <c r="B13084" i="1"/>
  <c r="A13084" i="1"/>
  <c r="C13083" i="1"/>
  <c r="B13083" i="1"/>
  <c r="A13083" i="1"/>
  <c r="C13082" i="1"/>
  <c r="B13082" i="1"/>
  <c r="A13082" i="1"/>
  <c r="C13081" i="1"/>
  <c r="B13081" i="1"/>
  <c r="A13081" i="1"/>
  <c r="C13080" i="1"/>
  <c r="B13080" i="1"/>
  <c r="A13080" i="1"/>
  <c r="C13079" i="1"/>
  <c r="B13079" i="1"/>
  <c r="A13079" i="1"/>
  <c r="C13078" i="1"/>
  <c r="B13078" i="1"/>
  <c r="A13078" i="1"/>
  <c r="C13077" i="1"/>
  <c r="B13077" i="1"/>
  <c r="A13077" i="1"/>
  <c r="C13076" i="1"/>
  <c r="B13076" i="1"/>
  <c r="A13076" i="1"/>
  <c r="C13075" i="1"/>
  <c r="B13075" i="1"/>
  <c r="A13075" i="1"/>
  <c r="C13074" i="1"/>
  <c r="B13074" i="1"/>
  <c r="A13074" i="1"/>
  <c r="C13073" i="1"/>
  <c r="B13073" i="1"/>
  <c r="A13073" i="1"/>
  <c r="C13072" i="1"/>
  <c r="B13072" i="1"/>
  <c r="A13072" i="1"/>
  <c r="C13071" i="1"/>
  <c r="B13071" i="1"/>
  <c r="A13071" i="1"/>
  <c r="C13070" i="1"/>
  <c r="B13070" i="1"/>
  <c r="A13070" i="1"/>
  <c r="C13069" i="1"/>
  <c r="B13069" i="1"/>
  <c r="A13069" i="1"/>
  <c r="C13068" i="1"/>
  <c r="B13068" i="1"/>
  <c r="A13068" i="1"/>
  <c r="C13067" i="1"/>
  <c r="B13067" i="1"/>
  <c r="A13067" i="1"/>
  <c r="C13066" i="1"/>
  <c r="B13066" i="1"/>
  <c r="A13066" i="1"/>
  <c r="C13065" i="1"/>
  <c r="B13065" i="1"/>
  <c r="A13065" i="1"/>
  <c r="C13064" i="1"/>
  <c r="B13064" i="1"/>
  <c r="A13064" i="1"/>
  <c r="C13063" i="1"/>
  <c r="B13063" i="1"/>
  <c r="A13063" i="1"/>
  <c r="C13062" i="1"/>
  <c r="B13062" i="1"/>
  <c r="A13062" i="1"/>
  <c r="C13061" i="1"/>
  <c r="B13061" i="1"/>
  <c r="A13061" i="1"/>
  <c r="C13060" i="1"/>
  <c r="B13060" i="1"/>
  <c r="A13060" i="1"/>
  <c r="C13059" i="1"/>
  <c r="B13059" i="1"/>
  <c r="A13059" i="1"/>
  <c r="C13058" i="1"/>
  <c r="B13058" i="1"/>
  <c r="A13058" i="1"/>
  <c r="C13057" i="1"/>
  <c r="B13057" i="1"/>
  <c r="A13057" i="1"/>
  <c r="C13056" i="1"/>
  <c r="B13056" i="1"/>
  <c r="A13056" i="1"/>
  <c r="C13055" i="1"/>
  <c r="B13055" i="1"/>
  <c r="A13055" i="1"/>
  <c r="C13054" i="1"/>
  <c r="B13054" i="1"/>
  <c r="A13054" i="1"/>
  <c r="C13053" i="1"/>
  <c r="B13053" i="1"/>
  <c r="A13053" i="1"/>
  <c r="C13052" i="1"/>
  <c r="B13052" i="1"/>
  <c r="A13052" i="1"/>
  <c r="C13051" i="1"/>
  <c r="B13051" i="1"/>
  <c r="A13051" i="1"/>
  <c r="C13050" i="1"/>
  <c r="B13050" i="1"/>
  <c r="A13050" i="1"/>
  <c r="C13049" i="1"/>
  <c r="B13049" i="1"/>
  <c r="A13049" i="1"/>
  <c r="C13048" i="1"/>
  <c r="B13048" i="1"/>
  <c r="A13048" i="1"/>
  <c r="C13047" i="1"/>
  <c r="B13047" i="1"/>
  <c r="A13047" i="1"/>
  <c r="C13046" i="1"/>
  <c r="B13046" i="1"/>
  <c r="A13046" i="1"/>
  <c r="C13045" i="1"/>
  <c r="B13045" i="1"/>
  <c r="A13045" i="1"/>
  <c r="C13044" i="1"/>
  <c r="B13044" i="1"/>
  <c r="A13044" i="1"/>
  <c r="C13043" i="1"/>
  <c r="B13043" i="1"/>
  <c r="A13043" i="1"/>
  <c r="C13042" i="1"/>
  <c r="B13042" i="1"/>
  <c r="A13042" i="1"/>
  <c r="C13041" i="1"/>
  <c r="B13041" i="1"/>
  <c r="A13041" i="1"/>
  <c r="C13040" i="1"/>
  <c r="B13040" i="1"/>
  <c r="A13040" i="1"/>
  <c r="C13039" i="1"/>
  <c r="B13039" i="1"/>
  <c r="A13039" i="1"/>
  <c r="C13038" i="1"/>
  <c r="B13038" i="1"/>
  <c r="A13038" i="1"/>
  <c r="C13037" i="1"/>
  <c r="B13037" i="1"/>
  <c r="A13037" i="1"/>
  <c r="C13036" i="1"/>
  <c r="B13036" i="1"/>
  <c r="A13036" i="1"/>
  <c r="C13035" i="1"/>
  <c r="B13035" i="1"/>
  <c r="A13035" i="1"/>
  <c r="C13034" i="1"/>
  <c r="B13034" i="1"/>
  <c r="A13034" i="1"/>
  <c r="C13033" i="1"/>
  <c r="B13033" i="1"/>
  <c r="A13033" i="1"/>
  <c r="C13032" i="1"/>
  <c r="B13032" i="1"/>
  <c r="A13032" i="1"/>
  <c r="C13031" i="1"/>
  <c r="B13031" i="1"/>
  <c r="A13031" i="1"/>
  <c r="C13030" i="1"/>
  <c r="B13030" i="1"/>
  <c r="A13030" i="1"/>
  <c r="C13029" i="1"/>
  <c r="B13029" i="1"/>
  <c r="A13029" i="1"/>
  <c r="C13028" i="1"/>
  <c r="B13028" i="1"/>
  <c r="A13028" i="1"/>
  <c r="C13027" i="1"/>
  <c r="B13027" i="1"/>
  <c r="A13027" i="1"/>
  <c r="C13026" i="1"/>
  <c r="B13026" i="1"/>
  <c r="A13026" i="1"/>
  <c r="C13025" i="1"/>
  <c r="B13025" i="1"/>
  <c r="A13025" i="1"/>
  <c r="C13024" i="1"/>
  <c r="B13024" i="1"/>
  <c r="A13024" i="1"/>
  <c r="C13023" i="1"/>
  <c r="B13023" i="1"/>
  <c r="A13023" i="1"/>
  <c r="C13022" i="1"/>
  <c r="B13022" i="1"/>
  <c r="A13022" i="1"/>
  <c r="C13021" i="1"/>
  <c r="B13021" i="1"/>
  <c r="A13021" i="1"/>
  <c r="C13020" i="1"/>
  <c r="B13020" i="1"/>
  <c r="A13020" i="1"/>
  <c r="C13019" i="1"/>
  <c r="B13019" i="1"/>
  <c r="A13019" i="1"/>
  <c r="C13018" i="1"/>
  <c r="B13018" i="1"/>
  <c r="A13018" i="1"/>
  <c r="C13017" i="1"/>
  <c r="B13017" i="1"/>
  <c r="A13017" i="1"/>
  <c r="C13016" i="1"/>
  <c r="B13016" i="1"/>
  <c r="A13016" i="1"/>
  <c r="C13015" i="1"/>
  <c r="B13015" i="1"/>
  <c r="A13015" i="1"/>
  <c r="C13014" i="1"/>
  <c r="B13014" i="1"/>
  <c r="A13014" i="1"/>
  <c r="C13013" i="1"/>
  <c r="B13013" i="1"/>
  <c r="A13013" i="1"/>
  <c r="C13012" i="1"/>
  <c r="B13012" i="1"/>
  <c r="A13012" i="1"/>
  <c r="C13011" i="1"/>
  <c r="B13011" i="1"/>
  <c r="A13011" i="1"/>
  <c r="C13010" i="1"/>
  <c r="B13010" i="1"/>
  <c r="A13010" i="1"/>
  <c r="C13009" i="1"/>
  <c r="B13009" i="1"/>
  <c r="A13009" i="1"/>
  <c r="C13008" i="1"/>
  <c r="B13008" i="1"/>
  <c r="A13008" i="1"/>
  <c r="C13007" i="1"/>
  <c r="B13007" i="1"/>
  <c r="A13007" i="1"/>
  <c r="C13006" i="1"/>
  <c r="B13006" i="1"/>
  <c r="A13006" i="1"/>
  <c r="C13005" i="1"/>
  <c r="B13005" i="1"/>
  <c r="A13005" i="1"/>
  <c r="C13004" i="1"/>
  <c r="B13004" i="1"/>
  <c r="A13004" i="1"/>
  <c r="C13003" i="1"/>
  <c r="B13003" i="1"/>
  <c r="A13003" i="1"/>
  <c r="C13002" i="1"/>
  <c r="B13002" i="1"/>
  <c r="A13002" i="1"/>
  <c r="C13001" i="1"/>
  <c r="B13001" i="1"/>
  <c r="A13001" i="1"/>
  <c r="C13000" i="1"/>
  <c r="B13000" i="1"/>
  <c r="A13000" i="1"/>
  <c r="C12999" i="1"/>
  <c r="B12999" i="1"/>
  <c r="A12999" i="1"/>
  <c r="C12998" i="1"/>
  <c r="B12998" i="1"/>
  <c r="A12998" i="1"/>
  <c r="C12997" i="1"/>
  <c r="B12997" i="1"/>
  <c r="A12997" i="1"/>
  <c r="C12996" i="1"/>
  <c r="B12996" i="1"/>
  <c r="A12996" i="1"/>
  <c r="C12995" i="1"/>
  <c r="B12995" i="1"/>
  <c r="A12995" i="1"/>
  <c r="C12994" i="1"/>
  <c r="B12994" i="1"/>
  <c r="A12994" i="1"/>
  <c r="C12993" i="1"/>
  <c r="B12993" i="1"/>
  <c r="A12993" i="1"/>
  <c r="C12992" i="1"/>
  <c r="B12992" i="1"/>
  <c r="A12992" i="1"/>
  <c r="C12991" i="1"/>
  <c r="B12991" i="1"/>
  <c r="A12991" i="1"/>
  <c r="C12990" i="1"/>
  <c r="B12990" i="1"/>
  <c r="A12990" i="1"/>
  <c r="C12989" i="1"/>
  <c r="B12989" i="1"/>
  <c r="A12989" i="1"/>
  <c r="C12988" i="1"/>
  <c r="B12988" i="1"/>
  <c r="A12988" i="1"/>
  <c r="C12987" i="1"/>
  <c r="B12987" i="1"/>
  <c r="A12987" i="1"/>
  <c r="C12986" i="1"/>
  <c r="B12986" i="1"/>
  <c r="A12986" i="1"/>
  <c r="C12985" i="1"/>
  <c r="B12985" i="1"/>
  <c r="A12985" i="1"/>
  <c r="C12984" i="1"/>
  <c r="B12984" i="1"/>
  <c r="A12984" i="1"/>
  <c r="C12983" i="1"/>
  <c r="B12983" i="1"/>
  <c r="A12983" i="1"/>
  <c r="C12982" i="1"/>
  <c r="B12982" i="1"/>
  <c r="A12982" i="1"/>
  <c r="C12981" i="1"/>
  <c r="B12981" i="1"/>
  <c r="A12981" i="1"/>
  <c r="C12980" i="1"/>
  <c r="B12980" i="1"/>
  <c r="A12980" i="1"/>
  <c r="C12979" i="1"/>
  <c r="B12979" i="1"/>
  <c r="A12979" i="1"/>
  <c r="C12978" i="1"/>
  <c r="B12978" i="1"/>
  <c r="A12978" i="1"/>
  <c r="C12977" i="1"/>
  <c r="B12977" i="1"/>
  <c r="A12977" i="1"/>
  <c r="C12976" i="1"/>
  <c r="B12976" i="1"/>
  <c r="A12976" i="1"/>
  <c r="C12975" i="1"/>
  <c r="B12975" i="1"/>
  <c r="A12975" i="1"/>
  <c r="C12974" i="1"/>
  <c r="B12974" i="1"/>
  <c r="A12974" i="1"/>
  <c r="C12973" i="1"/>
  <c r="B12973" i="1"/>
  <c r="A12973" i="1"/>
  <c r="C12972" i="1"/>
  <c r="B12972" i="1"/>
  <c r="A12972" i="1"/>
  <c r="C12971" i="1"/>
  <c r="B12971" i="1"/>
  <c r="A12971" i="1"/>
  <c r="C12970" i="1"/>
  <c r="B12970" i="1"/>
  <c r="A12970" i="1"/>
  <c r="C12969" i="1"/>
  <c r="B12969" i="1"/>
  <c r="A12969" i="1"/>
  <c r="C12968" i="1"/>
  <c r="B12968" i="1"/>
  <c r="A12968" i="1"/>
  <c r="C12967" i="1"/>
  <c r="B12967" i="1"/>
  <c r="A12967" i="1"/>
  <c r="C12966" i="1"/>
  <c r="B12966" i="1"/>
  <c r="A12966" i="1"/>
  <c r="C12965" i="1"/>
  <c r="B12965" i="1"/>
  <c r="A12965" i="1"/>
  <c r="C12964" i="1"/>
  <c r="B12964" i="1"/>
  <c r="A12964" i="1"/>
  <c r="C12963" i="1"/>
  <c r="B12963" i="1"/>
  <c r="A12963" i="1"/>
  <c r="C12962" i="1"/>
  <c r="B12962" i="1"/>
  <c r="A12962" i="1"/>
  <c r="C12961" i="1"/>
  <c r="B12961" i="1"/>
  <c r="A12961" i="1"/>
  <c r="C12960" i="1"/>
  <c r="B12960" i="1"/>
  <c r="A12960" i="1"/>
  <c r="C12959" i="1"/>
  <c r="B12959" i="1"/>
  <c r="A12959" i="1"/>
  <c r="C12958" i="1"/>
  <c r="B12958" i="1"/>
  <c r="A12958" i="1"/>
  <c r="C12957" i="1"/>
  <c r="B12957" i="1"/>
  <c r="A12957" i="1"/>
  <c r="C12956" i="1"/>
  <c r="B12956" i="1"/>
  <c r="A12956" i="1"/>
  <c r="C12955" i="1"/>
  <c r="B12955" i="1"/>
  <c r="A12955" i="1"/>
  <c r="C12954" i="1"/>
  <c r="B12954" i="1"/>
  <c r="A12954" i="1"/>
  <c r="C12953" i="1"/>
  <c r="B12953" i="1"/>
  <c r="A12953" i="1"/>
  <c r="C12952" i="1"/>
  <c r="B12952" i="1"/>
  <c r="A12952" i="1"/>
  <c r="C12951" i="1"/>
  <c r="B12951" i="1"/>
  <c r="A12951" i="1"/>
  <c r="C12950" i="1"/>
  <c r="B12950" i="1"/>
  <c r="A12950" i="1"/>
  <c r="C12949" i="1"/>
  <c r="B12949" i="1"/>
  <c r="A12949" i="1"/>
  <c r="C12948" i="1"/>
  <c r="B12948" i="1"/>
  <c r="A12948" i="1"/>
  <c r="C12947" i="1"/>
  <c r="B12947" i="1"/>
  <c r="A12947" i="1"/>
  <c r="C12946" i="1"/>
  <c r="B12946" i="1"/>
  <c r="A12946" i="1"/>
  <c r="C12945" i="1"/>
  <c r="B12945" i="1"/>
  <c r="A12945" i="1"/>
  <c r="C12944" i="1"/>
  <c r="B12944" i="1"/>
  <c r="A12944" i="1"/>
  <c r="C12943" i="1"/>
  <c r="B12943" i="1"/>
  <c r="A12943" i="1"/>
  <c r="C12942" i="1"/>
  <c r="B12942" i="1"/>
  <c r="A12942" i="1"/>
  <c r="C12941" i="1"/>
  <c r="B12941" i="1"/>
  <c r="A12941" i="1"/>
  <c r="C12940" i="1"/>
  <c r="B12940" i="1"/>
  <c r="A12940" i="1"/>
  <c r="C12939" i="1"/>
  <c r="B12939" i="1"/>
  <c r="A12939" i="1"/>
  <c r="C12938" i="1"/>
  <c r="B12938" i="1"/>
  <c r="A12938" i="1"/>
  <c r="C12937" i="1"/>
  <c r="B12937" i="1"/>
  <c r="A12937" i="1"/>
  <c r="C12936" i="1"/>
  <c r="B12936" i="1"/>
  <c r="A12936" i="1"/>
  <c r="C12935" i="1"/>
  <c r="B12935" i="1"/>
  <c r="A12935" i="1"/>
  <c r="C12934" i="1"/>
  <c r="B12934" i="1"/>
  <c r="A12934" i="1"/>
  <c r="C12933" i="1"/>
  <c r="B12933" i="1"/>
  <c r="A12933" i="1"/>
  <c r="C12932" i="1"/>
  <c r="B12932" i="1"/>
  <c r="A12932" i="1"/>
  <c r="C12931" i="1"/>
  <c r="B12931" i="1"/>
  <c r="A12931" i="1"/>
  <c r="C12930" i="1"/>
  <c r="B12930" i="1"/>
  <c r="A12930" i="1"/>
  <c r="C12929" i="1"/>
  <c r="B12929" i="1"/>
  <c r="A12929" i="1"/>
  <c r="C12928" i="1"/>
  <c r="B12928" i="1"/>
  <c r="A12928" i="1"/>
  <c r="C12927" i="1"/>
  <c r="B12927" i="1"/>
  <c r="A12927" i="1"/>
  <c r="C12926" i="1"/>
  <c r="B12926" i="1"/>
  <c r="A12926" i="1"/>
  <c r="C12925" i="1"/>
  <c r="B12925" i="1"/>
  <c r="A12925" i="1"/>
  <c r="C12924" i="1"/>
  <c r="B12924" i="1"/>
  <c r="A12924" i="1"/>
  <c r="C12923" i="1"/>
  <c r="B12923" i="1"/>
  <c r="A12923" i="1"/>
  <c r="C12922" i="1"/>
  <c r="B12922" i="1"/>
  <c r="A12922" i="1"/>
  <c r="C12921" i="1"/>
  <c r="B12921" i="1"/>
  <c r="A12921" i="1"/>
  <c r="C12920" i="1"/>
  <c r="B12920" i="1"/>
  <c r="A12920" i="1"/>
  <c r="C12919" i="1"/>
  <c r="B12919" i="1"/>
  <c r="A12919" i="1"/>
  <c r="C12918" i="1"/>
  <c r="B12918" i="1"/>
  <c r="A12918" i="1"/>
  <c r="C12917" i="1"/>
  <c r="B12917" i="1"/>
  <c r="A12917" i="1"/>
  <c r="C12916" i="1"/>
  <c r="B12916" i="1"/>
  <c r="A12916" i="1"/>
  <c r="C12915" i="1"/>
  <c r="B12915" i="1"/>
  <c r="A12915" i="1"/>
  <c r="C12914" i="1"/>
  <c r="B12914" i="1"/>
  <c r="A12914" i="1"/>
  <c r="C12913" i="1"/>
  <c r="B12913" i="1"/>
  <c r="A12913" i="1"/>
  <c r="C12912" i="1"/>
  <c r="B12912" i="1"/>
  <c r="A12912" i="1"/>
  <c r="C12911" i="1"/>
  <c r="B12911" i="1"/>
  <c r="A12911" i="1"/>
  <c r="C12910" i="1"/>
  <c r="B12910" i="1"/>
  <c r="A12910" i="1"/>
  <c r="C12909" i="1"/>
  <c r="B12909" i="1"/>
  <c r="A12909" i="1"/>
  <c r="C12908" i="1"/>
  <c r="B12908" i="1"/>
  <c r="A12908" i="1"/>
  <c r="C12907" i="1"/>
  <c r="B12907" i="1"/>
  <c r="A12907" i="1"/>
  <c r="C12906" i="1"/>
  <c r="B12906" i="1"/>
  <c r="A12906" i="1"/>
  <c r="C12905" i="1"/>
  <c r="B12905" i="1"/>
  <c r="A12905" i="1"/>
  <c r="C12904" i="1"/>
  <c r="B12904" i="1"/>
  <c r="A12904" i="1"/>
  <c r="C12903" i="1"/>
  <c r="B12903" i="1"/>
  <c r="A12903" i="1"/>
  <c r="C12902" i="1"/>
  <c r="B12902" i="1"/>
  <c r="A12902" i="1"/>
  <c r="C12901" i="1"/>
  <c r="B12901" i="1"/>
  <c r="A12901" i="1"/>
  <c r="C12900" i="1"/>
  <c r="B12900" i="1"/>
  <c r="A12900" i="1"/>
  <c r="C12899" i="1"/>
  <c r="B12899" i="1"/>
  <c r="A12899" i="1"/>
  <c r="C12898" i="1"/>
  <c r="B12898" i="1"/>
  <c r="A12898" i="1"/>
  <c r="C12897" i="1"/>
  <c r="B12897" i="1"/>
  <c r="A12897" i="1"/>
  <c r="C12896" i="1"/>
  <c r="B12896" i="1"/>
  <c r="A12896" i="1"/>
  <c r="C12895" i="1"/>
  <c r="B12895" i="1"/>
  <c r="A12895" i="1"/>
  <c r="C12894" i="1"/>
  <c r="B12894" i="1"/>
  <c r="A12894" i="1"/>
  <c r="C12893" i="1"/>
  <c r="B12893" i="1"/>
  <c r="A12893" i="1"/>
  <c r="C12892" i="1"/>
  <c r="B12892" i="1"/>
  <c r="A12892" i="1"/>
  <c r="C12891" i="1"/>
  <c r="B12891" i="1"/>
  <c r="A12891" i="1"/>
  <c r="C12890" i="1"/>
  <c r="B12890" i="1"/>
  <c r="A12890" i="1"/>
  <c r="C12889" i="1"/>
  <c r="B12889" i="1"/>
  <c r="A12889" i="1"/>
  <c r="C12888" i="1"/>
  <c r="B12888" i="1"/>
  <c r="A12888" i="1"/>
  <c r="C12887" i="1"/>
  <c r="B12887" i="1"/>
  <c r="A12887" i="1"/>
  <c r="C12886" i="1"/>
  <c r="B12886" i="1"/>
  <c r="A12886" i="1"/>
  <c r="C12885" i="1"/>
  <c r="B12885" i="1"/>
  <c r="A12885" i="1"/>
  <c r="C12884" i="1"/>
  <c r="B12884" i="1"/>
  <c r="A12884" i="1"/>
  <c r="C12883" i="1"/>
  <c r="B12883" i="1"/>
  <c r="A12883" i="1"/>
  <c r="C12882" i="1"/>
  <c r="B12882" i="1"/>
  <c r="A12882" i="1"/>
  <c r="C12881" i="1"/>
  <c r="B12881" i="1"/>
  <c r="A12881" i="1"/>
  <c r="C12880" i="1"/>
  <c r="B12880" i="1"/>
  <c r="A12880" i="1"/>
  <c r="C12879" i="1"/>
  <c r="B12879" i="1"/>
  <c r="A12879" i="1"/>
  <c r="C12878" i="1"/>
  <c r="B12878" i="1"/>
  <c r="A12878" i="1"/>
  <c r="C12877" i="1"/>
  <c r="B12877" i="1"/>
  <c r="A12877" i="1"/>
  <c r="C12876" i="1"/>
  <c r="B12876" i="1"/>
  <c r="A12876" i="1"/>
  <c r="C12875" i="1"/>
  <c r="B12875" i="1"/>
  <c r="A12875" i="1"/>
  <c r="C12874" i="1"/>
  <c r="B12874" i="1"/>
  <c r="A12874" i="1"/>
  <c r="C12873" i="1"/>
  <c r="B12873" i="1"/>
  <c r="A12873" i="1"/>
  <c r="C12872" i="1"/>
  <c r="B12872" i="1"/>
  <c r="A12872" i="1"/>
  <c r="C12871" i="1"/>
  <c r="B12871" i="1"/>
  <c r="A12871" i="1"/>
  <c r="C12870" i="1"/>
  <c r="B12870" i="1"/>
  <c r="A12870" i="1"/>
  <c r="C12869" i="1"/>
  <c r="B12869" i="1"/>
  <c r="A12869" i="1"/>
  <c r="C12868" i="1"/>
  <c r="B12868" i="1"/>
  <c r="A12868" i="1"/>
  <c r="C12867" i="1"/>
  <c r="B12867" i="1"/>
  <c r="A12867" i="1"/>
  <c r="C12866" i="1"/>
  <c r="B12866" i="1"/>
  <c r="A12866" i="1"/>
  <c r="C12865" i="1"/>
  <c r="B12865" i="1"/>
  <c r="A12865" i="1"/>
  <c r="C12864" i="1"/>
  <c r="B12864" i="1"/>
  <c r="A12864" i="1"/>
  <c r="C12863" i="1"/>
  <c r="B12863" i="1"/>
  <c r="A12863" i="1"/>
  <c r="C12862" i="1"/>
  <c r="B12862" i="1"/>
  <c r="A12862" i="1"/>
  <c r="C12861" i="1"/>
  <c r="B12861" i="1"/>
  <c r="A12861" i="1"/>
  <c r="C12860" i="1"/>
  <c r="B12860" i="1"/>
  <c r="A12860" i="1"/>
  <c r="C12859" i="1"/>
  <c r="B12859" i="1"/>
  <c r="A12859" i="1"/>
  <c r="C12858" i="1"/>
  <c r="B12858" i="1"/>
  <c r="A12858" i="1"/>
  <c r="C12857" i="1"/>
  <c r="B12857" i="1"/>
  <c r="A12857" i="1"/>
  <c r="C12856" i="1"/>
  <c r="B12856" i="1"/>
  <c r="A12856" i="1"/>
  <c r="C12855" i="1"/>
  <c r="B12855" i="1"/>
  <c r="A12855" i="1"/>
  <c r="C12854" i="1"/>
  <c r="B12854" i="1"/>
  <c r="A12854" i="1"/>
  <c r="C12853" i="1"/>
  <c r="B12853" i="1"/>
  <c r="A12853" i="1"/>
  <c r="C12852" i="1"/>
  <c r="B12852" i="1"/>
  <c r="A12852" i="1"/>
  <c r="C12851" i="1"/>
  <c r="B12851" i="1"/>
  <c r="A12851" i="1"/>
  <c r="C12850" i="1"/>
  <c r="B12850" i="1"/>
  <c r="A12850" i="1"/>
  <c r="C12849" i="1"/>
  <c r="B12849" i="1"/>
  <c r="A12849" i="1"/>
  <c r="C12848" i="1"/>
  <c r="B12848" i="1"/>
  <c r="A12848" i="1"/>
  <c r="C12847" i="1"/>
  <c r="B12847" i="1"/>
  <c r="A12847" i="1"/>
  <c r="C12846" i="1"/>
  <c r="B12846" i="1"/>
  <c r="A12846" i="1"/>
  <c r="C12845" i="1"/>
  <c r="B12845" i="1"/>
  <c r="A12845" i="1"/>
  <c r="C12844" i="1"/>
  <c r="B12844" i="1"/>
  <c r="A12844" i="1"/>
  <c r="C12843" i="1"/>
  <c r="B12843" i="1"/>
  <c r="A12843" i="1"/>
  <c r="C12842" i="1"/>
  <c r="B12842" i="1"/>
  <c r="A12842" i="1"/>
  <c r="C12841" i="1"/>
  <c r="B12841" i="1"/>
  <c r="A12841" i="1"/>
  <c r="C12840" i="1"/>
  <c r="B12840" i="1"/>
  <c r="A12840" i="1"/>
  <c r="C12839" i="1"/>
  <c r="B12839" i="1"/>
  <c r="A12839" i="1"/>
  <c r="C12838" i="1"/>
  <c r="B12838" i="1"/>
  <c r="A12838" i="1"/>
  <c r="C12837" i="1"/>
  <c r="B12837" i="1"/>
  <c r="A12837" i="1"/>
  <c r="C12836" i="1"/>
  <c r="B12836" i="1"/>
  <c r="A12836" i="1"/>
  <c r="C12835" i="1"/>
  <c r="B12835" i="1"/>
  <c r="A12835" i="1"/>
  <c r="C12834" i="1"/>
  <c r="B12834" i="1"/>
  <c r="A12834" i="1"/>
  <c r="C12833" i="1"/>
  <c r="B12833" i="1"/>
  <c r="A12833" i="1"/>
  <c r="C12832" i="1"/>
  <c r="B12832" i="1"/>
  <c r="A12832" i="1"/>
  <c r="C12831" i="1"/>
  <c r="B12831" i="1"/>
  <c r="A12831" i="1"/>
  <c r="C12830" i="1"/>
  <c r="B12830" i="1"/>
  <c r="A12830" i="1"/>
  <c r="C12829" i="1"/>
  <c r="B12829" i="1"/>
  <c r="A12829" i="1"/>
  <c r="C12828" i="1"/>
  <c r="B12828" i="1"/>
  <c r="A12828" i="1"/>
  <c r="C12827" i="1"/>
  <c r="B12827" i="1"/>
  <c r="A12827" i="1"/>
  <c r="C12826" i="1"/>
  <c r="B12826" i="1"/>
  <c r="A12826" i="1"/>
  <c r="C12825" i="1"/>
  <c r="B12825" i="1"/>
  <c r="A12825" i="1"/>
  <c r="C12824" i="1"/>
  <c r="B12824" i="1"/>
  <c r="A12824" i="1"/>
  <c r="C12823" i="1"/>
  <c r="B12823" i="1"/>
  <c r="A12823" i="1"/>
  <c r="C12822" i="1"/>
  <c r="B12822" i="1"/>
  <c r="A12822" i="1"/>
  <c r="C12821" i="1"/>
  <c r="B12821" i="1"/>
  <c r="A12821" i="1"/>
  <c r="C12820" i="1"/>
  <c r="B12820" i="1"/>
  <c r="A12820" i="1"/>
  <c r="C12819" i="1"/>
  <c r="B12819" i="1"/>
  <c r="A12819" i="1"/>
  <c r="C12818" i="1"/>
  <c r="B12818" i="1"/>
  <c r="A12818" i="1"/>
  <c r="C12817" i="1"/>
  <c r="B12817" i="1"/>
  <c r="A12817" i="1"/>
  <c r="C12816" i="1"/>
  <c r="B12816" i="1"/>
  <c r="A12816" i="1"/>
  <c r="C12815" i="1"/>
  <c r="B12815" i="1"/>
  <c r="A12815" i="1"/>
  <c r="C12814" i="1"/>
  <c r="B12814" i="1"/>
  <c r="A12814" i="1"/>
  <c r="C12813" i="1"/>
  <c r="B12813" i="1"/>
  <c r="A12813" i="1"/>
  <c r="C12812" i="1"/>
  <c r="B12812" i="1"/>
  <c r="A12812" i="1"/>
  <c r="C12811" i="1"/>
  <c r="B12811" i="1"/>
  <c r="A12811" i="1"/>
  <c r="C12810" i="1"/>
  <c r="B12810" i="1"/>
  <c r="A12810" i="1"/>
  <c r="C12809" i="1"/>
  <c r="B12809" i="1"/>
  <c r="A12809" i="1"/>
  <c r="C12808" i="1"/>
  <c r="B12808" i="1"/>
  <c r="A12808" i="1"/>
  <c r="C12807" i="1"/>
  <c r="B12807" i="1"/>
  <c r="A12807" i="1"/>
  <c r="C12806" i="1"/>
  <c r="B12806" i="1"/>
  <c r="A12806" i="1"/>
  <c r="C12805" i="1"/>
  <c r="B12805" i="1"/>
  <c r="A12805" i="1"/>
  <c r="C12804" i="1"/>
  <c r="B12804" i="1"/>
  <c r="A12804" i="1"/>
  <c r="C12803" i="1"/>
  <c r="B12803" i="1"/>
  <c r="A12803" i="1"/>
  <c r="C12802" i="1"/>
  <c r="B12802" i="1"/>
  <c r="A12802" i="1"/>
  <c r="C12801" i="1"/>
  <c r="B12801" i="1"/>
  <c r="A12801" i="1"/>
  <c r="C12800" i="1"/>
  <c r="B12800" i="1"/>
  <c r="A12800" i="1"/>
  <c r="C12799" i="1"/>
  <c r="B12799" i="1"/>
  <c r="A12799" i="1"/>
  <c r="C12798" i="1"/>
  <c r="B12798" i="1"/>
  <c r="A12798" i="1"/>
  <c r="C12797" i="1"/>
  <c r="B12797" i="1"/>
  <c r="A12797" i="1"/>
  <c r="C12796" i="1"/>
  <c r="B12796" i="1"/>
  <c r="A12796" i="1"/>
  <c r="C12795" i="1"/>
  <c r="B12795" i="1"/>
  <c r="A12795" i="1"/>
  <c r="C12794" i="1"/>
  <c r="B12794" i="1"/>
  <c r="A12794" i="1"/>
  <c r="C12793" i="1"/>
  <c r="B12793" i="1"/>
  <c r="A12793" i="1"/>
  <c r="C12792" i="1"/>
  <c r="B12792" i="1"/>
  <c r="A12792" i="1"/>
  <c r="C12791" i="1"/>
  <c r="B12791" i="1"/>
  <c r="A12791" i="1"/>
  <c r="C12790" i="1"/>
  <c r="B12790" i="1"/>
  <c r="A12790" i="1"/>
  <c r="C12789" i="1"/>
  <c r="B12789" i="1"/>
  <c r="A12789" i="1"/>
  <c r="C12788" i="1"/>
  <c r="B12788" i="1"/>
  <c r="A12788" i="1"/>
  <c r="C12787" i="1"/>
  <c r="B12787" i="1"/>
  <c r="A12787" i="1"/>
  <c r="C12786" i="1"/>
  <c r="B12786" i="1"/>
  <c r="A12786" i="1"/>
  <c r="C12785" i="1"/>
  <c r="B12785" i="1"/>
  <c r="A12785" i="1"/>
  <c r="C12784" i="1"/>
  <c r="B12784" i="1"/>
  <c r="A12784" i="1"/>
  <c r="C12783" i="1"/>
  <c r="B12783" i="1"/>
  <c r="A12783" i="1"/>
  <c r="C12782" i="1"/>
  <c r="B12782" i="1"/>
  <c r="A12782" i="1"/>
  <c r="C12781" i="1"/>
  <c r="B12781" i="1"/>
  <c r="A12781" i="1"/>
  <c r="C12780" i="1"/>
  <c r="B12780" i="1"/>
  <c r="A12780" i="1"/>
  <c r="C12779" i="1"/>
  <c r="B12779" i="1"/>
  <c r="A12779" i="1"/>
  <c r="C12778" i="1"/>
  <c r="B12778" i="1"/>
  <c r="A12778" i="1"/>
  <c r="C12777" i="1"/>
  <c r="B12777" i="1"/>
  <c r="A12777" i="1"/>
  <c r="C12776" i="1"/>
  <c r="B12776" i="1"/>
  <c r="A12776" i="1"/>
  <c r="C12775" i="1"/>
  <c r="B12775" i="1"/>
  <c r="A12775" i="1"/>
  <c r="C12774" i="1"/>
  <c r="B12774" i="1"/>
  <c r="A12774" i="1"/>
  <c r="C12773" i="1"/>
  <c r="B12773" i="1"/>
  <c r="A12773" i="1"/>
  <c r="C12772" i="1"/>
  <c r="B12772" i="1"/>
  <c r="A12772" i="1"/>
  <c r="C12771" i="1"/>
  <c r="B12771" i="1"/>
  <c r="A12771" i="1"/>
  <c r="C12770" i="1"/>
  <c r="B12770" i="1"/>
  <c r="A12770" i="1"/>
  <c r="C12769" i="1"/>
  <c r="B12769" i="1"/>
  <c r="A12769" i="1"/>
  <c r="C12768" i="1"/>
  <c r="B12768" i="1"/>
  <c r="A12768" i="1"/>
  <c r="C12767" i="1"/>
  <c r="B12767" i="1"/>
  <c r="A12767" i="1"/>
  <c r="C12766" i="1"/>
  <c r="B12766" i="1"/>
  <c r="A12766" i="1"/>
  <c r="C12765" i="1"/>
  <c r="B12765" i="1"/>
  <c r="A12765" i="1"/>
  <c r="C12764" i="1"/>
  <c r="B12764" i="1"/>
  <c r="A12764" i="1"/>
  <c r="C12763" i="1"/>
  <c r="B12763" i="1"/>
  <c r="A12763" i="1"/>
  <c r="C12762" i="1"/>
  <c r="B12762" i="1"/>
  <c r="A12762" i="1"/>
  <c r="C12761" i="1"/>
  <c r="B12761" i="1"/>
  <c r="A12761" i="1"/>
  <c r="C12760" i="1"/>
  <c r="B12760" i="1"/>
  <c r="A12760" i="1"/>
  <c r="C12759" i="1"/>
  <c r="B12759" i="1"/>
  <c r="A12759" i="1"/>
  <c r="C12758" i="1"/>
  <c r="B12758" i="1"/>
  <c r="A12758" i="1"/>
  <c r="C12757" i="1"/>
  <c r="B12757" i="1"/>
  <c r="A12757" i="1"/>
  <c r="C12756" i="1"/>
  <c r="B12756" i="1"/>
  <c r="A12756" i="1"/>
  <c r="C12755" i="1"/>
  <c r="B12755" i="1"/>
  <c r="A12755" i="1"/>
  <c r="C12754" i="1"/>
  <c r="B12754" i="1"/>
  <c r="A12754" i="1"/>
  <c r="C12753" i="1"/>
  <c r="B12753" i="1"/>
  <c r="A12753" i="1"/>
  <c r="C12752" i="1"/>
  <c r="B12752" i="1"/>
  <c r="A12752" i="1"/>
  <c r="C12751" i="1"/>
  <c r="B12751" i="1"/>
  <c r="A12751" i="1"/>
  <c r="C12750" i="1"/>
  <c r="B12750" i="1"/>
  <c r="A12750" i="1"/>
  <c r="C12749" i="1"/>
  <c r="B12749" i="1"/>
  <c r="A12749" i="1"/>
  <c r="C12748" i="1"/>
  <c r="B12748" i="1"/>
  <c r="A12748" i="1"/>
  <c r="C12747" i="1"/>
  <c r="B12747" i="1"/>
  <c r="A12747" i="1"/>
  <c r="C12746" i="1"/>
  <c r="B12746" i="1"/>
  <c r="A12746" i="1"/>
  <c r="C12745" i="1"/>
  <c r="B12745" i="1"/>
  <c r="A12745" i="1"/>
  <c r="C12744" i="1"/>
  <c r="B12744" i="1"/>
  <c r="A12744" i="1"/>
  <c r="C12743" i="1"/>
  <c r="B12743" i="1"/>
  <c r="A12743" i="1"/>
  <c r="C12742" i="1"/>
  <c r="B12742" i="1"/>
  <c r="A12742" i="1"/>
  <c r="C12741" i="1"/>
  <c r="B12741" i="1"/>
  <c r="A12741" i="1"/>
  <c r="C12740" i="1"/>
  <c r="B12740" i="1"/>
  <c r="A12740" i="1"/>
  <c r="C12739" i="1"/>
  <c r="B12739" i="1"/>
  <c r="A12739" i="1"/>
  <c r="C12738" i="1"/>
  <c r="B12738" i="1"/>
  <c r="A12738" i="1"/>
  <c r="C12737" i="1"/>
  <c r="B12737" i="1"/>
  <c r="A12737" i="1"/>
  <c r="C12736" i="1"/>
  <c r="B12736" i="1"/>
  <c r="A12736" i="1"/>
  <c r="C12735" i="1"/>
  <c r="B12735" i="1"/>
  <c r="A12735" i="1"/>
  <c r="C12734" i="1"/>
  <c r="B12734" i="1"/>
  <c r="A12734" i="1"/>
  <c r="C12733" i="1"/>
  <c r="B12733" i="1"/>
  <c r="A12733" i="1"/>
  <c r="C12732" i="1"/>
  <c r="B12732" i="1"/>
  <c r="A12732" i="1"/>
  <c r="C12731" i="1"/>
  <c r="B12731" i="1"/>
  <c r="A12731" i="1"/>
  <c r="C12730" i="1"/>
  <c r="B12730" i="1"/>
  <c r="A12730" i="1"/>
  <c r="C12729" i="1"/>
  <c r="B12729" i="1"/>
  <c r="A12729" i="1"/>
  <c r="C12728" i="1"/>
  <c r="B12728" i="1"/>
  <c r="A12728" i="1"/>
  <c r="C12727" i="1"/>
  <c r="B12727" i="1"/>
  <c r="A12727" i="1"/>
  <c r="C12726" i="1"/>
  <c r="B12726" i="1"/>
  <c r="A12726" i="1"/>
  <c r="C12725" i="1"/>
  <c r="B12725" i="1"/>
  <c r="A12725" i="1"/>
  <c r="C12724" i="1"/>
  <c r="B12724" i="1"/>
  <c r="A12724" i="1"/>
  <c r="C12723" i="1"/>
  <c r="B12723" i="1"/>
  <c r="A12723" i="1"/>
  <c r="C12722" i="1"/>
  <c r="B12722" i="1"/>
  <c r="A12722" i="1"/>
  <c r="C12721" i="1"/>
  <c r="B12721" i="1"/>
  <c r="A12721" i="1"/>
  <c r="C12720" i="1"/>
  <c r="B12720" i="1"/>
  <c r="A12720" i="1"/>
  <c r="C12719" i="1"/>
  <c r="B12719" i="1"/>
  <c r="A12719" i="1"/>
  <c r="C12718" i="1"/>
  <c r="B12718" i="1"/>
  <c r="A12718" i="1"/>
  <c r="C12717" i="1"/>
  <c r="B12717" i="1"/>
  <c r="A12717" i="1"/>
  <c r="C12716" i="1"/>
  <c r="B12716" i="1"/>
  <c r="A12716" i="1"/>
  <c r="C12715" i="1"/>
  <c r="B12715" i="1"/>
  <c r="A12715" i="1"/>
  <c r="C12714" i="1"/>
  <c r="B12714" i="1"/>
  <c r="A12714" i="1"/>
  <c r="C12713" i="1"/>
  <c r="B12713" i="1"/>
  <c r="A12713" i="1"/>
  <c r="C12712" i="1"/>
  <c r="B12712" i="1"/>
  <c r="A12712" i="1"/>
  <c r="C12711" i="1"/>
  <c r="B12711" i="1"/>
  <c r="A12711" i="1"/>
  <c r="C12710" i="1"/>
  <c r="B12710" i="1"/>
  <c r="A12710" i="1"/>
  <c r="C12709" i="1"/>
  <c r="B12709" i="1"/>
  <c r="A12709" i="1"/>
  <c r="C12708" i="1"/>
  <c r="B12708" i="1"/>
  <c r="A12708" i="1"/>
  <c r="C12707" i="1"/>
  <c r="B12707" i="1"/>
  <c r="A12707" i="1"/>
  <c r="C12706" i="1"/>
  <c r="B12706" i="1"/>
  <c r="A12706" i="1"/>
  <c r="C12705" i="1"/>
  <c r="B12705" i="1"/>
  <c r="A12705" i="1"/>
  <c r="C12704" i="1"/>
  <c r="B12704" i="1"/>
  <c r="A12704" i="1"/>
  <c r="C12703" i="1"/>
  <c r="B12703" i="1"/>
  <c r="A12703" i="1"/>
  <c r="C12702" i="1"/>
  <c r="B12702" i="1"/>
  <c r="A12702" i="1"/>
  <c r="C12701" i="1"/>
  <c r="B12701" i="1"/>
  <c r="A12701" i="1"/>
  <c r="C12700" i="1"/>
  <c r="B12700" i="1"/>
  <c r="A12700" i="1"/>
  <c r="C12699" i="1"/>
  <c r="B12699" i="1"/>
  <c r="A12699" i="1"/>
  <c r="C12698" i="1"/>
  <c r="B12698" i="1"/>
  <c r="A12698" i="1"/>
  <c r="C12697" i="1"/>
  <c r="B12697" i="1"/>
  <c r="A12697" i="1"/>
  <c r="C12696" i="1"/>
  <c r="B12696" i="1"/>
  <c r="A12696" i="1"/>
  <c r="C12695" i="1"/>
  <c r="B12695" i="1"/>
  <c r="A12695" i="1"/>
  <c r="C12694" i="1"/>
  <c r="B12694" i="1"/>
  <c r="A12694" i="1"/>
  <c r="C12693" i="1"/>
  <c r="B12693" i="1"/>
  <c r="A12693" i="1"/>
  <c r="C12692" i="1"/>
  <c r="B12692" i="1"/>
  <c r="A12692" i="1"/>
  <c r="C12691" i="1"/>
  <c r="B12691" i="1"/>
  <c r="A12691" i="1"/>
  <c r="C12690" i="1"/>
  <c r="B12690" i="1"/>
  <c r="A12690" i="1"/>
  <c r="C12689" i="1"/>
  <c r="B12689" i="1"/>
  <c r="A12689" i="1"/>
  <c r="C12688" i="1"/>
  <c r="B12688" i="1"/>
  <c r="A12688" i="1"/>
  <c r="C12687" i="1"/>
  <c r="B12687" i="1"/>
  <c r="A12687" i="1"/>
  <c r="C12686" i="1"/>
  <c r="B12686" i="1"/>
  <c r="A12686" i="1"/>
  <c r="C12685" i="1"/>
  <c r="B12685" i="1"/>
  <c r="A12685" i="1"/>
  <c r="C12684" i="1"/>
  <c r="B12684" i="1"/>
  <c r="A12684" i="1"/>
  <c r="C12683" i="1"/>
  <c r="B12683" i="1"/>
  <c r="A12683" i="1"/>
  <c r="C12682" i="1"/>
  <c r="B12682" i="1"/>
  <c r="A12682" i="1"/>
  <c r="C12681" i="1"/>
  <c r="B12681" i="1"/>
  <c r="A12681" i="1"/>
  <c r="C12680" i="1"/>
  <c r="B12680" i="1"/>
  <c r="A12680" i="1"/>
  <c r="C12679" i="1"/>
  <c r="B12679" i="1"/>
  <c r="A12679" i="1"/>
  <c r="C12678" i="1"/>
  <c r="B12678" i="1"/>
  <c r="A12678" i="1"/>
  <c r="C12677" i="1"/>
  <c r="B12677" i="1"/>
  <c r="A12677" i="1"/>
  <c r="C12676" i="1"/>
  <c r="B12676" i="1"/>
  <c r="A12676" i="1"/>
  <c r="C12675" i="1"/>
  <c r="B12675" i="1"/>
  <c r="A12675" i="1"/>
  <c r="C12674" i="1"/>
  <c r="B12674" i="1"/>
  <c r="A12674" i="1"/>
  <c r="C12673" i="1"/>
  <c r="B12673" i="1"/>
  <c r="A12673" i="1"/>
  <c r="C12672" i="1"/>
  <c r="B12672" i="1"/>
  <c r="A12672" i="1"/>
  <c r="C12671" i="1"/>
  <c r="B12671" i="1"/>
  <c r="A12671" i="1"/>
  <c r="C12670" i="1"/>
  <c r="B12670" i="1"/>
  <c r="A12670" i="1"/>
  <c r="C12669" i="1"/>
  <c r="B12669" i="1"/>
  <c r="A12669" i="1"/>
  <c r="C12668" i="1"/>
  <c r="B12668" i="1"/>
  <c r="A12668" i="1"/>
  <c r="C12667" i="1"/>
  <c r="B12667" i="1"/>
  <c r="A12667" i="1"/>
  <c r="C12666" i="1"/>
  <c r="B12666" i="1"/>
  <c r="A12666" i="1"/>
  <c r="C12665" i="1"/>
  <c r="B12665" i="1"/>
  <c r="A12665" i="1"/>
  <c r="C12664" i="1"/>
  <c r="B12664" i="1"/>
  <c r="A12664" i="1"/>
  <c r="C12663" i="1"/>
  <c r="B12663" i="1"/>
  <c r="A12663" i="1"/>
  <c r="C12662" i="1"/>
  <c r="B12662" i="1"/>
  <c r="A12662" i="1"/>
  <c r="C12661" i="1"/>
  <c r="B12661" i="1"/>
  <c r="A12661" i="1"/>
  <c r="C12660" i="1"/>
  <c r="B12660" i="1"/>
  <c r="A12660" i="1"/>
  <c r="C12659" i="1"/>
  <c r="B12659" i="1"/>
  <c r="A12659" i="1"/>
  <c r="C12658" i="1"/>
  <c r="B12658" i="1"/>
  <c r="A12658" i="1"/>
  <c r="C12657" i="1"/>
  <c r="B12657" i="1"/>
  <c r="A12657" i="1"/>
  <c r="C12656" i="1"/>
  <c r="B12656" i="1"/>
  <c r="A12656" i="1"/>
  <c r="C12655" i="1"/>
  <c r="B12655" i="1"/>
  <c r="A12655" i="1"/>
  <c r="C12654" i="1"/>
  <c r="B12654" i="1"/>
  <c r="A12654" i="1"/>
  <c r="C12653" i="1"/>
  <c r="B12653" i="1"/>
  <c r="A12653" i="1"/>
  <c r="C12652" i="1"/>
  <c r="B12652" i="1"/>
  <c r="A12652" i="1"/>
  <c r="C12651" i="1"/>
  <c r="B12651" i="1"/>
  <c r="A12651" i="1"/>
  <c r="C12650" i="1"/>
  <c r="B12650" i="1"/>
  <c r="A12650" i="1"/>
  <c r="C12649" i="1"/>
  <c r="B12649" i="1"/>
  <c r="A12649" i="1"/>
  <c r="C12648" i="1"/>
  <c r="B12648" i="1"/>
  <c r="A12648" i="1"/>
  <c r="C12647" i="1"/>
  <c r="B12647" i="1"/>
  <c r="A12647" i="1"/>
  <c r="C12646" i="1"/>
  <c r="B12646" i="1"/>
  <c r="A12646" i="1"/>
  <c r="C12645" i="1"/>
  <c r="B12645" i="1"/>
  <c r="A12645" i="1"/>
  <c r="C12644" i="1"/>
  <c r="B12644" i="1"/>
  <c r="A12644" i="1"/>
  <c r="C12643" i="1"/>
  <c r="B12643" i="1"/>
  <c r="A12643" i="1"/>
  <c r="C12642" i="1"/>
  <c r="B12642" i="1"/>
  <c r="A12642" i="1"/>
  <c r="C12641" i="1"/>
  <c r="B12641" i="1"/>
  <c r="A12641" i="1"/>
  <c r="C12640" i="1"/>
  <c r="B12640" i="1"/>
  <c r="A12640" i="1"/>
  <c r="C12639" i="1"/>
  <c r="B12639" i="1"/>
  <c r="A12639" i="1"/>
  <c r="C12638" i="1"/>
  <c r="B12638" i="1"/>
  <c r="A12638" i="1"/>
  <c r="C12637" i="1"/>
  <c r="B12637" i="1"/>
  <c r="A12637" i="1"/>
  <c r="C12636" i="1"/>
  <c r="B12636" i="1"/>
  <c r="A12636" i="1"/>
  <c r="C12635" i="1"/>
  <c r="B12635" i="1"/>
  <c r="A12635" i="1"/>
  <c r="C12634" i="1"/>
  <c r="B12634" i="1"/>
  <c r="A12634" i="1"/>
  <c r="C12633" i="1"/>
  <c r="B12633" i="1"/>
  <c r="A12633" i="1"/>
  <c r="C12632" i="1"/>
  <c r="B12632" i="1"/>
  <c r="A12632" i="1"/>
  <c r="C12631" i="1"/>
  <c r="B12631" i="1"/>
  <c r="A12631" i="1"/>
  <c r="C12630" i="1"/>
  <c r="B12630" i="1"/>
  <c r="A12630" i="1"/>
  <c r="C12629" i="1"/>
  <c r="B12629" i="1"/>
  <c r="A12629" i="1"/>
  <c r="C12628" i="1"/>
  <c r="B12628" i="1"/>
  <c r="A12628" i="1"/>
  <c r="C12627" i="1"/>
  <c r="B12627" i="1"/>
  <c r="A12627" i="1"/>
  <c r="C12626" i="1"/>
  <c r="B12626" i="1"/>
  <c r="A12626" i="1"/>
  <c r="C12625" i="1"/>
  <c r="B12625" i="1"/>
  <c r="A12625" i="1"/>
  <c r="C12624" i="1"/>
  <c r="B12624" i="1"/>
  <c r="A12624" i="1"/>
  <c r="C12623" i="1"/>
  <c r="B12623" i="1"/>
  <c r="A12623" i="1"/>
  <c r="C12622" i="1"/>
  <c r="B12622" i="1"/>
  <c r="A12622" i="1"/>
  <c r="C12621" i="1"/>
  <c r="B12621" i="1"/>
  <c r="A12621" i="1"/>
  <c r="C12620" i="1"/>
  <c r="B12620" i="1"/>
  <c r="A12620" i="1"/>
  <c r="C12619" i="1"/>
  <c r="B12619" i="1"/>
  <c r="A12619" i="1"/>
  <c r="C12618" i="1"/>
  <c r="B12618" i="1"/>
  <c r="A12618" i="1"/>
  <c r="C12617" i="1"/>
  <c r="B12617" i="1"/>
  <c r="A12617" i="1"/>
  <c r="C12616" i="1"/>
  <c r="B12616" i="1"/>
  <c r="A12616" i="1"/>
  <c r="C12615" i="1"/>
  <c r="B12615" i="1"/>
  <c r="A12615" i="1"/>
  <c r="C12614" i="1"/>
  <c r="B12614" i="1"/>
  <c r="A12614" i="1"/>
  <c r="C12613" i="1"/>
  <c r="B12613" i="1"/>
  <c r="A12613" i="1"/>
  <c r="C12612" i="1"/>
  <c r="B12612" i="1"/>
  <c r="A12612" i="1"/>
  <c r="C12611" i="1"/>
  <c r="B12611" i="1"/>
  <c r="A12611" i="1"/>
  <c r="C12610" i="1"/>
  <c r="B12610" i="1"/>
  <c r="A12610" i="1"/>
  <c r="C12609" i="1"/>
  <c r="B12609" i="1"/>
  <c r="A12609" i="1"/>
  <c r="C12608" i="1"/>
  <c r="B12608" i="1"/>
  <c r="A12608" i="1"/>
  <c r="C12607" i="1"/>
  <c r="B12607" i="1"/>
  <c r="A12607" i="1"/>
  <c r="C12606" i="1"/>
  <c r="B12606" i="1"/>
  <c r="A12606" i="1"/>
  <c r="C12605" i="1"/>
  <c r="B12605" i="1"/>
  <c r="A12605" i="1"/>
  <c r="C12604" i="1"/>
  <c r="B12604" i="1"/>
  <c r="A12604" i="1"/>
  <c r="C12603" i="1"/>
  <c r="B12603" i="1"/>
  <c r="A12603" i="1"/>
  <c r="C12602" i="1"/>
  <c r="B12602" i="1"/>
  <c r="A12602" i="1"/>
  <c r="C12601" i="1"/>
  <c r="B12601" i="1"/>
  <c r="A12601" i="1"/>
  <c r="C12600" i="1"/>
  <c r="B12600" i="1"/>
  <c r="A12600" i="1"/>
  <c r="C12599" i="1"/>
  <c r="B12599" i="1"/>
  <c r="A12599" i="1"/>
  <c r="C12598" i="1"/>
  <c r="B12598" i="1"/>
  <c r="A12598" i="1"/>
  <c r="C12597" i="1"/>
  <c r="B12597" i="1"/>
  <c r="A12597" i="1"/>
  <c r="C12596" i="1"/>
  <c r="B12596" i="1"/>
  <c r="A12596" i="1"/>
  <c r="C12595" i="1"/>
  <c r="B12595" i="1"/>
  <c r="A12595" i="1"/>
  <c r="C12594" i="1"/>
  <c r="B12594" i="1"/>
  <c r="A12594" i="1"/>
  <c r="C12593" i="1"/>
  <c r="B12593" i="1"/>
  <c r="A12593" i="1"/>
  <c r="C12592" i="1"/>
  <c r="B12592" i="1"/>
  <c r="A12592" i="1"/>
  <c r="C12591" i="1"/>
  <c r="B12591" i="1"/>
  <c r="A12591" i="1"/>
  <c r="C12590" i="1"/>
  <c r="B12590" i="1"/>
  <c r="A12590" i="1"/>
  <c r="C12589" i="1"/>
  <c r="B12589" i="1"/>
  <c r="A12589" i="1"/>
  <c r="C12588" i="1"/>
  <c r="B12588" i="1"/>
  <c r="A12588" i="1"/>
  <c r="C12587" i="1"/>
  <c r="B12587" i="1"/>
  <c r="A12587" i="1"/>
  <c r="C12586" i="1"/>
  <c r="B12586" i="1"/>
  <c r="A12586" i="1"/>
  <c r="C12585" i="1"/>
  <c r="B12585" i="1"/>
  <c r="A12585" i="1"/>
  <c r="C12584" i="1"/>
  <c r="B12584" i="1"/>
  <c r="A12584" i="1"/>
  <c r="C12583" i="1"/>
  <c r="B12583" i="1"/>
  <c r="A12583" i="1"/>
  <c r="C12582" i="1"/>
  <c r="B12582" i="1"/>
  <c r="A12582" i="1"/>
  <c r="C12581" i="1"/>
  <c r="B12581" i="1"/>
  <c r="A12581" i="1"/>
  <c r="C12580" i="1"/>
  <c r="B12580" i="1"/>
  <c r="A12580" i="1"/>
  <c r="C12579" i="1"/>
  <c r="B12579" i="1"/>
  <c r="A12579" i="1"/>
  <c r="C12578" i="1"/>
  <c r="B12578" i="1"/>
  <c r="A12578" i="1"/>
  <c r="C12577" i="1"/>
  <c r="B12577" i="1"/>
  <c r="A12577" i="1"/>
  <c r="C12576" i="1"/>
  <c r="B12576" i="1"/>
  <c r="A12576" i="1"/>
  <c r="C12575" i="1"/>
  <c r="B12575" i="1"/>
  <c r="A12575" i="1"/>
  <c r="C12574" i="1"/>
  <c r="B12574" i="1"/>
  <c r="A12574" i="1"/>
  <c r="C12573" i="1"/>
  <c r="B12573" i="1"/>
  <c r="A12573" i="1"/>
  <c r="C12572" i="1"/>
  <c r="B12572" i="1"/>
  <c r="A12572" i="1"/>
  <c r="C12571" i="1"/>
  <c r="B12571" i="1"/>
  <c r="A12571" i="1"/>
  <c r="C12570" i="1"/>
  <c r="B12570" i="1"/>
  <c r="A12570" i="1"/>
  <c r="C12569" i="1"/>
  <c r="B12569" i="1"/>
  <c r="A12569" i="1"/>
  <c r="C12568" i="1"/>
  <c r="B12568" i="1"/>
  <c r="A12568" i="1"/>
  <c r="C12567" i="1"/>
  <c r="B12567" i="1"/>
  <c r="A12567" i="1"/>
  <c r="C12566" i="1"/>
  <c r="B12566" i="1"/>
  <c r="A12566" i="1"/>
  <c r="C12565" i="1"/>
  <c r="B12565" i="1"/>
  <c r="A12565" i="1"/>
  <c r="C12564" i="1"/>
  <c r="B12564" i="1"/>
  <c r="A12564" i="1"/>
  <c r="C12563" i="1"/>
  <c r="B12563" i="1"/>
  <c r="A12563" i="1"/>
  <c r="C12562" i="1"/>
  <c r="B12562" i="1"/>
  <c r="A12562" i="1"/>
  <c r="C12561" i="1"/>
  <c r="B12561" i="1"/>
  <c r="A12561" i="1"/>
  <c r="C12560" i="1"/>
  <c r="B12560" i="1"/>
  <c r="A12560" i="1"/>
  <c r="C12559" i="1"/>
  <c r="B12559" i="1"/>
  <c r="A12559" i="1"/>
  <c r="C12558" i="1"/>
  <c r="B12558" i="1"/>
  <c r="A12558" i="1"/>
  <c r="C12557" i="1"/>
  <c r="B12557" i="1"/>
  <c r="A12557" i="1"/>
  <c r="C12556" i="1"/>
  <c r="B12556" i="1"/>
  <c r="A12556" i="1"/>
  <c r="C12555" i="1"/>
  <c r="B12555" i="1"/>
  <c r="A12555" i="1"/>
  <c r="C12554" i="1"/>
  <c r="B12554" i="1"/>
  <c r="A12554" i="1"/>
  <c r="C12553" i="1"/>
  <c r="B12553" i="1"/>
  <c r="A12553" i="1"/>
  <c r="C12552" i="1"/>
  <c r="B12552" i="1"/>
  <c r="A12552" i="1"/>
  <c r="C12551" i="1"/>
  <c r="B12551" i="1"/>
  <c r="A12551" i="1"/>
  <c r="C12550" i="1"/>
  <c r="B12550" i="1"/>
  <c r="A12550" i="1"/>
  <c r="C12549" i="1"/>
  <c r="B12549" i="1"/>
  <c r="A12549" i="1"/>
  <c r="C12548" i="1"/>
  <c r="B12548" i="1"/>
  <c r="A12548" i="1"/>
  <c r="C12547" i="1"/>
  <c r="B12547" i="1"/>
  <c r="A12547" i="1"/>
  <c r="C12546" i="1"/>
  <c r="B12546" i="1"/>
  <c r="A12546" i="1"/>
  <c r="C12545" i="1"/>
  <c r="B12545" i="1"/>
  <c r="A12545" i="1"/>
  <c r="C12544" i="1"/>
  <c r="B12544" i="1"/>
  <c r="A12544" i="1"/>
  <c r="C12543" i="1"/>
  <c r="B12543" i="1"/>
  <c r="A12543" i="1"/>
  <c r="C12542" i="1"/>
  <c r="B12542" i="1"/>
  <c r="A12542" i="1"/>
  <c r="C12541" i="1"/>
  <c r="B12541" i="1"/>
  <c r="A12541" i="1"/>
  <c r="C12540" i="1"/>
  <c r="B12540" i="1"/>
  <c r="A12540" i="1"/>
  <c r="C12539" i="1"/>
  <c r="B12539" i="1"/>
  <c r="A12539" i="1"/>
  <c r="C12538" i="1"/>
  <c r="B12538" i="1"/>
  <c r="A12538" i="1"/>
  <c r="C12537" i="1"/>
  <c r="B12537" i="1"/>
  <c r="A12537" i="1"/>
  <c r="C12536" i="1"/>
  <c r="B12536" i="1"/>
  <c r="A12536" i="1"/>
  <c r="C12535" i="1"/>
  <c r="B12535" i="1"/>
  <c r="A12535" i="1"/>
  <c r="C12534" i="1"/>
  <c r="B12534" i="1"/>
  <c r="A12534" i="1"/>
  <c r="C12533" i="1"/>
  <c r="B12533" i="1"/>
  <c r="A12533" i="1"/>
  <c r="C12532" i="1"/>
  <c r="B12532" i="1"/>
  <c r="A12532" i="1"/>
  <c r="C12531" i="1"/>
  <c r="B12531" i="1"/>
  <c r="A12531" i="1"/>
  <c r="C12530" i="1"/>
  <c r="B12530" i="1"/>
  <c r="A12530" i="1"/>
  <c r="C12529" i="1"/>
  <c r="B12529" i="1"/>
  <c r="A12529" i="1"/>
  <c r="C12528" i="1"/>
  <c r="B12528" i="1"/>
  <c r="A12528" i="1"/>
  <c r="C12527" i="1"/>
  <c r="B12527" i="1"/>
  <c r="A12527" i="1"/>
  <c r="C12526" i="1"/>
  <c r="B12526" i="1"/>
  <c r="A12526" i="1"/>
  <c r="C12525" i="1"/>
  <c r="B12525" i="1"/>
  <c r="A12525" i="1"/>
  <c r="C12524" i="1"/>
  <c r="B12524" i="1"/>
  <c r="A12524" i="1"/>
  <c r="C12523" i="1"/>
  <c r="B12523" i="1"/>
  <c r="A12523" i="1"/>
  <c r="C12522" i="1"/>
  <c r="B12522" i="1"/>
  <c r="A12522" i="1"/>
  <c r="C12521" i="1"/>
  <c r="B12521" i="1"/>
  <c r="A12521" i="1"/>
  <c r="C12520" i="1"/>
  <c r="B12520" i="1"/>
  <c r="A12520" i="1"/>
  <c r="C12519" i="1"/>
  <c r="B12519" i="1"/>
  <c r="A12519" i="1"/>
  <c r="C12518" i="1"/>
  <c r="B12518" i="1"/>
  <c r="A12518" i="1"/>
  <c r="C12517" i="1"/>
  <c r="B12517" i="1"/>
  <c r="A12517" i="1"/>
  <c r="C12516" i="1"/>
  <c r="B12516" i="1"/>
  <c r="A12516" i="1"/>
  <c r="C12515" i="1"/>
  <c r="B12515" i="1"/>
  <c r="A12515" i="1"/>
  <c r="C12514" i="1"/>
  <c r="B12514" i="1"/>
  <c r="A12514" i="1"/>
  <c r="C12513" i="1"/>
  <c r="B12513" i="1"/>
  <c r="A12513" i="1"/>
  <c r="C12512" i="1"/>
  <c r="B12512" i="1"/>
  <c r="A12512" i="1"/>
  <c r="C12511" i="1"/>
  <c r="B12511" i="1"/>
  <c r="A12511" i="1"/>
  <c r="C12510" i="1"/>
  <c r="B12510" i="1"/>
  <c r="A12510" i="1"/>
  <c r="C12509" i="1"/>
  <c r="B12509" i="1"/>
  <c r="A12509" i="1"/>
  <c r="C12508" i="1"/>
  <c r="B12508" i="1"/>
  <c r="A12508" i="1"/>
  <c r="C12507" i="1"/>
  <c r="B12507" i="1"/>
  <c r="A12507" i="1"/>
  <c r="C12506" i="1"/>
  <c r="B12506" i="1"/>
  <c r="A12506" i="1"/>
  <c r="C12505" i="1"/>
  <c r="B12505" i="1"/>
  <c r="A12505" i="1"/>
  <c r="C12504" i="1"/>
  <c r="B12504" i="1"/>
  <c r="A12504" i="1"/>
  <c r="C12503" i="1"/>
  <c r="B12503" i="1"/>
  <c r="A12503" i="1"/>
  <c r="C12502" i="1"/>
  <c r="B12502" i="1"/>
  <c r="A12502" i="1"/>
  <c r="C12501" i="1"/>
  <c r="B12501" i="1"/>
  <c r="A12501" i="1"/>
  <c r="C12500" i="1"/>
  <c r="B12500" i="1"/>
  <c r="A12500" i="1"/>
  <c r="C12499" i="1"/>
  <c r="B12499" i="1"/>
  <c r="A12499" i="1"/>
  <c r="C12498" i="1"/>
  <c r="B12498" i="1"/>
  <c r="A12498" i="1"/>
  <c r="C12497" i="1"/>
  <c r="B12497" i="1"/>
  <c r="A12497" i="1"/>
  <c r="C12496" i="1"/>
  <c r="B12496" i="1"/>
  <c r="A12496" i="1"/>
  <c r="C12495" i="1"/>
  <c r="B12495" i="1"/>
  <c r="A12495" i="1"/>
  <c r="C12494" i="1"/>
  <c r="B12494" i="1"/>
  <c r="A12494" i="1"/>
  <c r="C12493" i="1"/>
  <c r="B12493" i="1"/>
  <c r="A12493" i="1"/>
  <c r="C12492" i="1"/>
  <c r="B12492" i="1"/>
  <c r="A12492" i="1"/>
  <c r="C12491" i="1"/>
  <c r="B12491" i="1"/>
  <c r="A12491" i="1"/>
  <c r="C12490" i="1"/>
  <c r="B12490" i="1"/>
  <c r="A12490" i="1"/>
  <c r="C12489" i="1"/>
  <c r="B12489" i="1"/>
  <c r="A12489" i="1"/>
  <c r="C12488" i="1"/>
  <c r="B12488" i="1"/>
  <c r="A12488" i="1"/>
  <c r="C12487" i="1"/>
  <c r="B12487" i="1"/>
  <c r="A12487" i="1"/>
  <c r="C12486" i="1"/>
  <c r="B12486" i="1"/>
  <c r="A12486" i="1"/>
  <c r="C12485" i="1"/>
  <c r="B12485" i="1"/>
  <c r="A12485" i="1"/>
  <c r="C12484" i="1"/>
  <c r="B12484" i="1"/>
  <c r="A12484" i="1"/>
  <c r="C12483" i="1"/>
  <c r="B12483" i="1"/>
  <c r="A12483" i="1"/>
  <c r="C12482" i="1"/>
  <c r="B12482" i="1"/>
  <c r="A12482" i="1"/>
  <c r="C12481" i="1"/>
  <c r="B12481" i="1"/>
  <c r="A12481" i="1"/>
  <c r="C12480" i="1"/>
  <c r="B12480" i="1"/>
  <c r="A12480" i="1"/>
  <c r="C12479" i="1"/>
  <c r="B12479" i="1"/>
  <c r="A12479" i="1"/>
  <c r="C12478" i="1"/>
  <c r="B12478" i="1"/>
  <c r="A12478" i="1"/>
  <c r="C12477" i="1"/>
  <c r="B12477" i="1"/>
  <c r="A12477" i="1"/>
  <c r="C12476" i="1"/>
  <c r="B12476" i="1"/>
  <c r="A12476" i="1"/>
  <c r="C12475" i="1"/>
  <c r="B12475" i="1"/>
  <c r="A12475" i="1"/>
  <c r="C12474" i="1"/>
  <c r="B12474" i="1"/>
  <c r="A12474" i="1"/>
  <c r="C12473" i="1"/>
  <c r="B12473" i="1"/>
  <c r="A12473" i="1"/>
  <c r="C12472" i="1"/>
  <c r="B12472" i="1"/>
  <c r="A12472" i="1"/>
  <c r="C12471" i="1"/>
  <c r="B12471" i="1"/>
  <c r="A12471" i="1"/>
  <c r="C12470" i="1"/>
  <c r="B12470" i="1"/>
  <c r="A12470" i="1"/>
  <c r="C12469" i="1"/>
  <c r="B12469" i="1"/>
  <c r="A12469" i="1"/>
  <c r="C12468" i="1"/>
  <c r="B12468" i="1"/>
  <c r="A12468" i="1"/>
  <c r="C12467" i="1"/>
  <c r="B12467" i="1"/>
  <c r="A12467" i="1"/>
  <c r="C12466" i="1"/>
  <c r="B12466" i="1"/>
  <c r="A12466" i="1"/>
  <c r="C12465" i="1"/>
  <c r="B12465" i="1"/>
  <c r="A12465" i="1"/>
  <c r="C12464" i="1"/>
  <c r="B12464" i="1"/>
  <c r="A12464" i="1"/>
  <c r="C12463" i="1"/>
  <c r="B12463" i="1"/>
  <c r="A12463" i="1"/>
  <c r="C12462" i="1"/>
  <c r="B12462" i="1"/>
  <c r="A12462" i="1"/>
  <c r="C12461" i="1"/>
  <c r="B12461" i="1"/>
  <c r="A12461" i="1"/>
  <c r="C12460" i="1"/>
  <c r="B12460" i="1"/>
  <c r="A12460" i="1"/>
  <c r="C12459" i="1"/>
  <c r="B12459" i="1"/>
  <c r="A12459" i="1"/>
  <c r="C12458" i="1"/>
  <c r="B12458" i="1"/>
  <c r="A12458" i="1"/>
  <c r="C12457" i="1"/>
  <c r="B12457" i="1"/>
  <c r="A12457" i="1"/>
  <c r="C12456" i="1"/>
  <c r="B12456" i="1"/>
  <c r="A12456" i="1"/>
  <c r="C12455" i="1"/>
  <c r="B12455" i="1"/>
  <c r="A12455" i="1"/>
  <c r="C12454" i="1"/>
  <c r="B12454" i="1"/>
  <c r="A12454" i="1"/>
  <c r="C12453" i="1"/>
  <c r="B12453" i="1"/>
  <c r="A12453" i="1"/>
  <c r="C12452" i="1"/>
  <c r="B12452" i="1"/>
  <c r="A12452" i="1"/>
  <c r="C12451" i="1"/>
  <c r="B12451" i="1"/>
  <c r="A12451" i="1"/>
  <c r="C12450" i="1"/>
  <c r="B12450" i="1"/>
  <c r="A12450" i="1"/>
  <c r="C12449" i="1"/>
  <c r="B12449" i="1"/>
  <c r="A12449" i="1"/>
  <c r="C12448" i="1"/>
  <c r="B12448" i="1"/>
  <c r="A12448" i="1"/>
  <c r="C12447" i="1"/>
  <c r="B12447" i="1"/>
  <c r="A12447" i="1"/>
  <c r="C12446" i="1"/>
  <c r="B12446" i="1"/>
  <c r="A12446" i="1"/>
  <c r="C12445" i="1"/>
  <c r="B12445" i="1"/>
  <c r="A12445" i="1"/>
  <c r="C12444" i="1"/>
  <c r="B12444" i="1"/>
  <c r="A12444" i="1"/>
  <c r="C12443" i="1"/>
  <c r="B12443" i="1"/>
  <c r="A12443" i="1"/>
  <c r="C12442" i="1"/>
  <c r="B12442" i="1"/>
  <c r="A12442" i="1"/>
  <c r="C12441" i="1"/>
  <c r="B12441" i="1"/>
  <c r="A12441" i="1"/>
  <c r="C12440" i="1"/>
  <c r="B12440" i="1"/>
  <c r="A12440" i="1"/>
  <c r="C12439" i="1"/>
  <c r="B12439" i="1"/>
  <c r="A12439" i="1"/>
  <c r="C12438" i="1"/>
  <c r="B12438" i="1"/>
  <c r="A12438" i="1"/>
  <c r="C12437" i="1"/>
  <c r="B12437" i="1"/>
  <c r="A12437" i="1"/>
  <c r="C12436" i="1"/>
  <c r="B12436" i="1"/>
  <c r="A12436" i="1"/>
  <c r="C12435" i="1"/>
  <c r="B12435" i="1"/>
  <c r="A12435" i="1"/>
  <c r="C12434" i="1"/>
  <c r="B12434" i="1"/>
  <c r="A12434" i="1"/>
  <c r="C12433" i="1"/>
  <c r="B12433" i="1"/>
  <c r="A12433" i="1"/>
  <c r="C12432" i="1"/>
  <c r="B12432" i="1"/>
  <c r="A12432" i="1"/>
  <c r="C12431" i="1"/>
  <c r="B12431" i="1"/>
  <c r="A12431" i="1"/>
  <c r="C12430" i="1"/>
  <c r="B12430" i="1"/>
  <c r="A12430" i="1"/>
  <c r="C12429" i="1"/>
  <c r="B12429" i="1"/>
  <c r="A12429" i="1"/>
  <c r="C12428" i="1"/>
  <c r="B12428" i="1"/>
  <c r="A12428" i="1"/>
  <c r="C12427" i="1"/>
  <c r="B12427" i="1"/>
  <c r="A12427" i="1"/>
  <c r="C12426" i="1"/>
  <c r="B12426" i="1"/>
  <c r="A12426" i="1"/>
  <c r="C12425" i="1"/>
  <c r="B12425" i="1"/>
  <c r="A12425" i="1"/>
  <c r="C12424" i="1"/>
  <c r="B12424" i="1"/>
  <c r="A12424" i="1"/>
  <c r="C12423" i="1"/>
  <c r="B12423" i="1"/>
  <c r="A12423" i="1"/>
  <c r="C12422" i="1"/>
  <c r="B12422" i="1"/>
  <c r="A12422" i="1"/>
  <c r="C12421" i="1"/>
  <c r="B12421" i="1"/>
  <c r="A12421" i="1"/>
  <c r="C12420" i="1"/>
  <c r="B12420" i="1"/>
  <c r="A12420" i="1"/>
  <c r="C12419" i="1"/>
  <c r="B12419" i="1"/>
  <c r="A12419" i="1"/>
  <c r="C12418" i="1"/>
  <c r="B12418" i="1"/>
  <c r="A12418" i="1"/>
  <c r="C12417" i="1"/>
  <c r="B12417" i="1"/>
  <c r="A12417" i="1"/>
  <c r="C12416" i="1"/>
  <c r="B12416" i="1"/>
  <c r="A12416" i="1"/>
  <c r="C12415" i="1"/>
  <c r="B12415" i="1"/>
  <c r="A12415" i="1"/>
  <c r="C12414" i="1"/>
  <c r="B12414" i="1"/>
  <c r="A12414" i="1"/>
  <c r="C12413" i="1"/>
  <c r="B12413" i="1"/>
  <c r="A12413" i="1"/>
  <c r="C12412" i="1"/>
  <c r="B12412" i="1"/>
  <c r="A12412" i="1"/>
  <c r="C12411" i="1"/>
  <c r="B12411" i="1"/>
  <c r="A12411" i="1"/>
  <c r="C12410" i="1"/>
  <c r="B12410" i="1"/>
  <c r="A12410" i="1"/>
  <c r="C12409" i="1"/>
  <c r="B12409" i="1"/>
  <c r="A12409" i="1"/>
  <c r="C12408" i="1"/>
  <c r="B12408" i="1"/>
  <c r="A12408" i="1"/>
  <c r="C12407" i="1"/>
  <c r="B12407" i="1"/>
  <c r="A12407" i="1"/>
  <c r="C12406" i="1"/>
  <c r="B12406" i="1"/>
  <c r="A12406" i="1"/>
  <c r="C12405" i="1"/>
  <c r="B12405" i="1"/>
  <c r="A12405" i="1"/>
  <c r="C12404" i="1"/>
  <c r="B12404" i="1"/>
  <c r="A12404" i="1"/>
  <c r="C12403" i="1"/>
  <c r="B12403" i="1"/>
  <c r="A12403" i="1"/>
  <c r="C12402" i="1"/>
  <c r="B12402" i="1"/>
  <c r="A12402" i="1"/>
  <c r="C12401" i="1"/>
  <c r="B12401" i="1"/>
  <c r="A12401" i="1"/>
  <c r="C12400" i="1"/>
  <c r="B12400" i="1"/>
  <c r="A12400" i="1"/>
  <c r="C12399" i="1"/>
  <c r="B12399" i="1"/>
  <c r="A12399" i="1"/>
  <c r="C12398" i="1"/>
  <c r="B12398" i="1"/>
  <c r="A12398" i="1"/>
  <c r="C12397" i="1"/>
  <c r="B12397" i="1"/>
  <c r="A12397" i="1"/>
  <c r="C12396" i="1"/>
  <c r="B12396" i="1"/>
  <c r="A12396" i="1"/>
  <c r="C12395" i="1"/>
  <c r="B12395" i="1"/>
  <c r="A12395" i="1"/>
  <c r="C12394" i="1"/>
  <c r="B12394" i="1"/>
  <c r="A12394" i="1"/>
  <c r="C12393" i="1"/>
  <c r="B12393" i="1"/>
  <c r="A12393" i="1"/>
  <c r="C12392" i="1"/>
  <c r="B12392" i="1"/>
  <c r="A12392" i="1"/>
  <c r="C12391" i="1"/>
  <c r="B12391" i="1"/>
  <c r="A12391" i="1"/>
  <c r="C12390" i="1"/>
  <c r="B12390" i="1"/>
  <c r="A12390" i="1"/>
  <c r="C12389" i="1"/>
  <c r="B12389" i="1"/>
  <c r="A12389" i="1"/>
  <c r="C12388" i="1"/>
  <c r="B12388" i="1"/>
  <c r="A12388" i="1"/>
  <c r="C12387" i="1"/>
  <c r="B12387" i="1"/>
  <c r="A12387" i="1"/>
  <c r="C12386" i="1"/>
  <c r="B12386" i="1"/>
  <c r="A12386" i="1"/>
  <c r="C12385" i="1"/>
  <c r="B12385" i="1"/>
  <c r="A12385" i="1"/>
  <c r="C12384" i="1"/>
  <c r="B12384" i="1"/>
  <c r="A12384" i="1"/>
  <c r="C12383" i="1"/>
  <c r="B12383" i="1"/>
  <c r="A12383" i="1"/>
  <c r="C12382" i="1"/>
  <c r="B12382" i="1"/>
  <c r="A12382" i="1"/>
  <c r="C12381" i="1"/>
  <c r="B12381" i="1"/>
  <c r="A12381" i="1"/>
  <c r="C12380" i="1"/>
  <c r="B12380" i="1"/>
  <c r="A12380" i="1"/>
  <c r="C12379" i="1"/>
  <c r="B12379" i="1"/>
  <c r="A12379" i="1"/>
  <c r="C12378" i="1"/>
  <c r="B12378" i="1"/>
  <c r="A12378" i="1"/>
  <c r="C12377" i="1"/>
  <c r="B12377" i="1"/>
  <c r="A12377" i="1"/>
  <c r="C12376" i="1"/>
  <c r="B12376" i="1"/>
  <c r="A12376" i="1"/>
  <c r="C12375" i="1"/>
  <c r="B12375" i="1"/>
  <c r="A12375" i="1"/>
  <c r="C12374" i="1"/>
  <c r="B12374" i="1"/>
  <c r="A12374" i="1"/>
  <c r="C12373" i="1"/>
  <c r="B12373" i="1"/>
  <c r="A12373" i="1"/>
  <c r="C12372" i="1"/>
  <c r="B12372" i="1"/>
  <c r="A12372" i="1"/>
  <c r="C12371" i="1"/>
  <c r="B12371" i="1"/>
  <c r="A12371" i="1"/>
  <c r="C12370" i="1"/>
  <c r="B12370" i="1"/>
  <c r="A12370" i="1"/>
  <c r="C12369" i="1"/>
  <c r="B12369" i="1"/>
  <c r="A12369" i="1"/>
  <c r="C12368" i="1"/>
  <c r="B12368" i="1"/>
  <c r="A12368" i="1"/>
  <c r="C12367" i="1"/>
  <c r="B12367" i="1"/>
  <c r="A12367" i="1"/>
  <c r="C12366" i="1"/>
  <c r="B12366" i="1"/>
  <c r="A12366" i="1"/>
  <c r="C12365" i="1"/>
  <c r="B12365" i="1"/>
  <c r="A12365" i="1"/>
  <c r="C12364" i="1"/>
  <c r="B12364" i="1"/>
  <c r="A12364" i="1"/>
  <c r="C12363" i="1"/>
  <c r="B12363" i="1"/>
  <c r="A12363" i="1"/>
  <c r="C12362" i="1"/>
  <c r="B12362" i="1"/>
  <c r="A12362" i="1"/>
  <c r="C12361" i="1"/>
  <c r="B12361" i="1"/>
  <c r="A12361" i="1"/>
  <c r="C12360" i="1"/>
  <c r="B12360" i="1"/>
  <c r="A12360" i="1"/>
  <c r="C12359" i="1"/>
  <c r="B12359" i="1"/>
  <c r="A12359" i="1"/>
  <c r="C12358" i="1"/>
  <c r="B12358" i="1"/>
  <c r="A12358" i="1"/>
  <c r="C12357" i="1"/>
  <c r="B12357" i="1"/>
  <c r="A12357" i="1"/>
  <c r="C12356" i="1"/>
  <c r="B12356" i="1"/>
  <c r="A12356" i="1"/>
  <c r="C12355" i="1"/>
  <c r="B12355" i="1"/>
  <c r="A12355" i="1"/>
  <c r="C12354" i="1"/>
  <c r="B12354" i="1"/>
  <c r="A12354" i="1"/>
  <c r="C12353" i="1"/>
  <c r="B12353" i="1"/>
  <c r="A12353" i="1"/>
  <c r="C12352" i="1"/>
  <c r="B12352" i="1"/>
  <c r="A12352" i="1"/>
  <c r="C12351" i="1"/>
  <c r="B12351" i="1"/>
  <c r="A12351" i="1"/>
  <c r="C12350" i="1"/>
  <c r="B12350" i="1"/>
  <c r="A12350" i="1"/>
  <c r="C12349" i="1"/>
  <c r="B12349" i="1"/>
  <c r="A12349" i="1"/>
  <c r="C12348" i="1"/>
  <c r="B12348" i="1"/>
  <c r="A12348" i="1"/>
  <c r="C12347" i="1"/>
  <c r="B12347" i="1"/>
  <c r="A12347" i="1"/>
  <c r="C12346" i="1"/>
  <c r="B12346" i="1"/>
  <c r="A12346" i="1"/>
  <c r="C12345" i="1"/>
  <c r="B12345" i="1"/>
  <c r="A12345" i="1"/>
  <c r="C12344" i="1"/>
  <c r="B12344" i="1"/>
  <c r="A12344" i="1"/>
  <c r="C12343" i="1"/>
  <c r="B12343" i="1"/>
  <c r="A12343" i="1"/>
  <c r="C12342" i="1"/>
  <c r="B12342" i="1"/>
  <c r="A12342" i="1"/>
  <c r="C12341" i="1"/>
  <c r="B12341" i="1"/>
  <c r="A12341" i="1"/>
  <c r="C12340" i="1"/>
  <c r="B12340" i="1"/>
  <c r="A12340" i="1"/>
  <c r="C12339" i="1"/>
  <c r="B12339" i="1"/>
  <c r="A12339" i="1"/>
  <c r="C12338" i="1"/>
  <c r="B12338" i="1"/>
  <c r="A12338" i="1"/>
  <c r="C12337" i="1"/>
  <c r="B12337" i="1"/>
  <c r="A12337" i="1"/>
  <c r="C12336" i="1"/>
  <c r="B12336" i="1"/>
  <c r="A12336" i="1"/>
  <c r="C12335" i="1"/>
  <c r="B12335" i="1"/>
  <c r="A12335" i="1"/>
  <c r="C12334" i="1"/>
  <c r="B12334" i="1"/>
  <c r="A12334" i="1"/>
  <c r="C12333" i="1"/>
  <c r="B12333" i="1"/>
  <c r="A12333" i="1"/>
  <c r="C12332" i="1"/>
  <c r="B12332" i="1"/>
  <c r="A12332" i="1"/>
  <c r="C12331" i="1"/>
  <c r="B12331" i="1"/>
  <c r="A12331" i="1"/>
  <c r="C12330" i="1"/>
  <c r="B12330" i="1"/>
  <c r="A12330" i="1"/>
  <c r="C12329" i="1"/>
  <c r="B12329" i="1"/>
  <c r="A12329" i="1"/>
  <c r="C12328" i="1"/>
  <c r="B12328" i="1"/>
  <c r="A12328" i="1"/>
  <c r="C12327" i="1"/>
  <c r="B12327" i="1"/>
  <c r="A12327" i="1"/>
  <c r="C12326" i="1"/>
  <c r="B12326" i="1"/>
  <c r="A12326" i="1"/>
  <c r="C12325" i="1"/>
  <c r="B12325" i="1"/>
  <c r="A12325" i="1"/>
  <c r="C12324" i="1"/>
  <c r="B12324" i="1"/>
  <c r="A12324" i="1"/>
  <c r="C12323" i="1"/>
  <c r="B12323" i="1"/>
  <c r="A12323" i="1"/>
  <c r="C12322" i="1"/>
  <c r="B12322" i="1"/>
  <c r="A12322" i="1"/>
  <c r="C12321" i="1"/>
  <c r="B12321" i="1"/>
  <c r="A12321" i="1"/>
  <c r="C12320" i="1"/>
  <c r="B12320" i="1"/>
  <c r="A12320" i="1"/>
  <c r="C12319" i="1"/>
  <c r="B12319" i="1"/>
  <c r="A12319" i="1"/>
  <c r="C12318" i="1"/>
  <c r="B12318" i="1"/>
  <c r="A12318" i="1"/>
  <c r="C12317" i="1"/>
  <c r="B12317" i="1"/>
  <c r="A12317" i="1"/>
  <c r="C12316" i="1"/>
  <c r="B12316" i="1"/>
  <c r="A12316" i="1"/>
  <c r="C12315" i="1"/>
  <c r="B12315" i="1"/>
  <c r="A12315" i="1"/>
  <c r="C12314" i="1"/>
  <c r="B12314" i="1"/>
  <c r="A12314" i="1"/>
  <c r="C12313" i="1"/>
  <c r="B12313" i="1"/>
  <c r="A12313" i="1"/>
  <c r="C12312" i="1"/>
  <c r="B12312" i="1"/>
  <c r="A12312" i="1"/>
  <c r="C12311" i="1"/>
  <c r="B12311" i="1"/>
  <c r="A12311" i="1"/>
  <c r="C12310" i="1"/>
  <c r="B12310" i="1"/>
  <c r="A12310" i="1"/>
  <c r="C12309" i="1"/>
  <c r="B12309" i="1"/>
  <c r="A12309" i="1"/>
  <c r="C12308" i="1"/>
  <c r="B12308" i="1"/>
  <c r="A12308" i="1"/>
  <c r="C12307" i="1"/>
  <c r="B12307" i="1"/>
  <c r="A12307" i="1"/>
  <c r="C12306" i="1"/>
  <c r="B12306" i="1"/>
  <c r="A12306" i="1"/>
  <c r="C12305" i="1"/>
  <c r="B12305" i="1"/>
  <c r="A12305" i="1"/>
  <c r="C12304" i="1"/>
  <c r="B12304" i="1"/>
  <c r="A12304" i="1"/>
  <c r="C12303" i="1"/>
  <c r="B12303" i="1"/>
  <c r="A12303" i="1"/>
  <c r="C12302" i="1"/>
  <c r="B12302" i="1"/>
  <c r="A12302" i="1"/>
  <c r="C12301" i="1"/>
  <c r="B12301" i="1"/>
  <c r="A12301" i="1"/>
  <c r="C12300" i="1"/>
  <c r="B12300" i="1"/>
  <c r="A12300" i="1"/>
  <c r="C12299" i="1"/>
  <c r="B12299" i="1"/>
  <c r="A12299" i="1"/>
  <c r="C12298" i="1"/>
  <c r="B12298" i="1"/>
  <c r="A12298" i="1"/>
  <c r="C12297" i="1"/>
  <c r="B12297" i="1"/>
  <c r="A12297" i="1"/>
  <c r="C12296" i="1"/>
  <c r="B12296" i="1"/>
  <c r="A12296" i="1"/>
  <c r="C12295" i="1"/>
  <c r="B12295" i="1"/>
  <c r="A12295" i="1"/>
  <c r="C12294" i="1"/>
  <c r="B12294" i="1"/>
  <c r="A12294" i="1"/>
  <c r="C12293" i="1"/>
  <c r="B12293" i="1"/>
  <c r="A12293" i="1"/>
  <c r="C12292" i="1"/>
  <c r="B12292" i="1"/>
  <c r="A12292" i="1"/>
  <c r="C12291" i="1"/>
  <c r="B12291" i="1"/>
  <c r="A12291" i="1"/>
  <c r="C12290" i="1"/>
  <c r="B12290" i="1"/>
  <c r="A12290" i="1"/>
  <c r="C12289" i="1"/>
  <c r="B12289" i="1"/>
  <c r="A12289" i="1"/>
  <c r="C12288" i="1"/>
  <c r="B12288" i="1"/>
  <c r="A12288" i="1"/>
  <c r="C12287" i="1"/>
  <c r="B12287" i="1"/>
  <c r="A12287" i="1"/>
  <c r="C12286" i="1"/>
  <c r="B12286" i="1"/>
  <c r="A12286" i="1"/>
  <c r="C12285" i="1"/>
  <c r="B12285" i="1"/>
  <c r="A12285" i="1"/>
  <c r="C12284" i="1"/>
  <c r="B12284" i="1"/>
  <c r="A12284" i="1"/>
  <c r="C12283" i="1"/>
  <c r="B12283" i="1"/>
  <c r="A12283" i="1"/>
  <c r="C12282" i="1"/>
  <c r="B12282" i="1"/>
  <c r="A12282" i="1"/>
  <c r="C12281" i="1"/>
  <c r="B12281" i="1"/>
  <c r="A12281" i="1"/>
  <c r="C12280" i="1"/>
  <c r="B12280" i="1"/>
  <c r="A12280" i="1"/>
  <c r="C12279" i="1"/>
  <c r="B12279" i="1"/>
  <c r="A12279" i="1"/>
  <c r="C12278" i="1"/>
  <c r="B12278" i="1"/>
  <c r="A12278" i="1"/>
  <c r="C12277" i="1"/>
  <c r="B12277" i="1"/>
  <c r="A12277" i="1"/>
  <c r="C12276" i="1"/>
  <c r="B12276" i="1"/>
  <c r="A12276" i="1"/>
  <c r="C12275" i="1"/>
  <c r="B12275" i="1"/>
  <c r="A12275" i="1"/>
  <c r="C12274" i="1"/>
  <c r="B12274" i="1"/>
  <c r="A12274" i="1"/>
  <c r="C12273" i="1"/>
  <c r="B12273" i="1"/>
  <c r="A12273" i="1"/>
  <c r="C12272" i="1"/>
  <c r="B12272" i="1"/>
  <c r="A12272" i="1"/>
  <c r="C12271" i="1"/>
  <c r="B12271" i="1"/>
  <c r="A12271" i="1"/>
  <c r="C12270" i="1"/>
  <c r="B12270" i="1"/>
  <c r="A12270" i="1"/>
  <c r="C12269" i="1"/>
  <c r="B12269" i="1"/>
  <c r="A12269" i="1"/>
  <c r="C12268" i="1"/>
  <c r="B12268" i="1"/>
  <c r="A12268" i="1"/>
  <c r="C12267" i="1"/>
  <c r="B12267" i="1"/>
  <c r="A12267" i="1"/>
  <c r="C12266" i="1"/>
  <c r="B12266" i="1"/>
  <c r="A12266" i="1"/>
  <c r="C12265" i="1"/>
  <c r="B12265" i="1"/>
  <c r="A12265" i="1"/>
  <c r="C12264" i="1"/>
  <c r="B12264" i="1"/>
  <c r="A12264" i="1"/>
  <c r="C12263" i="1"/>
  <c r="B12263" i="1"/>
  <c r="A12263" i="1"/>
  <c r="C12262" i="1"/>
  <c r="B12262" i="1"/>
  <c r="A12262" i="1"/>
  <c r="C12261" i="1"/>
  <c r="B12261" i="1"/>
  <c r="A12261" i="1"/>
  <c r="C12260" i="1"/>
  <c r="B12260" i="1"/>
  <c r="A12260" i="1"/>
  <c r="C12259" i="1"/>
  <c r="B12259" i="1"/>
  <c r="A12259" i="1"/>
  <c r="C12258" i="1"/>
  <c r="B12258" i="1"/>
  <c r="A12258" i="1"/>
  <c r="C12257" i="1"/>
  <c r="B12257" i="1"/>
  <c r="A12257" i="1"/>
  <c r="C12256" i="1"/>
  <c r="B12256" i="1"/>
  <c r="A12256" i="1"/>
  <c r="C12255" i="1"/>
  <c r="B12255" i="1"/>
  <c r="A12255" i="1"/>
  <c r="C12254" i="1"/>
  <c r="B12254" i="1"/>
  <c r="A12254" i="1"/>
  <c r="C12253" i="1"/>
  <c r="B12253" i="1"/>
  <c r="A12253" i="1"/>
  <c r="C12252" i="1"/>
  <c r="B12252" i="1"/>
  <c r="A12252" i="1"/>
  <c r="C12251" i="1"/>
  <c r="B12251" i="1"/>
  <c r="A12251" i="1"/>
  <c r="C12250" i="1"/>
  <c r="B12250" i="1"/>
  <c r="A12250" i="1"/>
  <c r="C12249" i="1"/>
  <c r="B12249" i="1"/>
  <c r="A12249" i="1"/>
  <c r="C12248" i="1"/>
  <c r="B12248" i="1"/>
  <c r="A12248" i="1"/>
  <c r="C12247" i="1"/>
  <c r="B12247" i="1"/>
  <c r="A12247" i="1"/>
  <c r="C12246" i="1"/>
  <c r="B12246" i="1"/>
  <c r="A12246" i="1"/>
  <c r="C12245" i="1"/>
  <c r="B12245" i="1"/>
  <c r="A12245" i="1"/>
  <c r="C12244" i="1"/>
  <c r="B12244" i="1"/>
  <c r="A12244" i="1"/>
  <c r="C12243" i="1"/>
  <c r="B12243" i="1"/>
  <c r="A12243" i="1"/>
  <c r="C12242" i="1"/>
  <c r="B12242" i="1"/>
  <c r="A12242" i="1"/>
  <c r="C12241" i="1"/>
  <c r="B12241" i="1"/>
  <c r="A12241" i="1"/>
  <c r="C12240" i="1"/>
  <c r="B12240" i="1"/>
  <c r="A12240" i="1"/>
  <c r="C12239" i="1"/>
  <c r="B12239" i="1"/>
  <c r="A12239" i="1"/>
  <c r="C12238" i="1"/>
  <c r="B12238" i="1"/>
  <c r="A12238" i="1"/>
  <c r="C12237" i="1"/>
  <c r="B12237" i="1"/>
  <c r="A12237" i="1"/>
  <c r="C12236" i="1"/>
  <c r="B12236" i="1"/>
  <c r="A12236" i="1"/>
  <c r="C12235" i="1"/>
  <c r="B12235" i="1"/>
  <c r="A12235" i="1"/>
  <c r="C12234" i="1"/>
  <c r="B12234" i="1"/>
  <c r="A12234" i="1"/>
  <c r="C12233" i="1"/>
  <c r="B12233" i="1"/>
  <c r="A12233" i="1"/>
  <c r="C12232" i="1"/>
  <c r="B12232" i="1"/>
  <c r="A12232" i="1"/>
  <c r="C12231" i="1"/>
  <c r="B12231" i="1"/>
  <c r="A12231" i="1"/>
  <c r="C12230" i="1"/>
  <c r="B12230" i="1"/>
  <c r="A12230" i="1"/>
  <c r="C12229" i="1"/>
  <c r="B12229" i="1"/>
  <c r="A12229" i="1"/>
  <c r="C12228" i="1"/>
  <c r="B12228" i="1"/>
  <c r="A12228" i="1"/>
  <c r="C12227" i="1"/>
  <c r="B12227" i="1"/>
  <c r="A12227" i="1"/>
  <c r="C12226" i="1"/>
  <c r="B12226" i="1"/>
  <c r="A12226" i="1"/>
  <c r="C12225" i="1"/>
  <c r="B12225" i="1"/>
  <c r="A12225" i="1"/>
  <c r="C12224" i="1"/>
  <c r="B12224" i="1"/>
  <c r="A12224" i="1"/>
  <c r="C12223" i="1"/>
  <c r="B12223" i="1"/>
  <c r="A12223" i="1"/>
  <c r="C12222" i="1"/>
  <c r="B12222" i="1"/>
  <c r="A12222" i="1"/>
  <c r="C12221" i="1"/>
  <c r="B12221" i="1"/>
  <c r="A12221" i="1"/>
  <c r="C12220" i="1"/>
  <c r="B12220" i="1"/>
  <c r="A12220" i="1"/>
  <c r="C12219" i="1"/>
  <c r="B12219" i="1"/>
  <c r="A12219" i="1"/>
  <c r="C12218" i="1"/>
  <c r="B12218" i="1"/>
  <c r="A12218" i="1"/>
  <c r="C12217" i="1"/>
  <c r="B12217" i="1"/>
  <c r="A12217" i="1"/>
  <c r="C12216" i="1"/>
  <c r="B12216" i="1"/>
  <c r="A12216" i="1"/>
  <c r="C12215" i="1"/>
  <c r="B12215" i="1"/>
  <c r="A12215" i="1"/>
  <c r="C12214" i="1"/>
  <c r="B12214" i="1"/>
  <c r="A12214" i="1"/>
  <c r="C12213" i="1"/>
  <c r="B12213" i="1"/>
  <c r="A12213" i="1"/>
  <c r="C12212" i="1"/>
  <c r="B12212" i="1"/>
  <c r="A12212" i="1"/>
  <c r="C12211" i="1"/>
  <c r="B12211" i="1"/>
  <c r="A12211" i="1"/>
  <c r="C12210" i="1"/>
  <c r="B12210" i="1"/>
  <c r="A12210" i="1"/>
  <c r="C12209" i="1"/>
  <c r="B12209" i="1"/>
  <c r="A12209" i="1"/>
  <c r="C12208" i="1"/>
  <c r="B12208" i="1"/>
  <c r="A12208" i="1"/>
  <c r="C12207" i="1"/>
  <c r="B12207" i="1"/>
  <c r="A12207" i="1"/>
  <c r="C12206" i="1"/>
  <c r="B12206" i="1"/>
  <c r="A12206" i="1"/>
  <c r="C12205" i="1"/>
  <c r="B12205" i="1"/>
  <c r="A12205" i="1"/>
  <c r="C12204" i="1"/>
  <c r="B12204" i="1"/>
  <c r="A12204" i="1"/>
  <c r="C12203" i="1"/>
  <c r="B12203" i="1"/>
  <c r="A12203" i="1"/>
  <c r="C12202" i="1"/>
  <c r="B12202" i="1"/>
  <c r="A12202" i="1"/>
  <c r="C12201" i="1"/>
  <c r="B12201" i="1"/>
  <c r="A12201" i="1"/>
  <c r="C12200" i="1"/>
  <c r="B12200" i="1"/>
  <c r="A12200" i="1"/>
  <c r="C12199" i="1"/>
  <c r="B12199" i="1"/>
  <c r="A12199" i="1"/>
  <c r="C12198" i="1"/>
  <c r="B12198" i="1"/>
  <c r="A12198" i="1"/>
  <c r="C12197" i="1"/>
  <c r="B12197" i="1"/>
  <c r="A12197" i="1"/>
  <c r="C12196" i="1"/>
  <c r="B12196" i="1"/>
  <c r="A12196" i="1"/>
  <c r="C12195" i="1"/>
  <c r="B12195" i="1"/>
  <c r="A12195" i="1"/>
  <c r="C12194" i="1"/>
  <c r="B12194" i="1"/>
  <c r="A12194" i="1"/>
  <c r="C12193" i="1"/>
  <c r="B12193" i="1"/>
  <c r="A12193" i="1"/>
  <c r="C12192" i="1"/>
  <c r="B12192" i="1"/>
  <c r="A12192" i="1"/>
  <c r="C12191" i="1"/>
  <c r="B12191" i="1"/>
  <c r="A12191" i="1"/>
  <c r="C12190" i="1"/>
  <c r="B12190" i="1"/>
  <c r="A12190" i="1"/>
  <c r="C12189" i="1"/>
  <c r="B12189" i="1"/>
  <c r="A12189" i="1"/>
  <c r="C12188" i="1"/>
  <c r="B12188" i="1"/>
  <c r="A12188" i="1"/>
  <c r="C12187" i="1"/>
  <c r="B12187" i="1"/>
  <c r="A12187" i="1"/>
  <c r="C12186" i="1"/>
  <c r="B12186" i="1"/>
  <c r="A12186" i="1"/>
  <c r="C12185" i="1"/>
  <c r="B12185" i="1"/>
  <c r="A12185" i="1"/>
  <c r="C12184" i="1"/>
  <c r="B12184" i="1"/>
  <c r="A12184" i="1"/>
  <c r="C12183" i="1"/>
  <c r="B12183" i="1"/>
  <c r="A12183" i="1"/>
  <c r="C12182" i="1"/>
  <c r="B12182" i="1"/>
  <c r="A12182" i="1"/>
  <c r="C12181" i="1"/>
  <c r="B12181" i="1"/>
  <c r="A12181" i="1"/>
  <c r="C12180" i="1"/>
  <c r="B12180" i="1"/>
  <c r="A12180" i="1"/>
  <c r="C12179" i="1"/>
  <c r="B12179" i="1"/>
  <c r="A12179" i="1"/>
  <c r="C12178" i="1"/>
  <c r="B12178" i="1"/>
  <c r="A12178" i="1"/>
  <c r="C12177" i="1"/>
  <c r="B12177" i="1"/>
  <c r="A12177" i="1"/>
  <c r="C12176" i="1"/>
  <c r="B12176" i="1"/>
  <c r="A12176" i="1"/>
  <c r="C12175" i="1"/>
  <c r="B12175" i="1"/>
  <c r="A12175" i="1"/>
  <c r="C12174" i="1"/>
  <c r="B12174" i="1"/>
  <c r="A12174" i="1"/>
  <c r="C12173" i="1"/>
  <c r="B12173" i="1"/>
  <c r="A12173" i="1"/>
  <c r="C12172" i="1"/>
  <c r="B12172" i="1"/>
  <c r="A12172" i="1"/>
  <c r="C12171" i="1"/>
  <c r="B12171" i="1"/>
  <c r="A12171" i="1"/>
  <c r="C12170" i="1"/>
  <c r="B12170" i="1"/>
  <c r="A12170" i="1"/>
  <c r="C12169" i="1"/>
  <c r="B12169" i="1"/>
  <c r="A12169" i="1"/>
  <c r="C12168" i="1"/>
  <c r="B12168" i="1"/>
  <c r="A12168" i="1"/>
  <c r="C12167" i="1"/>
  <c r="B12167" i="1"/>
  <c r="A12167" i="1"/>
  <c r="C12166" i="1"/>
  <c r="B12166" i="1"/>
  <c r="A12166" i="1"/>
  <c r="C12165" i="1"/>
  <c r="B12165" i="1"/>
  <c r="A12165" i="1"/>
  <c r="C12164" i="1"/>
  <c r="B12164" i="1"/>
  <c r="A12164" i="1"/>
  <c r="C12163" i="1"/>
  <c r="B12163" i="1"/>
  <c r="A12163" i="1"/>
  <c r="C12162" i="1"/>
  <c r="B12162" i="1"/>
  <c r="A12162" i="1"/>
  <c r="C12161" i="1"/>
  <c r="B12161" i="1"/>
  <c r="A12161" i="1"/>
  <c r="C12160" i="1"/>
  <c r="B12160" i="1"/>
  <c r="A12160" i="1"/>
  <c r="C12159" i="1"/>
  <c r="B12159" i="1"/>
  <c r="A12159" i="1"/>
  <c r="C12158" i="1"/>
  <c r="B12158" i="1"/>
  <c r="A12158" i="1"/>
  <c r="C12157" i="1"/>
  <c r="B12157" i="1"/>
  <c r="A12157" i="1"/>
  <c r="C12156" i="1"/>
  <c r="B12156" i="1"/>
  <c r="A12156" i="1"/>
  <c r="C12155" i="1"/>
  <c r="B12155" i="1"/>
  <c r="A12155" i="1"/>
  <c r="C12154" i="1"/>
  <c r="B12154" i="1"/>
  <c r="A12154" i="1"/>
  <c r="C12153" i="1"/>
  <c r="B12153" i="1"/>
  <c r="A12153" i="1"/>
  <c r="C12152" i="1"/>
  <c r="B12152" i="1"/>
  <c r="A12152" i="1"/>
  <c r="C12151" i="1"/>
  <c r="B12151" i="1"/>
  <c r="A12151" i="1"/>
  <c r="C12150" i="1"/>
  <c r="B12150" i="1"/>
  <c r="A12150" i="1"/>
  <c r="C12149" i="1"/>
  <c r="B12149" i="1"/>
  <c r="A12149" i="1"/>
  <c r="C12148" i="1"/>
  <c r="B12148" i="1"/>
  <c r="A12148" i="1"/>
  <c r="C12147" i="1"/>
  <c r="B12147" i="1"/>
  <c r="A12147" i="1"/>
  <c r="C12146" i="1"/>
  <c r="B12146" i="1"/>
  <c r="A12146" i="1"/>
  <c r="C12145" i="1"/>
  <c r="B12145" i="1"/>
  <c r="A12145" i="1"/>
  <c r="C12144" i="1"/>
  <c r="B12144" i="1"/>
  <c r="A12144" i="1"/>
  <c r="C12143" i="1"/>
  <c r="B12143" i="1"/>
  <c r="A12143" i="1"/>
  <c r="C12142" i="1"/>
  <c r="B12142" i="1"/>
  <c r="A12142" i="1"/>
  <c r="C12141" i="1"/>
  <c r="B12141" i="1"/>
  <c r="A12141" i="1"/>
  <c r="C12140" i="1"/>
  <c r="B12140" i="1"/>
  <c r="A12140" i="1"/>
  <c r="C12139" i="1"/>
  <c r="B12139" i="1"/>
  <c r="A12139" i="1"/>
  <c r="C12138" i="1"/>
  <c r="B12138" i="1"/>
  <c r="A12138" i="1"/>
  <c r="C12137" i="1"/>
  <c r="B12137" i="1"/>
  <c r="A12137" i="1"/>
  <c r="C12136" i="1"/>
  <c r="B12136" i="1"/>
  <c r="A12136" i="1"/>
  <c r="C12135" i="1"/>
  <c r="B12135" i="1"/>
  <c r="A12135" i="1"/>
  <c r="C12134" i="1"/>
  <c r="B12134" i="1"/>
  <c r="A12134" i="1"/>
  <c r="C12133" i="1"/>
  <c r="B12133" i="1"/>
  <c r="A12133" i="1"/>
  <c r="C12132" i="1"/>
  <c r="B12132" i="1"/>
  <c r="A12132" i="1"/>
  <c r="C12131" i="1"/>
  <c r="B12131" i="1"/>
  <c r="A12131" i="1"/>
  <c r="C12130" i="1"/>
  <c r="B12130" i="1"/>
  <c r="A12130" i="1"/>
  <c r="C12129" i="1"/>
  <c r="B12129" i="1"/>
  <c r="A12129" i="1"/>
  <c r="C12128" i="1"/>
  <c r="B12128" i="1"/>
  <c r="A12128" i="1"/>
  <c r="C12127" i="1"/>
  <c r="B12127" i="1"/>
  <c r="A12127" i="1"/>
  <c r="C12126" i="1"/>
  <c r="B12126" i="1"/>
  <c r="A12126" i="1"/>
  <c r="C12125" i="1"/>
  <c r="B12125" i="1"/>
  <c r="A12125" i="1"/>
  <c r="C12124" i="1"/>
  <c r="B12124" i="1"/>
  <c r="A12124" i="1"/>
  <c r="C12123" i="1"/>
  <c r="B12123" i="1"/>
  <c r="A12123" i="1"/>
  <c r="C12122" i="1"/>
  <c r="B12122" i="1"/>
  <c r="A12122" i="1"/>
  <c r="C12121" i="1"/>
  <c r="B12121" i="1"/>
  <c r="A12121" i="1"/>
  <c r="C12120" i="1"/>
  <c r="B12120" i="1"/>
  <c r="A12120" i="1"/>
  <c r="C12119" i="1"/>
  <c r="B12119" i="1"/>
  <c r="A12119" i="1"/>
  <c r="C12118" i="1"/>
  <c r="B12118" i="1"/>
  <c r="A12118" i="1"/>
  <c r="C12117" i="1"/>
  <c r="B12117" i="1"/>
  <c r="A12117" i="1"/>
  <c r="C12116" i="1"/>
  <c r="B12116" i="1"/>
  <c r="A12116" i="1"/>
  <c r="C12115" i="1"/>
  <c r="B12115" i="1"/>
  <c r="A12115" i="1"/>
  <c r="C12114" i="1"/>
  <c r="B12114" i="1"/>
  <c r="A12114" i="1"/>
  <c r="C12113" i="1"/>
  <c r="B12113" i="1"/>
  <c r="A12113" i="1"/>
  <c r="C12112" i="1"/>
  <c r="B12112" i="1"/>
  <c r="A12112" i="1"/>
  <c r="C12111" i="1"/>
  <c r="B12111" i="1"/>
  <c r="A12111" i="1"/>
  <c r="C12110" i="1"/>
  <c r="B12110" i="1"/>
  <c r="A12110" i="1"/>
  <c r="C12109" i="1"/>
  <c r="B12109" i="1"/>
  <c r="A12109" i="1"/>
  <c r="C12108" i="1"/>
  <c r="B12108" i="1"/>
  <c r="A12108" i="1"/>
  <c r="C12107" i="1"/>
  <c r="B12107" i="1"/>
  <c r="A12107" i="1"/>
  <c r="C12106" i="1"/>
  <c r="B12106" i="1"/>
  <c r="A12106" i="1"/>
  <c r="C12105" i="1"/>
  <c r="B12105" i="1"/>
  <c r="A12105" i="1"/>
  <c r="C12104" i="1"/>
  <c r="B12104" i="1"/>
  <c r="A12104" i="1"/>
  <c r="C12103" i="1"/>
  <c r="B12103" i="1"/>
  <c r="A12103" i="1"/>
  <c r="C12102" i="1"/>
  <c r="B12102" i="1"/>
  <c r="A12102" i="1"/>
  <c r="C12101" i="1"/>
  <c r="B12101" i="1"/>
  <c r="A12101" i="1"/>
  <c r="C12100" i="1"/>
  <c r="B12100" i="1"/>
  <c r="A12100" i="1"/>
  <c r="C12099" i="1"/>
  <c r="B12099" i="1"/>
  <c r="A12099" i="1"/>
  <c r="C12098" i="1"/>
  <c r="B12098" i="1"/>
  <c r="A12098" i="1"/>
  <c r="C12097" i="1"/>
  <c r="B12097" i="1"/>
  <c r="A12097" i="1"/>
  <c r="C12096" i="1"/>
  <c r="B12096" i="1"/>
  <c r="A12096" i="1"/>
  <c r="C12095" i="1"/>
  <c r="B12095" i="1"/>
  <c r="A12095" i="1"/>
  <c r="C12094" i="1"/>
  <c r="B12094" i="1"/>
  <c r="A12094" i="1"/>
  <c r="C12093" i="1"/>
  <c r="B12093" i="1"/>
  <c r="A12093" i="1"/>
  <c r="C12092" i="1"/>
  <c r="B12092" i="1"/>
  <c r="A12092" i="1"/>
  <c r="C12091" i="1"/>
  <c r="B12091" i="1"/>
  <c r="A12091" i="1"/>
  <c r="C12090" i="1"/>
  <c r="B12090" i="1"/>
  <c r="A12090" i="1"/>
  <c r="C12089" i="1"/>
  <c r="B12089" i="1"/>
  <c r="A12089" i="1"/>
  <c r="C12088" i="1"/>
  <c r="B12088" i="1"/>
  <c r="A12088" i="1"/>
  <c r="C12087" i="1"/>
  <c r="B12087" i="1"/>
  <c r="A12087" i="1"/>
  <c r="C12086" i="1"/>
  <c r="B12086" i="1"/>
  <c r="A12086" i="1"/>
  <c r="C12085" i="1"/>
  <c r="B12085" i="1"/>
  <c r="A12085" i="1"/>
  <c r="C12084" i="1"/>
  <c r="B12084" i="1"/>
  <c r="A12084" i="1"/>
  <c r="C12083" i="1"/>
  <c r="B12083" i="1"/>
  <c r="A12083" i="1"/>
  <c r="C12082" i="1"/>
  <c r="B12082" i="1"/>
  <c r="A12082" i="1"/>
  <c r="C12081" i="1"/>
  <c r="B12081" i="1"/>
  <c r="A12081" i="1"/>
  <c r="C12080" i="1"/>
  <c r="B12080" i="1"/>
  <c r="A12080" i="1"/>
  <c r="C12079" i="1"/>
  <c r="B12079" i="1"/>
  <c r="A12079" i="1"/>
  <c r="C12078" i="1"/>
  <c r="B12078" i="1"/>
  <c r="A12078" i="1"/>
  <c r="C12077" i="1"/>
  <c r="B12077" i="1"/>
  <c r="A12077" i="1"/>
  <c r="C12076" i="1"/>
  <c r="B12076" i="1"/>
  <c r="A12076" i="1"/>
  <c r="C12075" i="1"/>
  <c r="B12075" i="1"/>
  <c r="A12075" i="1"/>
  <c r="C12074" i="1"/>
  <c r="B12074" i="1"/>
  <c r="A12074" i="1"/>
  <c r="C12073" i="1"/>
  <c r="B12073" i="1"/>
  <c r="A12073" i="1"/>
  <c r="C12072" i="1"/>
  <c r="B12072" i="1"/>
  <c r="A12072" i="1"/>
  <c r="C12071" i="1"/>
  <c r="B12071" i="1"/>
  <c r="A12071" i="1"/>
  <c r="C12070" i="1"/>
  <c r="B12070" i="1"/>
  <c r="A12070" i="1"/>
  <c r="C12069" i="1"/>
  <c r="B12069" i="1"/>
  <c r="A12069" i="1"/>
  <c r="C12068" i="1"/>
  <c r="B12068" i="1"/>
  <c r="A12068" i="1"/>
  <c r="C12067" i="1"/>
  <c r="B12067" i="1"/>
  <c r="A12067" i="1"/>
  <c r="C12066" i="1"/>
  <c r="B12066" i="1"/>
  <c r="A12066" i="1"/>
  <c r="C12065" i="1"/>
  <c r="B12065" i="1"/>
  <c r="A12065" i="1"/>
  <c r="C12064" i="1"/>
  <c r="B12064" i="1"/>
  <c r="A12064" i="1"/>
  <c r="C12063" i="1"/>
  <c r="B12063" i="1"/>
  <c r="A12063" i="1"/>
  <c r="C12062" i="1"/>
  <c r="B12062" i="1"/>
  <c r="A12062" i="1"/>
  <c r="C12061" i="1"/>
  <c r="B12061" i="1"/>
  <c r="A12061" i="1"/>
  <c r="C12060" i="1"/>
  <c r="B12060" i="1"/>
  <c r="A12060" i="1"/>
  <c r="C12059" i="1"/>
  <c r="B12059" i="1"/>
  <c r="A12059" i="1"/>
  <c r="C12058" i="1"/>
  <c r="B12058" i="1"/>
  <c r="A12058" i="1"/>
  <c r="C12057" i="1"/>
  <c r="B12057" i="1"/>
  <c r="A12057" i="1"/>
  <c r="C12056" i="1"/>
  <c r="B12056" i="1"/>
  <c r="A12056" i="1"/>
  <c r="C12055" i="1"/>
  <c r="B12055" i="1"/>
  <c r="A12055" i="1"/>
  <c r="C12054" i="1"/>
  <c r="B12054" i="1"/>
  <c r="A12054" i="1"/>
  <c r="C12053" i="1"/>
  <c r="B12053" i="1"/>
  <c r="A12053" i="1"/>
  <c r="C12052" i="1"/>
  <c r="B12052" i="1"/>
  <c r="A12052" i="1"/>
  <c r="C12051" i="1"/>
  <c r="B12051" i="1"/>
  <c r="A12051" i="1"/>
  <c r="C12050" i="1"/>
  <c r="B12050" i="1"/>
  <c r="A12050" i="1"/>
  <c r="C12049" i="1"/>
  <c r="B12049" i="1"/>
  <c r="A12049" i="1"/>
  <c r="C12048" i="1"/>
  <c r="B12048" i="1"/>
  <c r="A12048" i="1"/>
  <c r="C12047" i="1"/>
  <c r="B12047" i="1"/>
  <c r="A12047" i="1"/>
  <c r="C12046" i="1"/>
  <c r="B12046" i="1"/>
  <c r="A12046" i="1"/>
  <c r="C12045" i="1"/>
  <c r="B12045" i="1"/>
  <c r="A12045" i="1"/>
  <c r="C12044" i="1"/>
  <c r="B12044" i="1"/>
  <c r="A12044" i="1"/>
  <c r="C12043" i="1"/>
  <c r="B12043" i="1"/>
  <c r="A12043" i="1"/>
  <c r="C12042" i="1"/>
  <c r="B12042" i="1"/>
  <c r="A12042" i="1"/>
  <c r="C12041" i="1"/>
  <c r="B12041" i="1"/>
  <c r="A12041" i="1"/>
  <c r="C12040" i="1"/>
  <c r="B12040" i="1"/>
  <c r="A12040" i="1"/>
  <c r="C12039" i="1"/>
  <c r="B12039" i="1"/>
  <c r="A12039" i="1"/>
  <c r="C12038" i="1"/>
  <c r="B12038" i="1"/>
  <c r="A12038" i="1"/>
  <c r="C12037" i="1"/>
  <c r="B12037" i="1"/>
  <c r="A12037" i="1"/>
  <c r="C12036" i="1"/>
  <c r="B12036" i="1"/>
  <c r="A12036" i="1"/>
  <c r="C12035" i="1"/>
  <c r="B12035" i="1"/>
  <c r="A12035" i="1"/>
  <c r="C12034" i="1"/>
  <c r="B12034" i="1"/>
  <c r="A12034" i="1"/>
  <c r="C12033" i="1"/>
  <c r="B12033" i="1"/>
  <c r="A12033" i="1"/>
  <c r="C12032" i="1"/>
  <c r="B12032" i="1"/>
  <c r="A12032" i="1"/>
  <c r="C12031" i="1"/>
  <c r="B12031" i="1"/>
  <c r="A12031" i="1"/>
  <c r="C12030" i="1"/>
  <c r="B12030" i="1"/>
  <c r="A12030" i="1"/>
  <c r="C12029" i="1"/>
  <c r="B12029" i="1"/>
  <c r="A12029" i="1"/>
  <c r="C12028" i="1"/>
  <c r="B12028" i="1"/>
  <c r="A12028" i="1"/>
  <c r="C12027" i="1"/>
  <c r="B12027" i="1"/>
  <c r="A12027" i="1"/>
  <c r="C12026" i="1"/>
  <c r="B12026" i="1"/>
  <c r="A12026" i="1"/>
  <c r="C12025" i="1"/>
  <c r="B12025" i="1"/>
  <c r="A12025" i="1"/>
  <c r="C12024" i="1"/>
  <c r="B12024" i="1"/>
  <c r="A12024" i="1"/>
  <c r="C12023" i="1"/>
  <c r="B12023" i="1"/>
  <c r="A12023" i="1"/>
  <c r="C12022" i="1"/>
  <c r="B12022" i="1"/>
  <c r="A12022" i="1"/>
  <c r="C12021" i="1"/>
  <c r="B12021" i="1"/>
  <c r="A12021" i="1"/>
  <c r="C12020" i="1"/>
  <c r="B12020" i="1"/>
  <c r="A12020" i="1"/>
  <c r="C12019" i="1"/>
  <c r="B12019" i="1"/>
  <c r="A12019" i="1"/>
  <c r="C12018" i="1"/>
  <c r="B12018" i="1"/>
  <c r="A12018" i="1"/>
  <c r="C12017" i="1"/>
  <c r="B12017" i="1"/>
  <c r="A12017" i="1"/>
  <c r="C12016" i="1"/>
  <c r="B12016" i="1"/>
  <c r="A12016" i="1"/>
  <c r="C12015" i="1"/>
  <c r="B12015" i="1"/>
  <c r="A12015" i="1"/>
  <c r="C12014" i="1"/>
  <c r="B12014" i="1"/>
  <c r="A12014" i="1"/>
  <c r="C12013" i="1"/>
  <c r="B12013" i="1"/>
  <c r="A12013" i="1"/>
  <c r="C12012" i="1"/>
  <c r="B12012" i="1"/>
  <c r="A12012" i="1"/>
  <c r="C12011" i="1"/>
  <c r="B12011" i="1"/>
  <c r="A12011" i="1"/>
  <c r="C12010" i="1"/>
  <c r="B12010" i="1"/>
  <c r="A12010" i="1"/>
  <c r="C12009" i="1"/>
  <c r="B12009" i="1"/>
  <c r="A12009" i="1"/>
  <c r="C12008" i="1"/>
  <c r="B12008" i="1"/>
  <c r="A12008" i="1"/>
  <c r="C12007" i="1"/>
  <c r="B12007" i="1"/>
  <c r="A12007" i="1"/>
  <c r="C12006" i="1"/>
  <c r="B12006" i="1"/>
  <c r="A12006" i="1"/>
  <c r="C12005" i="1"/>
  <c r="B12005" i="1"/>
  <c r="A12005" i="1"/>
  <c r="C12004" i="1"/>
  <c r="B12004" i="1"/>
  <c r="A12004" i="1"/>
  <c r="C12003" i="1"/>
  <c r="B12003" i="1"/>
  <c r="A12003" i="1"/>
  <c r="C12002" i="1"/>
  <c r="B12002" i="1"/>
  <c r="A12002" i="1"/>
  <c r="C12001" i="1"/>
  <c r="B12001" i="1"/>
  <c r="A12001" i="1"/>
  <c r="C12000" i="1"/>
  <c r="B12000" i="1"/>
  <c r="A12000" i="1"/>
  <c r="C11999" i="1"/>
  <c r="B11999" i="1"/>
  <c r="A11999" i="1"/>
  <c r="C11998" i="1"/>
  <c r="B11998" i="1"/>
  <c r="A11998" i="1"/>
  <c r="C11997" i="1"/>
  <c r="B11997" i="1"/>
  <c r="A11997" i="1"/>
  <c r="C11996" i="1"/>
  <c r="B11996" i="1"/>
  <c r="A11996" i="1"/>
  <c r="C11995" i="1"/>
  <c r="B11995" i="1"/>
  <c r="A11995" i="1"/>
  <c r="C11994" i="1"/>
  <c r="B11994" i="1"/>
  <c r="A11994" i="1"/>
  <c r="C11993" i="1"/>
  <c r="B11993" i="1"/>
  <c r="A11993" i="1"/>
  <c r="C11992" i="1"/>
  <c r="B11992" i="1"/>
  <c r="A11992" i="1"/>
  <c r="C11991" i="1"/>
  <c r="B11991" i="1"/>
  <c r="A11991" i="1"/>
  <c r="C11990" i="1"/>
  <c r="B11990" i="1"/>
  <c r="A11990" i="1"/>
  <c r="C11989" i="1"/>
  <c r="B11989" i="1"/>
  <c r="A11989" i="1"/>
  <c r="C11988" i="1"/>
  <c r="B11988" i="1"/>
  <c r="A11988" i="1"/>
  <c r="C11987" i="1"/>
  <c r="B11987" i="1"/>
  <c r="A11987" i="1"/>
  <c r="C11986" i="1"/>
  <c r="B11986" i="1"/>
  <c r="A11986" i="1"/>
  <c r="C11985" i="1"/>
  <c r="B11985" i="1"/>
  <c r="A11985" i="1"/>
  <c r="C11984" i="1"/>
  <c r="B11984" i="1"/>
  <c r="A11984" i="1"/>
  <c r="C11983" i="1"/>
  <c r="B11983" i="1"/>
  <c r="A11983" i="1"/>
  <c r="C11982" i="1"/>
  <c r="B11982" i="1"/>
  <c r="A11982" i="1"/>
  <c r="C11981" i="1"/>
  <c r="B11981" i="1"/>
  <c r="A11981" i="1"/>
  <c r="C11980" i="1"/>
  <c r="B11980" i="1"/>
  <c r="A11980" i="1"/>
  <c r="C11979" i="1"/>
  <c r="B11979" i="1"/>
  <c r="A11979" i="1"/>
  <c r="C11978" i="1"/>
  <c r="B11978" i="1"/>
  <c r="A11978" i="1"/>
  <c r="C11977" i="1"/>
  <c r="B11977" i="1"/>
  <c r="A11977" i="1"/>
  <c r="C11976" i="1"/>
  <c r="B11976" i="1"/>
  <c r="A11976" i="1"/>
  <c r="C11975" i="1"/>
  <c r="B11975" i="1"/>
  <c r="A11975" i="1"/>
  <c r="C11974" i="1"/>
  <c r="B11974" i="1"/>
  <c r="A11974" i="1"/>
  <c r="C11973" i="1"/>
  <c r="B11973" i="1"/>
  <c r="A11973" i="1"/>
  <c r="C11972" i="1"/>
  <c r="B11972" i="1"/>
  <c r="A11972" i="1"/>
  <c r="C11971" i="1"/>
  <c r="B11971" i="1"/>
  <c r="A11971" i="1"/>
  <c r="C11970" i="1"/>
  <c r="B11970" i="1"/>
  <c r="A11970" i="1"/>
  <c r="C11969" i="1"/>
  <c r="B11969" i="1"/>
  <c r="A11969" i="1"/>
  <c r="C11968" i="1"/>
  <c r="B11968" i="1"/>
  <c r="A11968" i="1"/>
  <c r="C11967" i="1"/>
  <c r="B11967" i="1"/>
  <c r="A11967" i="1"/>
  <c r="C11966" i="1"/>
  <c r="B11966" i="1"/>
  <c r="A11966" i="1"/>
  <c r="C11965" i="1"/>
  <c r="B11965" i="1"/>
  <c r="A11965" i="1"/>
  <c r="C11964" i="1"/>
  <c r="B11964" i="1"/>
  <c r="A11964" i="1"/>
  <c r="C11963" i="1"/>
  <c r="B11963" i="1"/>
  <c r="A11963" i="1"/>
  <c r="C11962" i="1"/>
  <c r="B11962" i="1"/>
  <c r="A11962" i="1"/>
  <c r="C11961" i="1"/>
  <c r="B11961" i="1"/>
  <c r="A11961" i="1"/>
  <c r="C11960" i="1"/>
  <c r="B11960" i="1"/>
  <c r="A11960" i="1"/>
  <c r="C11959" i="1"/>
  <c r="B11959" i="1"/>
  <c r="A11959" i="1"/>
  <c r="C11958" i="1"/>
  <c r="B11958" i="1"/>
  <c r="A11958" i="1"/>
  <c r="C11957" i="1"/>
  <c r="B11957" i="1"/>
  <c r="A11957" i="1"/>
  <c r="C11956" i="1"/>
  <c r="B11956" i="1"/>
  <c r="A11956" i="1"/>
  <c r="C11955" i="1"/>
  <c r="B11955" i="1"/>
  <c r="A11955" i="1"/>
  <c r="C11954" i="1"/>
  <c r="B11954" i="1"/>
  <c r="A11954" i="1"/>
  <c r="C11953" i="1"/>
  <c r="B11953" i="1"/>
  <c r="A11953" i="1"/>
  <c r="C11952" i="1"/>
  <c r="B11952" i="1"/>
  <c r="A11952" i="1"/>
  <c r="C11951" i="1"/>
  <c r="B11951" i="1"/>
  <c r="A11951" i="1"/>
  <c r="C11950" i="1"/>
  <c r="B11950" i="1"/>
  <c r="A11950" i="1"/>
  <c r="C11949" i="1"/>
  <c r="B11949" i="1"/>
  <c r="A11949" i="1"/>
  <c r="C11948" i="1"/>
  <c r="B11948" i="1"/>
  <c r="A11948" i="1"/>
  <c r="C11947" i="1"/>
  <c r="B11947" i="1"/>
  <c r="A11947" i="1"/>
  <c r="C11946" i="1"/>
  <c r="B11946" i="1"/>
  <c r="A11946" i="1"/>
  <c r="C11945" i="1"/>
  <c r="B11945" i="1"/>
  <c r="A11945" i="1"/>
  <c r="C11944" i="1"/>
  <c r="B11944" i="1"/>
  <c r="A11944" i="1"/>
  <c r="C11943" i="1"/>
  <c r="B11943" i="1"/>
  <c r="A11943" i="1"/>
  <c r="C11942" i="1"/>
  <c r="B11942" i="1"/>
  <c r="A11942" i="1"/>
  <c r="C11941" i="1"/>
  <c r="B11941" i="1"/>
  <c r="A11941" i="1"/>
  <c r="C11940" i="1"/>
  <c r="B11940" i="1"/>
  <c r="A11940" i="1"/>
  <c r="C11939" i="1"/>
  <c r="B11939" i="1"/>
  <c r="A11939" i="1"/>
  <c r="C11938" i="1"/>
  <c r="B11938" i="1"/>
  <c r="A11938" i="1"/>
  <c r="C11937" i="1"/>
  <c r="B11937" i="1"/>
  <c r="A11937" i="1"/>
  <c r="C11936" i="1"/>
  <c r="B11936" i="1"/>
  <c r="A11936" i="1"/>
  <c r="C11935" i="1"/>
  <c r="B11935" i="1"/>
  <c r="A11935" i="1"/>
  <c r="C11934" i="1"/>
  <c r="B11934" i="1"/>
  <c r="A11934" i="1"/>
  <c r="C11933" i="1"/>
  <c r="B11933" i="1"/>
  <c r="A11933" i="1"/>
  <c r="C11932" i="1"/>
  <c r="B11932" i="1"/>
  <c r="A11932" i="1"/>
  <c r="C11931" i="1"/>
  <c r="B11931" i="1"/>
  <c r="A11931" i="1"/>
  <c r="C11930" i="1"/>
  <c r="B11930" i="1"/>
  <c r="A11930" i="1"/>
  <c r="C11929" i="1"/>
  <c r="B11929" i="1"/>
  <c r="A11929" i="1"/>
  <c r="C11928" i="1"/>
  <c r="B11928" i="1"/>
  <c r="A11928" i="1"/>
  <c r="C11927" i="1"/>
  <c r="B11927" i="1"/>
  <c r="A11927" i="1"/>
  <c r="C11926" i="1"/>
  <c r="B11926" i="1"/>
  <c r="A11926" i="1"/>
  <c r="C11925" i="1"/>
  <c r="B11925" i="1"/>
  <c r="A11925" i="1"/>
  <c r="C11924" i="1"/>
  <c r="B11924" i="1"/>
  <c r="A11924" i="1"/>
  <c r="C11923" i="1"/>
  <c r="B11923" i="1"/>
  <c r="A11923" i="1"/>
  <c r="C11922" i="1"/>
  <c r="B11922" i="1"/>
  <c r="A11922" i="1"/>
  <c r="C11921" i="1"/>
  <c r="B11921" i="1"/>
  <c r="A11921" i="1"/>
  <c r="C11920" i="1"/>
  <c r="B11920" i="1"/>
  <c r="A11920" i="1"/>
  <c r="C11919" i="1"/>
  <c r="B11919" i="1"/>
  <c r="A11919" i="1"/>
  <c r="C11918" i="1"/>
  <c r="B11918" i="1"/>
  <c r="A11918" i="1"/>
  <c r="C11917" i="1"/>
  <c r="B11917" i="1"/>
  <c r="A11917" i="1"/>
  <c r="C11916" i="1"/>
  <c r="B11916" i="1"/>
  <c r="A11916" i="1"/>
  <c r="C11915" i="1"/>
  <c r="B11915" i="1"/>
  <c r="A11915" i="1"/>
  <c r="C11914" i="1"/>
  <c r="B11914" i="1"/>
  <c r="A11914" i="1"/>
  <c r="C11913" i="1"/>
  <c r="B11913" i="1"/>
  <c r="A11913" i="1"/>
  <c r="C11912" i="1"/>
  <c r="B11912" i="1"/>
  <c r="A11912" i="1"/>
  <c r="C11911" i="1"/>
  <c r="B11911" i="1"/>
  <c r="A11911" i="1"/>
  <c r="C11910" i="1"/>
  <c r="B11910" i="1"/>
  <c r="A11910" i="1"/>
  <c r="C11909" i="1"/>
  <c r="B11909" i="1"/>
  <c r="A11909" i="1"/>
  <c r="C11908" i="1"/>
  <c r="B11908" i="1"/>
  <c r="A11908" i="1"/>
  <c r="C11907" i="1"/>
  <c r="B11907" i="1"/>
  <c r="A11907" i="1"/>
  <c r="C11906" i="1"/>
  <c r="B11906" i="1"/>
  <c r="A11906" i="1"/>
  <c r="C11905" i="1"/>
  <c r="B11905" i="1"/>
  <c r="A11905" i="1"/>
  <c r="C11904" i="1"/>
  <c r="B11904" i="1"/>
  <c r="A11904" i="1"/>
  <c r="C11903" i="1"/>
  <c r="B11903" i="1"/>
  <c r="A11903" i="1"/>
  <c r="C11902" i="1"/>
  <c r="B11902" i="1"/>
  <c r="A11902" i="1"/>
  <c r="C11901" i="1"/>
  <c r="B11901" i="1"/>
  <c r="A11901" i="1"/>
  <c r="C11900" i="1"/>
  <c r="B11900" i="1"/>
  <c r="A11900" i="1"/>
  <c r="C11899" i="1"/>
  <c r="B11899" i="1"/>
  <c r="A11899" i="1"/>
  <c r="C11898" i="1"/>
  <c r="B11898" i="1"/>
  <c r="A11898" i="1"/>
  <c r="C11897" i="1"/>
  <c r="B11897" i="1"/>
  <c r="A11897" i="1"/>
  <c r="C11896" i="1"/>
  <c r="B11896" i="1"/>
  <c r="A11896" i="1"/>
  <c r="C11895" i="1"/>
  <c r="B11895" i="1"/>
  <c r="A11895" i="1"/>
  <c r="C11894" i="1"/>
  <c r="B11894" i="1"/>
  <c r="A11894" i="1"/>
  <c r="C11893" i="1"/>
  <c r="B11893" i="1"/>
  <c r="A11893" i="1"/>
  <c r="C11892" i="1"/>
  <c r="B11892" i="1"/>
  <c r="A11892" i="1"/>
  <c r="C11891" i="1"/>
  <c r="B11891" i="1"/>
  <c r="A11891" i="1"/>
  <c r="C11890" i="1"/>
  <c r="B11890" i="1"/>
  <c r="A11890" i="1"/>
  <c r="C11889" i="1"/>
  <c r="B11889" i="1"/>
  <c r="A11889" i="1"/>
  <c r="C11888" i="1"/>
  <c r="B11888" i="1"/>
  <c r="A11888" i="1"/>
  <c r="C11887" i="1"/>
  <c r="B11887" i="1"/>
  <c r="A11887" i="1"/>
  <c r="C11886" i="1"/>
  <c r="B11886" i="1"/>
  <c r="A11886" i="1"/>
  <c r="C11885" i="1"/>
  <c r="B11885" i="1"/>
  <c r="A11885" i="1"/>
  <c r="C11884" i="1"/>
  <c r="B11884" i="1"/>
  <c r="A11884" i="1"/>
  <c r="C11883" i="1"/>
  <c r="B11883" i="1"/>
  <c r="A11883" i="1"/>
  <c r="C11882" i="1"/>
  <c r="B11882" i="1"/>
  <c r="A11882" i="1"/>
  <c r="C11881" i="1"/>
  <c r="B11881" i="1"/>
  <c r="A11881" i="1"/>
  <c r="C11880" i="1"/>
  <c r="B11880" i="1"/>
  <c r="A11880" i="1"/>
  <c r="C11879" i="1"/>
  <c r="B11879" i="1"/>
  <c r="A11879" i="1"/>
  <c r="C11878" i="1"/>
  <c r="B11878" i="1"/>
  <c r="A11878" i="1"/>
  <c r="C11877" i="1"/>
  <c r="B11877" i="1"/>
  <c r="A11877" i="1"/>
  <c r="C11876" i="1"/>
  <c r="B11876" i="1"/>
  <c r="A11876" i="1"/>
  <c r="C11875" i="1"/>
  <c r="B11875" i="1"/>
  <c r="A11875" i="1"/>
  <c r="C11874" i="1"/>
  <c r="B11874" i="1"/>
  <c r="A11874" i="1"/>
  <c r="C11873" i="1"/>
  <c r="B11873" i="1"/>
  <c r="A11873" i="1"/>
  <c r="C11872" i="1"/>
  <c r="B11872" i="1"/>
  <c r="A11872" i="1"/>
  <c r="C11871" i="1"/>
  <c r="B11871" i="1"/>
  <c r="A11871" i="1"/>
  <c r="C11870" i="1"/>
  <c r="B11870" i="1"/>
  <c r="A11870" i="1"/>
  <c r="C11869" i="1"/>
  <c r="B11869" i="1"/>
  <c r="A11869" i="1"/>
  <c r="C11868" i="1"/>
  <c r="B11868" i="1"/>
  <c r="A11868" i="1"/>
  <c r="C11867" i="1"/>
  <c r="B11867" i="1"/>
  <c r="A11867" i="1"/>
  <c r="C11866" i="1"/>
  <c r="B11866" i="1"/>
  <c r="A11866" i="1"/>
  <c r="C11865" i="1"/>
  <c r="B11865" i="1"/>
  <c r="A11865" i="1"/>
  <c r="C11864" i="1"/>
  <c r="B11864" i="1"/>
  <c r="A11864" i="1"/>
  <c r="C11863" i="1"/>
  <c r="B11863" i="1"/>
  <c r="A11863" i="1"/>
  <c r="C11862" i="1"/>
  <c r="B11862" i="1"/>
  <c r="A11862" i="1"/>
  <c r="C11861" i="1"/>
  <c r="B11861" i="1"/>
  <c r="A11861" i="1"/>
  <c r="C11860" i="1"/>
  <c r="B11860" i="1"/>
  <c r="A11860" i="1"/>
  <c r="C11859" i="1"/>
  <c r="B11859" i="1"/>
  <c r="A11859" i="1"/>
  <c r="C11858" i="1"/>
  <c r="B11858" i="1"/>
  <c r="A11858" i="1"/>
  <c r="C11857" i="1"/>
  <c r="B11857" i="1"/>
  <c r="A11857" i="1"/>
  <c r="C11856" i="1"/>
  <c r="B11856" i="1"/>
  <c r="A11856" i="1"/>
  <c r="C11855" i="1"/>
  <c r="B11855" i="1"/>
  <c r="A11855" i="1"/>
  <c r="C11854" i="1"/>
  <c r="B11854" i="1"/>
  <c r="A11854" i="1"/>
  <c r="C11853" i="1"/>
  <c r="B11853" i="1"/>
  <c r="A11853" i="1"/>
  <c r="C11852" i="1"/>
  <c r="B11852" i="1"/>
  <c r="A11852" i="1"/>
  <c r="C11851" i="1"/>
  <c r="B11851" i="1"/>
  <c r="A11851" i="1"/>
  <c r="C11850" i="1"/>
  <c r="B11850" i="1"/>
  <c r="A11850" i="1"/>
  <c r="C11849" i="1"/>
  <c r="B11849" i="1"/>
  <c r="A11849" i="1"/>
  <c r="C11848" i="1"/>
  <c r="B11848" i="1"/>
  <c r="A11848" i="1"/>
  <c r="C11847" i="1"/>
  <c r="B11847" i="1"/>
  <c r="A11847" i="1"/>
  <c r="C11846" i="1"/>
  <c r="B11846" i="1"/>
  <c r="A11846" i="1"/>
  <c r="C11845" i="1"/>
  <c r="B11845" i="1"/>
  <c r="A11845" i="1"/>
  <c r="C11844" i="1"/>
  <c r="B11844" i="1"/>
  <c r="A11844" i="1"/>
  <c r="C11843" i="1"/>
  <c r="B11843" i="1"/>
  <c r="A11843" i="1"/>
  <c r="C11842" i="1"/>
  <c r="B11842" i="1"/>
  <c r="A11842" i="1"/>
  <c r="C11841" i="1"/>
  <c r="B11841" i="1"/>
  <c r="A11841" i="1"/>
  <c r="C11840" i="1"/>
  <c r="B11840" i="1"/>
  <c r="A11840" i="1"/>
  <c r="C11839" i="1"/>
  <c r="B11839" i="1"/>
  <c r="A11839" i="1"/>
  <c r="C11838" i="1"/>
  <c r="B11838" i="1"/>
  <c r="A11838" i="1"/>
  <c r="C11837" i="1"/>
  <c r="B11837" i="1"/>
  <c r="A11837" i="1"/>
  <c r="C11836" i="1"/>
  <c r="B11836" i="1"/>
  <c r="A11836" i="1"/>
  <c r="C11835" i="1"/>
  <c r="B11835" i="1"/>
  <c r="A11835" i="1"/>
  <c r="C11834" i="1"/>
  <c r="B11834" i="1"/>
  <c r="A11834" i="1"/>
  <c r="C11833" i="1"/>
  <c r="B11833" i="1"/>
  <c r="A11833" i="1"/>
  <c r="C11832" i="1"/>
  <c r="B11832" i="1"/>
  <c r="A11832" i="1"/>
  <c r="C11831" i="1"/>
  <c r="B11831" i="1"/>
  <c r="A11831" i="1"/>
  <c r="C11830" i="1"/>
  <c r="B11830" i="1"/>
  <c r="A11830" i="1"/>
  <c r="C11829" i="1"/>
  <c r="B11829" i="1"/>
  <c r="A11829" i="1"/>
  <c r="C11828" i="1"/>
  <c r="B11828" i="1"/>
  <c r="A11828" i="1"/>
  <c r="C11827" i="1"/>
  <c r="B11827" i="1"/>
  <c r="A11827" i="1"/>
  <c r="C11826" i="1"/>
  <c r="B11826" i="1"/>
  <c r="A11826" i="1"/>
  <c r="C11825" i="1"/>
  <c r="B11825" i="1"/>
  <c r="A11825" i="1"/>
  <c r="C11824" i="1"/>
  <c r="B11824" i="1"/>
  <c r="A11824" i="1"/>
  <c r="C11823" i="1"/>
  <c r="B11823" i="1"/>
  <c r="A11823" i="1"/>
  <c r="C11822" i="1"/>
  <c r="B11822" i="1"/>
  <c r="A11822" i="1"/>
  <c r="C11821" i="1"/>
  <c r="B11821" i="1"/>
  <c r="A11821" i="1"/>
  <c r="C11820" i="1"/>
  <c r="B11820" i="1"/>
  <c r="A11820" i="1"/>
  <c r="C11819" i="1"/>
  <c r="B11819" i="1"/>
  <c r="A11819" i="1"/>
  <c r="C11818" i="1"/>
  <c r="B11818" i="1"/>
  <c r="A11818" i="1"/>
  <c r="C11817" i="1"/>
  <c r="B11817" i="1"/>
  <c r="A11817" i="1"/>
  <c r="C11816" i="1"/>
  <c r="B11816" i="1"/>
  <c r="A11816" i="1"/>
  <c r="C11815" i="1"/>
  <c r="B11815" i="1"/>
  <c r="A11815" i="1"/>
  <c r="C11814" i="1"/>
  <c r="B11814" i="1"/>
  <c r="A11814" i="1"/>
  <c r="C11813" i="1"/>
  <c r="B11813" i="1"/>
  <c r="A11813" i="1"/>
  <c r="C11812" i="1"/>
  <c r="B11812" i="1"/>
  <c r="A11812" i="1"/>
  <c r="C11811" i="1"/>
  <c r="B11811" i="1"/>
  <c r="A11811" i="1"/>
  <c r="C11810" i="1"/>
  <c r="B11810" i="1"/>
  <c r="A11810" i="1"/>
  <c r="C11809" i="1"/>
  <c r="B11809" i="1"/>
  <c r="A11809" i="1"/>
  <c r="C11808" i="1"/>
  <c r="B11808" i="1"/>
  <c r="A11808" i="1"/>
  <c r="C11807" i="1"/>
  <c r="B11807" i="1"/>
  <c r="A11807" i="1"/>
  <c r="C11806" i="1"/>
  <c r="B11806" i="1"/>
  <c r="A11806" i="1"/>
  <c r="C11805" i="1"/>
  <c r="B11805" i="1"/>
  <c r="A11805" i="1"/>
  <c r="C11804" i="1"/>
  <c r="B11804" i="1"/>
  <c r="A11804" i="1"/>
  <c r="C11803" i="1"/>
  <c r="B11803" i="1"/>
  <c r="A11803" i="1"/>
  <c r="C11802" i="1"/>
  <c r="B11802" i="1"/>
  <c r="A11802" i="1"/>
  <c r="C11801" i="1"/>
  <c r="B11801" i="1"/>
  <c r="A11801" i="1"/>
  <c r="C11800" i="1"/>
  <c r="B11800" i="1"/>
  <c r="A11800" i="1"/>
  <c r="C11799" i="1"/>
  <c r="B11799" i="1"/>
  <c r="A11799" i="1"/>
  <c r="C11798" i="1"/>
  <c r="B11798" i="1"/>
  <c r="A11798" i="1"/>
  <c r="C11797" i="1"/>
  <c r="B11797" i="1"/>
  <c r="A11797" i="1"/>
  <c r="C11796" i="1"/>
  <c r="B11796" i="1"/>
  <c r="A11796" i="1"/>
  <c r="C11795" i="1"/>
  <c r="B11795" i="1"/>
  <c r="A11795" i="1"/>
  <c r="C11794" i="1"/>
  <c r="B11794" i="1"/>
  <c r="A11794" i="1"/>
  <c r="C11793" i="1"/>
  <c r="B11793" i="1"/>
  <c r="A11793" i="1"/>
  <c r="C11792" i="1"/>
  <c r="B11792" i="1"/>
  <c r="A11792" i="1"/>
  <c r="C11791" i="1"/>
  <c r="B11791" i="1"/>
  <c r="A11791" i="1"/>
  <c r="C11790" i="1"/>
  <c r="B11790" i="1"/>
  <c r="A11790" i="1"/>
  <c r="C11789" i="1"/>
  <c r="B11789" i="1"/>
  <c r="A11789" i="1"/>
  <c r="C11788" i="1"/>
  <c r="B11788" i="1"/>
  <c r="A11788" i="1"/>
  <c r="C11787" i="1"/>
  <c r="B11787" i="1"/>
  <c r="A11787" i="1"/>
  <c r="C11786" i="1"/>
  <c r="B11786" i="1"/>
  <c r="A11786" i="1"/>
  <c r="C11785" i="1"/>
  <c r="B11785" i="1"/>
  <c r="A11785" i="1"/>
  <c r="C11784" i="1"/>
  <c r="B11784" i="1"/>
  <c r="A11784" i="1"/>
  <c r="C11783" i="1"/>
  <c r="B11783" i="1"/>
  <c r="A11783" i="1"/>
  <c r="C11782" i="1"/>
  <c r="B11782" i="1"/>
  <c r="A11782" i="1"/>
  <c r="C11781" i="1"/>
  <c r="B11781" i="1"/>
  <c r="A11781" i="1"/>
  <c r="C11780" i="1"/>
  <c r="B11780" i="1"/>
  <c r="A11780" i="1"/>
  <c r="C11779" i="1"/>
  <c r="B11779" i="1"/>
  <c r="A11779" i="1"/>
  <c r="C11778" i="1"/>
  <c r="B11778" i="1"/>
  <c r="A11778" i="1"/>
  <c r="C11777" i="1"/>
  <c r="B11777" i="1"/>
  <c r="A11777" i="1"/>
  <c r="C11776" i="1"/>
  <c r="B11776" i="1"/>
  <c r="A11776" i="1"/>
  <c r="C11775" i="1"/>
  <c r="B11775" i="1"/>
  <c r="A11775" i="1"/>
  <c r="C11774" i="1"/>
  <c r="B11774" i="1"/>
  <c r="A11774" i="1"/>
  <c r="C11773" i="1"/>
  <c r="B11773" i="1"/>
  <c r="A11773" i="1"/>
  <c r="C11772" i="1"/>
  <c r="B11772" i="1"/>
  <c r="A11772" i="1"/>
  <c r="C11771" i="1"/>
  <c r="B11771" i="1"/>
  <c r="A11771" i="1"/>
  <c r="C11770" i="1"/>
  <c r="B11770" i="1"/>
  <c r="A11770" i="1"/>
  <c r="C11769" i="1"/>
  <c r="B11769" i="1"/>
  <c r="A11769" i="1"/>
  <c r="C11768" i="1"/>
  <c r="B11768" i="1"/>
  <c r="A11768" i="1"/>
  <c r="C11767" i="1"/>
  <c r="B11767" i="1"/>
  <c r="A11767" i="1"/>
  <c r="C11766" i="1"/>
  <c r="B11766" i="1"/>
  <c r="A11766" i="1"/>
  <c r="C11765" i="1"/>
  <c r="B11765" i="1"/>
  <c r="A11765" i="1"/>
  <c r="C11764" i="1"/>
  <c r="B11764" i="1"/>
  <c r="A11764" i="1"/>
  <c r="C11763" i="1"/>
  <c r="B11763" i="1"/>
  <c r="A11763" i="1"/>
  <c r="C11762" i="1"/>
  <c r="B11762" i="1"/>
  <c r="A11762" i="1"/>
  <c r="C11761" i="1"/>
  <c r="B11761" i="1"/>
  <c r="A11761" i="1"/>
  <c r="C11760" i="1"/>
  <c r="B11760" i="1"/>
  <c r="A11760" i="1"/>
  <c r="C11759" i="1"/>
  <c r="B11759" i="1"/>
  <c r="A11759" i="1"/>
  <c r="C11758" i="1"/>
  <c r="B11758" i="1"/>
  <c r="A11758" i="1"/>
  <c r="C11757" i="1"/>
  <c r="B11757" i="1"/>
  <c r="A11757" i="1"/>
  <c r="C11756" i="1"/>
  <c r="B11756" i="1"/>
  <c r="A11756" i="1"/>
  <c r="C11755" i="1"/>
  <c r="B11755" i="1"/>
  <c r="A11755" i="1"/>
  <c r="C11754" i="1"/>
  <c r="B11754" i="1"/>
  <c r="A11754" i="1"/>
  <c r="C11753" i="1"/>
  <c r="B11753" i="1"/>
  <c r="A11753" i="1"/>
  <c r="C11752" i="1"/>
  <c r="B11752" i="1"/>
  <c r="A11752" i="1"/>
  <c r="C11751" i="1"/>
  <c r="B11751" i="1"/>
  <c r="A11751" i="1"/>
  <c r="C11750" i="1"/>
  <c r="B11750" i="1"/>
  <c r="A11750" i="1"/>
  <c r="C11749" i="1"/>
  <c r="B11749" i="1"/>
  <c r="A11749" i="1"/>
  <c r="C11748" i="1"/>
  <c r="B11748" i="1"/>
  <c r="A11748" i="1"/>
  <c r="C11747" i="1"/>
  <c r="B11747" i="1"/>
  <c r="A11747" i="1"/>
  <c r="C11746" i="1"/>
  <c r="B11746" i="1"/>
  <c r="A11746" i="1"/>
  <c r="C11745" i="1"/>
  <c r="B11745" i="1"/>
  <c r="A11745" i="1"/>
  <c r="C11744" i="1"/>
  <c r="B11744" i="1"/>
  <c r="A11744" i="1"/>
  <c r="C11743" i="1"/>
  <c r="B11743" i="1"/>
  <c r="A11743" i="1"/>
  <c r="C11742" i="1"/>
  <c r="B11742" i="1"/>
  <c r="A11742" i="1"/>
  <c r="C11741" i="1"/>
  <c r="B11741" i="1"/>
  <c r="A11741" i="1"/>
  <c r="C11740" i="1"/>
  <c r="B11740" i="1"/>
  <c r="A11740" i="1"/>
  <c r="C11739" i="1"/>
  <c r="B11739" i="1"/>
  <c r="A11739" i="1"/>
  <c r="C11738" i="1"/>
  <c r="B11738" i="1"/>
  <c r="A11738" i="1"/>
  <c r="C11737" i="1"/>
  <c r="B11737" i="1"/>
  <c r="A11737" i="1"/>
  <c r="C11736" i="1"/>
  <c r="B11736" i="1"/>
  <c r="A11736" i="1"/>
  <c r="C11735" i="1"/>
  <c r="B11735" i="1"/>
  <c r="A11735" i="1"/>
  <c r="C11734" i="1"/>
  <c r="B11734" i="1"/>
  <c r="A11734" i="1"/>
  <c r="C11733" i="1"/>
  <c r="B11733" i="1"/>
  <c r="A11733" i="1"/>
  <c r="C11732" i="1"/>
  <c r="B11732" i="1"/>
  <c r="A11732" i="1"/>
  <c r="C11731" i="1"/>
  <c r="B11731" i="1"/>
  <c r="A11731" i="1"/>
  <c r="C11730" i="1"/>
  <c r="B11730" i="1"/>
  <c r="A11730" i="1"/>
  <c r="C11729" i="1"/>
  <c r="B11729" i="1"/>
  <c r="A11729" i="1"/>
  <c r="C11728" i="1"/>
  <c r="B11728" i="1"/>
  <c r="A11728" i="1"/>
  <c r="C11727" i="1"/>
  <c r="B11727" i="1"/>
  <c r="A11727" i="1"/>
  <c r="C11726" i="1"/>
  <c r="B11726" i="1"/>
  <c r="A11726" i="1"/>
  <c r="C11725" i="1"/>
  <c r="B11725" i="1"/>
  <c r="A11725" i="1"/>
  <c r="C11724" i="1"/>
  <c r="B11724" i="1"/>
  <c r="A11724" i="1"/>
  <c r="C11723" i="1"/>
  <c r="B11723" i="1"/>
  <c r="A11723" i="1"/>
  <c r="C11722" i="1"/>
  <c r="B11722" i="1"/>
  <c r="A11722" i="1"/>
  <c r="C11721" i="1"/>
  <c r="B11721" i="1"/>
  <c r="A11721" i="1"/>
  <c r="C11720" i="1"/>
  <c r="B11720" i="1"/>
  <c r="A11720" i="1"/>
  <c r="C11719" i="1"/>
  <c r="B11719" i="1"/>
  <c r="A11719" i="1"/>
  <c r="C11718" i="1"/>
  <c r="B11718" i="1"/>
  <c r="A11718" i="1"/>
  <c r="C11717" i="1"/>
  <c r="B11717" i="1"/>
  <c r="A11717" i="1"/>
  <c r="C11716" i="1"/>
  <c r="B11716" i="1"/>
  <c r="A11716" i="1"/>
  <c r="C11715" i="1"/>
  <c r="B11715" i="1"/>
  <c r="A11715" i="1"/>
  <c r="C11714" i="1"/>
  <c r="B11714" i="1"/>
  <c r="A11714" i="1"/>
  <c r="C11713" i="1"/>
  <c r="B11713" i="1"/>
  <c r="A11713" i="1"/>
  <c r="C11712" i="1"/>
  <c r="B11712" i="1"/>
  <c r="A11712" i="1"/>
  <c r="C11711" i="1"/>
  <c r="B11711" i="1"/>
  <c r="A11711" i="1"/>
  <c r="C11710" i="1"/>
  <c r="B11710" i="1"/>
  <c r="A11710" i="1"/>
  <c r="C11709" i="1"/>
  <c r="B11709" i="1"/>
  <c r="A11709" i="1"/>
  <c r="C11708" i="1"/>
  <c r="B11708" i="1"/>
  <c r="A11708" i="1"/>
  <c r="C11707" i="1"/>
  <c r="B11707" i="1"/>
  <c r="A11707" i="1"/>
  <c r="C11706" i="1"/>
  <c r="B11706" i="1"/>
  <c r="A11706" i="1"/>
  <c r="C11705" i="1"/>
  <c r="B11705" i="1"/>
  <c r="A11705" i="1"/>
  <c r="C11704" i="1"/>
  <c r="B11704" i="1"/>
  <c r="A11704" i="1"/>
  <c r="C11703" i="1"/>
  <c r="B11703" i="1"/>
  <c r="A11703" i="1"/>
  <c r="C11702" i="1"/>
  <c r="B11702" i="1"/>
  <c r="A11702" i="1"/>
  <c r="C11701" i="1"/>
  <c r="B11701" i="1"/>
  <c r="A11701" i="1"/>
  <c r="C11700" i="1"/>
  <c r="B11700" i="1"/>
  <c r="A11700" i="1"/>
  <c r="C11699" i="1"/>
  <c r="B11699" i="1"/>
  <c r="A11699" i="1"/>
  <c r="C11698" i="1"/>
  <c r="B11698" i="1"/>
  <c r="A11698" i="1"/>
  <c r="C11697" i="1"/>
  <c r="B11697" i="1"/>
  <c r="A11697" i="1"/>
  <c r="C11696" i="1"/>
  <c r="B11696" i="1"/>
  <c r="A11696" i="1"/>
  <c r="C11695" i="1"/>
  <c r="B11695" i="1"/>
  <c r="A11695" i="1"/>
  <c r="C11694" i="1"/>
  <c r="B11694" i="1"/>
  <c r="A11694" i="1"/>
  <c r="C11693" i="1"/>
  <c r="B11693" i="1"/>
  <c r="A11693" i="1"/>
  <c r="C11692" i="1"/>
  <c r="B11692" i="1"/>
  <c r="A11692" i="1"/>
  <c r="C11691" i="1"/>
  <c r="B11691" i="1"/>
  <c r="A11691" i="1"/>
  <c r="C11690" i="1"/>
  <c r="B11690" i="1"/>
  <c r="A11690" i="1"/>
  <c r="C11689" i="1"/>
  <c r="B11689" i="1"/>
  <c r="A11689" i="1"/>
  <c r="C11688" i="1"/>
  <c r="B11688" i="1"/>
  <c r="A11688" i="1"/>
  <c r="C11687" i="1"/>
  <c r="B11687" i="1"/>
  <c r="A11687" i="1"/>
  <c r="C11686" i="1"/>
  <c r="B11686" i="1"/>
  <c r="A11686" i="1"/>
  <c r="C11685" i="1"/>
  <c r="B11685" i="1"/>
  <c r="A11685" i="1"/>
  <c r="C11684" i="1"/>
  <c r="B11684" i="1"/>
  <c r="A11684" i="1"/>
  <c r="C11683" i="1"/>
  <c r="B11683" i="1"/>
  <c r="A11683" i="1"/>
  <c r="C11682" i="1"/>
  <c r="B11682" i="1"/>
  <c r="A11682" i="1"/>
  <c r="C11681" i="1"/>
  <c r="B11681" i="1"/>
  <c r="A11681" i="1"/>
  <c r="C11680" i="1"/>
  <c r="B11680" i="1"/>
  <c r="A11680" i="1"/>
  <c r="C11679" i="1"/>
  <c r="B11679" i="1"/>
  <c r="A11679" i="1"/>
  <c r="C11678" i="1"/>
  <c r="B11678" i="1"/>
  <c r="A11678" i="1"/>
  <c r="C11677" i="1"/>
  <c r="B11677" i="1"/>
  <c r="A11677" i="1"/>
  <c r="C11676" i="1"/>
  <c r="B11676" i="1"/>
  <c r="A11676" i="1"/>
  <c r="C11675" i="1"/>
  <c r="B11675" i="1"/>
  <c r="A11675" i="1"/>
  <c r="C11674" i="1"/>
  <c r="B11674" i="1"/>
  <c r="A11674" i="1"/>
  <c r="C11673" i="1"/>
  <c r="B11673" i="1"/>
  <c r="A11673" i="1"/>
  <c r="C11672" i="1"/>
  <c r="B11672" i="1"/>
  <c r="A11672" i="1"/>
  <c r="C11671" i="1"/>
  <c r="B11671" i="1"/>
  <c r="A11671" i="1"/>
  <c r="C11670" i="1"/>
  <c r="B11670" i="1"/>
  <c r="A11670" i="1"/>
  <c r="C11669" i="1"/>
  <c r="B11669" i="1"/>
  <c r="A11669" i="1"/>
  <c r="C11668" i="1"/>
  <c r="B11668" i="1"/>
  <c r="A11668" i="1"/>
  <c r="C11667" i="1"/>
  <c r="B11667" i="1"/>
  <c r="A11667" i="1"/>
  <c r="C11666" i="1"/>
  <c r="B11666" i="1"/>
  <c r="A11666" i="1"/>
  <c r="C11665" i="1"/>
  <c r="B11665" i="1"/>
  <c r="A11665" i="1"/>
  <c r="C11664" i="1"/>
  <c r="B11664" i="1"/>
  <c r="A11664" i="1"/>
  <c r="C11663" i="1"/>
  <c r="B11663" i="1"/>
  <c r="A11663" i="1"/>
  <c r="C11662" i="1"/>
  <c r="B11662" i="1"/>
  <c r="A11662" i="1"/>
  <c r="C11661" i="1"/>
  <c r="B11661" i="1"/>
  <c r="A11661" i="1"/>
  <c r="C11660" i="1"/>
  <c r="B11660" i="1"/>
  <c r="A11660" i="1"/>
  <c r="C11659" i="1"/>
  <c r="B11659" i="1"/>
  <c r="A11659" i="1"/>
  <c r="C11658" i="1"/>
  <c r="B11658" i="1"/>
  <c r="A11658" i="1"/>
  <c r="C11657" i="1"/>
  <c r="B11657" i="1"/>
  <c r="A11657" i="1"/>
  <c r="C11656" i="1"/>
  <c r="B11656" i="1"/>
  <c r="A11656" i="1"/>
  <c r="C11655" i="1"/>
  <c r="B11655" i="1"/>
  <c r="A11655" i="1"/>
  <c r="C11654" i="1"/>
  <c r="B11654" i="1"/>
  <c r="A11654" i="1"/>
  <c r="C11653" i="1"/>
  <c r="B11653" i="1"/>
  <c r="A11653" i="1"/>
  <c r="C11652" i="1"/>
  <c r="B11652" i="1"/>
  <c r="A11652" i="1"/>
  <c r="C11651" i="1"/>
  <c r="B11651" i="1"/>
  <c r="A11651" i="1"/>
  <c r="C11650" i="1"/>
  <c r="B11650" i="1"/>
  <c r="A11650" i="1"/>
  <c r="C11649" i="1"/>
  <c r="B11649" i="1"/>
  <c r="A11649" i="1"/>
  <c r="C11648" i="1"/>
  <c r="B11648" i="1"/>
  <c r="A11648" i="1"/>
  <c r="C11647" i="1"/>
  <c r="B11647" i="1"/>
  <c r="A11647" i="1"/>
  <c r="C11646" i="1"/>
  <c r="B11646" i="1"/>
  <c r="A11646" i="1"/>
  <c r="C11645" i="1"/>
  <c r="B11645" i="1"/>
  <c r="A11645" i="1"/>
  <c r="C11644" i="1"/>
  <c r="B11644" i="1"/>
  <c r="A11644" i="1"/>
  <c r="C11643" i="1"/>
  <c r="B11643" i="1"/>
  <c r="A11643" i="1"/>
  <c r="C11642" i="1"/>
  <c r="B11642" i="1"/>
  <c r="A11642" i="1"/>
  <c r="C11641" i="1"/>
  <c r="B11641" i="1"/>
  <c r="A11641" i="1"/>
  <c r="C11640" i="1"/>
  <c r="B11640" i="1"/>
  <c r="A11640" i="1"/>
  <c r="C11639" i="1"/>
  <c r="B11639" i="1"/>
  <c r="A11639" i="1"/>
  <c r="C11638" i="1"/>
  <c r="B11638" i="1"/>
  <c r="A11638" i="1"/>
  <c r="C11637" i="1"/>
  <c r="B11637" i="1"/>
  <c r="A11637" i="1"/>
  <c r="C11636" i="1"/>
  <c r="B11636" i="1"/>
  <c r="A11636" i="1"/>
  <c r="C11635" i="1"/>
  <c r="B11635" i="1"/>
  <c r="A11635" i="1"/>
  <c r="C11634" i="1"/>
  <c r="B11634" i="1"/>
  <c r="A11634" i="1"/>
  <c r="C11633" i="1"/>
  <c r="B11633" i="1"/>
  <c r="A11633" i="1"/>
  <c r="C11632" i="1"/>
  <c r="B11632" i="1"/>
  <c r="A11632" i="1"/>
  <c r="C11631" i="1"/>
  <c r="B11631" i="1"/>
  <c r="A11631" i="1"/>
  <c r="C11630" i="1"/>
  <c r="B11630" i="1"/>
  <c r="A11630" i="1"/>
  <c r="C11629" i="1"/>
  <c r="B11629" i="1"/>
  <c r="A11629" i="1"/>
  <c r="C11628" i="1"/>
  <c r="B11628" i="1"/>
  <c r="A11628" i="1"/>
  <c r="C11627" i="1"/>
  <c r="B11627" i="1"/>
  <c r="A11627" i="1"/>
  <c r="C11626" i="1"/>
  <c r="B11626" i="1"/>
  <c r="A11626" i="1"/>
  <c r="C11625" i="1"/>
  <c r="B11625" i="1"/>
  <c r="A11625" i="1"/>
  <c r="C11624" i="1"/>
  <c r="B11624" i="1"/>
  <c r="A11624" i="1"/>
  <c r="C11623" i="1"/>
  <c r="B11623" i="1"/>
  <c r="A11623" i="1"/>
  <c r="C11622" i="1"/>
  <c r="B11622" i="1"/>
  <c r="A11622" i="1"/>
  <c r="C11621" i="1"/>
  <c r="B11621" i="1"/>
  <c r="A11621" i="1"/>
  <c r="C11620" i="1"/>
  <c r="B11620" i="1"/>
  <c r="A11620" i="1"/>
  <c r="C11619" i="1"/>
  <c r="B11619" i="1"/>
  <c r="A11619" i="1"/>
  <c r="C11618" i="1"/>
  <c r="B11618" i="1"/>
  <c r="A11618" i="1"/>
  <c r="C11617" i="1"/>
  <c r="B11617" i="1"/>
  <c r="A11617" i="1"/>
  <c r="C11616" i="1"/>
  <c r="B11616" i="1"/>
  <c r="A11616" i="1"/>
  <c r="C11615" i="1"/>
  <c r="B11615" i="1"/>
  <c r="A11615" i="1"/>
  <c r="C11614" i="1"/>
  <c r="B11614" i="1"/>
  <c r="A11614" i="1"/>
  <c r="C11613" i="1"/>
  <c r="B11613" i="1"/>
  <c r="A11613" i="1"/>
  <c r="C11612" i="1"/>
  <c r="B11612" i="1"/>
  <c r="A11612" i="1"/>
  <c r="C11611" i="1"/>
  <c r="B11611" i="1"/>
  <c r="A11611" i="1"/>
  <c r="C11610" i="1"/>
  <c r="B11610" i="1"/>
  <c r="A11610" i="1"/>
  <c r="C11609" i="1"/>
  <c r="B11609" i="1"/>
  <c r="A11609" i="1"/>
  <c r="C11608" i="1"/>
  <c r="B11608" i="1"/>
  <c r="A11608" i="1"/>
  <c r="C11607" i="1"/>
  <c r="B11607" i="1"/>
  <c r="A11607" i="1"/>
  <c r="C11606" i="1"/>
  <c r="B11606" i="1"/>
  <c r="A11606" i="1"/>
  <c r="C11605" i="1"/>
  <c r="B11605" i="1"/>
  <c r="A11605" i="1"/>
  <c r="C11604" i="1"/>
  <c r="B11604" i="1"/>
  <c r="A11604" i="1"/>
  <c r="C11603" i="1"/>
  <c r="B11603" i="1"/>
  <c r="A11603" i="1"/>
  <c r="C11602" i="1"/>
  <c r="B11602" i="1"/>
  <c r="A11602" i="1"/>
  <c r="C11601" i="1"/>
  <c r="B11601" i="1"/>
  <c r="A11601" i="1"/>
  <c r="C11600" i="1"/>
  <c r="B11600" i="1"/>
  <c r="A11600" i="1"/>
  <c r="C11599" i="1"/>
  <c r="B11599" i="1"/>
  <c r="A11599" i="1"/>
  <c r="C11598" i="1"/>
  <c r="B11598" i="1"/>
  <c r="A11598" i="1"/>
  <c r="C11597" i="1"/>
  <c r="B11597" i="1"/>
  <c r="A11597" i="1"/>
  <c r="C11596" i="1"/>
  <c r="B11596" i="1"/>
  <c r="A11596" i="1"/>
  <c r="C11595" i="1"/>
  <c r="B11595" i="1"/>
  <c r="A11595" i="1"/>
  <c r="C11594" i="1"/>
  <c r="B11594" i="1"/>
  <c r="A11594" i="1"/>
  <c r="C11593" i="1"/>
  <c r="B11593" i="1"/>
  <c r="A11593" i="1"/>
  <c r="C11592" i="1"/>
  <c r="B11592" i="1"/>
  <c r="A11592" i="1"/>
  <c r="C11591" i="1"/>
  <c r="B11591" i="1"/>
  <c r="A11591" i="1"/>
  <c r="C11590" i="1"/>
  <c r="B11590" i="1"/>
  <c r="A11590" i="1"/>
  <c r="C11589" i="1"/>
  <c r="B11589" i="1"/>
  <c r="A11589" i="1"/>
  <c r="C11588" i="1"/>
  <c r="B11588" i="1"/>
  <c r="A11588" i="1"/>
  <c r="C11587" i="1"/>
  <c r="B11587" i="1"/>
  <c r="A11587" i="1"/>
  <c r="C11586" i="1"/>
  <c r="B11586" i="1"/>
  <c r="A11586" i="1"/>
  <c r="C11585" i="1"/>
  <c r="B11585" i="1"/>
  <c r="A11585" i="1"/>
  <c r="C11584" i="1"/>
  <c r="B11584" i="1"/>
  <c r="A11584" i="1"/>
  <c r="C11583" i="1"/>
  <c r="B11583" i="1"/>
  <c r="A11583" i="1"/>
  <c r="C11582" i="1"/>
  <c r="B11582" i="1"/>
  <c r="A11582" i="1"/>
  <c r="C11581" i="1"/>
  <c r="B11581" i="1"/>
  <c r="A11581" i="1"/>
  <c r="C11580" i="1"/>
  <c r="B11580" i="1"/>
  <c r="A11580" i="1"/>
  <c r="C11579" i="1"/>
  <c r="B11579" i="1"/>
  <c r="A11579" i="1"/>
  <c r="C11578" i="1"/>
  <c r="B11578" i="1"/>
  <c r="A11578" i="1"/>
  <c r="C11577" i="1"/>
  <c r="B11577" i="1"/>
  <c r="A11577" i="1"/>
  <c r="C11576" i="1"/>
  <c r="B11576" i="1"/>
  <c r="A11576" i="1"/>
  <c r="C11575" i="1"/>
  <c r="B11575" i="1"/>
  <c r="A11575" i="1"/>
  <c r="C11574" i="1"/>
  <c r="B11574" i="1"/>
  <c r="A11574" i="1"/>
  <c r="C11573" i="1"/>
  <c r="B11573" i="1"/>
  <c r="A11573" i="1"/>
  <c r="C11572" i="1"/>
  <c r="B11572" i="1"/>
  <c r="A11572" i="1"/>
  <c r="C11571" i="1"/>
  <c r="B11571" i="1"/>
  <c r="A11571" i="1"/>
  <c r="C11570" i="1"/>
  <c r="B11570" i="1"/>
  <c r="A11570" i="1"/>
  <c r="C11569" i="1"/>
  <c r="B11569" i="1"/>
  <c r="A11569" i="1"/>
  <c r="C11568" i="1"/>
  <c r="B11568" i="1"/>
  <c r="A11568" i="1"/>
  <c r="C11567" i="1"/>
  <c r="B11567" i="1"/>
  <c r="A11567" i="1"/>
  <c r="C11566" i="1"/>
  <c r="B11566" i="1"/>
  <c r="A11566" i="1"/>
  <c r="C11565" i="1"/>
  <c r="B11565" i="1"/>
  <c r="A11565" i="1"/>
  <c r="C11564" i="1"/>
  <c r="B11564" i="1"/>
  <c r="A11564" i="1"/>
  <c r="C11563" i="1"/>
  <c r="B11563" i="1"/>
  <c r="A11563" i="1"/>
  <c r="C11562" i="1"/>
  <c r="B11562" i="1"/>
  <c r="A11562" i="1"/>
  <c r="C11561" i="1"/>
  <c r="B11561" i="1"/>
  <c r="A11561" i="1"/>
  <c r="C11560" i="1"/>
  <c r="B11560" i="1"/>
  <c r="A11560" i="1"/>
  <c r="C11559" i="1"/>
  <c r="B11559" i="1"/>
  <c r="A11559" i="1"/>
  <c r="C11558" i="1"/>
  <c r="B11558" i="1"/>
  <c r="A11558" i="1"/>
  <c r="C11557" i="1"/>
  <c r="B11557" i="1"/>
  <c r="A11557" i="1"/>
  <c r="C11556" i="1"/>
  <c r="B11556" i="1"/>
  <c r="A11556" i="1"/>
  <c r="C11555" i="1"/>
  <c r="B11555" i="1"/>
  <c r="A11555" i="1"/>
  <c r="C11554" i="1"/>
  <c r="B11554" i="1"/>
  <c r="A11554" i="1"/>
  <c r="C11553" i="1"/>
  <c r="B11553" i="1"/>
  <c r="A11553" i="1"/>
  <c r="C11552" i="1"/>
  <c r="B11552" i="1"/>
  <c r="A11552" i="1"/>
  <c r="C11551" i="1"/>
  <c r="B11551" i="1"/>
  <c r="A11551" i="1"/>
  <c r="C11550" i="1"/>
  <c r="B11550" i="1"/>
  <c r="A11550" i="1"/>
  <c r="C11549" i="1"/>
  <c r="B11549" i="1"/>
  <c r="A11549" i="1"/>
  <c r="C11548" i="1"/>
  <c r="B11548" i="1"/>
  <c r="A11548" i="1"/>
  <c r="C11547" i="1"/>
  <c r="B11547" i="1"/>
  <c r="A11547" i="1"/>
  <c r="C11546" i="1"/>
  <c r="B11546" i="1"/>
  <c r="A11546" i="1"/>
  <c r="C11545" i="1"/>
  <c r="B11545" i="1"/>
  <c r="A11545" i="1"/>
  <c r="C11544" i="1"/>
  <c r="B11544" i="1"/>
  <c r="A11544" i="1"/>
  <c r="C11543" i="1"/>
  <c r="B11543" i="1"/>
  <c r="A11543" i="1"/>
  <c r="C11542" i="1"/>
  <c r="B11542" i="1"/>
  <c r="A11542" i="1"/>
  <c r="C11541" i="1"/>
  <c r="B11541" i="1"/>
  <c r="A11541" i="1"/>
  <c r="C11540" i="1"/>
  <c r="B11540" i="1"/>
  <c r="A11540" i="1"/>
  <c r="C11539" i="1"/>
  <c r="B11539" i="1"/>
  <c r="A11539" i="1"/>
  <c r="C11538" i="1"/>
  <c r="B11538" i="1"/>
  <c r="A11538" i="1"/>
  <c r="C11537" i="1"/>
  <c r="B11537" i="1"/>
  <c r="A11537" i="1"/>
  <c r="C11536" i="1"/>
  <c r="B11536" i="1"/>
  <c r="A11536" i="1"/>
  <c r="C11535" i="1"/>
  <c r="B11535" i="1"/>
  <c r="A11535" i="1"/>
  <c r="C11534" i="1"/>
  <c r="B11534" i="1"/>
  <c r="A11534" i="1"/>
  <c r="C11533" i="1"/>
  <c r="B11533" i="1"/>
  <c r="A11533" i="1"/>
  <c r="C11532" i="1"/>
  <c r="B11532" i="1"/>
  <c r="A11532" i="1"/>
  <c r="C11531" i="1"/>
  <c r="B11531" i="1"/>
  <c r="A11531" i="1"/>
  <c r="C11530" i="1"/>
  <c r="B11530" i="1"/>
  <c r="A11530" i="1"/>
  <c r="C11529" i="1"/>
  <c r="B11529" i="1"/>
  <c r="A11529" i="1"/>
  <c r="C11528" i="1"/>
  <c r="B11528" i="1"/>
  <c r="A11528" i="1"/>
  <c r="C11527" i="1"/>
  <c r="B11527" i="1"/>
  <c r="A11527" i="1"/>
  <c r="C11526" i="1"/>
  <c r="B11526" i="1"/>
  <c r="A11526" i="1"/>
  <c r="C11525" i="1"/>
  <c r="B11525" i="1"/>
  <c r="A11525" i="1"/>
  <c r="C11524" i="1"/>
  <c r="B11524" i="1"/>
  <c r="A11524" i="1"/>
  <c r="C11523" i="1"/>
  <c r="B11523" i="1"/>
  <c r="A11523" i="1"/>
  <c r="C11522" i="1"/>
  <c r="B11522" i="1"/>
  <c r="A11522" i="1"/>
  <c r="C11521" i="1"/>
  <c r="B11521" i="1"/>
  <c r="A11521" i="1"/>
  <c r="C11520" i="1"/>
  <c r="B11520" i="1"/>
  <c r="A11520" i="1"/>
  <c r="C11519" i="1"/>
  <c r="B11519" i="1"/>
  <c r="A11519" i="1"/>
  <c r="C11518" i="1"/>
  <c r="B11518" i="1"/>
  <c r="A11518" i="1"/>
  <c r="C11517" i="1"/>
  <c r="B11517" i="1"/>
  <c r="A11517" i="1"/>
  <c r="C11516" i="1"/>
  <c r="B11516" i="1"/>
  <c r="A11516" i="1"/>
  <c r="C11515" i="1"/>
  <c r="B11515" i="1"/>
  <c r="A11515" i="1"/>
  <c r="C11514" i="1"/>
  <c r="B11514" i="1"/>
  <c r="A11514" i="1"/>
  <c r="C11513" i="1"/>
  <c r="B11513" i="1"/>
  <c r="A11513" i="1"/>
  <c r="C11512" i="1"/>
  <c r="B11512" i="1"/>
  <c r="A11512" i="1"/>
  <c r="C11511" i="1"/>
  <c r="B11511" i="1"/>
  <c r="A11511" i="1"/>
  <c r="C11510" i="1"/>
  <c r="B11510" i="1"/>
  <c r="A11510" i="1"/>
  <c r="C11509" i="1"/>
  <c r="B11509" i="1"/>
  <c r="A11509" i="1"/>
  <c r="C11508" i="1"/>
  <c r="B11508" i="1"/>
  <c r="A11508" i="1"/>
  <c r="C11507" i="1"/>
  <c r="B11507" i="1"/>
  <c r="A11507" i="1"/>
  <c r="C11506" i="1"/>
  <c r="B11506" i="1"/>
  <c r="A11506" i="1"/>
  <c r="C11505" i="1"/>
  <c r="B11505" i="1"/>
  <c r="A11505" i="1"/>
  <c r="C11504" i="1"/>
  <c r="B11504" i="1"/>
  <c r="A11504" i="1"/>
  <c r="C11503" i="1"/>
  <c r="B11503" i="1"/>
  <c r="A11503" i="1"/>
  <c r="C11502" i="1"/>
  <c r="B11502" i="1"/>
  <c r="A11502" i="1"/>
  <c r="C11501" i="1"/>
  <c r="B11501" i="1"/>
  <c r="A11501" i="1"/>
  <c r="C11500" i="1"/>
  <c r="B11500" i="1"/>
  <c r="A11500" i="1"/>
  <c r="C11499" i="1"/>
  <c r="B11499" i="1"/>
  <c r="A11499" i="1"/>
  <c r="C11498" i="1"/>
  <c r="B11498" i="1"/>
  <c r="A11498" i="1"/>
  <c r="C11497" i="1"/>
  <c r="B11497" i="1"/>
  <c r="A11497" i="1"/>
  <c r="C11496" i="1"/>
  <c r="B11496" i="1"/>
  <c r="A11496" i="1"/>
  <c r="C11495" i="1"/>
  <c r="B11495" i="1"/>
  <c r="A11495" i="1"/>
  <c r="C11494" i="1"/>
  <c r="B11494" i="1"/>
  <c r="A11494" i="1"/>
  <c r="C11493" i="1"/>
  <c r="B11493" i="1"/>
  <c r="A11493" i="1"/>
  <c r="C11492" i="1"/>
  <c r="B11492" i="1"/>
  <c r="A11492" i="1"/>
  <c r="C11491" i="1"/>
  <c r="B11491" i="1"/>
  <c r="A11491" i="1"/>
  <c r="C11490" i="1"/>
  <c r="B11490" i="1"/>
  <c r="A11490" i="1"/>
  <c r="C11489" i="1"/>
  <c r="B11489" i="1"/>
  <c r="A11489" i="1"/>
  <c r="C11488" i="1"/>
  <c r="B11488" i="1"/>
  <c r="A11488" i="1"/>
  <c r="C11487" i="1"/>
  <c r="B11487" i="1"/>
  <c r="A11487" i="1"/>
  <c r="C11486" i="1"/>
  <c r="B11486" i="1"/>
  <c r="A11486" i="1"/>
  <c r="C11485" i="1"/>
  <c r="B11485" i="1"/>
  <c r="A11485" i="1"/>
  <c r="C11484" i="1"/>
  <c r="B11484" i="1"/>
  <c r="A11484" i="1"/>
  <c r="C11483" i="1"/>
  <c r="B11483" i="1"/>
  <c r="A11483" i="1"/>
  <c r="C11482" i="1"/>
  <c r="B11482" i="1"/>
  <c r="A11482" i="1"/>
  <c r="C11481" i="1"/>
  <c r="B11481" i="1"/>
  <c r="A11481" i="1"/>
  <c r="C11480" i="1"/>
  <c r="B11480" i="1"/>
  <c r="A11480" i="1"/>
  <c r="C11479" i="1"/>
  <c r="B11479" i="1"/>
  <c r="A11479" i="1"/>
  <c r="C11478" i="1"/>
  <c r="B11478" i="1"/>
  <c r="A11478" i="1"/>
  <c r="C11477" i="1"/>
  <c r="B11477" i="1"/>
  <c r="A11477" i="1"/>
  <c r="C11476" i="1"/>
  <c r="B11476" i="1"/>
  <c r="A11476" i="1"/>
  <c r="C11475" i="1"/>
  <c r="B11475" i="1"/>
  <c r="A11475" i="1"/>
  <c r="C11474" i="1"/>
  <c r="B11474" i="1"/>
  <c r="A11474" i="1"/>
  <c r="C11473" i="1"/>
  <c r="B11473" i="1"/>
  <c r="A11473" i="1"/>
  <c r="C11472" i="1"/>
  <c r="B11472" i="1"/>
  <c r="A11472" i="1"/>
  <c r="C11471" i="1"/>
  <c r="B11471" i="1"/>
  <c r="A11471" i="1"/>
  <c r="C11470" i="1"/>
  <c r="B11470" i="1"/>
  <c r="A11470" i="1"/>
  <c r="C11469" i="1"/>
  <c r="B11469" i="1"/>
  <c r="A11469" i="1"/>
  <c r="C11468" i="1"/>
  <c r="B11468" i="1"/>
  <c r="A11468" i="1"/>
  <c r="C11467" i="1"/>
  <c r="B11467" i="1"/>
  <c r="A11467" i="1"/>
  <c r="C11466" i="1"/>
  <c r="B11466" i="1"/>
  <c r="A11466" i="1"/>
  <c r="C11465" i="1"/>
  <c r="B11465" i="1"/>
  <c r="A11465" i="1"/>
  <c r="C11464" i="1"/>
  <c r="B11464" i="1"/>
  <c r="A11464" i="1"/>
  <c r="C11463" i="1"/>
  <c r="B11463" i="1"/>
  <c r="A11463" i="1"/>
  <c r="C11462" i="1"/>
  <c r="B11462" i="1"/>
  <c r="A11462" i="1"/>
  <c r="C11461" i="1"/>
  <c r="B11461" i="1"/>
  <c r="A11461" i="1"/>
  <c r="C11460" i="1"/>
  <c r="B11460" i="1"/>
  <c r="A11460" i="1"/>
  <c r="C11459" i="1"/>
  <c r="B11459" i="1"/>
  <c r="A11459" i="1"/>
  <c r="C11458" i="1"/>
  <c r="B11458" i="1"/>
  <c r="A11458" i="1"/>
  <c r="C11457" i="1"/>
  <c r="B11457" i="1"/>
  <c r="A11457" i="1"/>
  <c r="C11456" i="1"/>
  <c r="B11456" i="1"/>
  <c r="A11456" i="1"/>
  <c r="C11455" i="1"/>
  <c r="B11455" i="1"/>
  <c r="A11455" i="1"/>
  <c r="C11454" i="1"/>
  <c r="B11454" i="1"/>
  <c r="A11454" i="1"/>
  <c r="C11453" i="1"/>
  <c r="B11453" i="1"/>
  <c r="A11453" i="1"/>
  <c r="C11452" i="1"/>
  <c r="B11452" i="1"/>
  <c r="A11452" i="1"/>
  <c r="C11451" i="1"/>
  <c r="B11451" i="1"/>
  <c r="A11451" i="1"/>
  <c r="C11450" i="1"/>
  <c r="B11450" i="1"/>
  <c r="A11450" i="1"/>
  <c r="C11449" i="1"/>
  <c r="B11449" i="1"/>
  <c r="A11449" i="1"/>
  <c r="C11448" i="1"/>
  <c r="B11448" i="1"/>
  <c r="A11448" i="1"/>
  <c r="C11447" i="1"/>
  <c r="B11447" i="1"/>
  <c r="A11447" i="1"/>
  <c r="C11446" i="1"/>
  <c r="B11446" i="1"/>
  <c r="A11446" i="1"/>
  <c r="C11445" i="1"/>
  <c r="B11445" i="1"/>
  <c r="A11445" i="1"/>
  <c r="C11444" i="1"/>
  <c r="B11444" i="1"/>
  <c r="A11444" i="1"/>
  <c r="C11443" i="1"/>
  <c r="B11443" i="1"/>
  <c r="A11443" i="1"/>
  <c r="C11442" i="1"/>
  <c r="B11442" i="1"/>
  <c r="A11442" i="1"/>
  <c r="C11441" i="1"/>
  <c r="B11441" i="1"/>
  <c r="A11441" i="1"/>
  <c r="C11440" i="1"/>
  <c r="B11440" i="1"/>
  <c r="A11440" i="1"/>
  <c r="C11439" i="1"/>
  <c r="B11439" i="1"/>
  <c r="A11439" i="1"/>
  <c r="C11438" i="1"/>
  <c r="B11438" i="1"/>
  <c r="A11438" i="1"/>
  <c r="C11437" i="1"/>
  <c r="B11437" i="1"/>
  <c r="A11437" i="1"/>
  <c r="C11436" i="1"/>
  <c r="B11436" i="1"/>
  <c r="A11436" i="1"/>
  <c r="C11435" i="1"/>
  <c r="B11435" i="1"/>
  <c r="A11435" i="1"/>
  <c r="C11434" i="1"/>
  <c r="B11434" i="1"/>
  <c r="A11434" i="1"/>
  <c r="C11433" i="1"/>
  <c r="B11433" i="1"/>
  <c r="A11433" i="1"/>
  <c r="C11432" i="1"/>
  <c r="B11432" i="1"/>
  <c r="A11432" i="1"/>
  <c r="C11431" i="1"/>
  <c r="B11431" i="1"/>
  <c r="A11431" i="1"/>
  <c r="C11430" i="1"/>
  <c r="B11430" i="1"/>
  <c r="A11430" i="1"/>
  <c r="C11429" i="1"/>
  <c r="B11429" i="1"/>
  <c r="A11429" i="1"/>
  <c r="C11428" i="1"/>
  <c r="B11428" i="1"/>
  <c r="A11428" i="1"/>
  <c r="C11427" i="1"/>
  <c r="B11427" i="1"/>
  <c r="A11427" i="1"/>
  <c r="C11426" i="1"/>
  <c r="B11426" i="1"/>
  <c r="A11426" i="1"/>
  <c r="C11425" i="1"/>
  <c r="B11425" i="1"/>
  <c r="A11425" i="1"/>
  <c r="C11424" i="1"/>
  <c r="B11424" i="1"/>
  <c r="A11424" i="1"/>
  <c r="C11423" i="1"/>
  <c r="B11423" i="1"/>
  <c r="A11423" i="1"/>
  <c r="C11422" i="1"/>
  <c r="B11422" i="1"/>
  <c r="A11422" i="1"/>
  <c r="C11421" i="1"/>
  <c r="B11421" i="1"/>
  <c r="A11421" i="1"/>
  <c r="C11420" i="1"/>
  <c r="B11420" i="1"/>
  <c r="A11420" i="1"/>
  <c r="C11419" i="1"/>
  <c r="B11419" i="1"/>
  <c r="A11419" i="1"/>
  <c r="C11418" i="1"/>
  <c r="B11418" i="1"/>
  <c r="A11418" i="1"/>
  <c r="C11417" i="1"/>
  <c r="B11417" i="1"/>
  <c r="A11417" i="1"/>
  <c r="C11416" i="1"/>
  <c r="B11416" i="1"/>
  <c r="A11416" i="1"/>
  <c r="C11415" i="1"/>
  <c r="B11415" i="1"/>
  <c r="A11415" i="1"/>
  <c r="C11414" i="1"/>
  <c r="B11414" i="1"/>
  <c r="A11414" i="1"/>
  <c r="C11413" i="1"/>
  <c r="B11413" i="1"/>
  <c r="A11413" i="1"/>
  <c r="C11412" i="1"/>
  <c r="B11412" i="1"/>
  <c r="A11412" i="1"/>
  <c r="C11411" i="1"/>
  <c r="B11411" i="1"/>
  <c r="A11411" i="1"/>
  <c r="C11410" i="1"/>
  <c r="B11410" i="1"/>
  <c r="A11410" i="1"/>
  <c r="C11409" i="1"/>
  <c r="B11409" i="1"/>
  <c r="A11409" i="1"/>
  <c r="C11408" i="1"/>
  <c r="B11408" i="1"/>
  <c r="A11408" i="1"/>
  <c r="C11407" i="1"/>
  <c r="B11407" i="1"/>
  <c r="A11407" i="1"/>
  <c r="C11406" i="1"/>
  <c r="B11406" i="1"/>
  <c r="A11406" i="1"/>
  <c r="C11405" i="1"/>
  <c r="B11405" i="1"/>
  <c r="A11405" i="1"/>
  <c r="C11404" i="1"/>
  <c r="B11404" i="1"/>
  <c r="A11404" i="1"/>
  <c r="C11403" i="1"/>
  <c r="B11403" i="1"/>
  <c r="A11403" i="1"/>
  <c r="C11402" i="1"/>
  <c r="B11402" i="1"/>
  <c r="A11402" i="1"/>
  <c r="C11401" i="1"/>
  <c r="B11401" i="1"/>
  <c r="A11401" i="1"/>
  <c r="C11400" i="1"/>
  <c r="B11400" i="1"/>
  <c r="A11400" i="1"/>
  <c r="C11399" i="1"/>
  <c r="B11399" i="1"/>
  <c r="A11399" i="1"/>
  <c r="C11398" i="1"/>
  <c r="B11398" i="1"/>
  <c r="A11398" i="1"/>
  <c r="C11397" i="1"/>
  <c r="B11397" i="1"/>
  <c r="A11397" i="1"/>
  <c r="C11396" i="1"/>
  <c r="B11396" i="1"/>
  <c r="A11396" i="1"/>
  <c r="C11395" i="1"/>
  <c r="B11395" i="1"/>
  <c r="A11395" i="1"/>
  <c r="C11394" i="1"/>
  <c r="B11394" i="1"/>
  <c r="A11394" i="1"/>
  <c r="C11393" i="1"/>
  <c r="B11393" i="1"/>
  <c r="A11393" i="1"/>
  <c r="C11392" i="1"/>
  <c r="B11392" i="1"/>
  <c r="A11392" i="1"/>
  <c r="C11391" i="1"/>
  <c r="B11391" i="1"/>
  <c r="A11391" i="1"/>
  <c r="C11390" i="1"/>
  <c r="B11390" i="1"/>
  <c r="A11390" i="1"/>
  <c r="C11389" i="1"/>
  <c r="B11389" i="1"/>
  <c r="A11389" i="1"/>
  <c r="C11388" i="1"/>
  <c r="B11388" i="1"/>
  <c r="A11388" i="1"/>
  <c r="C11387" i="1"/>
  <c r="B11387" i="1"/>
  <c r="A11387" i="1"/>
  <c r="C11386" i="1"/>
  <c r="B11386" i="1"/>
  <c r="A11386" i="1"/>
  <c r="C11385" i="1"/>
  <c r="B11385" i="1"/>
  <c r="A11385" i="1"/>
  <c r="C11384" i="1"/>
  <c r="B11384" i="1"/>
  <c r="A11384" i="1"/>
  <c r="C11383" i="1"/>
  <c r="B11383" i="1"/>
  <c r="A11383" i="1"/>
  <c r="C11382" i="1"/>
  <c r="B11382" i="1"/>
  <c r="A11382" i="1"/>
  <c r="C11381" i="1"/>
  <c r="B11381" i="1"/>
  <c r="A11381" i="1"/>
  <c r="C11380" i="1"/>
  <c r="B11380" i="1"/>
  <c r="A11380" i="1"/>
  <c r="C11379" i="1"/>
  <c r="B11379" i="1"/>
  <c r="A11379" i="1"/>
  <c r="C11378" i="1"/>
  <c r="B11378" i="1"/>
  <c r="A11378" i="1"/>
  <c r="C11377" i="1"/>
  <c r="B11377" i="1"/>
  <c r="A11377" i="1"/>
  <c r="C11376" i="1"/>
  <c r="B11376" i="1"/>
  <c r="A11376" i="1"/>
  <c r="C11375" i="1"/>
  <c r="B11375" i="1"/>
  <c r="A11375" i="1"/>
  <c r="C11374" i="1"/>
  <c r="B11374" i="1"/>
  <c r="A11374" i="1"/>
  <c r="C11373" i="1"/>
  <c r="B11373" i="1"/>
  <c r="A11373" i="1"/>
  <c r="C11372" i="1"/>
  <c r="B11372" i="1"/>
  <c r="A11372" i="1"/>
  <c r="C11371" i="1"/>
  <c r="B11371" i="1"/>
  <c r="A11371" i="1"/>
  <c r="C11370" i="1"/>
  <c r="B11370" i="1"/>
  <c r="A11370" i="1"/>
  <c r="C11369" i="1"/>
  <c r="B11369" i="1"/>
  <c r="A11369" i="1"/>
  <c r="C11368" i="1"/>
  <c r="B11368" i="1"/>
  <c r="A11368" i="1"/>
  <c r="C11367" i="1"/>
  <c r="B11367" i="1"/>
  <c r="A11367" i="1"/>
  <c r="C11366" i="1"/>
  <c r="B11366" i="1"/>
  <c r="A11366" i="1"/>
  <c r="C11365" i="1"/>
  <c r="B11365" i="1"/>
  <c r="A11365" i="1"/>
  <c r="C11364" i="1"/>
  <c r="B11364" i="1"/>
  <c r="A11364" i="1"/>
  <c r="C11363" i="1"/>
  <c r="B11363" i="1"/>
  <c r="A11363" i="1"/>
  <c r="C11362" i="1"/>
  <c r="B11362" i="1"/>
  <c r="A11362" i="1"/>
  <c r="C11361" i="1"/>
  <c r="B11361" i="1"/>
  <c r="A11361" i="1"/>
  <c r="C11360" i="1"/>
  <c r="B11360" i="1"/>
  <c r="A11360" i="1"/>
  <c r="C11359" i="1"/>
  <c r="B11359" i="1"/>
  <c r="A11359" i="1"/>
  <c r="C11358" i="1"/>
  <c r="B11358" i="1"/>
  <c r="A11358" i="1"/>
  <c r="C11357" i="1"/>
  <c r="B11357" i="1"/>
  <c r="A11357" i="1"/>
  <c r="C11356" i="1"/>
  <c r="B11356" i="1"/>
  <c r="A11356" i="1"/>
  <c r="C11355" i="1"/>
  <c r="B11355" i="1"/>
  <c r="A11355" i="1"/>
  <c r="C11354" i="1"/>
  <c r="B11354" i="1"/>
  <c r="A11354" i="1"/>
  <c r="C11353" i="1"/>
  <c r="B11353" i="1"/>
  <c r="A11353" i="1"/>
  <c r="C11352" i="1"/>
  <c r="B11352" i="1"/>
  <c r="A11352" i="1"/>
  <c r="C11351" i="1"/>
  <c r="B11351" i="1"/>
  <c r="A11351" i="1"/>
  <c r="C11350" i="1"/>
  <c r="B11350" i="1"/>
  <c r="A11350" i="1"/>
  <c r="C11349" i="1"/>
  <c r="B11349" i="1"/>
  <c r="A11349" i="1"/>
  <c r="C11348" i="1"/>
  <c r="B11348" i="1"/>
  <c r="A11348" i="1"/>
  <c r="C11347" i="1"/>
  <c r="B11347" i="1"/>
  <c r="A11347" i="1"/>
  <c r="C11346" i="1"/>
  <c r="B11346" i="1"/>
  <c r="A11346" i="1"/>
  <c r="C11345" i="1"/>
  <c r="B11345" i="1"/>
  <c r="A11345" i="1"/>
  <c r="C11344" i="1"/>
  <c r="B11344" i="1"/>
  <c r="A11344" i="1"/>
  <c r="C11343" i="1"/>
  <c r="B11343" i="1"/>
  <c r="A11343" i="1"/>
  <c r="C11342" i="1"/>
  <c r="B11342" i="1"/>
  <c r="A11342" i="1"/>
  <c r="C11341" i="1"/>
  <c r="B11341" i="1"/>
  <c r="A11341" i="1"/>
  <c r="C11340" i="1"/>
  <c r="B11340" i="1"/>
  <c r="A11340" i="1"/>
  <c r="C11339" i="1"/>
  <c r="B11339" i="1"/>
  <c r="A11339" i="1"/>
  <c r="C11338" i="1"/>
  <c r="B11338" i="1"/>
  <c r="A11338" i="1"/>
  <c r="C11337" i="1"/>
  <c r="B11337" i="1"/>
  <c r="A11337" i="1"/>
  <c r="C11336" i="1"/>
  <c r="B11336" i="1"/>
  <c r="A11336" i="1"/>
  <c r="C11335" i="1"/>
  <c r="B11335" i="1"/>
  <c r="A11335" i="1"/>
  <c r="C11334" i="1"/>
  <c r="B11334" i="1"/>
  <c r="A11334" i="1"/>
  <c r="C11333" i="1"/>
  <c r="B11333" i="1"/>
  <c r="A11333" i="1"/>
  <c r="C11332" i="1"/>
  <c r="B11332" i="1"/>
  <c r="A11332" i="1"/>
  <c r="C11331" i="1"/>
  <c r="B11331" i="1"/>
  <c r="A11331" i="1"/>
  <c r="C11330" i="1"/>
  <c r="B11330" i="1"/>
  <c r="A11330" i="1"/>
  <c r="C11329" i="1"/>
  <c r="B11329" i="1"/>
  <c r="A11329" i="1"/>
  <c r="C11328" i="1"/>
  <c r="B11328" i="1"/>
  <c r="A11328" i="1"/>
  <c r="C11327" i="1"/>
  <c r="B11327" i="1"/>
  <c r="A11327" i="1"/>
  <c r="C11326" i="1"/>
  <c r="B11326" i="1"/>
  <c r="A11326" i="1"/>
  <c r="C11325" i="1"/>
  <c r="B11325" i="1"/>
  <c r="A11325" i="1"/>
  <c r="C11324" i="1"/>
  <c r="B11324" i="1"/>
  <c r="A11324" i="1"/>
  <c r="C11323" i="1"/>
  <c r="B11323" i="1"/>
  <c r="A11323" i="1"/>
  <c r="C11322" i="1"/>
  <c r="B11322" i="1"/>
  <c r="A11322" i="1"/>
  <c r="C11321" i="1"/>
  <c r="B11321" i="1"/>
  <c r="A11321" i="1"/>
  <c r="C11320" i="1"/>
  <c r="B11320" i="1"/>
  <c r="A11320" i="1"/>
  <c r="C11319" i="1"/>
  <c r="B11319" i="1"/>
  <c r="A11319" i="1"/>
  <c r="C11318" i="1"/>
  <c r="B11318" i="1"/>
  <c r="A11318" i="1"/>
  <c r="C11317" i="1"/>
  <c r="B11317" i="1"/>
  <c r="A11317" i="1"/>
  <c r="C11316" i="1"/>
  <c r="B11316" i="1"/>
  <c r="A11316" i="1"/>
  <c r="C11315" i="1"/>
  <c r="B11315" i="1"/>
  <c r="A11315" i="1"/>
  <c r="C11314" i="1"/>
  <c r="B11314" i="1"/>
  <c r="A11314" i="1"/>
  <c r="C11313" i="1"/>
  <c r="B11313" i="1"/>
  <c r="A11313" i="1"/>
  <c r="C11312" i="1"/>
  <c r="B11312" i="1"/>
  <c r="A11312" i="1"/>
  <c r="C11311" i="1"/>
  <c r="B11311" i="1"/>
  <c r="A11311" i="1"/>
  <c r="C11310" i="1"/>
  <c r="B11310" i="1"/>
  <c r="A11310" i="1"/>
  <c r="C11309" i="1"/>
  <c r="B11309" i="1"/>
  <c r="A11309" i="1"/>
  <c r="C11308" i="1"/>
  <c r="B11308" i="1"/>
  <c r="A11308" i="1"/>
  <c r="C11307" i="1"/>
  <c r="B11307" i="1"/>
  <c r="A11307" i="1"/>
  <c r="C11306" i="1"/>
  <c r="B11306" i="1"/>
  <c r="A11306" i="1"/>
  <c r="C11305" i="1"/>
  <c r="B11305" i="1"/>
  <c r="A11305" i="1"/>
  <c r="C11304" i="1"/>
  <c r="B11304" i="1"/>
  <c r="A11304" i="1"/>
  <c r="C11303" i="1"/>
  <c r="B11303" i="1"/>
  <c r="A11303" i="1"/>
  <c r="C11302" i="1"/>
  <c r="B11302" i="1"/>
  <c r="A11302" i="1"/>
  <c r="C11301" i="1"/>
  <c r="B11301" i="1"/>
  <c r="A11301" i="1"/>
  <c r="C11300" i="1"/>
  <c r="B11300" i="1"/>
  <c r="A11300" i="1"/>
  <c r="C11299" i="1"/>
  <c r="B11299" i="1"/>
  <c r="A11299" i="1"/>
  <c r="C11298" i="1"/>
  <c r="B11298" i="1"/>
  <c r="A11298" i="1"/>
  <c r="C11297" i="1"/>
  <c r="B11297" i="1"/>
  <c r="A11297" i="1"/>
  <c r="C11296" i="1"/>
  <c r="B11296" i="1"/>
  <c r="A11296" i="1"/>
  <c r="C11295" i="1"/>
  <c r="B11295" i="1"/>
  <c r="A11295" i="1"/>
  <c r="C11294" i="1"/>
  <c r="B11294" i="1"/>
  <c r="A11294" i="1"/>
  <c r="C11293" i="1"/>
  <c r="B11293" i="1"/>
  <c r="A11293" i="1"/>
  <c r="C11292" i="1"/>
  <c r="B11292" i="1"/>
  <c r="A11292" i="1"/>
  <c r="C11291" i="1"/>
  <c r="B11291" i="1"/>
  <c r="A11291" i="1"/>
  <c r="C11290" i="1"/>
  <c r="B11290" i="1"/>
  <c r="A11290" i="1"/>
  <c r="C11289" i="1"/>
  <c r="B11289" i="1"/>
  <c r="A11289" i="1"/>
  <c r="C11288" i="1"/>
  <c r="B11288" i="1"/>
  <c r="A11288" i="1"/>
  <c r="C11287" i="1"/>
  <c r="B11287" i="1"/>
  <c r="A11287" i="1"/>
  <c r="C11286" i="1"/>
  <c r="B11286" i="1"/>
  <c r="A11286" i="1"/>
  <c r="C11285" i="1"/>
  <c r="B11285" i="1"/>
  <c r="A11285" i="1"/>
  <c r="C11284" i="1"/>
  <c r="B11284" i="1"/>
  <c r="A11284" i="1"/>
  <c r="C11283" i="1"/>
  <c r="B11283" i="1"/>
  <c r="A11283" i="1"/>
  <c r="C11282" i="1"/>
  <c r="B11282" i="1"/>
  <c r="A11282" i="1"/>
  <c r="C11281" i="1"/>
  <c r="B11281" i="1"/>
  <c r="A11281" i="1"/>
  <c r="C11280" i="1"/>
  <c r="B11280" i="1"/>
  <c r="A11280" i="1"/>
  <c r="C11279" i="1"/>
  <c r="B11279" i="1"/>
  <c r="A11279" i="1"/>
  <c r="C11278" i="1"/>
  <c r="B11278" i="1"/>
  <c r="A11278" i="1"/>
  <c r="C11277" i="1"/>
  <c r="B11277" i="1"/>
  <c r="A11277" i="1"/>
  <c r="C11276" i="1"/>
  <c r="B11276" i="1"/>
  <c r="A11276" i="1"/>
  <c r="C11275" i="1"/>
  <c r="B11275" i="1"/>
  <c r="A11275" i="1"/>
  <c r="C11274" i="1"/>
  <c r="B11274" i="1"/>
  <c r="A11274" i="1"/>
  <c r="C11273" i="1"/>
  <c r="B11273" i="1"/>
  <c r="A11273" i="1"/>
  <c r="C11272" i="1"/>
  <c r="B11272" i="1"/>
  <c r="A11272" i="1"/>
  <c r="C11271" i="1"/>
  <c r="B11271" i="1"/>
  <c r="A11271" i="1"/>
  <c r="C11270" i="1"/>
  <c r="B11270" i="1"/>
  <c r="A11270" i="1"/>
  <c r="C11269" i="1"/>
  <c r="B11269" i="1"/>
  <c r="A11269" i="1"/>
  <c r="C11268" i="1"/>
  <c r="B11268" i="1"/>
  <c r="A11268" i="1"/>
  <c r="C11267" i="1"/>
  <c r="B11267" i="1"/>
  <c r="A11267" i="1"/>
  <c r="C11266" i="1"/>
  <c r="B11266" i="1"/>
  <c r="A11266" i="1"/>
  <c r="C11265" i="1"/>
  <c r="B11265" i="1"/>
  <c r="A11265" i="1"/>
  <c r="C11264" i="1"/>
  <c r="B11264" i="1"/>
  <c r="A11264" i="1"/>
  <c r="C11263" i="1"/>
  <c r="B11263" i="1"/>
  <c r="A11263" i="1"/>
  <c r="C11262" i="1"/>
  <c r="B11262" i="1"/>
  <c r="A11262" i="1"/>
  <c r="C11261" i="1"/>
  <c r="B11261" i="1"/>
  <c r="A11261" i="1"/>
  <c r="C11260" i="1"/>
  <c r="B11260" i="1"/>
  <c r="A11260" i="1"/>
  <c r="C11259" i="1"/>
  <c r="B11259" i="1"/>
  <c r="A11259" i="1"/>
  <c r="C11258" i="1"/>
  <c r="B11258" i="1"/>
  <c r="A11258" i="1"/>
  <c r="C11257" i="1"/>
  <c r="B11257" i="1"/>
  <c r="A11257" i="1"/>
  <c r="C11256" i="1"/>
  <c r="B11256" i="1"/>
  <c r="A11256" i="1"/>
  <c r="C11255" i="1"/>
  <c r="B11255" i="1"/>
  <c r="A11255" i="1"/>
  <c r="C11254" i="1"/>
  <c r="B11254" i="1"/>
  <c r="A11254" i="1"/>
  <c r="C11253" i="1"/>
  <c r="B11253" i="1"/>
  <c r="A11253" i="1"/>
  <c r="C11252" i="1"/>
  <c r="B11252" i="1"/>
  <c r="A11252" i="1"/>
  <c r="C11251" i="1"/>
  <c r="B11251" i="1"/>
  <c r="A11251" i="1"/>
  <c r="C11250" i="1"/>
  <c r="B11250" i="1"/>
  <c r="A11250" i="1"/>
  <c r="C11249" i="1"/>
  <c r="B11249" i="1"/>
  <c r="A11249" i="1"/>
  <c r="C11248" i="1"/>
  <c r="B11248" i="1"/>
  <c r="A11248" i="1"/>
  <c r="C11247" i="1"/>
  <c r="B11247" i="1"/>
  <c r="A11247" i="1"/>
  <c r="C11246" i="1"/>
  <c r="B11246" i="1"/>
  <c r="A11246" i="1"/>
  <c r="C11245" i="1"/>
  <c r="B11245" i="1"/>
  <c r="A11245" i="1"/>
  <c r="C11244" i="1"/>
  <c r="B11244" i="1"/>
  <c r="A11244" i="1"/>
  <c r="C11243" i="1"/>
  <c r="B11243" i="1"/>
  <c r="A11243" i="1"/>
  <c r="C11242" i="1"/>
  <c r="B11242" i="1"/>
  <c r="A11242" i="1"/>
  <c r="C11241" i="1"/>
  <c r="B11241" i="1"/>
  <c r="A11241" i="1"/>
  <c r="C11240" i="1"/>
  <c r="B11240" i="1"/>
  <c r="A11240" i="1"/>
  <c r="C11239" i="1"/>
  <c r="B11239" i="1"/>
  <c r="A11239" i="1"/>
  <c r="C11238" i="1"/>
  <c r="B11238" i="1"/>
  <c r="A11238" i="1"/>
  <c r="C11237" i="1"/>
  <c r="B11237" i="1"/>
  <c r="A11237" i="1"/>
  <c r="C11236" i="1"/>
  <c r="B11236" i="1"/>
  <c r="A11236" i="1"/>
  <c r="C11235" i="1"/>
  <c r="B11235" i="1"/>
  <c r="A11235" i="1"/>
  <c r="C11234" i="1"/>
  <c r="B11234" i="1"/>
  <c r="A11234" i="1"/>
  <c r="C11233" i="1"/>
  <c r="B11233" i="1"/>
  <c r="A11233" i="1"/>
  <c r="C11232" i="1"/>
  <c r="B11232" i="1"/>
  <c r="A11232" i="1"/>
  <c r="C11231" i="1"/>
  <c r="B11231" i="1"/>
  <c r="A11231" i="1"/>
  <c r="C11230" i="1"/>
  <c r="B11230" i="1"/>
  <c r="A11230" i="1"/>
  <c r="C11229" i="1"/>
  <c r="B11229" i="1"/>
  <c r="A11229" i="1"/>
  <c r="C11228" i="1"/>
  <c r="B11228" i="1"/>
  <c r="A11228" i="1"/>
  <c r="C11227" i="1"/>
  <c r="B11227" i="1"/>
  <c r="A11227" i="1"/>
  <c r="C11226" i="1"/>
  <c r="B11226" i="1"/>
  <c r="A11226" i="1"/>
  <c r="C11225" i="1"/>
  <c r="B11225" i="1"/>
  <c r="A11225" i="1"/>
  <c r="C11224" i="1"/>
  <c r="B11224" i="1"/>
  <c r="A11224" i="1"/>
  <c r="C11223" i="1"/>
  <c r="B11223" i="1"/>
  <c r="A11223" i="1"/>
  <c r="C11222" i="1"/>
  <c r="B11222" i="1"/>
  <c r="A11222" i="1"/>
  <c r="C11221" i="1"/>
  <c r="B11221" i="1"/>
  <c r="A11221" i="1"/>
  <c r="C11220" i="1"/>
  <c r="B11220" i="1"/>
  <c r="A11220" i="1"/>
  <c r="C11219" i="1"/>
  <c r="B11219" i="1"/>
  <c r="A11219" i="1"/>
  <c r="C11218" i="1"/>
  <c r="B11218" i="1"/>
  <c r="A11218" i="1"/>
  <c r="C11217" i="1"/>
  <c r="B11217" i="1"/>
  <c r="A11217" i="1"/>
  <c r="C11216" i="1"/>
  <c r="B11216" i="1"/>
  <c r="A11216" i="1"/>
  <c r="C11215" i="1"/>
  <c r="B11215" i="1"/>
  <c r="A11215" i="1"/>
  <c r="C11214" i="1"/>
  <c r="B11214" i="1"/>
  <c r="A11214" i="1"/>
  <c r="C11213" i="1"/>
  <c r="B11213" i="1"/>
  <c r="A11213" i="1"/>
  <c r="C11212" i="1"/>
  <c r="B11212" i="1"/>
  <c r="A11212" i="1"/>
  <c r="C11211" i="1"/>
  <c r="B11211" i="1"/>
  <c r="A11211" i="1"/>
  <c r="C11210" i="1"/>
  <c r="B11210" i="1"/>
  <c r="A11210" i="1"/>
  <c r="C11209" i="1"/>
  <c r="B11209" i="1"/>
  <c r="A11209" i="1"/>
  <c r="C11208" i="1"/>
  <c r="B11208" i="1"/>
  <c r="A11208" i="1"/>
  <c r="C11207" i="1"/>
  <c r="B11207" i="1"/>
  <c r="A11207" i="1"/>
  <c r="C11206" i="1"/>
  <c r="B11206" i="1"/>
  <c r="A11206" i="1"/>
  <c r="C11205" i="1"/>
  <c r="B11205" i="1"/>
  <c r="A11205" i="1"/>
  <c r="C11204" i="1"/>
  <c r="B11204" i="1"/>
  <c r="A11204" i="1"/>
  <c r="C11203" i="1"/>
  <c r="B11203" i="1"/>
  <c r="A11203" i="1"/>
  <c r="C11202" i="1"/>
  <c r="B11202" i="1"/>
  <c r="A11202" i="1"/>
  <c r="C11201" i="1"/>
  <c r="B11201" i="1"/>
  <c r="A11201" i="1"/>
  <c r="C11200" i="1"/>
  <c r="B11200" i="1"/>
  <c r="A11200" i="1"/>
  <c r="C11199" i="1"/>
  <c r="B11199" i="1"/>
  <c r="A11199" i="1"/>
  <c r="C11198" i="1"/>
  <c r="B11198" i="1"/>
  <c r="A11198" i="1"/>
  <c r="C11197" i="1"/>
  <c r="B11197" i="1"/>
  <c r="A11197" i="1"/>
  <c r="C11196" i="1"/>
  <c r="B11196" i="1"/>
  <c r="A11196" i="1"/>
  <c r="C11195" i="1"/>
  <c r="B11195" i="1"/>
  <c r="A11195" i="1"/>
  <c r="C11194" i="1"/>
  <c r="B11194" i="1"/>
  <c r="A11194" i="1"/>
  <c r="C11193" i="1"/>
  <c r="B11193" i="1"/>
  <c r="A11193" i="1"/>
  <c r="C11192" i="1"/>
  <c r="B11192" i="1"/>
  <c r="A11192" i="1"/>
  <c r="C11191" i="1"/>
  <c r="B11191" i="1"/>
  <c r="A11191" i="1"/>
  <c r="C11190" i="1"/>
  <c r="B11190" i="1"/>
  <c r="A11190" i="1"/>
  <c r="C11189" i="1"/>
  <c r="B11189" i="1"/>
  <c r="A11189" i="1"/>
  <c r="C11188" i="1"/>
  <c r="B11188" i="1"/>
  <c r="A11188" i="1"/>
  <c r="C11187" i="1"/>
  <c r="B11187" i="1"/>
  <c r="A11187" i="1"/>
  <c r="C11186" i="1"/>
  <c r="B11186" i="1"/>
  <c r="A11186" i="1"/>
  <c r="C11185" i="1"/>
  <c r="B11185" i="1"/>
  <c r="A11185" i="1"/>
  <c r="C11184" i="1"/>
  <c r="B11184" i="1"/>
  <c r="A11184" i="1"/>
  <c r="C11183" i="1"/>
  <c r="B11183" i="1"/>
  <c r="A11183" i="1"/>
  <c r="C11182" i="1"/>
  <c r="B11182" i="1"/>
  <c r="A11182" i="1"/>
  <c r="C11181" i="1"/>
  <c r="B11181" i="1"/>
  <c r="A11181" i="1"/>
  <c r="C11180" i="1"/>
  <c r="B11180" i="1"/>
  <c r="A11180" i="1"/>
  <c r="C11179" i="1"/>
  <c r="B11179" i="1"/>
  <c r="A11179" i="1"/>
  <c r="C11178" i="1"/>
  <c r="B11178" i="1"/>
  <c r="A11178" i="1"/>
  <c r="C11177" i="1"/>
  <c r="B11177" i="1"/>
  <c r="A11177" i="1"/>
  <c r="C11176" i="1"/>
  <c r="B11176" i="1"/>
  <c r="A11176" i="1"/>
  <c r="C11175" i="1"/>
  <c r="B11175" i="1"/>
  <c r="A11175" i="1"/>
  <c r="C11174" i="1"/>
  <c r="B11174" i="1"/>
  <c r="A11174" i="1"/>
  <c r="C11173" i="1"/>
  <c r="B11173" i="1"/>
  <c r="A11173" i="1"/>
  <c r="C11172" i="1"/>
  <c r="B11172" i="1"/>
  <c r="A11172" i="1"/>
  <c r="C11171" i="1"/>
  <c r="B11171" i="1"/>
  <c r="A11171" i="1"/>
  <c r="C11170" i="1"/>
  <c r="B11170" i="1"/>
  <c r="A11170" i="1"/>
  <c r="C11169" i="1"/>
  <c r="B11169" i="1"/>
  <c r="A11169" i="1"/>
  <c r="C11168" i="1"/>
  <c r="B11168" i="1"/>
  <c r="A11168" i="1"/>
  <c r="C11167" i="1"/>
  <c r="B11167" i="1"/>
  <c r="A11167" i="1"/>
  <c r="C11166" i="1"/>
  <c r="B11166" i="1"/>
  <c r="A11166" i="1"/>
  <c r="C11165" i="1"/>
  <c r="B11165" i="1"/>
  <c r="A11165" i="1"/>
  <c r="C11164" i="1"/>
  <c r="B11164" i="1"/>
  <c r="A11164" i="1"/>
  <c r="C11163" i="1"/>
  <c r="B11163" i="1"/>
  <c r="A11163" i="1"/>
  <c r="C11162" i="1"/>
  <c r="B11162" i="1"/>
  <c r="A11162" i="1"/>
  <c r="C11161" i="1"/>
  <c r="B11161" i="1"/>
  <c r="A11161" i="1"/>
  <c r="C11160" i="1"/>
  <c r="B11160" i="1"/>
  <c r="A11160" i="1"/>
  <c r="C11159" i="1"/>
  <c r="B11159" i="1"/>
  <c r="A11159" i="1"/>
  <c r="C11158" i="1"/>
  <c r="B11158" i="1"/>
  <c r="A11158" i="1"/>
  <c r="C11157" i="1"/>
  <c r="B11157" i="1"/>
  <c r="A11157" i="1"/>
  <c r="C11156" i="1"/>
  <c r="B11156" i="1"/>
  <c r="A11156" i="1"/>
  <c r="C11155" i="1"/>
  <c r="B11155" i="1"/>
  <c r="A11155" i="1"/>
  <c r="C11154" i="1"/>
  <c r="B11154" i="1"/>
  <c r="A11154" i="1"/>
  <c r="C11153" i="1"/>
  <c r="B11153" i="1"/>
  <c r="A11153" i="1"/>
  <c r="C11152" i="1"/>
  <c r="B11152" i="1"/>
  <c r="A11152" i="1"/>
  <c r="C11151" i="1"/>
  <c r="B11151" i="1"/>
  <c r="A11151" i="1"/>
  <c r="C11150" i="1"/>
  <c r="B11150" i="1"/>
  <c r="A11150" i="1"/>
  <c r="C11149" i="1"/>
  <c r="B11149" i="1"/>
  <c r="A11149" i="1"/>
  <c r="C11148" i="1"/>
  <c r="B11148" i="1"/>
  <c r="A11148" i="1"/>
  <c r="C11147" i="1"/>
  <c r="B11147" i="1"/>
  <c r="A11147" i="1"/>
  <c r="C11146" i="1"/>
  <c r="B11146" i="1"/>
  <c r="A11146" i="1"/>
  <c r="C11145" i="1"/>
  <c r="B11145" i="1"/>
  <c r="A11145" i="1"/>
  <c r="C11144" i="1"/>
  <c r="B11144" i="1"/>
  <c r="A11144" i="1"/>
  <c r="C11143" i="1"/>
  <c r="B11143" i="1"/>
  <c r="A11143" i="1"/>
  <c r="C11142" i="1"/>
  <c r="B11142" i="1"/>
  <c r="A11142" i="1"/>
  <c r="C11141" i="1"/>
  <c r="B11141" i="1"/>
  <c r="A11141" i="1"/>
  <c r="C11140" i="1"/>
  <c r="B11140" i="1"/>
  <c r="A11140" i="1"/>
  <c r="C11139" i="1"/>
  <c r="B11139" i="1"/>
  <c r="A11139" i="1"/>
  <c r="C11138" i="1"/>
  <c r="B11138" i="1"/>
  <c r="A11138" i="1"/>
  <c r="C11137" i="1"/>
  <c r="B11137" i="1"/>
  <c r="A11137" i="1"/>
  <c r="C11136" i="1"/>
  <c r="B11136" i="1"/>
  <c r="A11136" i="1"/>
  <c r="C11135" i="1"/>
  <c r="B11135" i="1"/>
  <c r="A11135" i="1"/>
  <c r="C11134" i="1"/>
  <c r="B11134" i="1"/>
  <c r="A11134" i="1"/>
  <c r="C11133" i="1"/>
  <c r="B11133" i="1"/>
  <c r="A11133" i="1"/>
  <c r="C11132" i="1"/>
  <c r="B11132" i="1"/>
  <c r="A11132" i="1"/>
  <c r="C11131" i="1"/>
  <c r="B11131" i="1"/>
  <c r="A11131" i="1"/>
  <c r="C11130" i="1"/>
  <c r="B11130" i="1"/>
  <c r="A11130" i="1"/>
  <c r="C11129" i="1"/>
  <c r="B11129" i="1"/>
  <c r="A11129" i="1"/>
  <c r="C11128" i="1"/>
  <c r="B11128" i="1"/>
  <c r="A11128" i="1"/>
  <c r="C11127" i="1"/>
  <c r="B11127" i="1"/>
  <c r="A11127" i="1"/>
  <c r="C11126" i="1"/>
  <c r="B11126" i="1"/>
  <c r="A11126" i="1"/>
  <c r="C11125" i="1"/>
  <c r="B11125" i="1"/>
  <c r="A11125" i="1"/>
  <c r="C11124" i="1"/>
  <c r="B11124" i="1"/>
  <c r="A11124" i="1"/>
  <c r="C11123" i="1"/>
  <c r="B11123" i="1"/>
  <c r="A11123" i="1"/>
  <c r="C11122" i="1"/>
  <c r="B11122" i="1"/>
  <c r="A11122" i="1"/>
  <c r="C11121" i="1"/>
  <c r="B11121" i="1"/>
  <c r="A11121" i="1"/>
  <c r="C11120" i="1"/>
  <c r="B11120" i="1"/>
  <c r="A11120" i="1"/>
  <c r="C11119" i="1"/>
  <c r="B11119" i="1"/>
  <c r="A11119" i="1"/>
  <c r="C11118" i="1"/>
  <c r="B11118" i="1"/>
  <c r="A11118" i="1"/>
  <c r="C11117" i="1"/>
  <c r="B11117" i="1"/>
  <c r="A11117" i="1"/>
  <c r="C11116" i="1"/>
  <c r="B11116" i="1"/>
  <c r="A11116" i="1"/>
  <c r="C11115" i="1"/>
  <c r="B11115" i="1"/>
  <c r="A11115" i="1"/>
  <c r="C11114" i="1"/>
  <c r="B11114" i="1"/>
  <c r="A11114" i="1"/>
  <c r="C11113" i="1"/>
  <c r="B11113" i="1"/>
  <c r="A11113" i="1"/>
  <c r="C11112" i="1"/>
  <c r="B11112" i="1"/>
  <c r="A11112" i="1"/>
  <c r="C11111" i="1"/>
  <c r="B11111" i="1"/>
  <c r="A11111" i="1"/>
  <c r="C11110" i="1"/>
  <c r="B11110" i="1"/>
  <c r="A11110" i="1"/>
  <c r="C11109" i="1"/>
  <c r="B11109" i="1"/>
  <c r="A11109" i="1"/>
  <c r="C11108" i="1"/>
  <c r="B11108" i="1"/>
  <c r="A11108" i="1"/>
  <c r="C11107" i="1"/>
  <c r="B11107" i="1"/>
  <c r="A11107" i="1"/>
  <c r="C11106" i="1"/>
  <c r="B11106" i="1"/>
  <c r="A11106" i="1"/>
  <c r="C11105" i="1"/>
  <c r="B11105" i="1"/>
  <c r="A11105" i="1"/>
  <c r="C11104" i="1"/>
  <c r="B11104" i="1"/>
  <c r="A11104" i="1"/>
  <c r="C11103" i="1"/>
  <c r="B11103" i="1"/>
  <c r="A11103" i="1"/>
  <c r="C11102" i="1"/>
  <c r="B11102" i="1"/>
  <c r="A11102" i="1"/>
  <c r="C11101" i="1"/>
  <c r="B11101" i="1"/>
  <c r="A11101" i="1"/>
  <c r="C11100" i="1"/>
  <c r="B11100" i="1"/>
  <c r="A11100" i="1"/>
  <c r="C11099" i="1"/>
  <c r="B11099" i="1"/>
  <c r="A11099" i="1"/>
  <c r="C11098" i="1"/>
  <c r="B11098" i="1"/>
  <c r="A11098" i="1"/>
  <c r="C11097" i="1"/>
  <c r="B11097" i="1"/>
  <c r="A11097" i="1"/>
  <c r="C11096" i="1"/>
  <c r="B11096" i="1"/>
  <c r="A11096" i="1"/>
  <c r="C11095" i="1"/>
  <c r="B11095" i="1"/>
  <c r="A11095" i="1"/>
  <c r="C11094" i="1"/>
  <c r="B11094" i="1"/>
  <c r="A11094" i="1"/>
  <c r="C11093" i="1"/>
  <c r="B11093" i="1"/>
  <c r="A11093" i="1"/>
  <c r="C11092" i="1"/>
  <c r="B11092" i="1"/>
  <c r="A11092" i="1"/>
  <c r="C11091" i="1"/>
  <c r="B11091" i="1"/>
  <c r="A11091" i="1"/>
  <c r="C11090" i="1"/>
  <c r="B11090" i="1"/>
  <c r="A11090" i="1"/>
  <c r="C11089" i="1"/>
  <c r="B11089" i="1"/>
  <c r="A11089" i="1"/>
  <c r="C11088" i="1"/>
  <c r="B11088" i="1"/>
  <c r="A11088" i="1"/>
  <c r="C11087" i="1"/>
  <c r="B11087" i="1"/>
  <c r="A11087" i="1"/>
  <c r="C11086" i="1"/>
  <c r="B11086" i="1"/>
  <c r="A11086" i="1"/>
  <c r="C11085" i="1"/>
  <c r="B11085" i="1"/>
  <c r="A11085" i="1"/>
  <c r="C11084" i="1"/>
  <c r="B11084" i="1"/>
  <c r="A11084" i="1"/>
  <c r="C11083" i="1"/>
  <c r="B11083" i="1"/>
  <c r="A11083" i="1"/>
  <c r="C11082" i="1"/>
  <c r="B11082" i="1"/>
  <c r="A11082" i="1"/>
  <c r="C11081" i="1"/>
  <c r="B11081" i="1"/>
  <c r="A11081" i="1"/>
  <c r="C11080" i="1"/>
  <c r="B11080" i="1"/>
  <c r="A11080" i="1"/>
  <c r="C11079" i="1"/>
  <c r="B11079" i="1"/>
  <c r="A11079" i="1"/>
  <c r="C11078" i="1"/>
  <c r="B11078" i="1"/>
  <c r="A11078" i="1"/>
  <c r="C11077" i="1"/>
  <c r="B11077" i="1"/>
  <c r="A11077" i="1"/>
  <c r="C11076" i="1"/>
  <c r="B11076" i="1"/>
  <c r="A11076" i="1"/>
  <c r="C11075" i="1"/>
  <c r="B11075" i="1"/>
  <c r="A11075" i="1"/>
  <c r="C11074" i="1"/>
  <c r="B11074" i="1"/>
  <c r="A11074" i="1"/>
  <c r="C11073" i="1"/>
  <c r="B11073" i="1"/>
  <c r="A11073" i="1"/>
  <c r="C11072" i="1"/>
  <c r="B11072" i="1"/>
  <c r="A11072" i="1"/>
  <c r="C11071" i="1"/>
  <c r="B11071" i="1"/>
  <c r="A11071" i="1"/>
  <c r="C11070" i="1"/>
  <c r="B11070" i="1"/>
  <c r="A11070" i="1"/>
  <c r="C11069" i="1"/>
  <c r="B11069" i="1"/>
  <c r="A11069" i="1"/>
  <c r="C11068" i="1"/>
  <c r="B11068" i="1"/>
  <c r="A11068" i="1"/>
  <c r="C11067" i="1"/>
  <c r="B11067" i="1"/>
  <c r="A11067" i="1"/>
  <c r="C11066" i="1"/>
  <c r="B11066" i="1"/>
  <c r="A11066" i="1"/>
  <c r="C11065" i="1"/>
  <c r="B11065" i="1"/>
  <c r="A11065" i="1"/>
  <c r="C11064" i="1"/>
  <c r="B11064" i="1"/>
  <c r="A11064" i="1"/>
  <c r="C11063" i="1"/>
  <c r="B11063" i="1"/>
  <c r="A11063" i="1"/>
  <c r="C11062" i="1"/>
  <c r="B11062" i="1"/>
  <c r="A11062" i="1"/>
  <c r="C11061" i="1"/>
  <c r="B11061" i="1"/>
  <c r="A11061" i="1"/>
  <c r="C11060" i="1"/>
  <c r="B11060" i="1"/>
  <c r="A11060" i="1"/>
  <c r="C11059" i="1"/>
  <c r="B11059" i="1"/>
  <c r="A11059" i="1"/>
  <c r="C11058" i="1"/>
  <c r="B11058" i="1"/>
  <c r="A11058" i="1"/>
  <c r="C11057" i="1"/>
  <c r="B11057" i="1"/>
  <c r="A11057" i="1"/>
  <c r="C11056" i="1"/>
  <c r="B11056" i="1"/>
  <c r="A11056" i="1"/>
  <c r="C11055" i="1"/>
  <c r="B11055" i="1"/>
  <c r="A11055" i="1"/>
  <c r="C11054" i="1"/>
  <c r="B11054" i="1"/>
  <c r="A11054" i="1"/>
  <c r="C11053" i="1"/>
  <c r="B11053" i="1"/>
  <c r="A11053" i="1"/>
  <c r="C11052" i="1"/>
  <c r="B11052" i="1"/>
  <c r="A11052" i="1"/>
  <c r="C11051" i="1"/>
  <c r="B11051" i="1"/>
  <c r="A11051" i="1"/>
  <c r="C11050" i="1"/>
  <c r="B11050" i="1"/>
  <c r="A11050" i="1"/>
  <c r="C11049" i="1"/>
  <c r="B11049" i="1"/>
  <c r="A11049" i="1"/>
  <c r="C11048" i="1"/>
  <c r="B11048" i="1"/>
  <c r="A11048" i="1"/>
  <c r="C11047" i="1"/>
  <c r="B11047" i="1"/>
  <c r="A11047" i="1"/>
  <c r="C11046" i="1"/>
  <c r="B11046" i="1"/>
  <c r="A11046" i="1"/>
  <c r="C11045" i="1"/>
  <c r="B11045" i="1"/>
  <c r="A11045" i="1"/>
  <c r="C11044" i="1"/>
  <c r="B11044" i="1"/>
  <c r="A11044" i="1"/>
  <c r="C11043" i="1"/>
  <c r="B11043" i="1"/>
  <c r="A11043" i="1"/>
  <c r="C11042" i="1"/>
  <c r="B11042" i="1"/>
  <c r="A11042" i="1"/>
  <c r="C11041" i="1"/>
  <c r="B11041" i="1"/>
  <c r="A11041" i="1"/>
  <c r="C11040" i="1"/>
  <c r="B11040" i="1"/>
  <c r="A11040" i="1"/>
  <c r="C11039" i="1"/>
  <c r="B11039" i="1"/>
  <c r="A11039" i="1"/>
  <c r="C11038" i="1"/>
  <c r="B11038" i="1"/>
  <c r="A11038" i="1"/>
  <c r="C11037" i="1"/>
  <c r="B11037" i="1"/>
  <c r="A11037" i="1"/>
  <c r="C11036" i="1"/>
  <c r="B11036" i="1"/>
  <c r="A11036" i="1"/>
  <c r="C11035" i="1"/>
  <c r="B11035" i="1"/>
  <c r="A11035" i="1"/>
  <c r="C11034" i="1"/>
  <c r="B11034" i="1"/>
  <c r="A11034" i="1"/>
  <c r="C11033" i="1"/>
  <c r="B11033" i="1"/>
  <c r="A11033" i="1"/>
  <c r="C11032" i="1"/>
  <c r="B11032" i="1"/>
  <c r="A11032" i="1"/>
  <c r="C11031" i="1"/>
  <c r="B11031" i="1"/>
  <c r="A11031" i="1"/>
  <c r="C11030" i="1"/>
  <c r="B11030" i="1"/>
  <c r="A11030" i="1"/>
  <c r="C11029" i="1"/>
  <c r="B11029" i="1"/>
  <c r="A11029" i="1"/>
  <c r="C11028" i="1"/>
  <c r="B11028" i="1"/>
  <c r="A11028" i="1"/>
  <c r="C11027" i="1"/>
  <c r="B11027" i="1"/>
  <c r="A11027" i="1"/>
  <c r="C11026" i="1"/>
  <c r="B11026" i="1"/>
  <c r="A11026" i="1"/>
  <c r="C11025" i="1"/>
  <c r="B11025" i="1"/>
  <c r="A11025" i="1"/>
  <c r="C11024" i="1"/>
  <c r="B11024" i="1"/>
  <c r="A11024" i="1"/>
  <c r="C11023" i="1"/>
  <c r="B11023" i="1"/>
  <c r="A11023" i="1"/>
  <c r="C11022" i="1"/>
  <c r="B11022" i="1"/>
  <c r="A11022" i="1"/>
  <c r="C11021" i="1"/>
  <c r="B11021" i="1"/>
  <c r="A11021" i="1"/>
  <c r="C11020" i="1"/>
  <c r="B11020" i="1"/>
  <c r="A11020" i="1"/>
  <c r="C11019" i="1"/>
  <c r="B11019" i="1"/>
  <c r="A11019" i="1"/>
  <c r="C11018" i="1"/>
  <c r="B11018" i="1"/>
  <c r="A11018" i="1"/>
  <c r="C11017" i="1"/>
  <c r="B11017" i="1"/>
  <c r="A11017" i="1"/>
  <c r="C11016" i="1"/>
  <c r="B11016" i="1"/>
  <c r="A11016" i="1"/>
  <c r="C11015" i="1"/>
  <c r="B11015" i="1"/>
  <c r="A11015" i="1"/>
  <c r="C11014" i="1"/>
  <c r="B11014" i="1"/>
  <c r="A11014" i="1"/>
  <c r="C11013" i="1"/>
  <c r="B11013" i="1"/>
  <c r="A11013" i="1"/>
  <c r="C11012" i="1"/>
  <c r="B11012" i="1"/>
  <c r="A11012" i="1"/>
  <c r="C11011" i="1"/>
  <c r="B11011" i="1"/>
  <c r="A11011" i="1"/>
  <c r="C11010" i="1"/>
  <c r="B11010" i="1"/>
  <c r="A11010" i="1"/>
  <c r="C11009" i="1"/>
  <c r="B11009" i="1"/>
  <c r="A11009" i="1"/>
  <c r="C11008" i="1"/>
  <c r="B11008" i="1"/>
  <c r="A11008" i="1"/>
  <c r="C11007" i="1"/>
  <c r="B11007" i="1"/>
  <c r="A11007" i="1"/>
  <c r="C11006" i="1"/>
  <c r="B11006" i="1"/>
  <c r="A11006" i="1"/>
  <c r="C11005" i="1"/>
  <c r="B11005" i="1"/>
  <c r="A11005" i="1"/>
  <c r="C11004" i="1"/>
  <c r="B11004" i="1"/>
  <c r="A11004" i="1"/>
  <c r="C11003" i="1"/>
  <c r="B11003" i="1"/>
  <c r="A11003" i="1"/>
  <c r="C11002" i="1"/>
  <c r="B11002" i="1"/>
  <c r="A11002" i="1"/>
  <c r="C11001" i="1"/>
  <c r="B11001" i="1"/>
  <c r="A11001" i="1"/>
  <c r="C11000" i="1"/>
  <c r="B11000" i="1"/>
  <c r="A11000" i="1"/>
  <c r="C10999" i="1"/>
  <c r="B10999" i="1"/>
  <c r="A10999" i="1"/>
  <c r="C10998" i="1"/>
  <c r="B10998" i="1"/>
  <c r="A10998" i="1"/>
  <c r="C10997" i="1"/>
  <c r="B10997" i="1"/>
  <c r="A10997" i="1"/>
  <c r="C10996" i="1"/>
  <c r="B10996" i="1"/>
  <c r="A10996" i="1"/>
  <c r="C10995" i="1"/>
  <c r="B10995" i="1"/>
  <c r="A10995" i="1"/>
  <c r="C10994" i="1"/>
  <c r="B10994" i="1"/>
  <c r="A10994" i="1"/>
  <c r="C10993" i="1"/>
  <c r="B10993" i="1"/>
  <c r="A10993" i="1"/>
  <c r="C10992" i="1"/>
  <c r="B10992" i="1"/>
  <c r="A10992" i="1"/>
  <c r="C10991" i="1"/>
  <c r="B10991" i="1"/>
  <c r="A10991" i="1"/>
  <c r="C10990" i="1"/>
  <c r="B10990" i="1"/>
  <c r="A10990" i="1"/>
  <c r="C10989" i="1"/>
  <c r="B10989" i="1"/>
  <c r="A10989" i="1"/>
  <c r="C10988" i="1"/>
  <c r="B10988" i="1"/>
  <c r="A10988" i="1"/>
  <c r="C10987" i="1"/>
  <c r="B10987" i="1"/>
  <c r="A10987" i="1"/>
  <c r="C10986" i="1"/>
  <c r="B10986" i="1"/>
  <c r="A10986" i="1"/>
  <c r="C10985" i="1"/>
  <c r="B10985" i="1"/>
  <c r="A10985" i="1"/>
  <c r="C10984" i="1"/>
  <c r="B10984" i="1"/>
  <c r="A10984" i="1"/>
  <c r="C10983" i="1"/>
  <c r="B10983" i="1"/>
  <c r="A10983" i="1"/>
  <c r="C10982" i="1"/>
  <c r="B10982" i="1"/>
  <c r="A10982" i="1"/>
  <c r="C10981" i="1"/>
  <c r="B10981" i="1"/>
  <c r="A10981" i="1"/>
  <c r="C10980" i="1"/>
  <c r="B10980" i="1"/>
  <c r="A10980" i="1"/>
  <c r="C10979" i="1"/>
  <c r="B10979" i="1"/>
  <c r="A10979" i="1"/>
  <c r="C10978" i="1"/>
  <c r="B10978" i="1"/>
  <c r="A10978" i="1"/>
  <c r="C10977" i="1"/>
  <c r="B10977" i="1"/>
  <c r="A10977" i="1"/>
  <c r="C10976" i="1"/>
  <c r="B10976" i="1"/>
  <c r="A10976" i="1"/>
  <c r="C10975" i="1"/>
  <c r="B10975" i="1"/>
  <c r="A10975" i="1"/>
  <c r="C10974" i="1"/>
  <c r="B10974" i="1"/>
  <c r="A10974" i="1"/>
  <c r="C10973" i="1"/>
  <c r="B10973" i="1"/>
  <c r="A10973" i="1"/>
  <c r="C10972" i="1"/>
  <c r="B10972" i="1"/>
  <c r="A10972" i="1"/>
  <c r="C10971" i="1"/>
  <c r="B10971" i="1"/>
  <c r="A10971" i="1"/>
  <c r="C10970" i="1"/>
  <c r="B10970" i="1"/>
  <c r="A10970" i="1"/>
  <c r="C10969" i="1"/>
  <c r="B10969" i="1"/>
  <c r="A10969" i="1"/>
  <c r="C10968" i="1"/>
  <c r="B10968" i="1"/>
  <c r="A10968" i="1"/>
  <c r="C10967" i="1"/>
  <c r="B10967" i="1"/>
  <c r="A10967" i="1"/>
  <c r="C10966" i="1"/>
  <c r="B10966" i="1"/>
  <c r="A10966" i="1"/>
  <c r="C10965" i="1"/>
  <c r="B10965" i="1"/>
  <c r="A10965" i="1"/>
  <c r="C10964" i="1"/>
  <c r="B10964" i="1"/>
  <c r="A10964" i="1"/>
  <c r="C10963" i="1"/>
  <c r="B10963" i="1"/>
  <c r="A10963" i="1"/>
  <c r="C10962" i="1"/>
  <c r="B10962" i="1"/>
  <c r="A10962" i="1"/>
  <c r="C10961" i="1"/>
  <c r="B10961" i="1"/>
  <c r="A10961" i="1"/>
  <c r="C10960" i="1"/>
  <c r="B10960" i="1"/>
  <c r="A10960" i="1"/>
  <c r="C10959" i="1"/>
  <c r="B10959" i="1"/>
  <c r="A10959" i="1"/>
  <c r="C10958" i="1"/>
  <c r="B10958" i="1"/>
  <c r="A10958" i="1"/>
  <c r="C10957" i="1"/>
  <c r="B10957" i="1"/>
  <c r="A10957" i="1"/>
  <c r="C10956" i="1"/>
  <c r="B10956" i="1"/>
  <c r="A10956" i="1"/>
  <c r="C10955" i="1"/>
  <c r="B10955" i="1"/>
  <c r="A10955" i="1"/>
  <c r="C10954" i="1"/>
  <c r="B10954" i="1"/>
  <c r="A10954" i="1"/>
  <c r="C10953" i="1"/>
  <c r="B10953" i="1"/>
  <c r="A10953" i="1"/>
  <c r="C10952" i="1"/>
  <c r="B10952" i="1"/>
  <c r="A10952" i="1"/>
  <c r="C10951" i="1"/>
  <c r="B10951" i="1"/>
  <c r="A10951" i="1"/>
  <c r="C10950" i="1"/>
  <c r="B10950" i="1"/>
  <c r="A10950" i="1"/>
  <c r="C10949" i="1"/>
  <c r="B10949" i="1"/>
  <c r="A10949" i="1"/>
  <c r="C10948" i="1"/>
  <c r="B10948" i="1"/>
  <c r="A10948" i="1"/>
  <c r="C10947" i="1"/>
  <c r="B10947" i="1"/>
  <c r="A10947" i="1"/>
  <c r="C10946" i="1"/>
  <c r="B10946" i="1"/>
  <c r="A10946" i="1"/>
  <c r="C10945" i="1"/>
  <c r="B10945" i="1"/>
  <c r="A10945" i="1"/>
  <c r="C10944" i="1"/>
  <c r="B10944" i="1"/>
  <c r="A10944" i="1"/>
  <c r="C10943" i="1"/>
  <c r="B10943" i="1"/>
  <c r="A10943" i="1"/>
  <c r="C10942" i="1"/>
  <c r="B10942" i="1"/>
  <c r="A10942" i="1"/>
  <c r="C10941" i="1"/>
  <c r="B10941" i="1"/>
  <c r="A10941" i="1"/>
  <c r="C10940" i="1"/>
  <c r="B10940" i="1"/>
  <c r="A10940" i="1"/>
  <c r="C10939" i="1"/>
  <c r="B10939" i="1"/>
  <c r="A10939" i="1"/>
  <c r="C10938" i="1"/>
  <c r="B10938" i="1"/>
  <c r="A10938" i="1"/>
  <c r="C10937" i="1"/>
  <c r="B10937" i="1"/>
  <c r="A10937" i="1"/>
  <c r="C10936" i="1"/>
  <c r="B10936" i="1"/>
  <c r="A10936" i="1"/>
  <c r="C10935" i="1"/>
  <c r="B10935" i="1"/>
  <c r="A10935" i="1"/>
  <c r="C10934" i="1"/>
  <c r="B10934" i="1"/>
  <c r="A10934" i="1"/>
  <c r="C10933" i="1"/>
  <c r="B10933" i="1"/>
  <c r="A10933" i="1"/>
  <c r="C10932" i="1"/>
  <c r="B10932" i="1"/>
  <c r="A10932" i="1"/>
  <c r="C10931" i="1"/>
  <c r="B10931" i="1"/>
  <c r="A10931" i="1"/>
  <c r="C10930" i="1"/>
  <c r="B10930" i="1"/>
  <c r="A10930" i="1"/>
  <c r="C10929" i="1"/>
  <c r="B10929" i="1"/>
  <c r="A10929" i="1"/>
  <c r="C10928" i="1"/>
  <c r="B10928" i="1"/>
  <c r="A10928" i="1"/>
  <c r="C10927" i="1"/>
  <c r="B10927" i="1"/>
  <c r="A10927" i="1"/>
  <c r="C10926" i="1"/>
  <c r="B10926" i="1"/>
  <c r="A10926" i="1"/>
  <c r="C10925" i="1"/>
  <c r="B10925" i="1"/>
  <c r="A10925" i="1"/>
  <c r="C10924" i="1"/>
  <c r="B10924" i="1"/>
  <c r="A10924" i="1"/>
  <c r="C10923" i="1"/>
  <c r="B10923" i="1"/>
  <c r="A10923" i="1"/>
  <c r="C10922" i="1"/>
  <c r="B10922" i="1"/>
  <c r="A10922" i="1"/>
  <c r="C10921" i="1"/>
  <c r="B10921" i="1"/>
  <c r="A10921" i="1"/>
  <c r="C10920" i="1"/>
  <c r="B10920" i="1"/>
  <c r="A10920" i="1"/>
  <c r="C10919" i="1"/>
  <c r="B10919" i="1"/>
  <c r="A10919" i="1"/>
  <c r="C10918" i="1"/>
  <c r="B10918" i="1"/>
  <c r="A10918" i="1"/>
  <c r="C10917" i="1"/>
  <c r="B10917" i="1"/>
  <c r="A10917" i="1"/>
  <c r="C10916" i="1"/>
  <c r="B10916" i="1"/>
  <c r="A10916" i="1"/>
  <c r="C10915" i="1"/>
  <c r="B10915" i="1"/>
  <c r="A10915" i="1"/>
  <c r="C10914" i="1"/>
  <c r="B10914" i="1"/>
  <c r="A10914" i="1"/>
  <c r="C10913" i="1"/>
  <c r="B10913" i="1"/>
  <c r="A10913" i="1"/>
  <c r="C10912" i="1"/>
  <c r="B10912" i="1"/>
  <c r="A10912" i="1"/>
  <c r="C10911" i="1"/>
  <c r="B10911" i="1"/>
  <c r="A10911" i="1"/>
  <c r="C10910" i="1"/>
  <c r="B10910" i="1"/>
  <c r="A10910" i="1"/>
  <c r="C10909" i="1"/>
  <c r="B10909" i="1"/>
  <c r="A10909" i="1"/>
  <c r="C10908" i="1"/>
  <c r="B10908" i="1"/>
  <c r="A10908" i="1"/>
  <c r="C10907" i="1"/>
  <c r="B10907" i="1"/>
  <c r="A10907" i="1"/>
  <c r="C10906" i="1"/>
  <c r="B10906" i="1"/>
  <c r="A10906" i="1"/>
  <c r="C10905" i="1"/>
  <c r="B10905" i="1"/>
  <c r="A10905" i="1"/>
  <c r="C10904" i="1"/>
  <c r="B10904" i="1"/>
  <c r="A10904" i="1"/>
  <c r="C10903" i="1"/>
  <c r="B10903" i="1"/>
  <c r="A10903" i="1"/>
  <c r="C10902" i="1"/>
  <c r="B10902" i="1"/>
  <c r="A10902" i="1"/>
  <c r="C10901" i="1"/>
  <c r="B10901" i="1"/>
  <c r="A10901" i="1"/>
  <c r="C10900" i="1"/>
  <c r="B10900" i="1"/>
  <c r="A10900" i="1"/>
  <c r="C10899" i="1"/>
  <c r="B10899" i="1"/>
  <c r="A10899" i="1"/>
  <c r="C10898" i="1"/>
  <c r="B10898" i="1"/>
  <c r="A10898" i="1"/>
  <c r="C10897" i="1"/>
  <c r="B10897" i="1"/>
  <c r="A10897" i="1"/>
  <c r="C10896" i="1"/>
  <c r="B10896" i="1"/>
  <c r="A10896" i="1"/>
  <c r="C10895" i="1"/>
  <c r="B10895" i="1"/>
  <c r="A10895" i="1"/>
  <c r="C10894" i="1"/>
  <c r="B10894" i="1"/>
  <c r="A10894" i="1"/>
  <c r="C10893" i="1"/>
  <c r="B10893" i="1"/>
  <c r="A10893" i="1"/>
  <c r="C10892" i="1"/>
  <c r="B10892" i="1"/>
  <c r="A10892" i="1"/>
  <c r="C10891" i="1"/>
  <c r="B10891" i="1"/>
  <c r="A10891" i="1"/>
  <c r="C10890" i="1"/>
  <c r="B10890" i="1"/>
  <c r="A10890" i="1"/>
  <c r="C10889" i="1"/>
  <c r="B10889" i="1"/>
  <c r="A10889" i="1"/>
  <c r="C10888" i="1"/>
  <c r="B10888" i="1"/>
  <c r="A10888" i="1"/>
  <c r="C10887" i="1"/>
  <c r="B10887" i="1"/>
  <c r="A10887" i="1"/>
  <c r="C10886" i="1"/>
  <c r="B10886" i="1"/>
  <c r="A10886" i="1"/>
  <c r="C10885" i="1"/>
  <c r="B10885" i="1"/>
  <c r="A10885" i="1"/>
  <c r="C10884" i="1"/>
  <c r="B10884" i="1"/>
  <c r="A10884" i="1"/>
  <c r="C10883" i="1"/>
  <c r="B10883" i="1"/>
  <c r="A10883" i="1"/>
  <c r="C10882" i="1"/>
  <c r="B10882" i="1"/>
  <c r="A10882" i="1"/>
  <c r="C10881" i="1"/>
  <c r="B10881" i="1"/>
  <c r="A10881" i="1"/>
  <c r="C10880" i="1"/>
  <c r="B10880" i="1"/>
  <c r="A10880" i="1"/>
  <c r="C10879" i="1"/>
  <c r="B10879" i="1"/>
  <c r="A10879" i="1"/>
  <c r="C10878" i="1"/>
  <c r="B10878" i="1"/>
  <c r="A10878" i="1"/>
  <c r="C10877" i="1"/>
  <c r="B10877" i="1"/>
  <c r="A10877" i="1"/>
  <c r="C10876" i="1"/>
  <c r="B10876" i="1"/>
  <c r="A10876" i="1"/>
  <c r="C10875" i="1"/>
  <c r="B10875" i="1"/>
  <c r="A10875" i="1"/>
  <c r="C10874" i="1"/>
  <c r="B10874" i="1"/>
  <c r="A10874" i="1"/>
  <c r="C10873" i="1"/>
  <c r="B10873" i="1"/>
  <c r="A10873" i="1"/>
  <c r="C10872" i="1"/>
  <c r="B10872" i="1"/>
  <c r="A10872" i="1"/>
  <c r="C10871" i="1"/>
  <c r="B10871" i="1"/>
  <c r="A10871" i="1"/>
  <c r="C10870" i="1"/>
  <c r="B10870" i="1"/>
  <c r="A10870" i="1"/>
  <c r="C10869" i="1"/>
  <c r="B10869" i="1"/>
  <c r="A10869" i="1"/>
  <c r="C10868" i="1"/>
  <c r="B10868" i="1"/>
  <c r="A10868" i="1"/>
  <c r="C10867" i="1"/>
  <c r="B10867" i="1"/>
  <c r="A10867" i="1"/>
  <c r="C10866" i="1"/>
  <c r="B10866" i="1"/>
  <c r="A10866" i="1"/>
  <c r="C10865" i="1"/>
  <c r="B10865" i="1"/>
  <c r="A10865" i="1"/>
  <c r="C10864" i="1"/>
  <c r="B10864" i="1"/>
  <c r="A10864" i="1"/>
  <c r="C10863" i="1"/>
  <c r="B10863" i="1"/>
  <c r="A10863" i="1"/>
  <c r="C10862" i="1"/>
  <c r="B10862" i="1"/>
  <c r="A10862" i="1"/>
  <c r="C10861" i="1"/>
  <c r="B10861" i="1"/>
  <c r="A10861" i="1"/>
  <c r="C10860" i="1"/>
  <c r="B10860" i="1"/>
  <c r="A10860" i="1"/>
  <c r="C10859" i="1"/>
  <c r="B10859" i="1"/>
  <c r="A10859" i="1"/>
  <c r="C10858" i="1"/>
  <c r="B10858" i="1"/>
  <c r="A10858" i="1"/>
  <c r="C10857" i="1"/>
  <c r="B10857" i="1"/>
  <c r="A10857" i="1"/>
  <c r="C10856" i="1"/>
  <c r="B10856" i="1"/>
  <c r="A10856" i="1"/>
  <c r="C10855" i="1"/>
  <c r="B10855" i="1"/>
  <c r="A10855" i="1"/>
  <c r="C10854" i="1"/>
  <c r="B10854" i="1"/>
  <c r="A10854" i="1"/>
  <c r="C10853" i="1"/>
  <c r="B10853" i="1"/>
  <c r="A10853" i="1"/>
  <c r="C10852" i="1"/>
  <c r="B10852" i="1"/>
  <c r="A10852" i="1"/>
  <c r="C10851" i="1"/>
  <c r="B10851" i="1"/>
  <c r="A10851" i="1"/>
  <c r="C10850" i="1"/>
  <c r="B10850" i="1"/>
  <c r="A10850" i="1"/>
  <c r="C10849" i="1"/>
  <c r="B10849" i="1"/>
  <c r="A10849" i="1"/>
  <c r="C10848" i="1"/>
  <c r="B10848" i="1"/>
  <c r="A10848" i="1"/>
  <c r="C10847" i="1"/>
  <c r="B10847" i="1"/>
  <c r="A10847" i="1"/>
  <c r="C10846" i="1"/>
  <c r="B10846" i="1"/>
  <c r="A10846" i="1"/>
  <c r="C10845" i="1"/>
  <c r="B10845" i="1"/>
  <c r="A10845" i="1"/>
  <c r="C10844" i="1"/>
  <c r="B10844" i="1"/>
  <c r="A10844" i="1"/>
  <c r="C10843" i="1"/>
  <c r="B10843" i="1"/>
  <c r="A10843" i="1"/>
  <c r="C10842" i="1"/>
  <c r="B10842" i="1"/>
  <c r="A10842" i="1"/>
  <c r="C10841" i="1"/>
  <c r="B10841" i="1"/>
  <c r="A10841" i="1"/>
  <c r="C10840" i="1"/>
  <c r="B10840" i="1"/>
  <c r="A10840" i="1"/>
  <c r="C10839" i="1"/>
  <c r="B10839" i="1"/>
  <c r="A10839" i="1"/>
  <c r="C10838" i="1"/>
  <c r="B10838" i="1"/>
  <c r="A10838" i="1"/>
  <c r="C10837" i="1"/>
  <c r="B10837" i="1"/>
  <c r="A10837" i="1"/>
  <c r="C10836" i="1"/>
  <c r="B10836" i="1"/>
  <c r="A10836" i="1"/>
  <c r="C10835" i="1"/>
  <c r="B10835" i="1"/>
  <c r="A10835" i="1"/>
  <c r="C10834" i="1"/>
  <c r="B10834" i="1"/>
  <c r="A10834" i="1"/>
  <c r="C10833" i="1"/>
  <c r="B10833" i="1"/>
  <c r="A10833" i="1"/>
  <c r="C10832" i="1"/>
  <c r="B10832" i="1"/>
  <c r="A10832" i="1"/>
  <c r="C10831" i="1"/>
  <c r="B10831" i="1"/>
  <c r="A10831" i="1"/>
  <c r="C10830" i="1"/>
  <c r="B10830" i="1"/>
  <c r="A10830" i="1"/>
  <c r="C10829" i="1"/>
  <c r="B10829" i="1"/>
  <c r="A10829" i="1"/>
  <c r="C10828" i="1"/>
  <c r="B10828" i="1"/>
  <c r="A10828" i="1"/>
  <c r="C10827" i="1"/>
  <c r="B10827" i="1"/>
  <c r="A10827" i="1"/>
  <c r="C10826" i="1"/>
  <c r="B10826" i="1"/>
  <c r="A10826" i="1"/>
  <c r="C10825" i="1"/>
  <c r="B10825" i="1"/>
  <c r="A10825" i="1"/>
  <c r="C10824" i="1"/>
  <c r="B10824" i="1"/>
  <c r="A10824" i="1"/>
  <c r="C10823" i="1"/>
  <c r="B10823" i="1"/>
  <c r="A10823" i="1"/>
  <c r="C10822" i="1"/>
  <c r="B10822" i="1"/>
  <c r="A10822" i="1"/>
  <c r="C10821" i="1"/>
  <c r="B10821" i="1"/>
  <c r="A10821" i="1"/>
  <c r="C10820" i="1"/>
  <c r="B10820" i="1"/>
  <c r="A10820" i="1"/>
  <c r="C10819" i="1"/>
  <c r="B10819" i="1"/>
  <c r="A10819" i="1"/>
  <c r="C10818" i="1"/>
  <c r="B10818" i="1"/>
  <c r="A10818" i="1"/>
  <c r="C10817" i="1"/>
  <c r="B10817" i="1"/>
  <c r="A10817" i="1"/>
  <c r="C10816" i="1"/>
  <c r="B10816" i="1"/>
  <c r="A10816" i="1"/>
  <c r="C10815" i="1"/>
  <c r="B10815" i="1"/>
  <c r="A10815" i="1"/>
  <c r="C10814" i="1"/>
  <c r="B10814" i="1"/>
  <c r="A10814" i="1"/>
  <c r="C10813" i="1"/>
  <c r="B10813" i="1"/>
  <c r="A10813" i="1"/>
  <c r="C10812" i="1"/>
  <c r="B10812" i="1"/>
  <c r="A10812" i="1"/>
  <c r="C10811" i="1"/>
  <c r="B10811" i="1"/>
  <c r="A10811" i="1"/>
  <c r="C10810" i="1"/>
  <c r="B10810" i="1"/>
  <c r="A10810" i="1"/>
  <c r="C10809" i="1"/>
  <c r="B10809" i="1"/>
  <c r="A10809" i="1"/>
  <c r="C10808" i="1"/>
  <c r="B10808" i="1"/>
  <c r="A10808" i="1"/>
  <c r="C10807" i="1"/>
  <c r="B10807" i="1"/>
  <c r="A10807" i="1"/>
  <c r="C10806" i="1"/>
  <c r="B10806" i="1"/>
  <c r="A10806" i="1"/>
  <c r="C10805" i="1"/>
  <c r="B10805" i="1"/>
  <c r="A10805" i="1"/>
  <c r="C10804" i="1"/>
  <c r="B10804" i="1"/>
  <c r="A10804" i="1"/>
  <c r="C10803" i="1"/>
  <c r="B10803" i="1"/>
  <c r="A10803" i="1"/>
  <c r="C10802" i="1"/>
  <c r="B10802" i="1"/>
  <c r="A10802" i="1"/>
  <c r="C10801" i="1"/>
  <c r="B10801" i="1"/>
  <c r="A10801" i="1"/>
  <c r="C10800" i="1"/>
  <c r="B10800" i="1"/>
  <c r="A10800" i="1"/>
  <c r="C10799" i="1"/>
  <c r="B10799" i="1"/>
  <c r="A10799" i="1"/>
  <c r="C10798" i="1"/>
  <c r="B10798" i="1"/>
  <c r="A10798" i="1"/>
  <c r="C10797" i="1"/>
  <c r="B10797" i="1"/>
  <c r="A10797" i="1"/>
  <c r="C10796" i="1"/>
  <c r="B10796" i="1"/>
  <c r="A10796" i="1"/>
  <c r="C10795" i="1"/>
  <c r="B10795" i="1"/>
  <c r="A10795" i="1"/>
  <c r="C10794" i="1"/>
  <c r="B10794" i="1"/>
  <c r="A10794" i="1"/>
  <c r="C10793" i="1"/>
  <c r="B10793" i="1"/>
  <c r="A10793" i="1"/>
  <c r="C10792" i="1"/>
  <c r="B10792" i="1"/>
  <c r="A10792" i="1"/>
  <c r="C10791" i="1"/>
  <c r="B10791" i="1"/>
  <c r="A10791" i="1"/>
  <c r="C10790" i="1"/>
  <c r="B10790" i="1"/>
  <c r="A10790" i="1"/>
  <c r="C10789" i="1"/>
  <c r="B10789" i="1"/>
  <c r="A10789" i="1"/>
  <c r="C10788" i="1"/>
  <c r="B10788" i="1"/>
  <c r="A10788" i="1"/>
  <c r="C10787" i="1"/>
  <c r="B10787" i="1"/>
  <c r="A10787" i="1"/>
  <c r="C10786" i="1"/>
  <c r="B10786" i="1"/>
  <c r="A10786" i="1"/>
  <c r="C10785" i="1"/>
  <c r="B10785" i="1"/>
  <c r="A10785" i="1"/>
  <c r="C10784" i="1"/>
  <c r="B10784" i="1"/>
  <c r="A10784" i="1"/>
  <c r="C10783" i="1"/>
  <c r="B10783" i="1"/>
  <c r="A10783" i="1"/>
  <c r="C10782" i="1"/>
  <c r="B10782" i="1"/>
  <c r="A10782" i="1"/>
  <c r="C10781" i="1"/>
  <c r="B10781" i="1"/>
  <c r="A10781" i="1"/>
  <c r="C10780" i="1"/>
  <c r="B10780" i="1"/>
  <c r="A10780" i="1"/>
  <c r="C10779" i="1"/>
  <c r="B10779" i="1"/>
  <c r="A10779" i="1"/>
  <c r="C10778" i="1"/>
  <c r="B10778" i="1"/>
  <c r="A10778" i="1"/>
  <c r="C10777" i="1"/>
  <c r="B10777" i="1"/>
  <c r="A10777" i="1"/>
  <c r="C10776" i="1"/>
  <c r="B10776" i="1"/>
  <c r="A10776" i="1"/>
  <c r="C10775" i="1"/>
  <c r="B10775" i="1"/>
  <c r="A10775" i="1"/>
  <c r="C10774" i="1"/>
  <c r="B10774" i="1"/>
  <c r="A10774" i="1"/>
  <c r="C10773" i="1"/>
  <c r="B10773" i="1"/>
  <c r="A10773" i="1"/>
  <c r="C10772" i="1"/>
  <c r="B10772" i="1"/>
  <c r="A10772" i="1"/>
  <c r="C10771" i="1"/>
  <c r="B10771" i="1"/>
  <c r="A10771" i="1"/>
  <c r="C10770" i="1"/>
  <c r="B10770" i="1"/>
  <c r="A10770" i="1"/>
  <c r="C10769" i="1"/>
  <c r="B10769" i="1"/>
  <c r="A10769" i="1"/>
  <c r="C10768" i="1"/>
  <c r="B10768" i="1"/>
  <c r="A10768" i="1"/>
  <c r="C10767" i="1"/>
  <c r="B10767" i="1"/>
  <c r="A10767" i="1"/>
  <c r="C10766" i="1"/>
  <c r="B10766" i="1"/>
  <c r="A10766" i="1"/>
  <c r="C10765" i="1"/>
  <c r="B10765" i="1"/>
  <c r="A10765" i="1"/>
  <c r="C10764" i="1"/>
  <c r="B10764" i="1"/>
  <c r="A10764" i="1"/>
  <c r="C10763" i="1"/>
  <c r="B10763" i="1"/>
  <c r="A10763" i="1"/>
  <c r="C10762" i="1"/>
  <c r="B10762" i="1"/>
  <c r="A10762" i="1"/>
  <c r="C10761" i="1"/>
  <c r="B10761" i="1"/>
  <c r="A10761" i="1"/>
  <c r="C10760" i="1"/>
  <c r="B10760" i="1"/>
  <c r="A10760" i="1"/>
  <c r="C10759" i="1"/>
  <c r="B10759" i="1"/>
  <c r="A10759" i="1"/>
  <c r="C10758" i="1"/>
  <c r="B10758" i="1"/>
  <c r="A10758" i="1"/>
  <c r="C10757" i="1"/>
  <c r="B10757" i="1"/>
  <c r="A10757" i="1"/>
  <c r="C10756" i="1"/>
  <c r="B10756" i="1"/>
  <c r="A10756" i="1"/>
  <c r="C10755" i="1"/>
  <c r="B10755" i="1"/>
  <c r="A10755" i="1"/>
  <c r="C10754" i="1"/>
  <c r="B10754" i="1"/>
  <c r="A10754" i="1"/>
  <c r="C10753" i="1"/>
  <c r="B10753" i="1"/>
  <c r="A10753" i="1"/>
  <c r="C10752" i="1"/>
  <c r="B10752" i="1"/>
  <c r="A10752" i="1"/>
  <c r="C10751" i="1"/>
  <c r="B10751" i="1"/>
  <c r="A10751" i="1"/>
  <c r="C10750" i="1"/>
  <c r="B10750" i="1"/>
  <c r="A10750" i="1"/>
  <c r="C10749" i="1"/>
  <c r="B10749" i="1"/>
  <c r="A10749" i="1"/>
  <c r="C10748" i="1"/>
  <c r="B10748" i="1"/>
  <c r="A10748" i="1"/>
  <c r="C10747" i="1"/>
  <c r="B10747" i="1"/>
  <c r="A10747" i="1"/>
  <c r="C10746" i="1"/>
  <c r="B10746" i="1"/>
  <c r="A10746" i="1"/>
  <c r="C10745" i="1"/>
  <c r="B10745" i="1"/>
  <c r="A10745" i="1"/>
  <c r="C10744" i="1"/>
  <c r="B10744" i="1"/>
  <c r="A10744" i="1"/>
  <c r="C10743" i="1"/>
  <c r="B10743" i="1"/>
  <c r="A10743" i="1"/>
  <c r="C10742" i="1"/>
  <c r="B10742" i="1"/>
  <c r="A10742" i="1"/>
  <c r="C10741" i="1"/>
  <c r="B10741" i="1"/>
  <c r="A10741" i="1"/>
  <c r="C10740" i="1"/>
  <c r="B10740" i="1"/>
  <c r="A10740" i="1"/>
  <c r="C10739" i="1"/>
  <c r="B10739" i="1"/>
  <c r="A10739" i="1"/>
  <c r="C10738" i="1"/>
  <c r="B10738" i="1"/>
  <c r="A10738" i="1"/>
  <c r="C10737" i="1"/>
  <c r="B10737" i="1"/>
  <c r="A10737" i="1"/>
  <c r="C10736" i="1"/>
  <c r="B10736" i="1"/>
  <c r="A10736" i="1"/>
  <c r="C10735" i="1"/>
  <c r="B10735" i="1"/>
  <c r="A10735" i="1"/>
  <c r="C10734" i="1"/>
  <c r="B10734" i="1"/>
  <c r="A10734" i="1"/>
  <c r="C10733" i="1"/>
  <c r="B10733" i="1"/>
  <c r="A10733" i="1"/>
  <c r="C10732" i="1"/>
  <c r="B10732" i="1"/>
  <c r="A10732" i="1"/>
  <c r="C10731" i="1"/>
  <c r="B10731" i="1"/>
  <c r="A10731" i="1"/>
  <c r="C10730" i="1"/>
  <c r="B10730" i="1"/>
  <c r="A10730" i="1"/>
  <c r="C10729" i="1"/>
  <c r="B10729" i="1"/>
  <c r="A10729" i="1"/>
  <c r="C10728" i="1"/>
  <c r="B10728" i="1"/>
  <c r="A10728" i="1"/>
  <c r="C10727" i="1"/>
  <c r="B10727" i="1"/>
  <c r="A10727" i="1"/>
  <c r="C10726" i="1"/>
  <c r="B10726" i="1"/>
  <c r="A10726" i="1"/>
  <c r="C10725" i="1"/>
  <c r="B10725" i="1"/>
  <c r="A10725" i="1"/>
  <c r="C10724" i="1"/>
  <c r="B10724" i="1"/>
  <c r="A10724" i="1"/>
  <c r="C10723" i="1"/>
  <c r="B10723" i="1"/>
  <c r="A10723" i="1"/>
  <c r="C10722" i="1"/>
  <c r="B10722" i="1"/>
  <c r="A10722" i="1"/>
  <c r="C10721" i="1"/>
  <c r="B10721" i="1"/>
  <c r="A10721" i="1"/>
  <c r="C10720" i="1"/>
  <c r="B10720" i="1"/>
  <c r="A10720" i="1"/>
  <c r="C10719" i="1"/>
  <c r="B10719" i="1"/>
  <c r="A10719" i="1"/>
  <c r="C10718" i="1"/>
  <c r="B10718" i="1"/>
  <c r="A10718" i="1"/>
  <c r="C10717" i="1"/>
  <c r="B10717" i="1"/>
  <c r="A10717" i="1"/>
  <c r="C10716" i="1"/>
  <c r="B10716" i="1"/>
  <c r="A10716" i="1"/>
  <c r="C10715" i="1"/>
  <c r="B10715" i="1"/>
  <c r="A10715" i="1"/>
  <c r="C10714" i="1"/>
  <c r="B10714" i="1"/>
  <c r="A10714" i="1"/>
  <c r="C10713" i="1"/>
  <c r="B10713" i="1"/>
  <c r="A10713" i="1"/>
  <c r="C10712" i="1"/>
  <c r="B10712" i="1"/>
  <c r="A10712" i="1"/>
  <c r="C10711" i="1"/>
  <c r="B10711" i="1"/>
  <c r="A10711" i="1"/>
  <c r="C10710" i="1"/>
  <c r="B10710" i="1"/>
  <c r="A10710" i="1"/>
  <c r="C10709" i="1"/>
  <c r="B10709" i="1"/>
  <c r="A10709" i="1"/>
  <c r="C10708" i="1"/>
  <c r="B10708" i="1"/>
  <c r="A10708" i="1"/>
  <c r="C10707" i="1"/>
  <c r="B10707" i="1"/>
  <c r="A10707" i="1"/>
  <c r="C10706" i="1"/>
  <c r="B10706" i="1"/>
  <c r="A10706" i="1"/>
  <c r="C10705" i="1"/>
  <c r="B10705" i="1"/>
  <c r="A10705" i="1"/>
  <c r="C10704" i="1"/>
  <c r="B10704" i="1"/>
  <c r="A10704" i="1"/>
  <c r="C10703" i="1"/>
  <c r="B10703" i="1"/>
  <c r="A10703" i="1"/>
  <c r="C10702" i="1"/>
  <c r="B10702" i="1"/>
  <c r="A10702" i="1"/>
  <c r="C10701" i="1"/>
  <c r="B10701" i="1"/>
  <c r="A10701" i="1"/>
  <c r="C10700" i="1"/>
  <c r="B10700" i="1"/>
  <c r="A10700" i="1"/>
  <c r="C10699" i="1"/>
  <c r="B10699" i="1"/>
  <c r="A10699" i="1"/>
  <c r="C10698" i="1"/>
  <c r="B10698" i="1"/>
  <c r="A10698" i="1"/>
  <c r="C10697" i="1"/>
  <c r="B10697" i="1"/>
  <c r="A10697" i="1"/>
  <c r="C10696" i="1"/>
  <c r="B10696" i="1"/>
  <c r="A10696" i="1"/>
  <c r="C10695" i="1"/>
  <c r="B10695" i="1"/>
  <c r="A10695" i="1"/>
  <c r="C10694" i="1"/>
  <c r="B10694" i="1"/>
  <c r="A10694" i="1"/>
  <c r="C10693" i="1"/>
  <c r="B10693" i="1"/>
  <c r="A10693" i="1"/>
  <c r="C10692" i="1"/>
  <c r="B10692" i="1"/>
  <c r="A10692" i="1"/>
  <c r="C10691" i="1"/>
  <c r="B10691" i="1"/>
  <c r="A10691" i="1"/>
  <c r="C10690" i="1"/>
  <c r="B10690" i="1"/>
  <c r="A10690" i="1"/>
  <c r="C10689" i="1"/>
  <c r="B10689" i="1"/>
  <c r="A10689" i="1"/>
  <c r="C10688" i="1"/>
  <c r="B10688" i="1"/>
  <c r="A10688" i="1"/>
  <c r="C10687" i="1"/>
  <c r="B10687" i="1"/>
  <c r="A10687" i="1"/>
  <c r="C10686" i="1"/>
  <c r="B10686" i="1"/>
  <c r="A10686" i="1"/>
  <c r="C10685" i="1"/>
  <c r="B10685" i="1"/>
  <c r="A10685" i="1"/>
  <c r="C10684" i="1"/>
  <c r="B10684" i="1"/>
  <c r="A10684" i="1"/>
  <c r="C10683" i="1"/>
  <c r="B10683" i="1"/>
  <c r="A10683" i="1"/>
  <c r="C10682" i="1"/>
  <c r="B10682" i="1"/>
  <c r="A10682" i="1"/>
  <c r="C10681" i="1"/>
  <c r="B10681" i="1"/>
  <c r="A10681" i="1"/>
  <c r="C10680" i="1"/>
  <c r="B10680" i="1"/>
  <c r="A10680" i="1"/>
  <c r="C10679" i="1"/>
  <c r="B10679" i="1"/>
  <c r="A10679" i="1"/>
  <c r="C10678" i="1"/>
  <c r="B10678" i="1"/>
  <c r="A10678" i="1"/>
  <c r="C10677" i="1"/>
  <c r="B10677" i="1"/>
  <c r="A10677" i="1"/>
  <c r="C10676" i="1"/>
  <c r="B10676" i="1"/>
  <c r="A10676" i="1"/>
  <c r="C10675" i="1"/>
  <c r="B10675" i="1"/>
  <c r="A10675" i="1"/>
  <c r="C10674" i="1"/>
  <c r="B10674" i="1"/>
  <c r="A10674" i="1"/>
  <c r="C10673" i="1"/>
  <c r="B10673" i="1"/>
  <c r="A10673" i="1"/>
  <c r="C10672" i="1"/>
  <c r="B10672" i="1"/>
  <c r="A10672" i="1"/>
  <c r="C10671" i="1"/>
  <c r="B10671" i="1"/>
  <c r="A10671" i="1"/>
  <c r="C10670" i="1"/>
  <c r="B10670" i="1"/>
  <c r="A10670" i="1"/>
  <c r="C10669" i="1"/>
  <c r="B10669" i="1"/>
  <c r="A10669" i="1"/>
  <c r="C10668" i="1"/>
  <c r="B10668" i="1"/>
  <c r="A10668" i="1"/>
  <c r="C10667" i="1"/>
  <c r="B10667" i="1"/>
  <c r="A10667" i="1"/>
  <c r="C10666" i="1"/>
  <c r="B10666" i="1"/>
  <c r="A10666" i="1"/>
  <c r="C10665" i="1"/>
  <c r="B10665" i="1"/>
  <c r="A10665" i="1"/>
  <c r="C10664" i="1"/>
  <c r="B10664" i="1"/>
  <c r="A10664" i="1"/>
  <c r="C10663" i="1"/>
  <c r="B10663" i="1"/>
  <c r="A10663" i="1"/>
  <c r="C10662" i="1"/>
  <c r="B10662" i="1"/>
  <c r="A10662" i="1"/>
  <c r="C10661" i="1"/>
  <c r="B10661" i="1"/>
  <c r="A10661" i="1"/>
  <c r="C10660" i="1"/>
  <c r="B10660" i="1"/>
  <c r="A10660" i="1"/>
  <c r="C10659" i="1"/>
  <c r="B10659" i="1"/>
  <c r="A10659" i="1"/>
  <c r="C10658" i="1"/>
  <c r="B10658" i="1"/>
  <c r="A10658" i="1"/>
  <c r="C10657" i="1"/>
  <c r="B10657" i="1"/>
  <c r="A10657" i="1"/>
  <c r="C10656" i="1"/>
  <c r="B10656" i="1"/>
  <c r="A10656" i="1"/>
  <c r="C10655" i="1"/>
  <c r="B10655" i="1"/>
  <c r="A10655" i="1"/>
  <c r="C10654" i="1"/>
  <c r="B10654" i="1"/>
  <c r="A10654" i="1"/>
  <c r="C10653" i="1"/>
  <c r="B10653" i="1"/>
  <c r="A10653" i="1"/>
  <c r="C10652" i="1"/>
  <c r="B10652" i="1"/>
  <c r="A10652" i="1"/>
  <c r="C10651" i="1"/>
  <c r="B10651" i="1"/>
  <c r="A10651" i="1"/>
  <c r="C10650" i="1"/>
  <c r="B10650" i="1"/>
  <c r="A10650" i="1"/>
  <c r="C10649" i="1"/>
  <c r="B10649" i="1"/>
  <c r="A10649" i="1"/>
  <c r="C10648" i="1"/>
  <c r="B10648" i="1"/>
  <c r="A10648" i="1"/>
  <c r="C10647" i="1"/>
  <c r="B10647" i="1"/>
  <c r="A10647" i="1"/>
  <c r="C10646" i="1"/>
  <c r="B10646" i="1"/>
  <c r="A10646" i="1"/>
  <c r="C10645" i="1"/>
  <c r="B10645" i="1"/>
  <c r="A10645" i="1"/>
  <c r="C10644" i="1"/>
  <c r="B10644" i="1"/>
  <c r="A10644" i="1"/>
  <c r="C10643" i="1"/>
  <c r="B10643" i="1"/>
  <c r="A10643" i="1"/>
  <c r="C10642" i="1"/>
  <c r="B10642" i="1"/>
  <c r="A10642" i="1"/>
  <c r="C10641" i="1"/>
  <c r="B10641" i="1"/>
  <c r="A10641" i="1"/>
  <c r="C10640" i="1"/>
  <c r="B10640" i="1"/>
  <c r="A10640" i="1"/>
  <c r="C10639" i="1"/>
  <c r="B10639" i="1"/>
  <c r="A10639" i="1"/>
  <c r="C10638" i="1"/>
  <c r="B10638" i="1"/>
  <c r="A10638" i="1"/>
  <c r="C10637" i="1"/>
  <c r="B10637" i="1"/>
  <c r="A10637" i="1"/>
  <c r="C10636" i="1"/>
  <c r="B10636" i="1"/>
  <c r="A10636" i="1"/>
  <c r="C10635" i="1"/>
  <c r="B10635" i="1"/>
  <c r="A10635" i="1"/>
  <c r="C10634" i="1"/>
  <c r="B10634" i="1"/>
  <c r="A10634" i="1"/>
  <c r="C10633" i="1"/>
  <c r="B10633" i="1"/>
  <c r="A10633" i="1"/>
  <c r="C10632" i="1"/>
  <c r="B10632" i="1"/>
  <c r="A10632" i="1"/>
  <c r="C10631" i="1"/>
  <c r="B10631" i="1"/>
  <c r="A10631" i="1"/>
  <c r="C10630" i="1"/>
  <c r="B10630" i="1"/>
  <c r="A10630" i="1"/>
  <c r="C10629" i="1"/>
  <c r="B10629" i="1"/>
  <c r="A10629" i="1"/>
  <c r="C10628" i="1"/>
  <c r="B10628" i="1"/>
  <c r="A10628" i="1"/>
  <c r="C10627" i="1"/>
  <c r="B10627" i="1"/>
  <c r="A10627" i="1"/>
  <c r="C10626" i="1"/>
  <c r="B10626" i="1"/>
  <c r="A10626" i="1"/>
  <c r="C10625" i="1"/>
  <c r="B10625" i="1"/>
  <c r="A10625" i="1"/>
  <c r="C10624" i="1"/>
  <c r="B10624" i="1"/>
  <c r="A10624" i="1"/>
  <c r="C10623" i="1"/>
  <c r="B10623" i="1"/>
  <c r="A10623" i="1"/>
  <c r="C10622" i="1"/>
  <c r="B10622" i="1"/>
  <c r="A10622" i="1"/>
  <c r="C10621" i="1"/>
  <c r="B10621" i="1"/>
  <c r="A10621" i="1"/>
  <c r="C10620" i="1"/>
  <c r="B10620" i="1"/>
  <c r="A10620" i="1"/>
  <c r="C10619" i="1"/>
  <c r="B10619" i="1"/>
  <c r="A10619" i="1"/>
  <c r="C10618" i="1"/>
  <c r="B10618" i="1"/>
  <c r="A10618" i="1"/>
  <c r="C10617" i="1"/>
  <c r="B10617" i="1"/>
  <c r="A10617" i="1"/>
  <c r="C10616" i="1"/>
  <c r="B10616" i="1"/>
  <c r="A10616" i="1"/>
  <c r="C10615" i="1"/>
  <c r="B10615" i="1"/>
  <c r="A10615" i="1"/>
  <c r="C10614" i="1"/>
  <c r="B10614" i="1"/>
  <c r="A10614" i="1"/>
  <c r="C10613" i="1"/>
  <c r="B10613" i="1"/>
  <c r="A10613" i="1"/>
  <c r="C10612" i="1"/>
  <c r="B10612" i="1"/>
  <c r="A10612" i="1"/>
  <c r="C10611" i="1"/>
  <c r="B10611" i="1"/>
  <c r="A10611" i="1"/>
  <c r="C10610" i="1"/>
  <c r="B10610" i="1"/>
  <c r="A10610" i="1"/>
  <c r="C10609" i="1"/>
  <c r="B10609" i="1"/>
  <c r="A10609" i="1"/>
  <c r="C10608" i="1"/>
  <c r="B10608" i="1"/>
  <c r="A10608" i="1"/>
  <c r="C10607" i="1"/>
  <c r="B10607" i="1"/>
  <c r="A10607" i="1"/>
  <c r="C10606" i="1"/>
  <c r="B10606" i="1"/>
  <c r="A10606" i="1"/>
  <c r="C10605" i="1"/>
  <c r="B10605" i="1"/>
  <c r="A10605" i="1"/>
  <c r="C10604" i="1"/>
  <c r="B10604" i="1"/>
  <c r="A10604" i="1"/>
  <c r="C10603" i="1"/>
  <c r="B10603" i="1"/>
  <c r="A10603" i="1"/>
  <c r="C10602" i="1"/>
  <c r="B10602" i="1"/>
  <c r="A10602" i="1"/>
  <c r="C10601" i="1"/>
  <c r="B10601" i="1"/>
  <c r="A10601" i="1"/>
  <c r="C10600" i="1"/>
  <c r="B10600" i="1"/>
  <c r="A10600" i="1"/>
  <c r="C10599" i="1"/>
  <c r="B10599" i="1"/>
  <c r="A10599" i="1"/>
  <c r="C10598" i="1"/>
  <c r="B10598" i="1"/>
  <c r="A10598" i="1"/>
  <c r="C10597" i="1"/>
  <c r="B10597" i="1"/>
  <c r="A10597" i="1"/>
  <c r="C10596" i="1"/>
  <c r="B10596" i="1"/>
  <c r="A10596" i="1"/>
  <c r="C10595" i="1"/>
  <c r="B10595" i="1"/>
  <c r="A10595" i="1"/>
  <c r="C10594" i="1"/>
  <c r="B10594" i="1"/>
  <c r="A10594" i="1"/>
  <c r="C10593" i="1"/>
  <c r="B10593" i="1"/>
  <c r="A10593" i="1"/>
  <c r="C10592" i="1"/>
  <c r="B10592" i="1"/>
  <c r="A10592" i="1"/>
  <c r="C10591" i="1"/>
  <c r="B10591" i="1"/>
  <c r="A10591" i="1"/>
  <c r="C10590" i="1"/>
  <c r="B10590" i="1"/>
  <c r="A10590" i="1"/>
  <c r="C10589" i="1"/>
  <c r="B10589" i="1"/>
  <c r="A10589" i="1"/>
  <c r="C10588" i="1"/>
  <c r="B10588" i="1"/>
  <c r="A10588" i="1"/>
  <c r="C10587" i="1"/>
  <c r="B10587" i="1"/>
  <c r="A10587" i="1"/>
  <c r="C10586" i="1"/>
  <c r="B10586" i="1"/>
  <c r="A10586" i="1"/>
  <c r="C10585" i="1"/>
  <c r="B10585" i="1"/>
  <c r="A10585" i="1"/>
  <c r="C10584" i="1"/>
  <c r="B10584" i="1"/>
  <c r="A10584" i="1"/>
  <c r="C10583" i="1"/>
  <c r="B10583" i="1"/>
  <c r="A10583" i="1"/>
  <c r="C10582" i="1"/>
  <c r="B10582" i="1"/>
  <c r="A10582" i="1"/>
  <c r="C10581" i="1"/>
  <c r="B10581" i="1"/>
  <c r="A10581" i="1"/>
  <c r="C10580" i="1"/>
  <c r="B10580" i="1"/>
  <c r="A10580" i="1"/>
  <c r="C10579" i="1"/>
  <c r="B10579" i="1"/>
  <c r="A10579" i="1"/>
  <c r="C10578" i="1"/>
  <c r="B10578" i="1"/>
  <c r="A10578" i="1"/>
  <c r="C10577" i="1"/>
  <c r="B10577" i="1"/>
  <c r="A10577" i="1"/>
  <c r="C10576" i="1"/>
  <c r="B10576" i="1"/>
  <c r="A10576" i="1"/>
  <c r="C10575" i="1"/>
  <c r="B10575" i="1"/>
  <c r="A10575" i="1"/>
  <c r="C10574" i="1"/>
  <c r="B10574" i="1"/>
  <c r="A10574" i="1"/>
  <c r="C10573" i="1"/>
  <c r="B10573" i="1"/>
  <c r="A10573" i="1"/>
  <c r="C10572" i="1"/>
  <c r="B10572" i="1"/>
  <c r="A10572" i="1"/>
  <c r="C10571" i="1"/>
  <c r="B10571" i="1"/>
  <c r="A10571" i="1"/>
  <c r="C10570" i="1"/>
  <c r="B10570" i="1"/>
  <c r="A10570" i="1"/>
  <c r="C10569" i="1"/>
  <c r="B10569" i="1"/>
  <c r="A10569" i="1"/>
  <c r="C10568" i="1"/>
  <c r="B10568" i="1"/>
  <c r="A10568" i="1"/>
  <c r="C10567" i="1"/>
  <c r="B10567" i="1"/>
  <c r="A10567" i="1"/>
  <c r="C10566" i="1"/>
  <c r="B10566" i="1"/>
  <c r="A10566" i="1"/>
  <c r="C10565" i="1"/>
  <c r="B10565" i="1"/>
  <c r="A10565" i="1"/>
  <c r="C10564" i="1"/>
  <c r="B10564" i="1"/>
  <c r="A10564" i="1"/>
  <c r="C10563" i="1"/>
  <c r="B10563" i="1"/>
  <c r="A10563" i="1"/>
  <c r="C10562" i="1"/>
  <c r="B10562" i="1"/>
  <c r="A10562" i="1"/>
  <c r="C10561" i="1"/>
  <c r="B10561" i="1"/>
  <c r="A10561" i="1"/>
  <c r="C10560" i="1"/>
  <c r="B10560" i="1"/>
  <c r="A10560" i="1"/>
  <c r="C10559" i="1"/>
  <c r="B10559" i="1"/>
  <c r="A10559" i="1"/>
  <c r="C10558" i="1"/>
  <c r="B10558" i="1"/>
  <c r="A10558" i="1"/>
  <c r="C10557" i="1"/>
  <c r="B10557" i="1"/>
  <c r="A10557" i="1"/>
  <c r="C10556" i="1"/>
  <c r="B10556" i="1"/>
  <c r="A10556" i="1"/>
  <c r="C10555" i="1"/>
  <c r="B10555" i="1"/>
  <c r="A10555" i="1"/>
  <c r="C10554" i="1"/>
  <c r="B10554" i="1"/>
  <c r="A10554" i="1"/>
  <c r="C10553" i="1"/>
  <c r="B10553" i="1"/>
  <c r="A10553" i="1"/>
  <c r="C10552" i="1"/>
  <c r="B10552" i="1"/>
  <c r="A10552" i="1"/>
  <c r="C10551" i="1"/>
  <c r="B10551" i="1"/>
  <c r="A10551" i="1"/>
  <c r="C10550" i="1"/>
  <c r="B10550" i="1"/>
  <c r="A10550" i="1"/>
  <c r="C10549" i="1"/>
  <c r="B10549" i="1"/>
  <c r="A10549" i="1"/>
  <c r="C10548" i="1"/>
  <c r="B10548" i="1"/>
  <c r="A10548" i="1"/>
  <c r="C10547" i="1"/>
  <c r="B10547" i="1"/>
  <c r="A10547" i="1"/>
  <c r="C10546" i="1"/>
  <c r="B10546" i="1"/>
  <c r="A10546" i="1"/>
  <c r="C10545" i="1"/>
  <c r="B10545" i="1"/>
  <c r="A10545" i="1"/>
  <c r="C10544" i="1"/>
  <c r="B10544" i="1"/>
  <c r="A10544" i="1"/>
  <c r="C10543" i="1"/>
  <c r="B10543" i="1"/>
  <c r="A10543" i="1"/>
  <c r="C10542" i="1"/>
  <c r="B10542" i="1"/>
  <c r="A10542" i="1"/>
  <c r="C10541" i="1"/>
  <c r="B10541" i="1"/>
  <c r="A10541" i="1"/>
  <c r="C10540" i="1"/>
  <c r="B10540" i="1"/>
  <c r="A10540" i="1"/>
  <c r="C10539" i="1"/>
  <c r="B10539" i="1"/>
  <c r="A10539" i="1"/>
  <c r="C10538" i="1"/>
  <c r="B10538" i="1"/>
  <c r="A10538" i="1"/>
  <c r="C10537" i="1"/>
  <c r="B10537" i="1"/>
  <c r="A10537" i="1"/>
  <c r="C10536" i="1"/>
  <c r="B10536" i="1"/>
  <c r="A10536" i="1"/>
  <c r="C10535" i="1"/>
  <c r="B10535" i="1"/>
  <c r="A10535" i="1"/>
  <c r="C10534" i="1"/>
  <c r="B10534" i="1"/>
  <c r="A10534" i="1"/>
  <c r="C10533" i="1"/>
  <c r="B10533" i="1"/>
  <c r="A10533" i="1"/>
  <c r="C10532" i="1"/>
  <c r="B10532" i="1"/>
  <c r="A10532" i="1"/>
  <c r="C10531" i="1"/>
  <c r="B10531" i="1"/>
  <c r="A10531" i="1"/>
  <c r="C10530" i="1"/>
  <c r="B10530" i="1"/>
  <c r="A10530" i="1"/>
  <c r="C10529" i="1"/>
  <c r="B10529" i="1"/>
  <c r="A10529" i="1"/>
  <c r="C10528" i="1"/>
  <c r="B10528" i="1"/>
  <c r="A10528" i="1"/>
  <c r="C10527" i="1"/>
  <c r="B10527" i="1"/>
  <c r="A10527" i="1"/>
  <c r="C10526" i="1"/>
  <c r="B10526" i="1"/>
  <c r="A10526" i="1"/>
  <c r="C10525" i="1"/>
  <c r="B10525" i="1"/>
  <c r="A10525" i="1"/>
  <c r="C10524" i="1"/>
  <c r="B10524" i="1"/>
  <c r="A10524" i="1"/>
  <c r="C10523" i="1"/>
  <c r="B10523" i="1"/>
  <c r="A10523" i="1"/>
  <c r="C10522" i="1"/>
  <c r="B10522" i="1"/>
  <c r="A10522" i="1"/>
  <c r="C10521" i="1"/>
  <c r="B10521" i="1"/>
  <c r="A10521" i="1"/>
  <c r="C10520" i="1"/>
  <c r="B10520" i="1"/>
  <c r="A10520" i="1"/>
  <c r="C10519" i="1"/>
  <c r="B10519" i="1"/>
  <c r="A10519" i="1"/>
  <c r="C10518" i="1"/>
  <c r="B10518" i="1"/>
  <c r="A10518" i="1"/>
  <c r="C10517" i="1"/>
  <c r="B10517" i="1"/>
  <c r="A10517" i="1"/>
  <c r="C10516" i="1"/>
  <c r="B10516" i="1"/>
  <c r="A10516" i="1"/>
  <c r="C10515" i="1"/>
  <c r="B10515" i="1"/>
  <c r="A10515" i="1"/>
  <c r="C10514" i="1"/>
  <c r="B10514" i="1"/>
  <c r="A10514" i="1"/>
  <c r="C10513" i="1"/>
  <c r="B10513" i="1"/>
  <c r="A10513" i="1"/>
  <c r="C10512" i="1"/>
  <c r="B10512" i="1"/>
  <c r="A10512" i="1"/>
  <c r="C10511" i="1"/>
  <c r="B10511" i="1"/>
  <c r="A10511" i="1"/>
  <c r="C10510" i="1"/>
  <c r="B10510" i="1"/>
  <c r="A10510" i="1"/>
  <c r="C10509" i="1"/>
  <c r="B10509" i="1"/>
  <c r="A10509" i="1"/>
  <c r="C10508" i="1"/>
  <c r="B10508" i="1"/>
  <c r="A10508" i="1"/>
  <c r="C10507" i="1"/>
  <c r="B10507" i="1"/>
  <c r="A10507" i="1"/>
  <c r="C10506" i="1"/>
  <c r="B10506" i="1"/>
  <c r="A10506" i="1"/>
  <c r="C10505" i="1"/>
  <c r="B10505" i="1"/>
  <c r="A10505" i="1"/>
  <c r="C10504" i="1"/>
  <c r="B10504" i="1"/>
  <c r="A10504" i="1"/>
  <c r="C10503" i="1"/>
  <c r="B10503" i="1"/>
  <c r="A10503" i="1"/>
  <c r="C10502" i="1"/>
  <c r="B10502" i="1"/>
  <c r="A10502" i="1"/>
  <c r="C10501" i="1"/>
  <c r="B10501" i="1"/>
  <c r="A10501" i="1"/>
  <c r="C10500" i="1"/>
  <c r="B10500" i="1"/>
  <c r="A10500" i="1"/>
  <c r="C10499" i="1"/>
  <c r="B10499" i="1"/>
  <c r="A10499" i="1"/>
  <c r="C10498" i="1"/>
  <c r="B10498" i="1"/>
  <c r="A10498" i="1"/>
  <c r="C10497" i="1"/>
  <c r="B10497" i="1"/>
  <c r="A10497" i="1"/>
  <c r="C10496" i="1"/>
  <c r="B10496" i="1"/>
  <c r="A10496" i="1"/>
  <c r="C10495" i="1"/>
  <c r="B10495" i="1"/>
  <c r="A10495" i="1"/>
  <c r="C10494" i="1"/>
  <c r="B10494" i="1"/>
  <c r="A10494" i="1"/>
  <c r="C10493" i="1"/>
  <c r="B10493" i="1"/>
  <c r="A10493" i="1"/>
  <c r="C10492" i="1"/>
  <c r="B10492" i="1"/>
  <c r="A10492" i="1"/>
  <c r="C10491" i="1"/>
  <c r="B10491" i="1"/>
  <c r="A10491" i="1"/>
  <c r="C10490" i="1"/>
  <c r="B10490" i="1"/>
  <c r="A10490" i="1"/>
  <c r="C10489" i="1"/>
  <c r="B10489" i="1"/>
  <c r="A10489" i="1"/>
  <c r="C10488" i="1"/>
  <c r="B10488" i="1"/>
  <c r="A10488" i="1"/>
  <c r="C10487" i="1"/>
  <c r="B10487" i="1"/>
  <c r="A10487" i="1"/>
  <c r="C10486" i="1"/>
  <c r="B10486" i="1"/>
  <c r="A10486" i="1"/>
  <c r="C10485" i="1"/>
  <c r="B10485" i="1"/>
  <c r="A10485" i="1"/>
  <c r="C10484" i="1"/>
  <c r="B10484" i="1"/>
  <c r="A10484" i="1"/>
  <c r="C10483" i="1"/>
  <c r="B10483" i="1"/>
  <c r="A10483" i="1"/>
  <c r="C10482" i="1"/>
  <c r="B10482" i="1"/>
  <c r="A10482" i="1"/>
  <c r="C10481" i="1"/>
  <c r="B10481" i="1"/>
  <c r="A10481" i="1"/>
  <c r="C10480" i="1"/>
  <c r="B10480" i="1"/>
  <c r="A10480" i="1"/>
  <c r="C10479" i="1"/>
  <c r="B10479" i="1"/>
  <c r="A10479" i="1"/>
  <c r="C10478" i="1"/>
  <c r="B10478" i="1"/>
  <c r="A10478" i="1"/>
  <c r="C10477" i="1"/>
  <c r="B10477" i="1"/>
  <c r="A10477" i="1"/>
  <c r="C10476" i="1"/>
  <c r="B10476" i="1"/>
  <c r="A10476" i="1"/>
  <c r="C10475" i="1"/>
  <c r="B10475" i="1"/>
  <c r="A10475" i="1"/>
  <c r="C10474" i="1"/>
  <c r="B10474" i="1"/>
  <c r="A10474" i="1"/>
  <c r="C10473" i="1"/>
  <c r="B10473" i="1"/>
  <c r="A10473" i="1"/>
  <c r="C10472" i="1"/>
  <c r="B10472" i="1"/>
  <c r="A10472" i="1"/>
  <c r="C10471" i="1"/>
  <c r="B10471" i="1"/>
  <c r="A10471" i="1"/>
  <c r="C10470" i="1"/>
  <c r="B10470" i="1"/>
  <c r="A10470" i="1"/>
  <c r="C10469" i="1"/>
  <c r="B10469" i="1"/>
  <c r="A10469" i="1"/>
  <c r="C10468" i="1"/>
  <c r="B10468" i="1"/>
  <c r="A10468" i="1"/>
  <c r="C10467" i="1"/>
  <c r="B10467" i="1"/>
  <c r="A10467" i="1"/>
  <c r="C10466" i="1"/>
  <c r="B10466" i="1"/>
  <c r="A10466" i="1"/>
  <c r="C10465" i="1"/>
  <c r="B10465" i="1"/>
  <c r="A10465" i="1"/>
  <c r="C10464" i="1"/>
  <c r="B10464" i="1"/>
  <c r="A10464" i="1"/>
  <c r="C10463" i="1"/>
  <c r="B10463" i="1"/>
  <c r="A10463" i="1"/>
  <c r="C10462" i="1"/>
  <c r="B10462" i="1"/>
  <c r="A10462" i="1"/>
  <c r="C10461" i="1"/>
  <c r="B10461" i="1"/>
  <c r="A10461" i="1"/>
  <c r="C10460" i="1"/>
  <c r="B10460" i="1"/>
  <c r="A10460" i="1"/>
  <c r="C10459" i="1"/>
  <c r="B10459" i="1"/>
  <c r="A10459" i="1"/>
  <c r="C10458" i="1"/>
  <c r="B10458" i="1"/>
  <c r="A10458" i="1"/>
  <c r="C10457" i="1"/>
  <c r="B10457" i="1"/>
  <c r="A10457" i="1"/>
  <c r="C10456" i="1"/>
  <c r="B10456" i="1"/>
  <c r="A10456" i="1"/>
  <c r="C10455" i="1"/>
  <c r="B10455" i="1"/>
  <c r="A10455" i="1"/>
  <c r="C10454" i="1"/>
  <c r="B10454" i="1"/>
  <c r="A10454" i="1"/>
  <c r="C10453" i="1"/>
  <c r="B10453" i="1"/>
  <c r="A10453" i="1"/>
  <c r="C10452" i="1"/>
  <c r="B10452" i="1"/>
  <c r="A10452" i="1"/>
  <c r="C10451" i="1"/>
  <c r="B10451" i="1"/>
  <c r="A10451" i="1"/>
  <c r="C10450" i="1"/>
  <c r="B10450" i="1"/>
  <c r="A10450" i="1"/>
  <c r="C10449" i="1"/>
  <c r="B10449" i="1"/>
  <c r="A10449" i="1"/>
  <c r="C10448" i="1"/>
  <c r="B10448" i="1"/>
  <c r="A10448" i="1"/>
  <c r="C10447" i="1"/>
  <c r="B10447" i="1"/>
  <c r="A10447" i="1"/>
  <c r="C10446" i="1"/>
  <c r="B10446" i="1"/>
  <c r="A10446" i="1"/>
  <c r="C10445" i="1"/>
  <c r="B10445" i="1"/>
  <c r="A10445" i="1"/>
  <c r="C10444" i="1"/>
  <c r="B10444" i="1"/>
  <c r="A10444" i="1"/>
  <c r="C10443" i="1"/>
  <c r="B10443" i="1"/>
  <c r="A10443" i="1"/>
  <c r="C10442" i="1"/>
  <c r="B10442" i="1"/>
  <c r="A10442" i="1"/>
  <c r="C10441" i="1"/>
  <c r="B10441" i="1"/>
  <c r="A10441" i="1"/>
  <c r="C10440" i="1"/>
  <c r="B10440" i="1"/>
  <c r="A10440" i="1"/>
  <c r="C10439" i="1"/>
  <c r="B10439" i="1"/>
  <c r="A10439" i="1"/>
  <c r="C10438" i="1"/>
  <c r="B10438" i="1"/>
  <c r="A10438" i="1"/>
  <c r="C10437" i="1"/>
  <c r="B10437" i="1"/>
  <c r="A10437" i="1"/>
  <c r="C10436" i="1"/>
  <c r="B10436" i="1"/>
  <c r="A10436" i="1"/>
  <c r="C10435" i="1"/>
  <c r="B10435" i="1"/>
  <c r="A10435" i="1"/>
  <c r="C10434" i="1"/>
  <c r="B10434" i="1"/>
  <c r="A10434" i="1"/>
  <c r="C10433" i="1"/>
  <c r="B10433" i="1"/>
  <c r="A10433" i="1"/>
  <c r="C10432" i="1"/>
  <c r="B10432" i="1"/>
  <c r="A10432" i="1"/>
  <c r="C10431" i="1"/>
  <c r="B10431" i="1"/>
  <c r="A10431" i="1"/>
  <c r="C10430" i="1"/>
  <c r="B10430" i="1"/>
  <c r="A10430" i="1"/>
  <c r="C10429" i="1"/>
  <c r="B10429" i="1"/>
  <c r="A10429" i="1"/>
  <c r="C10428" i="1"/>
  <c r="B10428" i="1"/>
  <c r="A10428" i="1"/>
  <c r="C10427" i="1"/>
  <c r="B10427" i="1"/>
  <c r="A10427" i="1"/>
  <c r="C10426" i="1"/>
  <c r="B10426" i="1"/>
  <c r="A10426" i="1"/>
  <c r="C10425" i="1"/>
  <c r="B10425" i="1"/>
  <c r="A10425" i="1"/>
  <c r="C10424" i="1"/>
  <c r="B10424" i="1"/>
  <c r="A10424" i="1"/>
  <c r="C10423" i="1"/>
  <c r="B10423" i="1"/>
  <c r="A10423" i="1"/>
  <c r="C10422" i="1"/>
  <c r="B10422" i="1"/>
  <c r="A10422" i="1"/>
  <c r="C10421" i="1"/>
  <c r="B10421" i="1"/>
  <c r="A10421" i="1"/>
  <c r="C10420" i="1"/>
  <c r="B10420" i="1"/>
  <c r="A10420" i="1"/>
  <c r="C10419" i="1"/>
  <c r="B10419" i="1"/>
  <c r="A10419" i="1"/>
  <c r="C10418" i="1"/>
  <c r="B10418" i="1"/>
  <c r="A10418" i="1"/>
  <c r="C10417" i="1"/>
  <c r="B10417" i="1"/>
  <c r="A10417" i="1"/>
  <c r="C10416" i="1"/>
  <c r="B10416" i="1"/>
  <c r="A10416" i="1"/>
  <c r="C10415" i="1"/>
  <c r="B10415" i="1"/>
  <c r="A10415" i="1"/>
  <c r="C10414" i="1"/>
  <c r="B10414" i="1"/>
  <c r="A10414" i="1"/>
  <c r="C10413" i="1"/>
  <c r="B10413" i="1"/>
  <c r="A10413" i="1"/>
  <c r="C10412" i="1"/>
  <c r="B10412" i="1"/>
  <c r="A10412" i="1"/>
  <c r="C10411" i="1"/>
  <c r="B10411" i="1"/>
  <c r="A10411" i="1"/>
  <c r="C10410" i="1"/>
  <c r="B10410" i="1"/>
  <c r="A10410" i="1"/>
  <c r="C10409" i="1"/>
  <c r="B10409" i="1"/>
  <c r="A10409" i="1"/>
  <c r="C10408" i="1"/>
  <c r="B10408" i="1"/>
  <c r="A10408" i="1"/>
  <c r="C10407" i="1"/>
  <c r="B10407" i="1"/>
  <c r="A10407" i="1"/>
  <c r="C10406" i="1"/>
  <c r="B10406" i="1"/>
  <c r="A10406" i="1"/>
  <c r="C10405" i="1"/>
  <c r="B10405" i="1"/>
  <c r="A10405" i="1"/>
  <c r="C10404" i="1"/>
  <c r="B10404" i="1"/>
  <c r="A10404" i="1"/>
  <c r="C10403" i="1"/>
  <c r="B10403" i="1"/>
  <c r="A10403" i="1"/>
  <c r="C10402" i="1"/>
  <c r="B10402" i="1"/>
  <c r="A10402" i="1"/>
  <c r="C10401" i="1"/>
  <c r="B10401" i="1"/>
  <c r="A10401" i="1"/>
  <c r="C10400" i="1"/>
  <c r="B10400" i="1"/>
  <c r="A10400" i="1"/>
  <c r="C10399" i="1"/>
  <c r="B10399" i="1"/>
  <c r="A10399" i="1"/>
  <c r="C10398" i="1"/>
  <c r="B10398" i="1"/>
  <c r="A10398" i="1"/>
  <c r="C10397" i="1"/>
  <c r="B10397" i="1"/>
  <c r="A10397" i="1"/>
  <c r="C10396" i="1"/>
  <c r="B10396" i="1"/>
  <c r="A10396" i="1"/>
  <c r="C10395" i="1"/>
  <c r="B10395" i="1"/>
  <c r="A10395" i="1"/>
  <c r="C10394" i="1"/>
  <c r="B10394" i="1"/>
  <c r="A10394" i="1"/>
  <c r="C10393" i="1"/>
  <c r="B10393" i="1"/>
  <c r="A10393" i="1"/>
  <c r="C10392" i="1"/>
  <c r="B10392" i="1"/>
  <c r="A10392" i="1"/>
  <c r="C10391" i="1"/>
  <c r="B10391" i="1"/>
  <c r="A10391" i="1"/>
  <c r="C10390" i="1"/>
  <c r="B10390" i="1"/>
  <c r="A10390" i="1"/>
  <c r="C10389" i="1"/>
  <c r="B10389" i="1"/>
  <c r="A10389" i="1"/>
  <c r="C10388" i="1"/>
  <c r="B10388" i="1"/>
  <c r="A10388" i="1"/>
  <c r="C10387" i="1"/>
  <c r="B10387" i="1"/>
  <c r="A10387" i="1"/>
  <c r="C10386" i="1"/>
  <c r="B10386" i="1"/>
  <c r="A10386" i="1"/>
  <c r="C10385" i="1"/>
  <c r="B10385" i="1"/>
  <c r="A10385" i="1"/>
  <c r="C10384" i="1"/>
  <c r="B10384" i="1"/>
  <c r="A10384" i="1"/>
  <c r="C10383" i="1"/>
  <c r="B10383" i="1"/>
  <c r="A10383" i="1"/>
  <c r="C10382" i="1"/>
  <c r="B10382" i="1"/>
  <c r="A10382" i="1"/>
  <c r="C10381" i="1"/>
  <c r="B10381" i="1"/>
  <c r="A10381" i="1"/>
  <c r="C10380" i="1"/>
  <c r="B10380" i="1"/>
  <c r="A10380" i="1"/>
  <c r="C10379" i="1"/>
  <c r="B10379" i="1"/>
  <c r="A10379" i="1"/>
  <c r="C10378" i="1"/>
  <c r="B10378" i="1"/>
  <c r="A10378" i="1"/>
  <c r="C10377" i="1"/>
  <c r="B10377" i="1"/>
  <c r="A10377" i="1"/>
  <c r="C10376" i="1"/>
  <c r="B10376" i="1"/>
  <c r="A10376" i="1"/>
  <c r="C10375" i="1"/>
  <c r="B10375" i="1"/>
  <c r="A10375" i="1"/>
  <c r="C10374" i="1"/>
  <c r="B10374" i="1"/>
  <c r="A10374" i="1"/>
  <c r="C10373" i="1"/>
  <c r="B10373" i="1"/>
  <c r="A10373" i="1"/>
  <c r="C10372" i="1"/>
  <c r="B10372" i="1"/>
  <c r="A10372" i="1"/>
  <c r="C10371" i="1"/>
  <c r="B10371" i="1"/>
  <c r="A10371" i="1"/>
  <c r="C10370" i="1"/>
  <c r="B10370" i="1"/>
  <c r="A10370" i="1"/>
  <c r="C10369" i="1"/>
  <c r="B10369" i="1"/>
  <c r="A10369" i="1"/>
  <c r="C10368" i="1"/>
  <c r="B10368" i="1"/>
  <c r="A10368" i="1"/>
  <c r="C10367" i="1"/>
  <c r="B10367" i="1"/>
  <c r="A10367" i="1"/>
  <c r="C10366" i="1"/>
  <c r="B10366" i="1"/>
  <c r="A10366" i="1"/>
  <c r="C10365" i="1"/>
  <c r="B10365" i="1"/>
  <c r="A10365" i="1"/>
  <c r="C10364" i="1"/>
  <c r="B10364" i="1"/>
  <c r="A10364" i="1"/>
  <c r="C10363" i="1"/>
  <c r="B10363" i="1"/>
  <c r="A10363" i="1"/>
  <c r="C10362" i="1"/>
  <c r="B10362" i="1"/>
  <c r="A10362" i="1"/>
  <c r="C10361" i="1"/>
  <c r="B10361" i="1"/>
  <c r="A10361" i="1"/>
  <c r="C10360" i="1"/>
  <c r="B10360" i="1"/>
  <c r="A10360" i="1"/>
  <c r="C10359" i="1"/>
  <c r="B10359" i="1"/>
  <c r="A10359" i="1"/>
  <c r="C10358" i="1"/>
  <c r="B10358" i="1"/>
  <c r="A10358" i="1"/>
  <c r="C10357" i="1"/>
  <c r="B10357" i="1"/>
  <c r="A10357" i="1"/>
  <c r="C10356" i="1"/>
  <c r="B10356" i="1"/>
  <c r="A10356" i="1"/>
  <c r="C10355" i="1"/>
  <c r="B10355" i="1"/>
  <c r="A10355" i="1"/>
  <c r="C10354" i="1"/>
  <c r="B10354" i="1"/>
  <c r="A10354" i="1"/>
  <c r="C10353" i="1"/>
  <c r="B10353" i="1"/>
  <c r="A10353" i="1"/>
  <c r="C10352" i="1"/>
  <c r="B10352" i="1"/>
  <c r="A10352" i="1"/>
  <c r="C10351" i="1"/>
  <c r="B10351" i="1"/>
  <c r="A10351" i="1"/>
  <c r="C10350" i="1"/>
  <c r="B10350" i="1"/>
  <c r="A10350" i="1"/>
  <c r="C10349" i="1"/>
  <c r="B10349" i="1"/>
  <c r="A10349" i="1"/>
  <c r="C10348" i="1"/>
  <c r="B10348" i="1"/>
  <c r="A10348" i="1"/>
  <c r="C10347" i="1"/>
  <c r="B10347" i="1"/>
  <c r="A10347" i="1"/>
  <c r="C10346" i="1"/>
  <c r="B10346" i="1"/>
  <c r="A10346" i="1"/>
  <c r="C10345" i="1"/>
  <c r="B10345" i="1"/>
  <c r="A10345" i="1"/>
  <c r="C10344" i="1"/>
  <c r="B10344" i="1"/>
  <c r="A10344" i="1"/>
  <c r="C10343" i="1"/>
  <c r="B10343" i="1"/>
  <c r="A10343" i="1"/>
  <c r="C10342" i="1"/>
  <c r="B10342" i="1"/>
  <c r="A10342" i="1"/>
  <c r="C10341" i="1"/>
  <c r="B10341" i="1"/>
  <c r="A10341" i="1"/>
  <c r="C10340" i="1"/>
  <c r="B10340" i="1"/>
  <c r="A10340" i="1"/>
  <c r="C10339" i="1"/>
  <c r="B10339" i="1"/>
  <c r="A10339" i="1"/>
  <c r="C10338" i="1"/>
  <c r="B10338" i="1"/>
  <c r="A10338" i="1"/>
  <c r="C10337" i="1"/>
  <c r="B10337" i="1"/>
  <c r="A10337" i="1"/>
  <c r="C10336" i="1"/>
  <c r="B10336" i="1"/>
  <c r="A10336" i="1"/>
  <c r="C10335" i="1"/>
  <c r="B10335" i="1"/>
  <c r="A10335" i="1"/>
  <c r="C10334" i="1"/>
  <c r="B10334" i="1"/>
  <c r="A10334" i="1"/>
  <c r="C10333" i="1"/>
  <c r="B10333" i="1"/>
  <c r="A10333" i="1"/>
  <c r="C10332" i="1"/>
  <c r="B10332" i="1"/>
  <c r="A10332" i="1"/>
  <c r="C10331" i="1"/>
  <c r="B10331" i="1"/>
  <c r="A10331" i="1"/>
  <c r="C10330" i="1"/>
  <c r="B10330" i="1"/>
  <c r="A10330" i="1"/>
  <c r="C10329" i="1"/>
  <c r="B10329" i="1"/>
  <c r="A10329" i="1"/>
  <c r="C10328" i="1"/>
  <c r="B10328" i="1"/>
  <c r="A10328" i="1"/>
  <c r="C10327" i="1"/>
  <c r="B10327" i="1"/>
  <c r="A10327" i="1"/>
  <c r="C10326" i="1"/>
  <c r="B10326" i="1"/>
  <c r="A10326" i="1"/>
  <c r="C10325" i="1"/>
  <c r="B10325" i="1"/>
  <c r="A10325" i="1"/>
  <c r="C10324" i="1"/>
  <c r="B10324" i="1"/>
  <c r="A10324" i="1"/>
  <c r="C10323" i="1"/>
  <c r="B10323" i="1"/>
  <c r="A10323" i="1"/>
  <c r="C10322" i="1"/>
  <c r="B10322" i="1"/>
  <c r="A10322" i="1"/>
  <c r="C10321" i="1"/>
  <c r="B10321" i="1"/>
  <c r="A10321" i="1"/>
  <c r="C10320" i="1"/>
  <c r="B10320" i="1"/>
  <c r="A10320" i="1"/>
  <c r="C10319" i="1"/>
  <c r="B10319" i="1"/>
  <c r="A10319" i="1"/>
  <c r="C10318" i="1"/>
  <c r="B10318" i="1"/>
  <c r="A10318" i="1"/>
  <c r="C10317" i="1"/>
  <c r="B10317" i="1"/>
  <c r="A10317" i="1"/>
  <c r="C10316" i="1"/>
  <c r="B10316" i="1"/>
  <c r="A10316" i="1"/>
  <c r="C10315" i="1"/>
  <c r="B10315" i="1"/>
  <c r="A10315" i="1"/>
  <c r="C10314" i="1"/>
  <c r="B10314" i="1"/>
  <c r="A10314" i="1"/>
  <c r="C10313" i="1"/>
  <c r="B10313" i="1"/>
  <c r="A10313" i="1"/>
  <c r="C10312" i="1"/>
  <c r="B10312" i="1"/>
  <c r="A10312" i="1"/>
  <c r="C10311" i="1"/>
  <c r="B10311" i="1"/>
  <c r="A10311" i="1"/>
  <c r="C10310" i="1"/>
  <c r="B10310" i="1"/>
  <c r="A10310" i="1"/>
  <c r="C10309" i="1"/>
  <c r="B10309" i="1"/>
  <c r="A10309" i="1"/>
  <c r="C10308" i="1"/>
  <c r="B10308" i="1"/>
  <c r="A10308" i="1"/>
  <c r="C10307" i="1"/>
  <c r="B10307" i="1"/>
  <c r="A10307" i="1"/>
  <c r="C10306" i="1"/>
  <c r="B10306" i="1"/>
  <c r="A10306" i="1"/>
  <c r="C10305" i="1"/>
  <c r="B10305" i="1"/>
  <c r="A10305" i="1"/>
  <c r="C10304" i="1"/>
  <c r="B10304" i="1"/>
  <c r="A10304" i="1"/>
  <c r="C10303" i="1"/>
  <c r="B10303" i="1"/>
  <c r="A10303" i="1"/>
  <c r="C10302" i="1"/>
  <c r="B10302" i="1"/>
  <c r="A10302" i="1"/>
  <c r="C10301" i="1"/>
  <c r="B10301" i="1"/>
  <c r="A10301" i="1"/>
  <c r="C10300" i="1"/>
  <c r="B10300" i="1"/>
  <c r="A10300" i="1"/>
  <c r="C10299" i="1"/>
  <c r="B10299" i="1"/>
  <c r="A10299" i="1"/>
  <c r="C10298" i="1"/>
  <c r="B10298" i="1"/>
  <c r="A10298" i="1"/>
  <c r="C10297" i="1"/>
  <c r="B10297" i="1"/>
  <c r="A10297" i="1"/>
  <c r="C10296" i="1"/>
  <c r="B10296" i="1"/>
  <c r="A10296" i="1"/>
  <c r="C10295" i="1"/>
  <c r="B10295" i="1"/>
  <c r="A10295" i="1"/>
  <c r="C10294" i="1"/>
  <c r="B10294" i="1"/>
  <c r="A10294" i="1"/>
  <c r="C10293" i="1"/>
  <c r="B10293" i="1"/>
  <c r="A10293" i="1"/>
  <c r="C10292" i="1"/>
  <c r="B10292" i="1"/>
  <c r="A10292" i="1"/>
  <c r="C10291" i="1"/>
  <c r="B10291" i="1"/>
  <c r="A10291" i="1"/>
  <c r="C10290" i="1"/>
  <c r="B10290" i="1"/>
  <c r="A10290" i="1"/>
  <c r="C10289" i="1"/>
  <c r="B10289" i="1"/>
  <c r="A10289" i="1"/>
  <c r="C10288" i="1"/>
  <c r="B10288" i="1"/>
  <c r="A10288" i="1"/>
  <c r="C10287" i="1"/>
  <c r="B10287" i="1"/>
  <c r="A10287" i="1"/>
  <c r="C10286" i="1"/>
  <c r="B10286" i="1"/>
  <c r="A10286" i="1"/>
  <c r="C10285" i="1"/>
  <c r="B10285" i="1"/>
  <c r="A10285" i="1"/>
  <c r="C10284" i="1"/>
  <c r="B10284" i="1"/>
  <c r="A10284" i="1"/>
  <c r="C10283" i="1"/>
  <c r="B10283" i="1"/>
  <c r="A10283" i="1"/>
  <c r="C10282" i="1"/>
  <c r="B10282" i="1"/>
  <c r="A10282" i="1"/>
  <c r="C10281" i="1"/>
  <c r="B10281" i="1"/>
  <c r="A10281" i="1"/>
  <c r="C10280" i="1"/>
  <c r="B10280" i="1"/>
  <c r="A10280" i="1"/>
  <c r="C10279" i="1"/>
  <c r="B10279" i="1"/>
  <c r="A10279" i="1"/>
  <c r="C10278" i="1"/>
  <c r="B10278" i="1"/>
  <c r="A10278" i="1"/>
  <c r="C10277" i="1"/>
  <c r="B10277" i="1"/>
  <c r="A10277" i="1"/>
  <c r="C10276" i="1"/>
  <c r="B10276" i="1"/>
  <c r="A10276" i="1"/>
  <c r="C10275" i="1"/>
  <c r="B10275" i="1"/>
  <c r="A10275" i="1"/>
  <c r="C10274" i="1"/>
  <c r="B10274" i="1"/>
  <c r="A10274" i="1"/>
  <c r="C10273" i="1"/>
  <c r="B10273" i="1"/>
  <c r="A10273" i="1"/>
  <c r="C10272" i="1"/>
  <c r="B10272" i="1"/>
  <c r="A10272" i="1"/>
  <c r="C10271" i="1"/>
  <c r="B10271" i="1"/>
  <c r="A10271" i="1"/>
  <c r="C10270" i="1"/>
  <c r="B10270" i="1"/>
  <c r="A10270" i="1"/>
  <c r="C10269" i="1"/>
  <c r="B10269" i="1"/>
  <c r="A10269" i="1"/>
  <c r="C10268" i="1"/>
  <c r="B10268" i="1"/>
  <c r="A10268" i="1"/>
  <c r="C10267" i="1"/>
  <c r="B10267" i="1"/>
  <c r="A10267" i="1"/>
  <c r="C10266" i="1"/>
  <c r="B10266" i="1"/>
  <c r="A10266" i="1"/>
  <c r="C10265" i="1"/>
  <c r="B10265" i="1"/>
  <c r="A10265" i="1"/>
  <c r="C10264" i="1"/>
  <c r="B10264" i="1"/>
  <c r="A10264" i="1"/>
  <c r="C10263" i="1"/>
  <c r="B10263" i="1"/>
  <c r="A10263" i="1"/>
  <c r="C10262" i="1"/>
  <c r="B10262" i="1"/>
  <c r="A10262" i="1"/>
  <c r="C10261" i="1"/>
  <c r="B10261" i="1"/>
  <c r="A10261" i="1"/>
  <c r="C10260" i="1"/>
  <c r="B10260" i="1"/>
  <c r="A10260" i="1"/>
  <c r="C10259" i="1"/>
  <c r="B10259" i="1"/>
  <c r="A10259" i="1"/>
  <c r="C10258" i="1"/>
  <c r="B10258" i="1"/>
  <c r="A10258" i="1"/>
  <c r="C10257" i="1"/>
  <c r="B10257" i="1"/>
  <c r="A10257" i="1"/>
  <c r="C10256" i="1"/>
  <c r="B10256" i="1"/>
  <c r="A10256" i="1"/>
  <c r="C10255" i="1"/>
  <c r="B10255" i="1"/>
  <c r="A10255" i="1"/>
  <c r="C10254" i="1"/>
  <c r="B10254" i="1"/>
  <c r="A10254" i="1"/>
  <c r="C10253" i="1"/>
  <c r="B10253" i="1"/>
  <c r="A10253" i="1"/>
  <c r="C10252" i="1"/>
  <c r="B10252" i="1"/>
  <c r="A10252" i="1"/>
  <c r="C10251" i="1"/>
  <c r="B10251" i="1"/>
  <c r="A10251" i="1"/>
  <c r="C10250" i="1"/>
  <c r="B10250" i="1"/>
  <c r="A10250" i="1"/>
  <c r="C10249" i="1"/>
  <c r="B10249" i="1"/>
  <c r="A10249" i="1"/>
  <c r="C10248" i="1"/>
  <c r="B10248" i="1"/>
  <c r="A10248" i="1"/>
  <c r="C10247" i="1"/>
  <c r="B10247" i="1"/>
  <c r="A10247" i="1"/>
  <c r="C10246" i="1"/>
  <c r="B10246" i="1"/>
  <c r="A10246" i="1"/>
  <c r="C10245" i="1"/>
  <c r="B10245" i="1"/>
  <c r="A10245" i="1"/>
  <c r="C10244" i="1"/>
  <c r="B10244" i="1"/>
  <c r="A10244" i="1"/>
  <c r="C10243" i="1"/>
  <c r="B10243" i="1"/>
  <c r="A10243" i="1"/>
  <c r="C10242" i="1"/>
  <c r="B10242" i="1"/>
  <c r="A10242" i="1"/>
  <c r="C10241" i="1"/>
  <c r="B10241" i="1"/>
  <c r="A10241" i="1"/>
  <c r="C10240" i="1"/>
  <c r="B10240" i="1"/>
  <c r="A10240" i="1"/>
  <c r="C10239" i="1"/>
  <c r="B10239" i="1"/>
  <c r="A10239" i="1"/>
  <c r="C10238" i="1"/>
  <c r="B10238" i="1"/>
  <c r="A10238" i="1"/>
  <c r="C10237" i="1"/>
  <c r="B10237" i="1"/>
  <c r="A10237" i="1"/>
  <c r="C10236" i="1"/>
  <c r="B10236" i="1"/>
  <c r="A10236" i="1"/>
  <c r="C10235" i="1"/>
  <c r="B10235" i="1"/>
  <c r="A10235" i="1"/>
  <c r="C10234" i="1"/>
  <c r="B10234" i="1"/>
  <c r="A10234" i="1"/>
  <c r="C10233" i="1"/>
  <c r="B10233" i="1"/>
  <c r="A10233" i="1"/>
  <c r="C10232" i="1"/>
  <c r="B10232" i="1"/>
  <c r="A10232" i="1"/>
  <c r="C10231" i="1"/>
  <c r="B10231" i="1"/>
  <c r="A10231" i="1"/>
  <c r="C10230" i="1"/>
  <c r="B10230" i="1"/>
  <c r="A10230" i="1"/>
  <c r="C10229" i="1"/>
  <c r="B10229" i="1"/>
  <c r="A10229" i="1"/>
  <c r="C10228" i="1"/>
  <c r="B10228" i="1"/>
  <c r="A10228" i="1"/>
  <c r="C10227" i="1"/>
  <c r="B10227" i="1"/>
  <c r="A10227" i="1"/>
  <c r="C10226" i="1"/>
  <c r="B10226" i="1"/>
  <c r="A10226" i="1"/>
  <c r="C10225" i="1"/>
  <c r="B10225" i="1"/>
  <c r="A10225" i="1"/>
  <c r="C10224" i="1"/>
  <c r="B10224" i="1"/>
  <c r="A10224" i="1"/>
  <c r="C10223" i="1"/>
  <c r="B10223" i="1"/>
  <c r="A10223" i="1"/>
  <c r="C10222" i="1"/>
  <c r="B10222" i="1"/>
  <c r="A10222" i="1"/>
  <c r="C10221" i="1"/>
  <c r="B10221" i="1"/>
  <c r="A10221" i="1"/>
  <c r="C10220" i="1"/>
  <c r="B10220" i="1"/>
  <c r="A10220" i="1"/>
  <c r="C10219" i="1"/>
  <c r="B10219" i="1"/>
  <c r="A10219" i="1"/>
  <c r="C10218" i="1"/>
  <c r="B10218" i="1"/>
  <c r="A10218" i="1"/>
  <c r="C10217" i="1"/>
  <c r="B10217" i="1"/>
  <c r="A10217" i="1"/>
  <c r="C10216" i="1"/>
  <c r="B10216" i="1"/>
  <c r="A10216" i="1"/>
  <c r="C10215" i="1"/>
  <c r="B10215" i="1"/>
  <c r="A10215" i="1"/>
  <c r="C10214" i="1"/>
  <c r="B10214" i="1"/>
  <c r="A10214" i="1"/>
  <c r="C10213" i="1"/>
  <c r="B10213" i="1"/>
  <c r="A10213" i="1"/>
  <c r="C10212" i="1"/>
  <c r="B10212" i="1"/>
  <c r="A10212" i="1"/>
  <c r="C10211" i="1"/>
  <c r="B10211" i="1"/>
  <c r="A10211" i="1"/>
  <c r="C10210" i="1"/>
  <c r="B10210" i="1"/>
  <c r="A10210" i="1"/>
  <c r="C10209" i="1"/>
  <c r="B10209" i="1"/>
  <c r="A10209" i="1"/>
  <c r="C10208" i="1"/>
  <c r="B10208" i="1"/>
  <c r="A10208" i="1"/>
  <c r="C10207" i="1"/>
  <c r="B10207" i="1"/>
  <c r="A10207" i="1"/>
  <c r="C10206" i="1"/>
  <c r="B10206" i="1"/>
  <c r="A10206" i="1"/>
  <c r="C10205" i="1"/>
  <c r="B10205" i="1"/>
  <c r="A10205" i="1"/>
  <c r="C10204" i="1"/>
  <c r="B10204" i="1"/>
  <c r="A10204" i="1"/>
  <c r="C10203" i="1"/>
  <c r="B10203" i="1"/>
  <c r="A10203" i="1"/>
  <c r="C10202" i="1"/>
  <c r="B10202" i="1"/>
  <c r="A10202" i="1"/>
  <c r="C10201" i="1"/>
  <c r="B10201" i="1"/>
  <c r="A10201" i="1"/>
  <c r="C10200" i="1"/>
  <c r="B10200" i="1"/>
  <c r="A10200" i="1"/>
  <c r="C10199" i="1"/>
  <c r="B10199" i="1"/>
  <c r="A10199" i="1"/>
  <c r="C10198" i="1"/>
  <c r="B10198" i="1"/>
  <c r="A10198" i="1"/>
  <c r="C10197" i="1"/>
  <c r="B10197" i="1"/>
  <c r="A10197" i="1"/>
  <c r="C10196" i="1"/>
  <c r="B10196" i="1"/>
  <c r="A10196" i="1"/>
  <c r="C10195" i="1"/>
  <c r="B10195" i="1"/>
  <c r="A10195" i="1"/>
  <c r="C10194" i="1"/>
  <c r="B10194" i="1"/>
  <c r="A10194" i="1"/>
  <c r="C10193" i="1"/>
  <c r="B10193" i="1"/>
  <c r="A10193" i="1"/>
  <c r="C10192" i="1"/>
  <c r="B10192" i="1"/>
  <c r="A10192" i="1"/>
  <c r="C10191" i="1"/>
  <c r="B10191" i="1"/>
  <c r="A10191" i="1"/>
  <c r="C10190" i="1"/>
  <c r="B10190" i="1"/>
  <c r="A10190" i="1"/>
  <c r="C10189" i="1"/>
  <c r="B10189" i="1"/>
  <c r="A10189" i="1"/>
  <c r="C10188" i="1"/>
  <c r="B10188" i="1"/>
  <c r="A10188" i="1"/>
  <c r="C10187" i="1"/>
  <c r="B10187" i="1"/>
  <c r="A10187" i="1"/>
  <c r="C10186" i="1"/>
  <c r="B10186" i="1"/>
  <c r="A10186" i="1"/>
  <c r="C10185" i="1"/>
  <c r="B10185" i="1"/>
  <c r="A10185" i="1"/>
  <c r="C10184" i="1"/>
  <c r="B10184" i="1"/>
  <c r="A10184" i="1"/>
  <c r="C10183" i="1"/>
  <c r="B10183" i="1"/>
  <c r="A10183" i="1"/>
  <c r="C10182" i="1"/>
  <c r="B10182" i="1"/>
  <c r="A10182" i="1"/>
  <c r="C10181" i="1"/>
  <c r="B10181" i="1"/>
  <c r="A10181" i="1"/>
  <c r="C10180" i="1"/>
  <c r="B10180" i="1"/>
  <c r="A10180" i="1"/>
  <c r="C10179" i="1"/>
  <c r="B10179" i="1"/>
  <c r="A10179" i="1"/>
  <c r="C10178" i="1"/>
  <c r="B10178" i="1"/>
  <c r="A10178" i="1"/>
  <c r="C10177" i="1"/>
  <c r="B10177" i="1"/>
  <c r="A10177" i="1"/>
  <c r="C10176" i="1"/>
  <c r="B10176" i="1"/>
  <c r="A10176" i="1"/>
  <c r="C10175" i="1"/>
  <c r="B10175" i="1"/>
  <c r="A10175" i="1"/>
  <c r="C10174" i="1"/>
  <c r="B10174" i="1"/>
  <c r="A10174" i="1"/>
  <c r="C10173" i="1"/>
  <c r="B10173" i="1"/>
  <c r="A10173" i="1"/>
  <c r="C10172" i="1"/>
  <c r="B10172" i="1"/>
  <c r="A10172" i="1"/>
  <c r="C10171" i="1"/>
  <c r="B10171" i="1"/>
  <c r="A10171" i="1"/>
  <c r="C10170" i="1"/>
  <c r="B10170" i="1"/>
  <c r="A10170" i="1"/>
  <c r="C10169" i="1"/>
  <c r="B10169" i="1"/>
  <c r="A10169" i="1"/>
  <c r="C10168" i="1"/>
  <c r="B10168" i="1"/>
  <c r="A10168" i="1"/>
  <c r="C10167" i="1"/>
  <c r="B10167" i="1"/>
  <c r="A10167" i="1"/>
  <c r="C10166" i="1"/>
  <c r="B10166" i="1"/>
  <c r="A10166" i="1"/>
  <c r="C10165" i="1"/>
  <c r="B10165" i="1"/>
  <c r="A10165" i="1"/>
  <c r="C10164" i="1"/>
  <c r="B10164" i="1"/>
  <c r="A10164" i="1"/>
  <c r="C10163" i="1"/>
  <c r="B10163" i="1"/>
  <c r="A10163" i="1"/>
  <c r="C10162" i="1"/>
  <c r="B10162" i="1"/>
  <c r="A10162" i="1"/>
  <c r="C10161" i="1"/>
  <c r="B10161" i="1"/>
  <c r="A10161" i="1"/>
  <c r="C10160" i="1"/>
  <c r="B10160" i="1"/>
  <c r="A10160" i="1"/>
  <c r="C10159" i="1"/>
  <c r="B10159" i="1"/>
  <c r="A10159" i="1"/>
  <c r="C10158" i="1"/>
  <c r="B10158" i="1"/>
  <c r="A10158" i="1"/>
  <c r="C10157" i="1"/>
  <c r="B10157" i="1"/>
  <c r="A10157" i="1"/>
  <c r="C10156" i="1"/>
  <c r="B10156" i="1"/>
  <c r="A10156" i="1"/>
  <c r="C10155" i="1"/>
  <c r="B10155" i="1"/>
  <c r="A10155" i="1"/>
  <c r="C10154" i="1"/>
  <c r="B10154" i="1"/>
  <c r="A10154" i="1"/>
  <c r="C10153" i="1"/>
  <c r="B10153" i="1"/>
  <c r="A10153" i="1"/>
  <c r="C10152" i="1"/>
  <c r="B10152" i="1"/>
  <c r="A10152" i="1"/>
  <c r="C10151" i="1"/>
  <c r="B10151" i="1"/>
  <c r="A10151" i="1"/>
  <c r="C10150" i="1"/>
  <c r="B10150" i="1"/>
  <c r="A10150" i="1"/>
  <c r="C10149" i="1"/>
  <c r="B10149" i="1"/>
  <c r="A10149" i="1"/>
  <c r="C10148" i="1"/>
  <c r="B10148" i="1"/>
  <c r="A10148" i="1"/>
  <c r="C10147" i="1"/>
  <c r="B10147" i="1"/>
  <c r="A10147" i="1"/>
  <c r="C10146" i="1"/>
  <c r="B10146" i="1"/>
  <c r="A10146" i="1"/>
  <c r="C10145" i="1"/>
  <c r="B10145" i="1"/>
  <c r="A10145" i="1"/>
  <c r="C10144" i="1"/>
  <c r="B10144" i="1"/>
  <c r="A10144" i="1"/>
  <c r="C10143" i="1"/>
  <c r="B10143" i="1"/>
  <c r="A10143" i="1"/>
  <c r="C10142" i="1"/>
  <c r="B10142" i="1"/>
  <c r="A10142" i="1"/>
  <c r="C10141" i="1"/>
  <c r="B10141" i="1"/>
  <c r="A10141" i="1"/>
  <c r="C10140" i="1"/>
  <c r="B10140" i="1"/>
  <c r="A10140" i="1"/>
  <c r="C10139" i="1"/>
  <c r="B10139" i="1"/>
  <c r="A10139" i="1"/>
  <c r="C10138" i="1"/>
  <c r="B10138" i="1"/>
  <c r="A10138" i="1"/>
  <c r="C10137" i="1"/>
  <c r="B10137" i="1"/>
  <c r="A10137" i="1"/>
  <c r="C10136" i="1"/>
  <c r="B10136" i="1"/>
  <c r="A10136" i="1"/>
  <c r="C10135" i="1"/>
  <c r="B10135" i="1"/>
  <c r="A10135" i="1"/>
  <c r="C10134" i="1"/>
  <c r="B10134" i="1"/>
  <c r="A10134" i="1"/>
  <c r="C10133" i="1"/>
  <c r="B10133" i="1"/>
  <c r="A10133" i="1"/>
  <c r="C10132" i="1"/>
  <c r="B10132" i="1"/>
  <c r="A10132" i="1"/>
  <c r="C10131" i="1"/>
  <c r="B10131" i="1"/>
  <c r="A10131" i="1"/>
  <c r="C10130" i="1"/>
  <c r="B10130" i="1"/>
  <c r="A10130" i="1"/>
  <c r="C10129" i="1"/>
  <c r="B10129" i="1"/>
  <c r="A10129" i="1"/>
  <c r="C10128" i="1"/>
  <c r="B10128" i="1"/>
  <c r="A10128" i="1"/>
  <c r="C10127" i="1"/>
  <c r="B10127" i="1"/>
  <c r="A10127" i="1"/>
  <c r="C10126" i="1"/>
  <c r="B10126" i="1"/>
  <c r="A10126" i="1"/>
  <c r="C10125" i="1"/>
  <c r="B10125" i="1"/>
  <c r="A10125" i="1"/>
  <c r="C10124" i="1"/>
  <c r="B10124" i="1"/>
  <c r="A10124" i="1"/>
  <c r="C10123" i="1"/>
  <c r="B10123" i="1"/>
  <c r="A10123" i="1"/>
  <c r="C10122" i="1"/>
  <c r="B10122" i="1"/>
  <c r="A10122" i="1"/>
  <c r="C10121" i="1"/>
  <c r="B10121" i="1"/>
  <c r="A10121" i="1"/>
  <c r="C10120" i="1"/>
  <c r="B10120" i="1"/>
  <c r="A10120" i="1"/>
  <c r="C10119" i="1"/>
  <c r="B10119" i="1"/>
  <c r="A10119" i="1"/>
  <c r="C10118" i="1"/>
  <c r="B10118" i="1"/>
  <c r="A10118" i="1"/>
  <c r="C10117" i="1"/>
  <c r="B10117" i="1"/>
  <c r="A10117" i="1"/>
  <c r="C10116" i="1"/>
  <c r="B10116" i="1"/>
  <c r="A10116" i="1"/>
  <c r="C10115" i="1"/>
  <c r="B10115" i="1"/>
  <c r="A10115" i="1"/>
  <c r="C10114" i="1"/>
  <c r="B10114" i="1"/>
  <c r="A10114" i="1"/>
  <c r="C10113" i="1"/>
  <c r="B10113" i="1"/>
  <c r="A10113" i="1"/>
  <c r="C10112" i="1"/>
  <c r="B10112" i="1"/>
  <c r="A10112" i="1"/>
  <c r="C10111" i="1"/>
  <c r="B10111" i="1"/>
  <c r="A10111" i="1"/>
  <c r="C10110" i="1"/>
  <c r="B10110" i="1"/>
  <c r="A10110" i="1"/>
  <c r="C10109" i="1"/>
  <c r="B10109" i="1"/>
  <c r="A10109" i="1"/>
  <c r="C10108" i="1"/>
  <c r="B10108" i="1"/>
  <c r="A10108" i="1"/>
  <c r="C10107" i="1"/>
  <c r="B10107" i="1"/>
  <c r="A10107" i="1"/>
  <c r="C10106" i="1"/>
  <c r="B10106" i="1"/>
  <c r="A10106" i="1"/>
  <c r="C10105" i="1"/>
  <c r="B10105" i="1"/>
  <c r="A10105" i="1"/>
  <c r="C10104" i="1"/>
  <c r="B10104" i="1"/>
  <c r="A10104" i="1"/>
  <c r="C10103" i="1"/>
  <c r="B10103" i="1"/>
  <c r="A10103" i="1"/>
  <c r="C10102" i="1"/>
  <c r="B10102" i="1"/>
  <c r="A10102" i="1"/>
  <c r="C10101" i="1"/>
  <c r="B10101" i="1"/>
  <c r="A10101" i="1"/>
  <c r="C10100" i="1"/>
  <c r="B10100" i="1"/>
  <c r="A10100" i="1"/>
  <c r="C10099" i="1"/>
  <c r="B10099" i="1"/>
  <c r="A10099" i="1"/>
  <c r="C10098" i="1"/>
  <c r="B10098" i="1"/>
  <c r="A10098" i="1"/>
  <c r="C10097" i="1"/>
  <c r="B10097" i="1"/>
  <c r="A10097" i="1"/>
  <c r="C10096" i="1"/>
  <c r="B10096" i="1"/>
  <c r="A10096" i="1"/>
  <c r="C10095" i="1"/>
  <c r="B10095" i="1"/>
  <c r="A10095" i="1"/>
  <c r="C10094" i="1"/>
  <c r="B10094" i="1"/>
  <c r="A10094" i="1"/>
  <c r="C10093" i="1"/>
  <c r="B10093" i="1"/>
  <c r="A10093" i="1"/>
  <c r="C10092" i="1"/>
  <c r="B10092" i="1"/>
  <c r="A10092" i="1"/>
  <c r="C10091" i="1"/>
  <c r="B10091" i="1"/>
  <c r="A10091" i="1"/>
  <c r="C10090" i="1"/>
  <c r="B10090" i="1"/>
  <c r="A10090" i="1"/>
  <c r="C10089" i="1"/>
  <c r="B10089" i="1"/>
  <c r="A10089" i="1"/>
  <c r="C10088" i="1"/>
  <c r="B10088" i="1"/>
  <c r="A10088" i="1"/>
  <c r="C10087" i="1"/>
  <c r="B10087" i="1"/>
  <c r="A10087" i="1"/>
  <c r="C10086" i="1"/>
  <c r="B10086" i="1"/>
  <c r="A10086" i="1"/>
  <c r="C10085" i="1"/>
  <c r="B10085" i="1"/>
  <c r="A10085" i="1"/>
  <c r="C10084" i="1"/>
  <c r="B10084" i="1"/>
  <c r="A10084" i="1"/>
  <c r="C10083" i="1"/>
  <c r="B10083" i="1"/>
  <c r="A10083" i="1"/>
  <c r="C10082" i="1"/>
  <c r="B10082" i="1"/>
  <c r="A10082" i="1"/>
  <c r="C10081" i="1"/>
  <c r="B10081" i="1"/>
  <c r="A10081" i="1"/>
  <c r="C10080" i="1"/>
  <c r="B10080" i="1"/>
  <c r="A10080" i="1"/>
  <c r="C10079" i="1"/>
  <c r="B10079" i="1"/>
  <c r="A10079" i="1"/>
  <c r="C10078" i="1"/>
  <c r="B10078" i="1"/>
  <c r="A10078" i="1"/>
  <c r="C10077" i="1"/>
  <c r="B10077" i="1"/>
  <c r="A10077" i="1"/>
  <c r="C10076" i="1"/>
  <c r="B10076" i="1"/>
  <c r="A10076" i="1"/>
  <c r="C10075" i="1"/>
  <c r="B10075" i="1"/>
  <c r="A10075" i="1"/>
  <c r="C10074" i="1"/>
  <c r="B10074" i="1"/>
  <c r="A10074" i="1"/>
  <c r="C10073" i="1"/>
  <c r="B10073" i="1"/>
  <c r="A10073" i="1"/>
  <c r="C10072" i="1"/>
  <c r="B10072" i="1"/>
  <c r="A10072" i="1"/>
  <c r="C10071" i="1"/>
  <c r="B10071" i="1"/>
  <c r="A10071" i="1"/>
  <c r="C10070" i="1"/>
  <c r="B10070" i="1"/>
  <c r="A10070" i="1"/>
  <c r="C10069" i="1"/>
  <c r="B10069" i="1"/>
  <c r="A10069" i="1"/>
  <c r="C10068" i="1"/>
  <c r="B10068" i="1"/>
  <c r="A10068" i="1"/>
  <c r="C10067" i="1"/>
  <c r="B10067" i="1"/>
  <c r="A10067" i="1"/>
  <c r="C10066" i="1"/>
  <c r="B10066" i="1"/>
  <c r="A10066" i="1"/>
  <c r="C10065" i="1"/>
  <c r="B10065" i="1"/>
  <c r="A10065" i="1"/>
  <c r="C10064" i="1"/>
  <c r="B10064" i="1"/>
  <c r="A10064" i="1"/>
  <c r="C10063" i="1"/>
  <c r="B10063" i="1"/>
  <c r="A10063" i="1"/>
  <c r="C10062" i="1"/>
  <c r="B10062" i="1"/>
  <c r="A10062" i="1"/>
  <c r="C10061" i="1"/>
  <c r="B10061" i="1"/>
  <c r="A10061" i="1"/>
  <c r="C10060" i="1"/>
  <c r="B10060" i="1"/>
  <c r="A10060" i="1"/>
  <c r="C10059" i="1"/>
  <c r="B10059" i="1"/>
  <c r="A10059" i="1"/>
  <c r="C10058" i="1"/>
  <c r="B10058" i="1"/>
  <c r="A10058" i="1"/>
  <c r="C10057" i="1"/>
  <c r="B10057" i="1"/>
  <c r="A10057" i="1"/>
  <c r="C10056" i="1"/>
  <c r="B10056" i="1"/>
  <c r="A10056" i="1"/>
  <c r="C10055" i="1"/>
  <c r="B10055" i="1"/>
  <c r="A10055" i="1"/>
  <c r="C10054" i="1"/>
  <c r="B10054" i="1"/>
  <c r="A10054" i="1"/>
  <c r="C10053" i="1"/>
  <c r="B10053" i="1"/>
  <c r="A10053" i="1"/>
  <c r="C10052" i="1"/>
  <c r="B10052" i="1"/>
  <c r="A10052" i="1"/>
  <c r="C10051" i="1"/>
  <c r="B10051" i="1"/>
  <c r="A10051" i="1"/>
  <c r="C10050" i="1"/>
  <c r="B10050" i="1"/>
  <c r="A10050" i="1"/>
  <c r="C10049" i="1"/>
  <c r="B10049" i="1"/>
  <c r="A10049" i="1"/>
  <c r="C10048" i="1"/>
  <c r="B10048" i="1"/>
  <c r="A10048" i="1"/>
  <c r="C10047" i="1"/>
  <c r="B10047" i="1"/>
  <c r="A10047" i="1"/>
  <c r="C10046" i="1"/>
  <c r="B10046" i="1"/>
  <c r="A10046" i="1"/>
  <c r="C10045" i="1"/>
  <c r="B10045" i="1"/>
  <c r="A10045" i="1"/>
  <c r="C10044" i="1"/>
  <c r="B10044" i="1"/>
  <c r="A10044" i="1"/>
  <c r="C10043" i="1"/>
  <c r="B10043" i="1"/>
  <c r="A10043" i="1"/>
  <c r="C10042" i="1"/>
  <c r="B10042" i="1"/>
  <c r="A10042" i="1"/>
  <c r="C10041" i="1"/>
  <c r="B10041" i="1"/>
  <c r="A10041" i="1"/>
  <c r="C10040" i="1"/>
  <c r="B10040" i="1"/>
  <c r="A10040" i="1"/>
  <c r="C10039" i="1"/>
  <c r="B10039" i="1"/>
  <c r="A10039" i="1"/>
  <c r="C10038" i="1"/>
  <c r="B10038" i="1"/>
  <c r="A10038" i="1"/>
  <c r="C10037" i="1"/>
  <c r="B10037" i="1"/>
  <c r="A10037" i="1"/>
  <c r="C10036" i="1"/>
  <c r="B10036" i="1"/>
  <c r="A10036" i="1"/>
  <c r="C10035" i="1"/>
  <c r="B10035" i="1"/>
  <c r="A10035" i="1"/>
  <c r="C10034" i="1"/>
  <c r="B10034" i="1"/>
  <c r="A10034" i="1"/>
  <c r="C10033" i="1"/>
  <c r="B10033" i="1"/>
  <c r="A10033" i="1"/>
  <c r="C10032" i="1"/>
  <c r="B10032" i="1"/>
  <c r="A10032" i="1"/>
  <c r="C10031" i="1"/>
  <c r="B10031" i="1"/>
  <c r="A10031" i="1"/>
  <c r="C10030" i="1"/>
  <c r="B10030" i="1"/>
  <c r="A10030" i="1"/>
  <c r="C10029" i="1"/>
  <c r="B10029" i="1"/>
  <c r="A10029" i="1"/>
  <c r="C10028" i="1"/>
  <c r="B10028" i="1"/>
  <c r="A10028" i="1"/>
  <c r="C10027" i="1"/>
  <c r="B10027" i="1"/>
  <c r="A10027" i="1"/>
  <c r="C10026" i="1"/>
  <c r="B10026" i="1"/>
  <c r="A10026" i="1"/>
  <c r="C10025" i="1"/>
  <c r="B10025" i="1"/>
  <c r="A10025" i="1"/>
  <c r="C10024" i="1"/>
  <c r="B10024" i="1"/>
  <c r="A10024" i="1"/>
  <c r="C10023" i="1"/>
  <c r="B10023" i="1"/>
  <c r="A10023" i="1"/>
  <c r="C10022" i="1"/>
  <c r="B10022" i="1"/>
  <c r="A10022" i="1"/>
  <c r="C10021" i="1"/>
  <c r="B10021" i="1"/>
  <c r="A10021" i="1"/>
  <c r="C10020" i="1"/>
  <c r="B10020" i="1"/>
  <c r="A10020" i="1"/>
  <c r="C10019" i="1"/>
  <c r="B10019" i="1"/>
  <c r="A10019" i="1"/>
  <c r="C10018" i="1"/>
  <c r="B10018" i="1"/>
  <c r="A10018" i="1"/>
  <c r="C10017" i="1"/>
  <c r="B10017" i="1"/>
  <c r="A10017" i="1"/>
  <c r="C10016" i="1"/>
  <c r="B10016" i="1"/>
  <c r="A10016" i="1"/>
  <c r="C10015" i="1"/>
  <c r="B10015" i="1"/>
  <c r="A10015" i="1"/>
  <c r="C10014" i="1"/>
  <c r="B10014" i="1"/>
  <c r="A10014" i="1"/>
  <c r="C10013" i="1"/>
  <c r="B10013" i="1"/>
  <c r="A10013" i="1"/>
  <c r="C10012" i="1"/>
  <c r="B10012" i="1"/>
  <c r="A10012" i="1"/>
  <c r="C10011" i="1"/>
  <c r="B10011" i="1"/>
  <c r="A10011" i="1"/>
  <c r="C10010" i="1"/>
  <c r="B10010" i="1"/>
  <c r="A10010" i="1"/>
  <c r="C10009" i="1"/>
  <c r="B10009" i="1"/>
  <c r="A10009" i="1"/>
  <c r="C10008" i="1"/>
  <c r="B10008" i="1"/>
  <c r="A10008" i="1"/>
  <c r="C10007" i="1"/>
  <c r="B10007" i="1"/>
  <c r="A10007" i="1"/>
  <c r="C10006" i="1"/>
  <c r="B10006" i="1"/>
  <c r="A10006" i="1"/>
  <c r="C10005" i="1"/>
  <c r="B10005" i="1"/>
  <c r="A10005" i="1"/>
  <c r="C10004" i="1"/>
  <c r="B10004" i="1"/>
  <c r="A10004" i="1"/>
  <c r="C10003" i="1"/>
  <c r="B10003" i="1"/>
  <c r="A10003" i="1"/>
  <c r="C10002" i="1"/>
  <c r="B10002" i="1"/>
  <c r="A10002" i="1"/>
  <c r="C10001" i="1"/>
  <c r="B10001" i="1"/>
  <c r="A10001" i="1"/>
  <c r="C10000" i="1"/>
  <c r="B10000" i="1"/>
  <c r="A10000" i="1"/>
  <c r="C9999" i="1"/>
  <c r="B9999" i="1"/>
  <c r="A9999" i="1"/>
  <c r="C9998" i="1"/>
  <c r="B9998" i="1"/>
  <c r="A9998" i="1"/>
  <c r="C9997" i="1"/>
  <c r="B9997" i="1"/>
  <c r="A9997" i="1"/>
  <c r="C9996" i="1"/>
  <c r="B9996" i="1"/>
  <c r="A9996" i="1"/>
  <c r="C9995" i="1"/>
  <c r="B9995" i="1"/>
  <c r="A9995" i="1"/>
  <c r="C9994" i="1"/>
  <c r="B9994" i="1"/>
  <c r="A9994" i="1"/>
  <c r="C9993" i="1"/>
  <c r="B9993" i="1"/>
  <c r="A9993" i="1"/>
  <c r="C9992" i="1"/>
  <c r="B9992" i="1"/>
  <c r="A9992" i="1"/>
  <c r="C9991" i="1"/>
  <c r="B9991" i="1"/>
  <c r="A9991" i="1"/>
  <c r="C9990" i="1"/>
  <c r="B9990" i="1"/>
  <c r="A9990" i="1"/>
  <c r="C9989" i="1"/>
  <c r="B9989" i="1"/>
  <c r="A9989" i="1"/>
  <c r="C9988" i="1"/>
  <c r="B9988" i="1"/>
  <c r="A9988" i="1"/>
  <c r="C9987" i="1"/>
  <c r="B9987" i="1"/>
  <c r="A9987" i="1"/>
  <c r="C9986" i="1"/>
  <c r="B9986" i="1"/>
  <c r="A9986" i="1"/>
  <c r="C9985" i="1"/>
  <c r="B9985" i="1"/>
  <c r="A9985" i="1"/>
  <c r="C9984" i="1"/>
  <c r="B9984" i="1"/>
  <c r="A9984" i="1"/>
  <c r="C9983" i="1"/>
  <c r="B9983" i="1"/>
  <c r="A9983" i="1"/>
  <c r="C9982" i="1"/>
  <c r="B9982" i="1"/>
  <c r="A9982" i="1"/>
  <c r="C9981" i="1"/>
  <c r="B9981" i="1"/>
  <c r="A9981" i="1"/>
  <c r="C9980" i="1"/>
  <c r="B9980" i="1"/>
  <c r="A9980" i="1"/>
  <c r="C9979" i="1"/>
  <c r="B9979" i="1"/>
  <c r="A9979" i="1"/>
  <c r="C9978" i="1"/>
  <c r="B9978" i="1"/>
  <c r="A9978" i="1"/>
  <c r="C9977" i="1"/>
  <c r="B9977" i="1"/>
  <c r="A9977" i="1"/>
  <c r="C9976" i="1"/>
  <c r="B9976" i="1"/>
  <c r="A9976" i="1"/>
  <c r="C9975" i="1"/>
  <c r="B9975" i="1"/>
  <c r="A9975" i="1"/>
  <c r="C9974" i="1"/>
  <c r="B9974" i="1"/>
  <c r="A9974" i="1"/>
  <c r="C9973" i="1"/>
  <c r="B9973" i="1"/>
  <c r="A9973" i="1"/>
  <c r="C9972" i="1"/>
  <c r="B9972" i="1"/>
  <c r="A9972" i="1"/>
  <c r="C9971" i="1"/>
  <c r="B9971" i="1"/>
  <c r="A9971" i="1"/>
  <c r="C9970" i="1"/>
  <c r="B9970" i="1"/>
  <c r="A9970" i="1"/>
  <c r="C9969" i="1"/>
  <c r="B9969" i="1"/>
  <c r="A9969" i="1"/>
  <c r="C9968" i="1"/>
  <c r="B9968" i="1"/>
  <c r="A9968" i="1"/>
  <c r="C9967" i="1"/>
  <c r="B9967" i="1"/>
  <c r="A9967" i="1"/>
  <c r="C9966" i="1"/>
  <c r="B9966" i="1"/>
  <c r="A9966" i="1"/>
  <c r="C9965" i="1"/>
  <c r="B9965" i="1"/>
  <c r="A9965" i="1"/>
  <c r="C9964" i="1"/>
  <c r="B9964" i="1"/>
  <c r="A9964" i="1"/>
  <c r="C9963" i="1"/>
  <c r="B9963" i="1"/>
  <c r="A9963" i="1"/>
  <c r="C9962" i="1"/>
  <c r="B9962" i="1"/>
  <c r="A9962" i="1"/>
  <c r="C9961" i="1"/>
  <c r="B9961" i="1"/>
  <c r="A9961" i="1"/>
  <c r="C9960" i="1"/>
  <c r="B9960" i="1"/>
  <c r="A9960" i="1"/>
  <c r="C9959" i="1"/>
  <c r="B9959" i="1"/>
  <c r="A9959" i="1"/>
  <c r="C9958" i="1"/>
  <c r="B9958" i="1"/>
  <c r="A9958" i="1"/>
  <c r="C9957" i="1"/>
  <c r="B9957" i="1"/>
  <c r="A9957" i="1"/>
  <c r="C9956" i="1"/>
  <c r="B9956" i="1"/>
  <c r="A9956" i="1"/>
  <c r="C9955" i="1"/>
  <c r="B9955" i="1"/>
  <c r="A9955" i="1"/>
  <c r="C9954" i="1"/>
  <c r="B9954" i="1"/>
  <c r="A9954" i="1"/>
  <c r="C9953" i="1"/>
  <c r="B9953" i="1"/>
  <c r="A9953" i="1"/>
  <c r="C9952" i="1"/>
  <c r="B9952" i="1"/>
  <c r="A9952" i="1"/>
  <c r="C9951" i="1"/>
  <c r="B9951" i="1"/>
  <c r="A9951" i="1"/>
  <c r="C9950" i="1"/>
  <c r="B9950" i="1"/>
  <c r="A9950" i="1"/>
  <c r="C9949" i="1"/>
  <c r="B9949" i="1"/>
  <c r="A9949" i="1"/>
  <c r="C9948" i="1"/>
  <c r="B9948" i="1"/>
  <c r="A9948" i="1"/>
  <c r="C9947" i="1"/>
  <c r="B9947" i="1"/>
  <c r="A9947" i="1"/>
  <c r="C9946" i="1"/>
  <c r="B9946" i="1"/>
  <c r="A9946" i="1"/>
  <c r="C9945" i="1"/>
  <c r="B9945" i="1"/>
  <c r="A9945" i="1"/>
  <c r="C9944" i="1"/>
  <c r="B9944" i="1"/>
  <c r="A9944" i="1"/>
  <c r="C9943" i="1"/>
  <c r="B9943" i="1"/>
  <c r="A9943" i="1"/>
  <c r="C9942" i="1"/>
  <c r="B9942" i="1"/>
  <c r="A9942" i="1"/>
  <c r="C9941" i="1"/>
  <c r="B9941" i="1"/>
  <c r="A9941" i="1"/>
  <c r="C9940" i="1"/>
  <c r="B9940" i="1"/>
  <c r="A9940" i="1"/>
  <c r="C9939" i="1"/>
  <c r="B9939" i="1"/>
  <c r="A9939" i="1"/>
  <c r="C9938" i="1"/>
  <c r="B9938" i="1"/>
  <c r="A9938" i="1"/>
  <c r="C9937" i="1"/>
  <c r="B9937" i="1"/>
  <c r="A9937" i="1"/>
  <c r="C9936" i="1"/>
  <c r="B9936" i="1"/>
  <c r="A9936" i="1"/>
  <c r="C9935" i="1"/>
  <c r="B9935" i="1"/>
  <c r="A9935" i="1"/>
  <c r="C9934" i="1"/>
  <c r="B9934" i="1"/>
  <c r="A9934" i="1"/>
  <c r="C9933" i="1"/>
  <c r="B9933" i="1"/>
  <c r="A9933" i="1"/>
  <c r="C9932" i="1"/>
  <c r="B9932" i="1"/>
  <c r="A9932" i="1"/>
  <c r="C9931" i="1"/>
  <c r="B9931" i="1"/>
  <c r="A9931" i="1"/>
  <c r="C9930" i="1"/>
  <c r="B9930" i="1"/>
  <c r="A9930" i="1"/>
  <c r="C9929" i="1"/>
  <c r="B9929" i="1"/>
  <c r="A9929" i="1"/>
  <c r="C9928" i="1"/>
  <c r="B9928" i="1"/>
  <c r="A9928" i="1"/>
  <c r="C9927" i="1"/>
  <c r="B9927" i="1"/>
  <c r="A9927" i="1"/>
  <c r="C9926" i="1"/>
  <c r="B9926" i="1"/>
  <c r="A9926" i="1"/>
  <c r="C9925" i="1"/>
  <c r="B9925" i="1"/>
  <c r="A9925" i="1"/>
  <c r="C9924" i="1"/>
  <c r="B9924" i="1"/>
  <c r="A9924" i="1"/>
  <c r="C9923" i="1"/>
  <c r="B9923" i="1"/>
  <c r="A9923" i="1"/>
  <c r="C9922" i="1"/>
  <c r="B9922" i="1"/>
  <c r="A9922" i="1"/>
  <c r="C9921" i="1"/>
  <c r="B9921" i="1"/>
  <c r="A9921" i="1"/>
  <c r="C9920" i="1"/>
  <c r="B9920" i="1"/>
  <c r="A9920" i="1"/>
  <c r="C9919" i="1"/>
  <c r="B9919" i="1"/>
  <c r="A9919" i="1"/>
  <c r="C9918" i="1"/>
  <c r="B9918" i="1"/>
  <c r="A9918" i="1"/>
  <c r="C9917" i="1"/>
  <c r="B9917" i="1"/>
  <c r="A9917" i="1"/>
  <c r="C9916" i="1"/>
  <c r="B9916" i="1"/>
  <c r="A9916" i="1"/>
  <c r="C9915" i="1"/>
  <c r="B9915" i="1"/>
  <c r="A9915" i="1"/>
  <c r="C9914" i="1"/>
  <c r="B9914" i="1"/>
  <c r="A9914" i="1"/>
  <c r="C9913" i="1"/>
  <c r="B9913" i="1"/>
  <c r="A9913" i="1"/>
  <c r="C9912" i="1"/>
  <c r="B9912" i="1"/>
  <c r="A9912" i="1"/>
  <c r="C9911" i="1"/>
  <c r="B9911" i="1"/>
  <c r="A9911" i="1"/>
  <c r="C9910" i="1"/>
  <c r="B9910" i="1"/>
  <c r="A9910" i="1"/>
  <c r="C9909" i="1"/>
  <c r="B9909" i="1"/>
  <c r="A9909" i="1"/>
  <c r="C9908" i="1"/>
  <c r="B9908" i="1"/>
  <c r="A9908" i="1"/>
  <c r="C9907" i="1"/>
  <c r="B9907" i="1"/>
  <c r="A9907" i="1"/>
  <c r="C9906" i="1"/>
  <c r="B9906" i="1"/>
  <c r="A9906" i="1"/>
  <c r="C9905" i="1"/>
  <c r="B9905" i="1"/>
  <c r="A9905" i="1"/>
  <c r="C9904" i="1"/>
  <c r="B9904" i="1"/>
  <c r="A9904" i="1"/>
  <c r="C9903" i="1"/>
  <c r="B9903" i="1"/>
  <c r="A9903" i="1"/>
  <c r="C9902" i="1"/>
  <c r="B9902" i="1"/>
  <c r="A9902" i="1"/>
  <c r="C9901" i="1"/>
  <c r="B9901" i="1"/>
  <c r="A9901" i="1"/>
  <c r="C9900" i="1"/>
  <c r="B9900" i="1"/>
  <c r="A9900" i="1"/>
  <c r="C9899" i="1"/>
  <c r="B9899" i="1"/>
  <c r="A9899" i="1"/>
  <c r="C9898" i="1"/>
  <c r="B9898" i="1"/>
  <c r="A9898" i="1"/>
  <c r="C9897" i="1"/>
  <c r="B9897" i="1"/>
  <c r="A9897" i="1"/>
  <c r="C9896" i="1"/>
  <c r="B9896" i="1"/>
  <c r="A9896" i="1"/>
  <c r="C9895" i="1"/>
  <c r="B9895" i="1"/>
  <c r="A9895" i="1"/>
  <c r="C9894" i="1"/>
  <c r="B9894" i="1"/>
  <c r="A9894" i="1"/>
  <c r="C9893" i="1"/>
  <c r="B9893" i="1"/>
  <c r="A9893" i="1"/>
  <c r="C9892" i="1"/>
  <c r="B9892" i="1"/>
  <c r="A9892" i="1"/>
  <c r="C9891" i="1"/>
  <c r="B9891" i="1"/>
  <c r="A9891" i="1"/>
  <c r="C9890" i="1"/>
  <c r="B9890" i="1"/>
  <c r="A9890" i="1"/>
  <c r="C9889" i="1"/>
  <c r="B9889" i="1"/>
  <c r="A9889" i="1"/>
  <c r="C9888" i="1"/>
  <c r="B9888" i="1"/>
  <c r="A9888" i="1"/>
  <c r="C9887" i="1"/>
  <c r="B9887" i="1"/>
  <c r="A9887" i="1"/>
  <c r="C9886" i="1"/>
  <c r="B9886" i="1"/>
  <c r="A9886" i="1"/>
  <c r="C9885" i="1"/>
  <c r="B9885" i="1"/>
  <c r="A9885" i="1"/>
  <c r="C9884" i="1"/>
  <c r="B9884" i="1"/>
  <c r="A9884" i="1"/>
  <c r="C9883" i="1"/>
  <c r="B9883" i="1"/>
  <c r="A9883" i="1"/>
  <c r="C9882" i="1"/>
  <c r="B9882" i="1"/>
  <c r="A9882" i="1"/>
  <c r="C9881" i="1"/>
  <c r="B9881" i="1"/>
  <c r="A9881" i="1"/>
  <c r="C9880" i="1"/>
  <c r="B9880" i="1"/>
  <c r="A9880" i="1"/>
  <c r="C9879" i="1"/>
  <c r="B9879" i="1"/>
  <c r="A9879" i="1"/>
  <c r="C9878" i="1"/>
  <c r="B9878" i="1"/>
  <c r="A9878" i="1"/>
  <c r="C9877" i="1"/>
  <c r="B9877" i="1"/>
  <c r="A9877" i="1"/>
  <c r="C9876" i="1"/>
  <c r="B9876" i="1"/>
  <c r="A9876" i="1"/>
  <c r="C9875" i="1"/>
  <c r="B9875" i="1"/>
  <c r="A9875" i="1"/>
  <c r="C9874" i="1"/>
  <c r="B9874" i="1"/>
  <c r="A9874" i="1"/>
  <c r="C9873" i="1"/>
  <c r="B9873" i="1"/>
  <c r="A9873" i="1"/>
  <c r="C9872" i="1"/>
  <c r="B9872" i="1"/>
  <c r="A9872" i="1"/>
  <c r="C9871" i="1"/>
  <c r="B9871" i="1"/>
  <c r="A9871" i="1"/>
  <c r="C9870" i="1"/>
  <c r="B9870" i="1"/>
  <c r="A9870" i="1"/>
  <c r="C9869" i="1"/>
  <c r="B9869" i="1"/>
  <c r="A9869" i="1"/>
  <c r="C9868" i="1"/>
  <c r="B9868" i="1"/>
  <c r="A9868" i="1"/>
  <c r="C9867" i="1"/>
  <c r="B9867" i="1"/>
  <c r="A9867" i="1"/>
  <c r="C9866" i="1"/>
  <c r="B9866" i="1"/>
  <c r="A9866" i="1"/>
  <c r="C9865" i="1"/>
  <c r="B9865" i="1"/>
  <c r="A9865" i="1"/>
  <c r="C9864" i="1"/>
  <c r="B9864" i="1"/>
  <c r="A9864" i="1"/>
  <c r="C9863" i="1"/>
  <c r="B9863" i="1"/>
  <c r="A9863" i="1"/>
  <c r="C9862" i="1"/>
  <c r="B9862" i="1"/>
  <c r="A9862" i="1"/>
  <c r="C9861" i="1"/>
  <c r="B9861" i="1"/>
  <c r="A9861" i="1"/>
  <c r="C9860" i="1"/>
  <c r="B9860" i="1"/>
  <c r="A9860" i="1"/>
  <c r="C9859" i="1"/>
  <c r="B9859" i="1"/>
  <c r="A9859" i="1"/>
  <c r="C9858" i="1"/>
  <c r="B9858" i="1"/>
  <c r="A9858" i="1"/>
  <c r="C9857" i="1"/>
  <c r="B9857" i="1"/>
  <c r="A9857" i="1"/>
  <c r="C9856" i="1"/>
  <c r="B9856" i="1"/>
  <c r="A9856" i="1"/>
  <c r="C9855" i="1"/>
  <c r="B9855" i="1"/>
  <c r="A9855" i="1"/>
  <c r="C9854" i="1"/>
  <c r="B9854" i="1"/>
  <c r="A9854" i="1"/>
  <c r="C9853" i="1"/>
  <c r="B9853" i="1"/>
  <c r="A9853" i="1"/>
  <c r="C9852" i="1"/>
  <c r="B9852" i="1"/>
  <c r="A9852" i="1"/>
  <c r="C9851" i="1"/>
  <c r="B9851" i="1"/>
  <c r="A9851" i="1"/>
  <c r="C9850" i="1"/>
  <c r="B9850" i="1"/>
  <c r="A9850" i="1"/>
  <c r="C9849" i="1"/>
  <c r="B9849" i="1"/>
  <c r="A9849" i="1"/>
  <c r="C9848" i="1"/>
  <c r="B9848" i="1"/>
  <c r="A9848" i="1"/>
  <c r="C9847" i="1"/>
  <c r="B9847" i="1"/>
  <c r="A9847" i="1"/>
  <c r="C9846" i="1"/>
  <c r="B9846" i="1"/>
  <c r="A9846" i="1"/>
  <c r="C9845" i="1"/>
  <c r="B9845" i="1"/>
  <c r="A9845" i="1"/>
  <c r="C9844" i="1"/>
  <c r="B9844" i="1"/>
  <c r="A9844" i="1"/>
  <c r="C9843" i="1"/>
  <c r="B9843" i="1"/>
  <c r="A9843" i="1"/>
  <c r="C9842" i="1"/>
  <c r="B9842" i="1"/>
  <c r="A9842" i="1"/>
  <c r="C9841" i="1"/>
  <c r="B9841" i="1"/>
  <c r="A9841" i="1"/>
  <c r="C9840" i="1"/>
  <c r="B9840" i="1"/>
  <c r="A9840" i="1"/>
  <c r="C9839" i="1"/>
  <c r="B9839" i="1"/>
  <c r="A9839" i="1"/>
  <c r="C9838" i="1"/>
  <c r="B9838" i="1"/>
  <c r="A9838" i="1"/>
  <c r="C9837" i="1"/>
  <c r="B9837" i="1"/>
  <c r="A9837" i="1"/>
  <c r="C9836" i="1"/>
  <c r="B9836" i="1"/>
  <c r="A9836" i="1"/>
  <c r="C9835" i="1"/>
  <c r="B9835" i="1"/>
  <c r="A9835" i="1"/>
  <c r="C9834" i="1"/>
  <c r="B9834" i="1"/>
  <c r="A9834" i="1"/>
  <c r="C9833" i="1"/>
  <c r="B9833" i="1"/>
  <c r="A9833" i="1"/>
  <c r="C9832" i="1"/>
  <c r="B9832" i="1"/>
  <c r="A9832" i="1"/>
  <c r="C9831" i="1"/>
  <c r="B9831" i="1"/>
  <c r="A9831" i="1"/>
  <c r="C9830" i="1"/>
  <c r="B9830" i="1"/>
  <c r="A9830" i="1"/>
  <c r="C9829" i="1"/>
  <c r="B9829" i="1"/>
  <c r="A9829" i="1"/>
  <c r="C9828" i="1"/>
  <c r="B9828" i="1"/>
  <c r="A9828" i="1"/>
  <c r="C9827" i="1"/>
  <c r="B9827" i="1"/>
  <c r="A9827" i="1"/>
  <c r="C9826" i="1"/>
  <c r="B9826" i="1"/>
  <c r="A9826" i="1"/>
  <c r="C9825" i="1"/>
  <c r="B9825" i="1"/>
  <c r="A9825" i="1"/>
  <c r="C9824" i="1"/>
  <c r="B9824" i="1"/>
  <c r="A9824" i="1"/>
  <c r="C9823" i="1"/>
  <c r="B9823" i="1"/>
  <c r="A9823" i="1"/>
  <c r="C9822" i="1"/>
  <c r="B9822" i="1"/>
  <c r="A9822" i="1"/>
  <c r="C9821" i="1"/>
  <c r="B9821" i="1"/>
  <c r="A9821" i="1"/>
  <c r="C9820" i="1"/>
  <c r="B9820" i="1"/>
  <c r="A9820" i="1"/>
  <c r="C9819" i="1"/>
  <c r="B9819" i="1"/>
  <c r="A9819" i="1"/>
  <c r="C9818" i="1"/>
  <c r="B9818" i="1"/>
  <c r="A9818" i="1"/>
  <c r="C9817" i="1"/>
  <c r="B9817" i="1"/>
  <c r="A9817" i="1"/>
  <c r="C9816" i="1"/>
  <c r="B9816" i="1"/>
  <c r="A9816" i="1"/>
  <c r="C9815" i="1"/>
  <c r="B9815" i="1"/>
  <c r="A9815" i="1"/>
  <c r="C9814" i="1"/>
  <c r="B9814" i="1"/>
  <c r="A9814" i="1"/>
  <c r="C9813" i="1"/>
  <c r="B9813" i="1"/>
  <c r="A9813" i="1"/>
  <c r="C9812" i="1"/>
  <c r="B9812" i="1"/>
  <c r="A9812" i="1"/>
  <c r="C9811" i="1"/>
  <c r="B9811" i="1"/>
  <c r="A9811" i="1"/>
  <c r="C9810" i="1"/>
  <c r="B9810" i="1"/>
  <c r="A9810" i="1"/>
  <c r="C9809" i="1"/>
  <c r="B9809" i="1"/>
  <c r="A9809" i="1"/>
  <c r="C9808" i="1"/>
  <c r="B9808" i="1"/>
  <c r="A9808" i="1"/>
  <c r="C9807" i="1"/>
  <c r="B9807" i="1"/>
  <c r="A9807" i="1"/>
  <c r="C9806" i="1"/>
  <c r="B9806" i="1"/>
  <c r="A9806" i="1"/>
  <c r="C9805" i="1"/>
  <c r="B9805" i="1"/>
  <c r="A9805" i="1"/>
  <c r="C9804" i="1"/>
  <c r="B9804" i="1"/>
  <c r="A9804" i="1"/>
  <c r="C9803" i="1"/>
  <c r="B9803" i="1"/>
  <c r="A9803" i="1"/>
  <c r="C9802" i="1"/>
  <c r="B9802" i="1"/>
  <c r="A9802" i="1"/>
  <c r="C9801" i="1"/>
  <c r="B9801" i="1"/>
  <c r="A9801" i="1"/>
  <c r="C9800" i="1"/>
  <c r="B9800" i="1"/>
  <c r="A9800" i="1"/>
  <c r="C9799" i="1"/>
  <c r="B9799" i="1"/>
  <c r="A9799" i="1"/>
  <c r="C9798" i="1"/>
  <c r="B9798" i="1"/>
  <c r="A9798" i="1"/>
  <c r="C9797" i="1"/>
  <c r="B9797" i="1"/>
  <c r="A9797" i="1"/>
  <c r="C9796" i="1"/>
  <c r="B9796" i="1"/>
  <c r="A9796" i="1"/>
  <c r="C9795" i="1"/>
  <c r="B9795" i="1"/>
  <c r="A9795" i="1"/>
  <c r="C9794" i="1"/>
  <c r="B9794" i="1"/>
  <c r="A9794" i="1"/>
  <c r="C9793" i="1"/>
  <c r="B9793" i="1"/>
  <c r="A9793" i="1"/>
  <c r="C9792" i="1"/>
  <c r="B9792" i="1"/>
  <c r="A9792" i="1"/>
  <c r="C9791" i="1"/>
  <c r="B9791" i="1"/>
  <c r="A9791" i="1"/>
  <c r="C9790" i="1"/>
  <c r="B9790" i="1"/>
  <c r="A9790" i="1"/>
  <c r="C9789" i="1"/>
  <c r="B9789" i="1"/>
  <c r="A9789" i="1"/>
  <c r="C9788" i="1"/>
  <c r="B9788" i="1"/>
  <c r="A9788" i="1"/>
  <c r="C9787" i="1"/>
  <c r="B9787" i="1"/>
  <c r="A9787" i="1"/>
  <c r="C9786" i="1"/>
  <c r="B9786" i="1"/>
  <c r="A9786" i="1"/>
  <c r="C9785" i="1"/>
  <c r="B9785" i="1"/>
  <c r="A9785" i="1"/>
  <c r="C9784" i="1"/>
  <c r="B9784" i="1"/>
  <c r="A9784" i="1"/>
  <c r="C9783" i="1"/>
  <c r="B9783" i="1"/>
  <c r="A9783" i="1"/>
  <c r="C9782" i="1"/>
  <c r="B9782" i="1"/>
  <c r="A9782" i="1"/>
  <c r="C9781" i="1"/>
  <c r="B9781" i="1"/>
  <c r="A9781" i="1"/>
  <c r="C9780" i="1"/>
  <c r="B9780" i="1"/>
  <c r="A9780" i="1"/>
  <c r="C9779" i="1"/>
  <c r="B9779" i="1"/>
  <c r="A9779" i="1"/>
  <c r="C9778" i="1"/>
  <c r="B9778" i="1"/>
  <c r="A9778" i="1"/>
  <c r="C9777" i="1"/>
  <c r="B9777" i="1"/>
  <c r="A9777" i="1"/>
  <c r="C9776" i="1"/>
  <c r="B9776" i="1"/>
  <c r="A9776" i="1"/>
  <c r="C9775" i="1"/>
  <c r="B9775" i="1"/>
  <c r="A9775" i="1"/>
  <c r="C9774" i="1"/>
  <c r="B9774" i="1"/>
  <c r="A9774" i="1"/>
  <c r="C9773" i="1"/>
  <c r="B9773" i="1"/>
  <c r="A9773" i="1"/>
  <c r="C9772" i="1"/>
  <c r="B9772" i="1"/>
  <c r="A9772" i="1"/>
  <c r="C9771" i="1"/>
  <c r="B9771" i="1"/>
  <c r="A9771" i="1"/>
  <c r="C9770" i="1"/>
  <c r="B9770" i="1"/>
  <c r="A9770" i="1"/>
  <c r="C9769" i="1"/>
  <c r="B9769" i="1"/>
  <c r="A9769" i="1"/>
  <c r="C9768" i="1"/>
  <c r="B9768" i="1"/>
  <c r="A9768" i="1"/>
  <c r="C9767" i="1"/>
  <c r="B9767" i="1"/>
  <c r="A9767" i="1"/>
  <c r="C9766" i="1"/>
  <c r="B9766" i="1"/>
  <c r="A9766" i="1"/>
  <c r="C9765" i="1"/>
  <c r="B9765" i="1"/>
  <c r="A9765" i="1"/>
  <c r="C9764" i="1"/>
  <c r="B9764" i="1"/>
  <c r="A9764" i="1"/>
  <c r="C9763" i="1"/>
  <c r="B9763" i="1"/>
  <c r="A9763" i="1"/>
  <c r="C9762" i="1"/>
  <c r="B9762" i="1"/>
  <c r="A9762" i="1"/>
  <c r="C9761" i="1"/>
  <c r="B9761" i="1"/>
  <c r="A9761" i="1"/>
  <c r="C9760" i="1"/>
  <c r="B9760" i="1"/>
  <c r="A9760" i="1"/>
  <c r="C9759" i="1"/>
  <c r="B9759" i="1"/>
  <c r="A9759" i="1"/>
  <c r="C9758" i="1"/>
  <c r="B9758" i="1"/>
  <c r="A9758" i="1"/>
  <c r="C9757" i="1"/>
  <c r="B9757" i="1"/>
  <c r="A9757" i="1"/>
  <c r="C9756" i="1"/>
  <c r="B9756" i="1"/>
  <c r="A9756" i="1"/>
  <c r="C9755" i="1"/>
  <c r="B9755" i="1"/>
  <c r="A9755" i="1"/>
  <c r="C9754" i="1"/>
  <c r="B9754" i="1"/>
  <c r="A9754" i="1"/>
  <c r="C9753" i="1"/>
  <c r="B9753" i="1"/>
  <c r="A9753" i="1"/>
  <c r="C9752" i="1"/>
  <c r="B9752" i="1"/>
  <c r="A9752" i="1"/>
  <c r="C9751" i="1"/>
  <c r="B9751" i="1"/>
  <c r="A9751" i="1"/>
  <c r="C9750" i="1"/>
  <c r="B9750" i="1"/>
  <c r="A9750" i="1"/>
  <c r="C9749" i="1"/>
  <c r="B9749" i="1"/>
  <c r="A9749" i="1"/>
  <c r="C9748" i="1"/>
  <c r="B9748" i="1"/>
  <c r="A9748" i="1"/>
  <c r="C9747" i="1"/>
  <c r="B9747" i="1"/>
  <c r="A9747" i="1"/>
  <c r="C9746" i="1"/>
  <c r="B9746" i="1"/>
  <c r="A9746" i="1"/>
  <c r="C9745" i="1"/>
  <c r="B9745" i="1"/>
  <c r="A9745" i="1"/>
  <c r="C9744" i="1"/>
  <c r="B9744" i="1"/>
  <c r="A9744" i="1"/>
  <c r="C9743" i="1"/>
  <c r="B9743" i="1"/>
  <c r="A9743" i="1"/>
  <c r="C9742" i="1"/>
  <c r="B9742" i="1"/>
  <c r="A9742" i="1"/>
  <c r="C9741" i="1"/>
  <c r="B9741" i="1"/>
  <c r="A9741" i="1"/>
  <c r="C9740" i="1"/>
  <c r="B9740" i="1"/>
  <c r="A9740" i="1"/>
  <c r="C9739" i="1"/>
  <c r="B9739" i="1"/>
  <c r="A9739" i="1"/>
  <c r="C9738" i="1"/>
  <c r="B9738" i="1"/>
  <c r="A9738" i="1"/>
  <c r="C9737" i="1"/>
  <c r="B9737" i="1"/>
  <c r="A9737" i="1"/>
  <c r="C9736" i="1"/>
  <c r="B9736" i="1"/>
  <c r="A9736" i="1"/>
  <c r="C9735" i="1"/>
  <c r="B9735" i="1"/>
  <c r="A9735" i="1"/>
  <c r="C9734" i="1"/>
  <c r="B9734" i="1"/>
  <c r="A9734" i="1"/>
  <c r="C9733" i="1"/>
  <c r="B9733" i="1"/>
  <c r="A9733" i="1"/>
  <c r="C9732" i="1"/>
  <c r="B9732" i="1"/>
  <c r="A9732" i="1"/>
  <c r="C9731" i="1"/>
  <c r="B9731" i="1"/>
  <c r="A9731" i="1"/>
  <c r="C9730" i="1"/>
  <c r="B9730" i="1"/>
  <c r="A9730" i="1"/>
  <c r="C9729" i="1"/>
  <c r="B9729" i="1"/>
  <c r="A9729" i="1"/>
  <c r="C9728" i="1"/>
  <c r="B9728" i="1"/>
  <c r="A9728" i="1"/>
  <c r="C9727" i="1"/>
  <c r="B9727" i="1"/>
  <c r="A9727" i="1"/>
  <c r="C9726" i="1"/>
  <c r="B9726" i="1"/>
  <c r="A9726" i="1"/>
  <c r="C9725" i="1"/>
  <c r="B9725" i="1"/>
  <c r="A9725" i="1"/>
  <c r="C9724" i="1"/>
  <c r="B9724" i="1"/>
  <c r="A9724" i="1"/>
  <c r="C9723" i="1"/>
  <c r="B9723" i="1"/>
  <c r="A9723" i="1"/>
  <c r="C9722" i="1"/>
  <c r="B9722" i="1"/>
  <c r="A9722" i="1"/>
  <c r="C9721" i="1"/>
  <c r="B9721" i="1"/>
  <c r="A9721" i="1"/>
  <c r="C9720" i="1"/>
  <c r="B9720" i="1"/>
  <c r="A9720" i="1"/>
  <c r="C9719" i="1"/>
  <c r="B9719" i="1"/>
  <c r="A9719" i="1"/>
  <c r="C9718" i="1"/>
  <c r="B9718" i="1"/>
  <c r="A9718" i="1"/>
  <c r="C9717" i="1"/>
  <c r="B9717" i="1"/>
  <c r="A9717" i="1"/>
  <c r="C9716" i="1"/>
  <c r="B9716" i="1"/>
  <c r="A9716" i="1"/>
  <c r="C9715" i="1"/>
  <c r="B9715" i="1"/>
  <c r="A9715" i="1"/>
  <c r="C9714" i="1"/>
  <c r="B9714" i="1"/>
  <c r="A9714" i="1"/>
  <c r="C9713" i="1"/>
  <c r="B9713" i="1"/>
  <c r="A9713" i="1"/>
  <c r="C9712" i="1"/>
  <c r="B9712" i="1"/>
  <c r="A9712" i="1"/>
  <c r="C9711" i="1"/>
  <c r="B9711" i="1"/>
  <c r="A9711" i="1"/>
  <c r="C9710" i="1"/>
  <c r="B9710" i="1"/>
  <c r="A9710" i="1"/>
  <c r="C9709" i="1"/>
  <c r="B9709" i="1"/>
  <c r="A9709" i="1"/>
  <c r="C9708" i="1"/>
  <c r="B9708" i="1"/>
  <c r="A9708" i="1"/>
  <c r="C9707" i="1"/>
  <c r="B9707" i="1"/>
  <c r="A9707" i="1"/>
  <c r="C9706" i="1"/>
  <c r="B9706" i="1"/>
  <c r="A9706" i="1"/>
  <c r="C9705" i="1"/>
  <c r="B9705" i="1"/>
  <c r="A9705" i="1"/>
  <c r="C9704" i="1"/>
  <c r="B9704" i="1"/>
  <c r="A9704" i="1"/>
  <c r="C9703" i="1"/>
  <c r="B9703" i="1"/>
  <c r="A9703" i="1"/>
  <c r="C9702" i="1"/>
  <c r="B9702" i="1"/>
  <c r="A9702" i="1"/>
  <c r="C9701" i="1"/>
  <c r="B9701" i="1"/>
  <c r="A9701" i="1"/>
  <c r="C9700" i="1"/>
  <c r="B9700" i="1"/>
  <c r="A9700" i="1"/>
  <c r="C9699" i="1"/>
  <c r="B9699" i="1"/>
  <c r="A9699" i="1"/>
  <c r="C9698" i="1"/>
  <c r="B9698" i="1"/>
  <c r="A9698" i="1"/>
  <c r="C9697" i="1"/>
  <c r="B9697" i="1"/>
  <c r="A9697" i="1"/>
  <c r="C9696" i="1"/>
  <c r="B9696" i="1"/>
  <c r="A9696" i="1"/>
  <c r="C9695" i="1"/>
  <c r="B9695" i="1"/>
  <c r="A9695" i="1"/>
  <c r="C9694" i="1"/>
  <c r="B9694" i="1"/>
  <c r="A9694" i="1"/>
  <c r="C9693" i="1"/>
  <c r="B9693" i="1"/>
  <c r="A9693" i="1"/>
  <c r="C9692" i="1"/>
  <c r="B9692" i="1"/>
  <c r="A9692" i="1"/>
  <c r="C9691" i="1"/>
  <c r="B9691" i="1"/>
  <c r="A9691" i="1"/>
  <c r="C9690" i="1"/>
  <c r="B9690" i="1"/>
  <c r="A9690" i="1"/>
  <c r="C9689" i="1"/>
  <c r="B9689" i="1"/>
  <c r="A9689" i="1"/>
  <c r="C9688" i="1"/>
  <c r="B9688" i="1"/>
  <c r="A9688" i="1"/>
  <c r="C9687" i="1"/>
  <c r="B9687" i="1"/>
  <c r="A9687" i="1"/>
  <c r="C9686" i="1"/>
  <c r="B9686" i="1"/>
  <c r="A9686" i="1"/>
  <c r="C9685" i="1"/>
  <c r="B9685" i="1"/>
  <c r="A9685" i="1"/>
  <c r="C9684" i="1"/>
  <c r="B9684" i="1"/>
  <c r="A9684" i="1"/>
  <c r="C9683" i="1"/>
  <c r="B9683" i="1"/>
  <c r="A9683" i="1"/>
  <c r="C9682" i="1"/>
  <c r="B9682" i="1"/>
  <c r="A9682" i="1"/>
  <c r="C9681" i="1"/>
  <c r="B9681" i="1"/>
  <c r="A9681" i="1"/>
  <c r="C9680" i="1"/>
  <c r="B9680" i="1"/>
  <c r="A9680" i="1"/>
  <c r="C9679" i="1"/>
  <c r="B9679" i="1"/>
  <c r="A9679" i="1"/>
  <c r="C9678" i="1"/>
  <c r="B9678" i="1"/>
  <c r="A9678" i="1"/>
  <c r="C9677" i="1"/>
  <c r="B9677" i="1"/>
  <c r="A9677" i="1"/>
  <c r="C9676" i="1"/>
  <c r="B9676" i="1"/>
  <c r="A9676" i="1"/>
  <c r="C9675" i="1"/>
  <c r="B9675" i="1"/>
  <c r="A9675" i="1"/>
  <c r="C9674" i="1"/>
  <c r="B9674" i="1"/>
  <c r="A9674" i="1"/>
  <c r="C9673" i="1"/>
  <c r="B9673" i="1"/>
  <c r="A9673" i="1"/>
  <c r="C9672" i="1"/>
  <c r="B9672" i="1"/>
  <c r="A9672" i="1"/>
  <c r="C9671" i="1"/>
  <c r="B9671" i="1"/>
  <c r="A9671" i="1"/>
  <c r="C9670" i="1"/>
  <c r="B9670" i="1"/>
  <c r="A9670" i="1"/>
  <c r="C9669" i="1"/>
  <c r="B9669" i="1"/>
  <c r="A9669" i="1"/>
  <c r="C9668" i="1"/>
  <c r="B9668" i="1"/>
  <c r="A9668" i="1"/>
  <c r="C9667" i="1"/>
  <c r="B9667" i="1"/>
  <c r="A9667" i="1"/>
  <c r="C9666" i="1"/>
  <c r="B9666" i="1"/>
  <c r="A9666" i="1"/>
  <c r="C9665" i="1"/>
  <c r="B9665" i="1"/>
  <c r="A9665" i="1"/>
  <c r="C9664" i="1"/>
  <c r="B9664" i="1"/>
  <c r="A9664" i="1"/>
  <c r="C9663" i="1"/>
  <c r="B9663" i="1"/>
  <c r="A9663" i="1"/>
  <c r="C9662" i="1"/>
  <c r="B9662" i="1"/>
  <c r="A9662" i="1"/>
  <c r="C9661" i="1"/>
  <c r="B9661" i="1"/>
  <c r="A9661" i="1"/>
  <c r="C9660" i="1"/>
  <c r="B9660" i="1"/>
  <c r="A9660" i="1"/>
  <c r="C9659" i="1"/>
  <c r="B9659" i="1"/>
  <c r="A9659" i="1"/>
  <c r="C9658" i="1"/>
  <c r="B9658" i="1"/>
  <c r="A9658" i="1"/>
  <c r="C9657" i="1"/>
  <c r="B9657" i="1"/>
  <c r="A9657" i="1"/>
  <c r="C9656" i="1"/>
  <c r="B9656" i="1"/>
  <c r="A9656" i="1"/>
  <c r="C9655" i="1"/>
  <c r="B9655" i="1"/>
  <c r="A9655" i="1"/>
  <c r="C9654" i="1"/>
  <c r="B9654" i="1"/>
  <c r="A9654" i="1"/>
  <c r="C9653" i="1"/>
  <c r="B9653" i="1"/>
  <c r="A9653" i="1"/>
  <c r="C9652" i="1"/>
  <c r="B9652" i="1"/>
  <c r="A9652" i="1"/>
  <c r="C9651" i="1"/>
  <c r="B9651" i="1"/>
  <c r="A9651" i="1"/>
  <c r="C9650" i="1"/>
  <c r="B9650" i="1"/>
  <c r="A9650" i="1"/>
  <c r="C9649" i="1"/>
  <c r="B9649" i="1"/>
  <c r="A9649" i="1"/>
  <c r="C9648" i="1"/>
  <c r="B9648" i="1"/>
  <c r="A9648" i="1"/>
  <c r="C9647" i="1"/>
  <c r="B9647" i="1"/>
  <c r="A9647" i="1"/>
  <c r="C9646" i="1"/>
  <c r="B9646" i="1"/>
  <c r="A9646" i="1"/>
  <c r="C9645" i="1"/>
  <c r="B9645" i="1"/>
  <c r="A9645" i="1"/>
  <c r="C9644" i="1"/>
  <c r="B9644" i="1"/>
  <c r="A9644" i="1"/>
  <c r="C9643" i="1"/>
  <c r="B9643" i="1"/>
  <c r="A9643" i="1"/>
  <c r="C9642" i="1"/>
  <c r="B9642" i="1"/>
  <c r="A9642" i="1"/>
  <c r="C9641" i="1"/>
  <c r="B9641" i="1"/>
  <c r="A9641" i="1"/>
  <c r="C9640" i="1"/>
  <c r="B9640" i="1"/>
  <c r="A9640" i="1"/>
  <c r="C9639" i="1"/>
  <c r="B9639" i="1"/>
  <c r="A9639" i="1"/>
  <c r="C9638" i="1"/>
  <c r="B9638" i="1"/>
  <c r="A9638" i="1"/>
  <c r="C9637" i="1"/>
  <c r="B9637" i="1"/>
  <c r="A9637" i="1"/>
  <c r="C9636" i="1"/>
  <c r="B9636" i="1"/>
  <c r="A9636" i="1"/>
  <c r="C9635" i="1"/>
  <c r="B9635" i="1"/>
  <c r="A9635" i="1"/>
  <c r="C9634" i="1"/>
  <c r="B9634" i="1"/>
  <c r="A9634" i="1"/>
  <c r="C9633" i="1"/>
  <c r="B9633" i="1"/>
  <c r="A9633" i="1"/>
  <c r="C9632" i="1"/>
  <c r="B9632" i="1"/>
  <c r="A9632" i="1"/>
  <c r="C9631" i="1"/>
  <c r="B9631" i="1"/>
  <c r="A9631" i="1"/>
  <c r="C9630" i="1"/>
  <c r="B9630" i="1"/>
  <c r="A9630" i="1"/>
  <c r="C9629" i="1"/>
  <c r="B9629" i="1"/>
  <c r="A9629" i="1"/>
  <c r="C9628" i="1"/>
  <c r="B9628" i="1"/>
  <c r="A9628" i="1"/>
  <c r="C9627" i="1"/>
  <c r="B9627" i="1"/>
  <c r="A9627" i="1"/>
  <c r="C9626" i="1"/>
  <c r="B9626" i="1"/>
  <c r="A9626" i="1"/>
  <c r="C9625" i="1"/>
  <c r="B9625" i="1"/>
  <c r="A9625" i="1"/>
  <c r="C9624" i="1"/>
  <c r="B9624" i="1"/>
  <c r="A9624" i="1"/>
  <c r="C9623" i="1"/>
  <c r="B9623" i="1"/>
  <c r="A9623" i="1"/>
  <c r="C9622" i="1"/>
  <c r="B9622" i="1"/>
  <c r="A9622" i="1"/>
  <c r="C9621" i="1"/>
  <c r="B9621" i="1"/>
  <c r="A9621" i="1"/>
  <c r="C9620" i="1"/>
  <c r="B9620" i="1"/>
  <c r="A9620" i="1"/>
  <c r="C9619" i="1"/>
  <c r="B9619" i="1"/>
  <c r="A9619" i="1"/>
  <c r="C9618" i="1"/>
  <c r="B9618" i="1"/>
  <c r="A9618" i="1"/>
  <c r="C9617" i="1"/>
  <c r="B9617" i="1"/>
  <c r="A9617" i="1"/>
  <c r="C9616" i="1"/>
  <c r="B9616" i="1"/>
  <c r="A9616" i="1"/>
  <c r="C9615" i="1"/>
  <c r="B9615" i="1"/>
  <c r="A9615" i="1"/>
  <c r="C9614" i="1"/>
  <c r="B9614" i="1"/>
  <c r="A9614" i="1"/>
  <c r="C9613" i="1"/>
  <c r="B9613" i="1"/>
  <c r="A9613" i="1"/>
  <c r="C9612" i="1"/>
  <c r="B9612" i="1"/>
  <c r="A9612" i="1"/>
  <c r="C9611" i="1"/>
  <c r="B9611" i="1"/>
  <c r="A9611" i="1"/>
  <c r="C9610" i="1"/>
  <c r="B9610" i="1"/>
  <c r="A9610" i="1"/>
  <c r="C9609" i="1"/>
  <c r="B9609" i="1"/>
  <c r="A9609" i="1"/>
  <c r="C9608" i="1"/>
  <c r="B9608" i="1"/>
  <c r="A9608" i="1"/>
  <c r="C9607" i="1"/>
  <c r="B9607" i="1"/>
  <c r="A9607" i="1"/>
  <c r="C9606" i="1"/>
  <c r="B9606" i="1"/>
  <c r="A9606" i="1"/>
  <c r="C9605" i="1"/>
  <c r="B9605" i="1"/>
  <c r="A9605" i="1"/>
  <c r="C9604" i="1"/>
  <c r="B9604" i="1"/>
  <c r="A9604" i="1"/>
  <c r="C9603" i="1"/>
  <c r="B9603" i="1"/>
  <c r="A9603" i="1"/>
  <c r="C9602" i="1"/>
  <c r="B9602" i="1"/>
  <c r="A9602" i="1"/>
  <c r="C9601" i="1"/>
  <c r="B9601" i="1"/>
  <c r="A9601" i="1"/>
  <c r="C9600" i="1"/>
  <c r="B9600" i="1"/>
  <c r="A9600" i="1"/>
  <c r="C9599" i="1"/>
  <c r="B9599" i="1"/>
  <c r="A9599" i="1"/>
  <c r="C9598" i="1"/>
  <c r="B9598" i="1"/>
  <c r="A9598" i="1"/>
  <c r="C9597" i="1"/>
  <c r="B9597" i="1"/>
  <c r="A9597" i="1"/>
  <c r="C9596" i="1"/>
  <c r="B9596" i="1"/>
  <c r="A9596" i="1"/>
  <c r="C9595" i="1"/>
  <c r="B9595" i="1"/>
  <c r="A9595" i="1"/>
  <c r="C9594" i="1"/>
  <c r="B9594" i="1"/>
  <c r="A9594" i="1"/>
  <c r="C9593" i="1"/>
  <c r="B9593" i="1"/>
  <c r="A9593" i="1"/>
  <c r="C9592" i="1"/>
  <c r="B9592" i="1"/>
  <c r="A9592" i="1"/>
  <c r="C9591" i="1"/>
  <c r="B9591" i="1"/>
  <c r="A9591" i="1"/>
  <c r="C9590" i="1"/>
  <c r="B9590" i="1"/>
  <c r="A9590" i="1"/>
  <c r="C9589" i="1"/>
  <c r="B9589" i="1"/>
  <c r="A9589" i="1"/>
  <c r="C9588" i="1"/>
  <c r="B9588" i="1"/>
  <c r="A9588" i="1"/>
  <c r="C9587" i="1"/>
  <c r="B9587" i="1"/>
  <c r="A9587" i="1"/>
  <c r="C9586" i="1"/>
  <c r="B9586" i="1"/>
  <c r="A9586" i="1"/>
  <c r="C9585" i="1"/>
  <c r="B9585" i="1"/>
  <c r="A9585" i="1"/>
  <c r="C9584" i="1"/>
  <c r="B9584" i="1"/>
  <c r="A9584" i="1"/>
  <c r="C9583" i="1"/>
  <c r="B9583" i="1"/>
  <c r="A9583" i="1"/>
  <c r="C9582" i="1"/>
  <c r="B9582" i="1"/>
  <c r="A9582" i="1"/>
  <c r="C9581" i="1"/>
  <c r="B9581" i="1"/>
  <c r="A9581" i="1"/>
  <c r="C9580" i="1"/>
  <c r="B9580" i="1"/>
  <c r="A9580" i="1"/>
  <c r="C9579" i="1"/>
  <c r="B9579" i="1"/>
  <c r="A9579" i="1"/>
  <c r="C9578" i="1"/>
  <c r="B9578" i="1"/>
  <c r="A9578" i="1"/>
  <c r="C9577" i="1"/>
  <c r="B9577" i="1"/>
  <c r="A9577" i="1"/>
  <c r="C9576" i="1"/>
  <c r="B9576" i="1"/>
  <c r="A9576" i="1"/>
  <c r="C9575" i="1"/>
  <c r="B9575" i="1"/>
  <c r="A9575" i="1"/>
  <c r="C9574" i="1"/>
  <c r="B9574" i="1"/>
  <c r="A9574" i="1"/>
  <c r="C9573" i="1"/>
  <c r="B9573" i="1"/>
  <c r="A9573" i="1"/>
  <c r="C9572" i="1"/>
  <c r="B9572" i="1"/>
  <c r="A9572" i="1"/>
  <c r="C9571" i="1"/>
  <c r="B9571" i="1"/>
  <c r="A9571" i="1"/>
  <c r="C9570" i="1"/>
  <c r="B9570" i="1"/>
  <c r="A9570" i="1"/>
  <c r="C9569" i="1"/>
  <c r="B9569" i="1"/>
  <c r="A9569" i="1"/>
  <c r="C9568" i="1"/>
  <c r="B9568" i="1"/>
  <c r="A9568" i="1"/>
  <c r="C9567" i="1"/>
  <c r="B9567" i="1"/>
  <c r="A9567" i="1"/>
  <c r="C9566" i="1"/>
  <c r="B9566" i="1"/>
  <c r="A9566" i="1"/>
  <c r="C9565" i="1"/>
  <c r="B9565" i="1"/>
  <c r="A9565" i="1"/>
  <c r="C9564" i="1"/>
  <c r="B9564" i="1"/>
  <c r="A9564" i="1"/>
  <c r="C9563" i="1"/>
  <c r="B9563" i="1"/>
  <c r="A9563" i="1"/>
  <c r="C9562" i="1"/>
  <c r="B9562" i="1"/>
  <c r="A9562" i="1"/>
  <c r="C9561" i="1"/>
  <c r="B9561" i="1"/>
  <c r="A9561" i="1"/>
  <c r="C9560" i="1"/>
  <c r="B9560" i="1"/>
  <c r="A9560" i="1"/>
  <c r="C9559" i="1"/>
  <c r="B9559" i="1"/>
  <c r="A9559" i="1"/>
  <c r="C9558" i="1"/>
  <c r="B9558" i="1"/>
  <c r="A9558" i="1"/>
  <c r="C9557" i="1"/>
  <c r="B9557" i="1"/>
  <c r="A9557" i="1"/>
  <c r="C9556" i="1"/>
  <c r="B9556" i="1"/>
  <c r="A9556" i="1"/>
  <c r="C9555" i="1"/>
  <c r="B9555" i="1"/>
  <c r="A9555" i="1"/>
  <c r="C9554" i="1"/>
  <c r="B9554" i="1"/>
  <c r="A9554" i="1"/>
  <c r="C9553" i="1"/>
  <c r="B9553" i="1"/>
  <c r="A9553" i="1"/>
  <c r="C9552" i="1"/>
  <c r="B9552" i="1"/>
  <c r="A9552" i="1"/>
  <c r="C9551" i="1"/>
  <c r="B9551" i="1"/>
  <c r="A9551" i="1"/>
  <c r="C9550" i="1"/>
  <c r="B9550" i="1"/>
  <c r="A9550" i="1"/>
  <c r="C9549" i="1"/>
  <c r="B9549" i="1"/>
  <c r="A9549" i="1"/>
  <c r="C9548" i="1"/>
  <c r="B9548" i="1"/>
  <c r="A9548" i="1"/>
  <c r="C9547" i="1"/>
  <c r="B9547" i="1"/>
  <c r="A9547" i="1"/>
  <c r="C9546" i="1"/>
  <c r="B9546" i="1"/>
  <c r="A9546" i="1"/>
  <c r="C9545" i="1"/>
  <c r="B9545" i="1"/>
  <c r="A9545" i="1"/>
  <c r="C9544" i="1"/>
  <c r="B9544" i="1"/>
  <c r="A9544" i="1"/>
  <c r="C9543" i="1"/>
  <c r="B9543" i="1"/>
  <c r="A9543" i="1"/>
  <c r="C9542" i="1"/>
  <c r="B9542" i="1"/>
  <c r="A9542" i="1"/>
  <c r="C9541" i="1"/>
  <c r="B9541" i="1"/>
  <c r="A9541" i="1"/>
  <c r="C9540" i="1"/>
  <c r="B9540" i="1"/>
  <c r="A9540" i="1"/>
  <c r="C9539" i="1"/>
  <c r="B9539" i="1"/>
  <c r="A9539" i="1"/>
  <c r="C9538" i="1"/>
  <c r="B9538" i="1"/>
  <c r="A9538" i="1"/>
  <c r="C9537" i="1"/>
  <c r="B9537" i="1"/>
  <c r="A9537" i="1"/>
  <c r="C9536" i="1"/>
  <c r="B9536" i="1"/>
  <c r="A9536" i="1"/>
  <c r="C9535" i="1"/>
  <c r="B9535" i="1"/>
  <c r="A9535" i="1"/>
  <c r="C9534" i="1"/>
  <c r="B9534" i="1"/>
  <c r="A9534" i="1"/>
  <c r="C9533" i="1"/>
  <c r="B9533" i="1"/>
  <c r="A9533" i="1"/>
  <c r="C9532" i="1"/>
  <c r="B9532" i="1"/>
  <c r="A9532" i="1"/>
  <c r="C9531" i="1"/>
  <c r="B9531" i="1"/>
  <c r="A9531" i="1"/>
  <c r="C9530" i="1"/>
  <c r="B9530" i="1"/>
  <c r="A9530" i="1"/>
  <c r="C9529" i="1"/>
  <c r="B9529" i="1"/>
  <c r="A9529" i="1"/>
  <c r="C9528" i="1"/>
  <c r="B9528" i="1"/>
  <c r="A9528" i="1"/>
  <c r="C9527" i="1"/>
  <c r="B9527" i="1"/>
  <c r="A9527" i="1"/>
  <c r="C9526" i="1"/>
  <c r="B9526" i="1"/>
  <c r="A9526" i="1"/>
  <c r="C9525" i="1"/>
  <c r="B9525" i="1"/>
  <c r="A9525" i="1"/>
  <c r="C9524" i="1"/>
  <c r="B9524" i="1"/>
  <c r="A9524" i="1"/>
  <c r="C9523" i="1"/>
  <c r="B9523" i="1"/>
  <c r="A9523" i="1"/>
  <c r="C9522" i="1"/>
  <c r="B9522" i="1"/>
  <c r="A9522" i="1"/>
  <c r="C9521" i="1"/>
  <c r="B9521" i="1"/>
  <c r="A9521" i="1"/>
  <c r="C9520" i="1"/>
  <c r="B9520" i="1"/>
  <c r="A9520" i="1"/>
  <c r="C9519" i="1"/>
  <c r="B9519" i="1"/>
  <c r="A9519" i="1"/>
  <c r="C9518" i="1"/>
  <c r="B9518" i="1"/>
  <c r="A9518" i="1"/>
  <c r="C9517" i="1"/>
  <c r="B9517" i="1"/>
  <c r="A9517" i="1"/>
  <c r="C9516" i="1"/>
  <c r="B9516" i="1"/>
  <c r="A9516" i="1"/>
  <c r="C9515" i="1"/>
  <c r="B9515" i="1"/>
  <c r="A9515" i="1"/>
  <c r="C9514" i="1"/>
  <c r="B9514" i="1"/>
  <c r="A9514" i="1"/>
  <c r="C9513" i="1"/>
  <c r="B9513" i="1"/>
  <c r="A9513" i="1"/>
  <c r="C9512" i="1"/>
  <c r="B9512" i="1"/>
  <c r="A9512" i="1"/>
  <c r="C9511" i="1"/>
  <c r="B9511" i="1"/>
  <c r="A9511" i="1"/>
  <c r="C9510" i="1"/>
  <c r="B9510" i="1"/>
  <c r="A9510" i="1"/>
  <c r="C9509" i="1"/>
  <c r="B9509" i="1"/>
  <c r="A9509" i="1"/>
  <c r="C9508" i="1"/>
  <c r="B9508" i="1"/>
  <c r="A9508" i="1"/>
  <c r="C9507" i="1"/>
  <c r="B9507" i="1"/>
  <c r="A9507" i="1"/>
  <c r="C9506" i="1"/>
  <c r="B9506" i="1"/>
  <c r="A9506" i="1"/>
  <c r="C9505" i="1"/>
  <c r="B9505" i="1"/>
  <c r="A9505" i="1"/>
  <c r="C9504" i="1"/>
  <c r="B9504" i="1"/>
  <c r="A9504" i="1"/>
  <c r="C9503" i="1"/>
  <c r="B9503" i="1"/>
  <c r="A9503" i="1"/>
  <c r="C9502" i="1"/>
  <c r="B9502" i="1"/>
  <c r="A9502" i="1"/>
  <c r="C9501" i="1"/>
  <c r="B9501" i="1"/>
  <c r="A9501" i="1"/>
  <c r="C9500" i="1"/>
  <c r="B9500" i="1"/>
  <c r="A9500" i="1"/>
  <c r="C9499" i="1"/>
  <c r="B9499" i="1"/>
  <c r="A9499" i="1"/>
  <c r="C9498" i="1"/>
  <c r="B9498" i="1"/>
  <c r="A9498" i="1"/>
  <c r="C9497" i="1"/>
  <c r="B9497" i="1"/>
  <c r="A9497" i="1"/>
  <c r="C9496" i="1"/>
  <c r="B9496" i="1"/>
  <c r="A9496" i="1"/>
  <c r="C9495" i="1"/>
  <c r="B9495" i="1"/>
  <c r="A9495" i="1"/>
  <c r="C9494" i="1"/>
  <c r="B9494" i="1"/>
  <c r="A9494" i="1"/>
  <c r="C9493" i="1"/>
  <c r="B9493" i="1"/>
  <c r="A9493" i="1"/>
  <c r="C9492" i="1"/>
  <c r="B9492" i="1"/>
  <c r="A9492" i="1"/>
  <c r="C9491" i="1"/>
  <c r="B9491" i="1"/>
  <c r="A9491" i="1"/>
  <c r="C9490" i="1"/>
  <c r="B9490" i="1"/>
  <c r="A9490" i="1"/>
  <c r="C9489" i="1"/>
  <c r="B9489" i="1"/>
  <c r="A9489" i="1"/>
  <c r="C9488" i="1"/>
  <c r="B9488" i="1"/>
  <c r="A9488" i="1"/>
  <c r="C9487" i="1"/>
  <c r="B9487" i="1"/>
  <c r="A9487" i="1"/>
  <c r="C9486" i="1"/>
  <c r="B9486" i="1"/>
  <c r="A9486" i="1"/>
  <c r="C9485" i="1"/>
  <c r="B9485" i="1"/>
  <c r="A9485" i="1"/>
  <c r="C9484" i="1"/>
  <c r="B9484" i="1"/>
  <c r="A9484" i="1"/>
  <c r="C9483" i="1"/>
  <c r="B9483" i="1"/>
  <c r="A9483" i="1"/>
  <c r="C9482" i="1"/>
  <c r="B9482" i="1"/>
  <c r="A9482" i="1"/>
  <c r="C9481" i="1"/>
  <c r="B9481" i="1"/>
  <c r="A9481" i="1"/>
  <c r="C9480" i="1"/>
  <c r="B9480" i="1"/>
  <c r="A9480" i="1"/>
  <c r="C9479" i="1"/>
  <c r="B9479" i="1"/>
  <c r="A9479" i="1"/>
  <c r="C9478" i="1"/>
  <c r="B9478" i="1"/>
  <c r="A9478" i="1"/>
  <c r="C9477" i="1"/>
  <c r="B9477" i="1"/>
  <c r="A9477" i="1"/>
  <c r="C9476" i="1"/>
  <c r="B9476" i="1"/>
  <c r="A9476" i="1"/>
  <c r="C9475" i="1"/>
  <c r="B9475" i="1"/>
  <c r="A9475" i="1"/>
  <c r="C9474" i="1"/>
  <c r="B9474" i="1"/>
  <c r="A9474" i="1"/>
  <c r="C9473" i="1"/>
  <c r="B9473" i="1"/>
  <c r="A9473" i="1"/>
  <c r="C9472" i="1"/>
  <c r="B9472" i="1"/>
  <c r="A9472" i="1"/>
  <c r="C9471" i="1"/>
  <c r="B9471" i="1"/>
  <c r="A9471" i="1"/>
  <c r="C9470" i="1"/>
  <c r="B9470" i="1"/>
  <c r="A9470" i="1"/>
  <c r="C9469" i="1"/>
  <c r="B9469" i="1"/>
  <c r="A9469" i="1"/>
  <c r="C9468" i="1"/>
  <c r="B9468" i="1"/>
  <c r="A9468" i="1"/>
  <c r="C9467" i="1"/>
  <c r="B9467" i="1"/>
  <c r="A9467" i="1"/>
  <c r="C9466" i="1"/>
  <c r="B9466" i="1"/>
  <c r="A9466" i="1"/>
  <c r="C9465" i="1"/>
  <c r="B9465" i="1"/>
  <c r="A9465" i="1"/>
  <c r="C9464" i="1"/>
  <c r="B9464" i="1"/>
  <c r="A9464" i="1"/>
  <c r="C9463" i="1"/>
  <c r="B9463" i="1"/>
  <c r="A9463" i="1"/>
  <c r="C9462" i="1"/>
  <c r="B9462" i="1"/>
  <c r="A9462" i="1"/>
  <c r="C9461" i="1"/>
  <c r="B9461" i="1"/>
  <c r="A9461" i="1"/>
  <c r="C9460" i="1"/>
  <c r="B9460" i="1"/>
  <c r="A9460" i="1"/>
  <c r="C9459" i="1"/>
  <c r="B9459" i="1"/>
  <c r="A9459" i="1"/>
  <c r="C9458" i="1"/>
  <c r="B9458" i="1"/>
  <c r="A9458" i="1"/>
  <c r="C9457" i="1"/>
  <c r="B9457" i="1"/>
  <c r="A9457" i="1"/>
  <c r="C9456" i="1"/>
  <c r="B9456" i="1"/>
  <c r="A9456" i="1"/>
  <c r="C9455" i="1"/>
  <c r="B9455" i="1"/>
  <c r="A9455" i="1"/>
  <c r="C9454" i="1"/>
  <c r="B9454" i="1"/>
  <c r="A9454" i="1"/>
  <c r="C9453" i="1"/>
  <c r="B9453" i="1"/>
  <c r="A9453" i="1"/>
  <c r="C9452" i="1"/>
  <c r="B9452" i="1"/>
  <c r="A9452" i="1"/>
  <c r="C9451" i="1"/>
  <c r="B9451" i="1"/>
  <c r="A9451" i="1"/>
  <c r="C9450" i="1"/>
  <c r="B9450" i="1"/>
  <c r="A9450" i="1"/>
  <c r="C9449" i="1"/>
  <c r="B9449" i="1"/>
  <c r="A9449" i="1"/>
  <c r="C9448" i="1"/>
  <c r="B9448" i="1"/>
  <c r="A9448" i="1"/>
  <c r="C9447" i="1"/>
  <c r="B9447" i="1"/>
  <c r="A9447" i="1"/>
  <c r="C9446" i="1"/>
  <c r="B9446" i="1"/>
  <c r="A9446" i="1"/>
  <c r="C9445" i="1"/>
  <c r="B9445" i="1"/>
  <c r="A9445" i="1"/>
  <c r="C9444" i="1"/>
  <c r="B9444" i="1"/>
  <c r="A9444" i="1"/>
  <c r="C9443" i="1"/>
  <c r="B9443" i="1"/>
  <c r="A9443" i="1"/>
  <c r="C9442" i="1"/>
  <c r="B9442" i="1"/>
  <c r="A9442" i="1"/>
  <c r="C9441" i="1"/>
  <c r="B9441" i="1"/>
  <c r="A9441" i="1"/>
  <c r="C9440" i="1"/>
  <c r="B9440" i="1"/>
  <c r="A9440" i="1"/>
  <c r="C9439" i="1"/>
  <c r="B9439" i="1"/>
  <c r="A9439" i="1"/>
  <c r="C9438" i="1"/>
  <c r="B9438" i="1"/>
  <c r="A9438" i="1"/>
  <c r="C9437" i="1"/>
  <c r="B9437" i="1"/>
  <c r="A9437" i="1"/>
  <c r="C9436" i="1"/>
  <c r="B9436" i="1"/>
  <c r="A9436" i="1"/>
  <c r="C9435" i="1"/>
  <c r="B9435" i="1"/>
  <c r="A9435" i="1"/>
  <c r="C9434" i="1"/>
  <c r="B9434" i="1"/>
  <c r="A9434" i="1"/>
  <c r="C9433" i="1"/>
  <c r="B9433" i="1"/>
  <c r="A9433" i="1"/>
  <c r="C9432" i="1"/>
  <c r="B9432" i="1"/>
  <c r="A9432" i="1"/>
  <c r="C9431" i="1"/>
  <c r="B9431" i="1"/>
  <c r="A9431" i="1"/>
  <c r="C9430" i="1"/>
  <c r="B9430" i="1"/>
  <c r="A9430" i="1"/>
  <c r="C9429" i="1"/>
  <c r="B9429" i="1"/>
  <c r="A9429" i="1"/>
  <c r="C9428" i="1"/>
  <c r="B9428" i="1"/>
  <c r="A9428" i="1"/>
  <c r="C9427" i="1"/>
  <c r="B9427" i="1"/>
  <c r="A9427" i="1"/>
  <c r="C9426" i="1"/>
  <c r="B9426" i="1"/>
  <c r="A9426" i="1"/>
  <c r="C9425" i="1"/>
  <c r="B9425" i="1"/>
  <c r="A9425" i="1"/>
  <c r="C9424" i="1"/>
  <c r="B9424" i="1"/>
  <c r="A9424" i="1"/>
  <c r="C9423" i="1"/>
  <c r="B9423" i="1"/>
  <c r="A9423" i="1"/>
  <c r="C9422" i="1"/>
  <c r="B9422" i="1"/>
  <c r="A9422" i="1"/>
  <c r="C9421" i="1"/>
  <c r="B9421" i="1"/>
  <c r="A9421" i="1"/>
  <c r="C9420" i="1"/>
  <c r="B9420" i="1"/>
  <c r="A9420" i="1"/>
  <c r="C9419" i="1"/>
  <c r="B9419" i="1"/>
  <c r="A9419" i="1"/>
  <c r="C9418" i="1"/>
  <c r="B9418" i="1"/>
  <c r="A9418" i="1"/>
  <c r="C9417" i="1"/>
  <c r="B9417" i="1"/>
  <c r="A9417" i="1"/>
  <c r="C9416" i="1"/>
  <c r="B9416" i="1"/>
  <c r="A9416" i="1"/>
  <c r="C9415" i="1"/>
  <c r="B9415" i="1"/>
  <c r="A9415" i="1"/>
  <c r="C9414" i="1"/>
  <c r="B9414" i="1"/>
  <c r="A9414" i="1"/>
  <c r="C9413" i="1"/>
  <c r="B9413" i="1"/>
  <c r="A9413" i="1"/>
  <c r="C9412" i="1"/>
  <c r="B9412" i="1"/>
  <c r="A9412" i="1"/>
  <c r="C9411" i="1"/>
  <c r="B9411" i="1"/>
  <c r="A9411" i="1"/>
  <c r="C9410" i="1"/>
  <c r="B9410" i="1"/>
  <c r="A9410" i="1"/>
  <c r="C9409" i="1"/>
  <c r="B9409" i="1"/>
  <c r="A9409" i="1"/>
  <c r="C9408" i="1"/>
  <c r="B9408" i="1"/>
  <c r="A9408" i="1"/>
  <c r="C9407" i="1"/>
  <c r="B9407" i="1"/>
  <c r="A9407" i="1"/>
  <c r="C9406" i="1"/>
  <c r="B9406" i="1"/>
  <c r="A9406" i="1"/>
  <c r="C9405" i="1"/>
  <c r="B9405" i="1"/>
  <c r="A9405" i="1"/>
  <c r="C9404" i="1"/>
  <c r="B9404" i="1"/>
  <c r="A9404" i="1"/>
  <c r="C9403" i="1"/>
  <c r="B9403" i="1"/>
  <c r="A9403" i="1"/>
  <c r="C9402" i="1"/>
  <c r="B9402" i="1"/>
  <c r="A9402" i="1"/>
  <c r="C9401" i="1"/>
  <c r="B9401" i="1"/>
  <c r="A9401" i="1"/>
  <c r="C9400" i="1"/>
  <c r="B9400" i="1"/>
  <c r="A9400" i="1"/>
  <c r="C9399" i="1"/>
  <c r="B9399" i="1"/>
  <c r="A9399" i="1"/>
  <c r="C9398" i="1"/>
  <c r="B9398" i="1"/>
  <c r="A9398" i="1"/>
  <c r="C9397" i="1"/>
  <c r="B9397" i="1"/>
  <c r="A9397" i="1"/>
  <c r="C9396" i="1"/>
  <c r="B9396" i="1"/>
  <c r="A9396" i="1"/>
  <c r="C9395" i="1"/>
  <c r="B9395" i="1"/>
  <c r="A9395" i="1"/>
  <c r="C9394" i="1"/>
  <c r="B9394" i="1"/>
  <c r="A9394" i="1"/>
  <c r="C9393" i="1"/>
  <c r="B9393" i="1"/>
  <c r="A9393" i="1"/>
  <c r="C9392" i="1"/>
  <c r="B9392" i="1"/>
  <c r="A9392" i="1"/>
  <c r="C9391" i="1"/>
  <c r="B9391" i="1"/>
  <c r="A9391" i="1"/>
  <c r="C9390" i="1"/>
  <c r="B9390" i="1"/>
  <c r="A9390" i="1"/>
  <c r="C9389" i="1"/>
  <c r="B9389" i="1"/>
  <c r="A9389" i="1"/>
  <c r="C9388" i="1"/>
  <c r="B9388" i="1"/>
  <c r="A9388" i="1"/>
  <c r="C9387" i="1"/>
  <c r="B9387" i="1"/>
  <c r="A9387" i="1"/>
  <c r="C9386" i="1"/>
  <c r="B9386" i="1"/>
  <c r="A9386" i="1"/>
  <c r="C9385" i="1"/>
  <c r="B9385" i="1"/>
  <c r="A9385" i="1"/>
  <c r="C9384" i="1"/>
  <c r="B9384" i="1"/>
  <c r="A9384" i="1"/>
  <c r="C9383" i="1"/>
  <c r="B9383" i="1"/>
  <c r="A9383" i="1"/>
  <c r="C9382" i="1"/>
  <c r="B9382" i="1"/>
  <c r="A9382" i="1"/>
  <c r="C9381" i="1"/>
  <c r="B9381" i="1"/>
  <c r="A9381" i="1"/>
  <c r="C9380" i="1"/>
  <c r="B9380" i="1"/>
  <c r="A9380" i="1"/>
  <c r="C9379" i="1"/>
  <c r="B9379" i="1"/>
  <c r="A9379" i="1"/>
  <c r="C9378" i="1"/>
  <c r="B9378" i="1"/>
  <c r="A9378" i="1"/>
  <c r="C9377" i="1"/>
  <c r="B9377" i="1"/>
  <c r="A9377" i="1"/>
  <c r="C9376" i="1"/>
  <c r="B9376" i="1"/>
  <c r="A9376" i="1"/>
  <c r="C9375" i="1"/>
  <c r="B9375" i="1"/>
  <c r="A9375" i="1"/>
  <c r="C9374" i="1"/>
  <c r="B9374" i="1"/>
  <c r="A9374" i="1"/>
  <c r="C9373" i="1"/>
  <c r="B9373" i="1"/>
  <c r="A9373" i="1"/>
  <c r="C9372" i="1"/>
  <c r="B9372" i="1"/>
  <c r="A9372" i="1"/>
  <c r="C9371" i="1"/>
  <c r="B9371" i="1"/>
  <c r="A9371" i="1"/>
  <c r="C9370" i="1"/>
  <c r="B9370" i="1"/>
  <c r="A9370" i="1"/>
  <c r="C9369" i="1"/>
  <c r="B9369" i="1"/>
  <c r="A9369" i="1"/>
  <c r="C9368" i="1"/>
  <c r="B9368" i="1"/>
  <c r="A9368" i="1"/>
  <c r="C9367" i="1"/>
  <c r="B9367" i="1"/>
  <c r="A9367" i="1"/>
  <c r="C9366" i="1"/>
  <c r="B9366" i="1"/>
  <c r="A9366" i="1"/>
  <c r="C9365" i="1"/>
  <c r="B9365" i="1"/>
  <c r="A9365" i="1"/>
  <c r="C9364" i="1"/>
  <c r="B9364" i="1"/>
  <c r="A9364" i="1"/>
  <c r="C9363" i="1"/>
  <c r="B9363" i="1"/>
  <c r="A9363" i="1"/>
  <c r="C9362" i="1"/>
  <c r="B9362" i="1"/>
  <c r="A9362" i="1"/>
  <c r="C9361" i="1"/>
  <c r="B9361" i="1"/>
  <c r="A9361" i="1"/>
  <c r="C9360" i="1"/>
  <c r="B9360" i="1"/>
  <c r="A9360" i="1"/>
  <c r="C9359" i="1"/>
  <c r="B9359" i="1"/>
  <c r="A9359" i="1"/>
  <c r="C9358" i="1"/>
  <c r="B9358" i="1"/>
  <c r="A9358" i="1"/>
  <c r="C9357" i="1"/>
  <c r="B9357" i="1"/>
  <c r="A9357" i="1"/>
  <c r="C9356" i="1"/>
  <c r="B9356" i="1"/>
  <c r="A9356" i="1"/>
  <c r="C9355" i="1"/>
  <c r="B9355" i="1"/>
  <c r="A9355" i="1"/>
  <c r="C9354" i="1"/>
  <c r="B9354" i="1"/>
  <c r="A9354" i="1"/>
  <c r="C9353" i="1"/>
  <c r="B9353" i="1"/>
  <c r="A9353" i="1"/>
  <c r="C9352" i="1"/>
  <c r="B9352" i="1"/>
  <c r="A9352" i="1"/>
  <c r="C9351" i="1"/>
  <c r="B9351" i="1"/>
  <c r="A9351" i="1"/>
  <c r="C9350" i="1"/>
  <c r="B9350" i="1"/>
  <c r="A9350" i="1"/>
  <c r="C9349" i="1"/>
  <c r="B9349" i="1"/>
  <c r="A9349" i="1"/>
  <c r="C9348" i="1"/>
  <c r="B9348" i="1"/>
  <c r="A9348" i="1"/>
  <c r="C9347" i="1"/>
  <c r="B9347" i="1"/>
  <c r="A9347" i="1"/>
  <c r="C9346" i="1"/>
  <c r="B9346" i="1"/>
  <c r="A9346" i="1"/>
  <c r="C9345" i="1"/>
  <c r="B9345" i="1"/>
  <c r="A9345" i="1"/>
  <c r="C9344" i="1"/>
  <c r="B9344" i="1"/>
  <c r="A9344" i="1"/>
  <c r="C9343" i="1"/>
  <c r="B9343" i="1"/>
  <c r="A9343" i="1"/>
  <c r="C9342" i="1"/>
  <c r="B9342" i="1"/>
  <c r="A9342" i="1"/>
  <c r="C9341" i="1"/>
  <c r="B9341" i="1"/>
  <c r="A9341" i="1"/>
  <c r="C9340" i="1"/>
  <c r="B9340" i="1"/>
  <c r="A9340" i="1"/>
  <c r="C9339" i="1"/>
  <c r="B9339" i="1"/>
  <c r="A9339" i="1"/>
  <c r="C9338" i="1"/>
  <c r="B9338" i="1"/>
  <c r="A9338" i="1"/>
  <c r="C9337" i="1"/>
  <c r="B9337" i="1"/>
  <c r="A9337" i="1"/>
  <c r="C9336" i="1"/>
  <c r="B9336" i="1"/>
  <c r="A9336" i="1"/>
  <c r="C9335" i="1"/>
  <c r="B9335" i="1"/>
  <c r="A9335" i="1"/>
  <c r="C9334" i="1"/>
  <c r="B9334" i="1"/>
  <c r="A9334" i="1"/>
  <c r="C9333" i="1"/>
  <c r="B9333" i="1"/>
  <c r="A9333" i="1"/>
  <c r="C9332" i="1"/>
  <c r="B9332" i="1"/>
  <c r="A9332" i="1"/>
  <c r="C9331" i="1"/>
  <c r="B9331" i="1"/>
  <c r="A9331" i="1"/>
  <c r="C9330" i="1"/>
  <c r="B9330" i="1"/>
  <c r="A9330" i="1"/>
  <c r="C9329" i="1"/>
  <c r="B9329" i="1"/>
  <c r="A9329" i="1"/>
  <c r="C9328" i="1"/>
  <c r="B9328" i="1"/>
  <c r="A9328" i="1"/>
  <c r="C9327" i="1"/>
  <c r="B9327" i="1"/>
  <c r="A9327" i="1"/>
  <c r="C9326" i="1"/>
  <c r="B9326" i="1"/>
  <c r="A9326" i="1"/>
  <c r="C9325" i="1"/>
  <c r="B9325" i="1"/>
  <c r="A9325" i="1"/>
  <c r="C9324" i="1"/>
  <c r="B9324" i="1"/>
  <c r="A9324" i="1"/>
  <c r="C9323" i="1"/>
  <c r="B9323" i="1"/>
  <c r="A9323" i="1"/>
  <c r="C9322" i="1"/>
  <c r="B9322" i="1"/>
  <c r="A9322" i="1"/>
  <c r="C9321" i="1"/>
  <c r="B9321" i="1"/>
  <c r="A9321" i="1"/>
  <c r="C9320" i="1"/>
  <c r="B9320" i="1"/>
  <c r="A9320" i="1"/>
  <c r="C9319" i="1"/>
  <c r="B9319" i="1"/>
  <c r="A9319" i="1"/>
  <c r="C9318" i="1"/>
  <c r="B9318" i="1"/>
  <c r="A9318" i="1"/>
  <c r="C9317" i="1"/>
  <c r="B9317" i="1"/>
  <c r="A9317" i="1"/>
  <c r="C9316" i="1"/>
  <c r="B9316" i="1"/>
  <c r="A9316" i="1"/>
  <c r="C9315" i="1"/>
  <c r="B9315" i="1"/>
  <c r="A9315" i="1"/>
  <c r="C9314" i="1"/>
  <c r="B9314" i="1"/>
  <c r="A9314" i="1"/>
  <c r="C9313" i="1"/>
  <c r="B9313" i="1"/>
  <c r="A9313" i="1"/>
  <c r="C9312" i="1"/>
  <c r="B9312" i="1"/>
  <c r="A9312" i="1"/>
  <c r="C9311" i="1"/>
  <c r="B9311" i="1"/>
  <c r="A9311" i="1"/>
  <c r="C9310" i="1"/>
  <c r="B9310" i="1"/>
  <c r="A9310" i="1"/>
  <c r="C9309" i="1"/>
  <c r="B9309" i="1"/>
  <c r="A9309" i="1"/>
  <c r="C9308" i="1"/>
  <c r="B9308" i="1"/>
  <c r="A9308" i="1"/>
  <c r="C9307" i="1"/>
  <c r="B9307" i="1"/>
  <c r="A9307" i="1"/>
  <c r="C9306" i="1"/>
  <c r="B9306" i="1"/>
  <c r="A9306" i="1"/>
  <c r="C9305" i="1"/>
  <c r="B9305" i="1"/>
  <c r="A9305" i="1"/>
  <c r="C9304" i="1"/>
  <c r="B9304" i="1"/>
  <c r="A9304" i="1"/>
  <c r="C9303" i="1"/>
  <c r="B9303" i="1"/>
  <c r="A9303" i="1"/>
  <c r="C9302" i="1"/>
  <c r="B9302" i="1"/>
  <c r="A9302" i="1"/>
  <c r="C9301" i="1"/>
  <c r="B9301" i="1"/>
  <c r="A9301" i="1"/>
  <c r="C9300" i="1"/>
  <c r="B9300" i="1"/>
  <c r="A9300" i="1"/>
  <c r="C9299" i="1"/>
  <c r="B9299" i="1"/>
  <c r="A9299" i="1"/>
  <c r="C9298" i="1"/>
  <c r="B9298" i="1"/>
  <c r="A9298" i="1"/>
  <c r="C9297" i="1"/>
  <c r="B9297" i="1"/>
  <c r="A9297" i="1"/>
  <c r="C9296" i="1"/>
  <c r="B9296" i="1"/>
  <c r="A9296" i="1"/>
  <c r="C9295" i="1"/>
  <c r="B9295" i="1"/>
  <c r="A9295" i="1"/>
  <c r="C9294" i="1"/>
  <c r="B9294" i="1"/>
  <c r="A9294" i="1"/>
  <c r="C9293" i="1"/>
  <c r="B9293" i="1"/>
  <c r="A9293" i="1"/>
  <c r="C9292" i="1"/>
  <c r="B9292" i="1"/>
  <c r="A9292" i="1"/>
  <c r="C9291" i="1"/>
  <c r="B9291" i="1"/>
  <c r="A9291" i="1"/>
  <c r="C9290" i="1"/>
  <c r="B9290" i="1"/>
  <c r="A9290" i="1"/>
  <c r="C9289" i="1"/>
  <c r="B9289" i="1"/>
  <c r="A9289" i="1"/>
  <c r="C9288" i="1"/>
  <c r="B9288" i="1"/>
  <c r="A9288" i="1"/>
  <c r="C9287" i="1"/>
  <c r="B9287" i="1"/>
  <c r="A9287" i="1"/>
  <c r="C9286" i="1"/>
  <c r="B9286" i="1"/>
  <c r="A9286" i="1"/>
  <c r="C9285" i="1"/>
  <c r="B9285" i="1"/>
  <c r="A9285" i="1"/>
  <c r="C9284" i="1"/>
  <c r="B9284" i="1"/>
  <c r="A9284" i="1"/>
  <c r="C9283" i="1"/>
  <c r="B9283" i="1"/>
  <c r="A9283" i="1"/>
  <c r="C9282" i="1"/>
  <c r="B9282" i="1"/>
  <c r="A9282" i="1"/>
  <c r="C9281" i="1"/>
  <c r="B9281" i="1"/>
  <c r="A9281" i="1"/>
  <c r="C9280" i="1"/>
  <c r="B9280" i="1"/>
  <c r="A9280" i="1"/>
  <c r="C9279" i="1"/>
  <c r="B9279" i="1"/>
  <c r="A9279" i="1"/>
  <c r="C9278" i="1"/>
  <c r="B9278" i="1"/>
  <c r="A9278" i="1"/>
  <c r="C9277" i="1"/>
  <c r="B9277" i="1"/>
  <c r="A9277" i="1"/>
  <c r="C9276" i="1"/>
  <c r="B9276" i="1"/>
  <c r="A9276" i="1"/>
  <c r="C9275" i="1"/>
  <c r="B9275" i="1"/>
  <c r="A9275" i="1"/>
  <c r="C9274" i="1"/>
  <c r="B9274" i="1"/>
  <c r="A9274" i="1"/>
  <c r="C9273" i="1"/>
  <c r="B9273" i="1"/>
  <c r="A9273" i="1"/>
  <c r="C9272" i="1"/>
  <c r="B9272" i="1"/>
  <c r="A9272" i="1"/>
  <c r="C9271" i="1"/>
  <c r="B9271" i="1"/>
  <c r="A9271" i="1"/>
  <c r="C9270" i="1"/>
  <c r="B9270" i="1"/>
  <c r="A9270" i="1"/>
  <c r="C9269" i="1"/>
  <c r="B9269" i="1"/>
  <c r="A9269" i="1"/>
  <c r="C9268" i="1"/>
  <c r="B9268" i="1"/>
  <c r="A9268" i="1"/>
  <c r="C9267" i="1"/>
  <c r="B9267" i="1"/>
  <c r="A9267" i="1"/>
  <c r="C9266" i="1"/>
  <c r="B9266" i="1"/>
  <c r="A9266" i="1"/>
  <c r="C9265" i="1"/>
  <c r="B9265" i="1"/>
  <c r="A9265" i="1"/>
  <c r="C9264" i="1"/>
  <c r="B9264" i="1"/>
  <c r="A9264" i="1"/>
  <c r="C9263" i="1"/>
  <c r="B9263" i="1"/>
  <c r="A9263" i="1"/>
  <c r="C9262" i="1"/>
  <c r="B9262" i="1"/>
  <c r="A9262" i="1"/>
  <c r="C9261" i="1"/>
  <c r="B9261" i="1"/>
  <c r="A9261" i="1"/>
  <c r="C9260" i="1"/>
  <c r="B9260" i="1"/>
  <c r="A9260" i="1"/>
  <c r="C9259" i="1"/>
  <c r="B9259" i="1"/>
  <c r="A9259" i="1"/>
  <c r="C9258" i="1"/>
  <c r="B9258" i="1"/>
  <c r="A9258" i="1"/>
  <c r="C9257" i="1"/>
  <c r="B9257" i="1"/>
  <c r="A9257" i="1"/>
  <c r="C9256" i="1"/>
  <c r="B9256" i="1"/>
  <c r="A9256" i="1"/>
  <c r="C9255" i="1"/>
  <c r="B9255" i="1"/>
  <c r="A9255" i="1"/>
  <c r="C9254" i="1"/>
  <c r="B9254" i="1"/>
  <c r="A9254" i="1"/>
  <c r="C9253" i="1"/>
  <c r="B9253" i="1"/>
  <c r="A9253" i="1"/>
  <c r="C9252" i="1"/>
  <c r="B9252" i="1"/>
  <c r="A9252" i="1"/>
  <c r="C9251" i="1"/>
  <c r="B9251" i="1"/>
  <c r="A9251" i="1"/>
  <c r="C9250" i="1"/>
  <c r="B9250" i="1"/>
  <c r="A9250" i="1"/>
  <c r="C9249" i="1"/>
  <c r="B9249" i="1"/>
  <c r="A9249" i="1"/>
  <c r="C9248" i="1"/>
  <c r="B9248" i="1"/>
  <c r="A9248" i="1"/>
  <c r="C9247" i="1"/>
  <c r="B9247" i="1"/>
  <c r="A9247" i="1"/>
  <c r="C9246" i="1"/>
  <c r="B9246" i="1"/>
  <c r="A9246" i="1"/>
  <c r="C9245" i="1"/>
  <c r="B9245" i="1"/>
  <c r="A9245" i="1"/>
  <c r="C9244" i="1"/>
  <c r="B9244" i="1"/>
  <c r="A9244" i="1"/>
  <c r="C9243" i="1"/>
  <c r="B9243" i="1"/>
  <c r="A9243" i="1"/>
  <c r="C9242" i="1"/>
  <c r="B9242" i="1"/>
  <c r="A9242" i="1"/>
  <c r="C9241" i="1"/>
  <c r="B9241" i="1"/>
  <c r="A9241" i="1"/>
  <c r="C9240" i="1"/>
  <c r="B9240" i="1"/>
  <c r="A9240" i="1"/>
  <c r="C9239" i="1"/>
  <c r="B9239" i="1"/>
  <c r="A9239" i="1"/>
  <c r="C9238" i="1"/>
  <c r="B9238" i="1"/>
  <c r="A9238" i="1"/>
  <c r="C9237" i="1"/>
  <c r="B9237" i="1"/>
  <c r="A9237" i="1"/>
  <c r="C9236" i="1"/>
  <c r="B9236" i="1"/>
  <c r="A9236" i="1"/>
  <c r="C9235" i="1"/>
  <c r="B9235" i="1"/>
  <c r="A9235" i="1"/>
  <c r="C9234" i="1"/>
  <c r="B9234" i="1"/>
  <c r="A9234" i="1"/>
  <c r="C9233" i="1"/>
  <c r="B9233" i="1"/>
  <c r="A9233" i="1"/>
  <c r="C9232" i="1"/>
  <c r="B9232" i="1"/>
  <c r="A9232" i="1"/>
  <c r="C9231" i="1"/>
  <c r="B9231" i="1"/>
  <c r="A9231" i="1"/>
  <c r="C9230" i="1"/>
  <c r="B9230" i="1"/>
  <c r="A9230" i="1"/>
  <c r="C9229" i="1"/>
  <c r="B9229" i="1"/>
  <c r="A9229" i="1"/>
  <c r="C9228" i="1"/>
  <c r="B9228" i="1"/>
  <c r="A9228" i="1"/>
  <c r="C9227" i="1"/>
  <c r="B9227" i="1"/>
  <c r="A9227" i="1"/>
  <c r="C9226" i="1"/>
  <c r="B9226" i="1"/>
  <c r="A9226" i="1"/>
  <c r="C9225" i="1"/>
  <c r="B9225" i="1"/>
  <c r="A9225" i="1"/>
  <c r="C9224" i="1"/>
  <c r="B9224" i="1"/>
  <c r="A9224" i="1"/>
  <c r="C9223" i="1"/>
  <c r="B9223" i="1"/>
  <c r="A9223" i="1"/>
  <c r="C9222" i="1"/>
  <c r="B9222" i="1"/>
  <c r="A9222" i="1"/>
  <c r="C9221" i="1"/>
  <c r="B9221" i="1"/>
  <c r="A9221" i="1"/>
  <c r="C9220" i="1"/>
  <c r="B9220" i="1"/>
  <c r="A9220" i="1"/>
  <c r="C9219" i="1"/>
  <c r="B9219" i="1"/>
  <c r="A9219" i="1"/>
  <c r="C9218" i="1"/>
  <c r="B9218" i="1"/>
  <c r="A9218" i="1"/>
  <c r="C9217" i="1"/>
  <c r="B9217" i="1"/>
  <c r="A9217" i="1"/>
  <c r="C9216" i="1"/>
  <c r="B9216" i="1"/>
  <c r="A9216" i="1"/>
  <c r="C9215" i="1"/>
  <c r="B9215" i="1"/>
  <c r="A9215" i="1"/>
  <c r="C9214" i="1"/>
  <c r="B9214" i="1"/>
  <c r="A9214" i="1"/>
  <c r="C9213" i="1"/>
  <c r="B9213" i="1"/>
  <c r="A9213" i="1"/>
  <c r="C9212" i="1"/>
  <c r="B9212" i="1"/>
  <c r="A9212" i="1"/>
  <c r="C9211" i="1"/>
  <c r="B9211" i="1"/>
  <c r="A9211" i="1"/>
  <c r="C9210" i="1"/>
  <c r="B9210" i="1"/>
  <c r="A9210" i="1"/>
  <c r="C9209" i="1"/>
  <c r="B9209" i="1"/>
  <c r="A9209" i="1"/>
  <c r="C9208" i="1"/>
  <c r="B9208" i="1"/>
  <c r="A9208" i="1"/>
  <c r="C9207" i="1"/>
  <c r="B9207" i="1"/>
  <c r="A9207" i="1"/>
  <c r="C9206" i="1"/>
  <c r="B9206" i="1"/>
  <c r="A9206" i="1"/>
  <c r="C9205" i="1"/>
  <c r="B9205" i="1"/>
  <c r="A9205" i="1"/>
  <c r="C9204" i="1"/>
  <c r="B9204" i="1"/>
  <c r="A9204" i="1"/>
  <c r="C9203" i="1"/>
  <c r="B9203" i="1"/>
  <c r="A9203" i="1"/>
  <c r="C9202" i="1"/>
  <c r="B9202" i="1"/>
  <c r="A9202" i="1"/>
  <c r="C9201" i="1"/>
  <c r="B9201" i="1"/>
  <c r="A9201" i="1"/>
  <c r="C9200" i="1"/>
  <c r="B9200" i="1"/>
  <c r="A9200" i="1"/>
  <c r="C9199" i="1"/>
  <c r="B9199" i="1"/>
  <c r="A9199" i="1"/>
  <c r="C9198" i="1"/>
  <c r="B9198" i="1"/>
  <c r="A9198" i="1"/>
  <c r="C9197" i="1"/>
  <c r="B9197" i="1"/>
  <c r="A9197" i="1"/>
  <c r="C9196" i="1"/>
  <c r="B9196" i="1"/>
  <c r="A9196" i="1"/>
  <c r="C9195" i="1"/>
  <c r="B9195" i="1"/>
  <c r="A9195" i="1"/>
  <c r="C9194" i="1"/>
  <c r="B9194" i="1"/>
  <c r="A9194" i="1"/>
  <c r="C9193" i="1"/>
  <c r="B9193" i="1"/>
  <c r="A9193" i="1"/>
  <c r="C9192" i="1"/>
  <c r="B9192" i="1"/>
  <c r="A9192" i="1"/>
  <c r="C9191" i="1"/>
  <c r="B9191" i="1"/>
  <c r="A9191" i="1"/>
  <c r="C9190" i="1"/>
  <c r="B9190" i="1"/>
  <c r="A9190" i="1"/>
  <c r="C9189" i="1"/>
  <c r="B9189" i="1"/>
  <c r="A9189" i="1"/>
  <c r="C9188" i="1"/>
  <c r="B9188" i="1"/>
  <c r="A9188" i="1"/>
  <c r="C9187" i="1"/>
  <c r="B9187" i="1"/>
  <c r="A9187" i="1"/>
  <c r="C9186" i="1"/>
  <c r="B9186" i="1"/>
  <c r="A9186" i="1"/>
  <c r="C9185" i="1"/>
  <c r="B9185" i="1"/>
  <c r="A9185" i="1"/>
  <c r="C9184" i="1"/>
  <c r="B9184" i="1"/>
  <c r="A9184" i="1"/>
  <c r="C9183" i="1"/>
  <c r="B9183" i="1"/>
  <c r="A9183" i="1"/>
  <c r="C9182" i="1"/>
  <c r="B9182" i="1"/>
  <c r="A9182" i="1"/>
  <c r="C9181" i="1"/>
  <c r="B9181" i="1"/>
  <c r="A9181" i="1"/>
  <c r="C9180" i="1"/>
  <c r="B9180" i="1"/>
  <c r="A9180" i="1"/>
  <c r="C9179" i="1"/>
  <c r="B9179" i="1"/>
  <c r="A9179" i="1"/>
  <c r="C9178" i="1"/>
  <c r="B9178" i="1"/>
  <c r="A9178" i="1"/>
  <c r="C9177" i="1"/>
  <c r="B9177" i="1"/>
  <c r="A9177" i="1"/>
  <c r="C9176" i="1"/>
  <c r="B9176" i="1"/>
  <c r="A9176" i="1"/>
  <c r="C9175" i="1"/>
  <c r="B9175" i="1"/>
  <c r="A9175" i="1"/>
  <c r="C9174" i="1"/>
  <c r="B9174" i="1"/>
  <c r="A9174" i="1"/>
  <c r="C9173" i="1"/>
  <c r="B9173" i="1"/>
  <c r="A9173" i="1"/>
  <c r="C9172" i="1"/>
  <c r="B9172" i="1"/>
  <c r="A9172" i="1"/>
  <c r="C9171" i="1"/>
  <c r="B9171" i="1"/>
  <c r="A9171" i="1"/>
  <c r="C9170" i="1"/>
  <c r="B9170" i="1"/>
  <c r="A9170" i="1"/>
  <c r="C9169" i="1"/>
  <c r="B9169" i="1"/>
  <c r="A9169" i="1"/>
  <c r="C9168" i="1"/>
  <c r="B9168" i="1"/>
  <c r="A9168" i="1"/>
  <c r="C9167" i="1"/>
  <c r="B9167" i="1"/>
  <c r="A9167" i="1"/>
  <c r="C9166" i="1"/>
  <c r="B9166" i="1"/>
  <c r="A9166" i="1"/>
  <c r="C9165" i="1"/>
  <c r="B9165" i="1"/>
  <c r="A9165" i="1"/>
  <c r="C9164" i="1"/>
  <c r="B9164" i="1"/>
  <c r="A9164" i="1"/>
  <c r="C9163" i="1"/>
  <c r="B9163" i="1"/>
  <c r="A9163" i="1"/>
  <c r="C9162" i="1"/>
  <c r="B9162" i="1"/>
  <c r="A9162" i="1"/>
  <c r="C9161" i="1"/>
  <c r="B9161" i="1"/>
  <c r="A9161" i="1"/>
  <c r="C9160" i="1"/>
  <c r="B9160" i="1"/>
  <c r="A9160" i="1"/>
  <c r="C9159" i="1"/>
  <c r="B9159" i="1"/>
  <c r="A9159" i="1"/>
  <c r="C9158" i="1"/>
  <c r="B9158" i="1"/>
  <c r="A9158" i="1"/>
  <c r="C9157" i="1"/>
  <c r="B9157" i="1"/>
  <c r="A9157" i="1"/>
  <c r="C9156" i="1"/>
  <c r="B9156" i="1"/>
  <c r="A9156" i="1"/>
  <c r="C9155" i="1"/>
  <c r="B9155" i="1"/>
  <c r="A9155" i="1"/>
  <c r="C9154" i="1"/>
  <c r="B9154" i="1"/>
  <c r="A9154" i="1"/>
  <c r="C9153" i="1"/>
  <c r="B9153" i="1"/>
  <c r="A9153" i="1"/>
  <c r="C9152" i="1"/>
  <c r="B9152" i="1"/>
  <c r="A9152" i="1"/>
  <c r="C9151" i="1"/>
  <c r="B9151" i="1"/>
  <c r="A9151" i="1"/>
  <c r="C9150" i="1"/>
  <c r="B9150" i="1"/>
  <c r="A9150" i="1"/>
  <c r="C9149" i="1"/>
  <c r="B9149" i="1"/>
  <c r="A9149" i="1"/>
  <c r="C9148" i="1"/>
  <c r="B9148" i="1"/>
  <c r="A9148" i="1"/>
  <c r="C9147" i="1"/>
  <c r="B9147" i="1"/>
  <c r="A9147" i="1"/>
  <c r="C9146" i="1"/>
  <c r="B9146" i="1"/>
  <c r="A9146" i="1"/>
  <c r="C9145" i="1"/>
  <c r="B9145" i="1"/>
  <c r="A9145" i="1"/>
  <c r="C9144" i="1"/>
  <c r="B9144" i="1"/>
  <c r="A9144" i="1"/>
  <c r="C9143" i="1"/>
  <c r="B9143" i="1"/>
  <c r="A9143" i="1"/>
  <c r="C9142" i="1"/>
  <c r="B9142" i="1"/>
  <c r="A9142" i="1"/>
  <c r="C9141" i="1"/>
  <c r="B9141" i="1"/>
  <c r="A9141" i="1"/>
  <c r="C9140" i="1"/>
  <c r="B9140" i="1"/>
  <c r="A9140" i="1"/>
  <c r="C9139" i="1"/>
  <c r="B9139" i="1"/>
  <c r="A9139" i="1"/>
  <c r="C9138" i="1"/>
  <c r="B9138" i="1"/>
  <c r="A9138" i="1"/>
  <c r="C9137" i="1"/>
  <c r="B9137" i="1"/>
  <c r="A9137" i="1"/>
  <c r="C9136" i="1"/>
  <c r="B9136" i="1"/>
  <c r="A9136" i="1"/>
  <c r="C9135" i="1"/>
  <c r="B9135" i="1"/>
  <c r="A9135" i="1"/>
  <c r="C9134" i="1"/>
  <c r="B9134" i="1"/>
  <c r="A9134" i="1"/>
  <c r="C9133" i="1"/>
  <c r="B9133" i="1"/>
  <c r="A9133" i="1"/>
  <c r="C9132" i="1"/>
  <c r="B9132" i="1"/>
  <c r="A9132" i="1"/>
  <c r="C9131" i="1"/>
  <c r="B9131" i="1"/>
  <c r="A9131" i="1"/>
  <c r="C9130" i="1"/>
  <c r="B9130" i="1"/>
  <c r="A9130" i="1"/>
  <c r="C9129" i="1"/>
  <c r="B9129" i="1"/>
  <c r="A9129" i="1"/>
  <c r="C9128" i="1"/>
  <c r="B9128" i="1"/>
  <c r="A9128" i="1"/>
  <c r="C9127" i="1"/>
  <c r="B9127" i="1"/>
  <c r="A9127" i="1"/>
  <c r="C9126" i="1"/>
  <c r="B9126" i="1"/>
  <c r="A9126" i="1"/>
  <c r="C9125" i="1"/>
  <c r="B9125" i="1"/>
  <c r="A9125" i="1"/>
  <c r="C9124" i="1"/>
  <c r="B9124" i="1"/>
  <c r="A9124" i="1"/>
  <c r="C9123" i="1"/>
  <c r="B9123" i="1"/>
  <c r="A9123" i="1"/>
  <c r="C9122" i="1"/>
  <c r="B9122" i="1"/>
  <c r="A9122" i="1"/>
  <c r="C9121" i="1"/>
  <c r="B9121" i="1"/>
  <c r="A9121" i="1"/>
  <c r="C9120" i="1"/>
  <c r="B9120" i="1"/>
  <c r="A9120" i="1"/>
  <c r="C9119" i="1"/>
  <c r="B9119" i="1"/>
  <c r="A9119" i="1"/>
  <c r="C9118" i="1"/>
  <c r="B9118" i="1"/>
  <c r="A9118" i="1"/>
  <c r="C9117" i="1"/>
  <c r="B9117" i="1"/>
  <c r="A9117" i="1"/>
  <c r="C9116" i="1"/>
  <c r="B9116" i="1"/>
  <c r="A9116" i="1"/>
  <c r="C9115" i="1"/>
  <c r="B9115" i="1"/>
  <c r="A9115" i="1"/>
  <c r="C9114" i="1"/>
  <c r="B9114" i="1"/>
  <c r="A9114" i="1"/>
  <c r="C9113" i="1"/>
  <c r="B9113" i="1"/>
  <c r="A9113" i="1"/>
  <c r="C9112" i="1"/>
  <c r="B9112" i="1"/>
  <c r="A9112" i="1"/>
  <c r="C9111" i="1"/>
  <c r="B9111" i="1"/>
  <c r="A9111" i="1"/>
  <c r="C9110" i="1"/>
  <c r="B9110" i="1"/>
  <c r="A9110" i="1"/>
  <c r="C9109" i="1"/>
  <c r="B9109" i="1"/>
  <c r="A9109" i="1"/>
  <c r="C9108" i="1"/>
  <c r="B9108" i="1"/>
  <c r="A9108" i="1"/>
  <c r="C9107" i="1"/>
  <c r="B9107" i="1"/>
  <c r="A9107" i="1"/>
  <c r="C9106" i="1"/>
  <c r="B9106" i="1"/>
  <c r="A9106" i="1"/>
  <c r="C9105" i="1"/>
  <c r="B9105" i="1"/>
  <c r="A9105" i="1"/>
  <c r="C9104" i="1"/>
  <c r="B9104" i="1"/>
  <c r="A9104" i="1"/>
  <c r="C9103" i="1"/>
  <c r="B9103" i="1"/>
  <c r="A9103" i="1"/>
  <c r="C9102" i="1"/>
  <c r="B9102" i="1"/>
  <c r="A9102" i="1"/>
  <c r="C9101" i="1"/>
  <c r="B9101" i="1"/>
  <c r="A9101" i="1"/>
  <c r="C9100" i="1"/>
  <c r="B9100" i="1"/>
  <c r="A9100" i="1"/>
  <c r="C9099" i="1"/>
  <c r="B9099" i="1"/>
  <c r="A9099" i="1"/>
  <c r="C9098" i="1"/>
  <c r="B9098" i="1"/>
  <c r="A9098" i="1"/>
  <c r="C9097" i="1"/>
  <c r="B9097" i="1"/>
  <c r="A9097" i="1"/>
  <c r="C9096" i="1"/>
  <c r="B9096" i="1"/>
  <c r="A9096" i="1"/>
  <c r="C9095" i="1"/>
  <c r="B9095" i="1"/>
  <c r="A9095" i="1"/>
  <c r="C9094" i="1"/>
  <c r="B9094" i="1"/>
  <c r="A9094" i="1"/>
  <c r="C9093" i="1"/>
  <c r="B9093" i="1"/>
  <c r="A9093" i="1"/>
  <c r="C9092" i="1"/>
  <c r="B9092" i="1"/>
  <c r="A9092" i="1"/>
  <c r="C9091" i="1"/>
  <c r="B9091" i="1"/>
  <c r="A9091" i="1"/>
  <c r="C9090" i="1"/>
  <c r="B9090" i="1"/>
  <c r="A9090" i="1"/>
  <c r="C9089" i="1"/>
  <c r="B9089" i="1"/>
  <c r="A9089" i="1"/>
  <c r="C9088" i="1"/>
  <c r="B9088" i="1"/>
  <c r="A9088" i="1"/>
  <c r="C9087" i="1"/>
  <c r="B9087" i="1"/>
  <c r="A9087" i="1"/>
  <c r="C9086" i="1"/>
  <c r="B9086" i="1"/>
  <c r="A9086" i="1"/>
  <c r="C9085" i="1"/>
  <c r="B9085" i="1"/>
  <c r="A9085" i="1"/>
  <c r="C9084" i="1"/>
  <c r="B9084" i="1"/>
  <c r="A9084" i="1"/>
  <c r="C9083" i="1"/>
  <c r="B9083" i="1"/>
  <c r="A9083" i="1"/>
  <c r="C9082" i="1"/>
  <c r="B9082" i="1"/>
  <c r="A9082" i="1"/>
  <c r="C9081" i="1"/>
  <c r="B9081" i="1"/>
  <c r="A9081" i="1"/>
  <c r="C9080" i="1"/>
  <c r="B9080" i="1"/>
  <c r="A9080" i="1"/>
  <c r="C9079" i="1"/>
  <c r="B9079" i="1"/>
  <c r="A9079" i="1"/>
  <c r="C9078" i="1"/>
  <c r="B9078" i="1"/>
  <c r="A9078" i="1"/>
  <c r="C9077" i="1"/>
  <c r="B9077" i="1"/>
  <c r="A9077" i="1"/>
  <c r="C9076" i="1"/>
  <c r="B9076" i="1"/>
  <c r="A9076" i="1"/>
  <c r="C9075" i="1"/>
  <c r="B9075" i="1"/>
  <c r="A9075" i="1"/>
  <c r="C9074" i="1"/>
  <c r="B9074" i="1"/>
  <c r="A9074" i="1"/>
  <c r="C9073" i="1"/>
  <c r="B9073" i="1"/>
  <c r="A9073" i="1"/>
  <c r="C9072" i="1"/>
  <c r="B9072" i="1"/>
  <c r="A9072" i="1"/>
  <c r="C9071" i="1"/>
  <c r="B9071" i="1"/>
  <c r="A9071" i="1"/>
  <c r="C9070" i="1"/>
  <c r="B9070" i="1"/>
  <c r="A9070" i="1"/>
  <c r="C9069" i="1"/>
  <c r="B9069" i="1"/>
  <c r="A9069" i="1"/>
  <c r="C9068" i="1"/>
  <c r="B9068" i="1"/>
  <c r="A9068" i="1"/>
  <c r="C9067" i="1"/>
  <c r="B9067" i="1"/>
  <c r="A9067" i="1"/>
  <c r="C9066" i="1"/>
  <c r="B9066" i="1"/>
  <c r="A9066" i="1"/>
  <c r="C9065" i="1"/>
  <c r="B9065" i="1"/>
  <c r="A9065" i="1"/>
  <c r="C9064" i="1"/>
  <c r="B9064" i="1"/>
  <c r="A9064" i="1"/>
  <c r="C9063" i="1"/>
  <c r="B9063" i="1"/>
  <c r="A9063" i="1"/>
  <c r="C9062" i="1"/>
  <c r="B9062" i="1"/>
  <c r="A9062" i="1"/>
  <c r="C9061" i="1"/>
  <c r="B9061" i="1"/>
  <c r="A9061" i="1"/>
  <c r="C9060" i="1"/>
  <c r="B9060" i="1"/>
  <c r="A9060" i="1"/>
  <c r="C9059" i="1"/>
  <c r="B9059" i="1"/>
  <c r="A9059" i="1"/>
  <c r="C9058" i="1"/>
  <c r="B9058" i="1"/>
  <c r="A9058" i="1"/>
  <c r="C9057" i="1"/>
  <c r="B9057" i="1"/>
  <c r="A9057" i="1"/>
  <c r="C9056" i="1"/>
  <c r="B9056" i="1"/>
  <c r="A9056" i="1"/>
  <c r="C9055" i="1"/>
  <c r="B9055" i="1"/>
  <c r="A9055" i="1"/>
  <c r="C9054" i="1"/>
  <c r="B9054" i="1"/>
  <c r="A9054" i="1"/>
  <c r="C9053" i="1"/>
  <c r="B9053" i="1"/>
  <c r="A9053" i="1"/>
  <c r="C9052" i="1"/>
  <c r="B9052" i="1"/>
  <c r="A9052" i="1"/>
  <c r="C9051" i="1"/>
  <c r="B9051" i="1"/>
  <c r="A9051" i="1"/>
  <c r="C9050" i="1"/>
  <c r="B9050" i="1"/>
  <c r="A9050" i="1"/>
  <c r="C9049" i="1"/>
  <c r="B9049" i="1"/>
  <c r="A9049" i="1"/>
  <c r="C9048" i="1"/>
  <c r="B9048" i="1"/>
  <c r="A9048" i="1"/>
  <c r="C9047" i="1"/>
  <c r="B9047" i="1"/>
  <c r="A9047" i="1"/>
  <c r="C9046" i="1"/>
  <c r="B9046" i="1"/>
  <c r="A9046" i="1"/>
  <c r="C9045" i="1"/>
  <c r="B9045" i="1"/>
  <c r="A9045" i="1"/>
  <c r="C9044" i="1"/>
  <c r="B9044" i="1"/>
  <c r="A9044" i="1"/>
  <c r="C9043" i="1"/>
  <c r="B9043" i="1"/>
  <c r="A9043" i="1"/>
  <c r="C9042" i="1"/>
  <c r="B9042" i="1"/>
  <c r="A9042" i="1"/>
  <c r="C9041" i="1"/>
  <c r="B9041" i="1"/>
  <c r="A9041" i="1"/>
  <c r="C9040" i="1"/>
  <c r="B9040" i="1"/>
  <c r="A9040" i="1"/>
  <c r="C9039" i="1"/>
  <c r="B9039" i="1"/>
  <c r="A9039" i="1"/>
  <c r="C9038" i="1"/>
  <c r="B9038" i="1"/>
  <c r="A9038" i="1"/>
  <c r="C9037" i="1"/>
  <c r="B9037" i="1"/>
  <c r="A9037" i="1"/>
  <c r="C9036" i="1"/>
  <c r="B9036" i="1"/>
  <c r="A9036" i="1"/>
  <c r="C9035" i="1"/>
  <c r="B9035" i="1"/>
  <c r="A9035" i="1"/>
  <c r="C9034" i="1"/>
  <c r="B9034" i="1"/>
  <c r="A9034" i="1"/>
  <c r="C9033" i="1"/>
  <c r="B9033" i="1"/>
  <c r="A9033" i="1"/>
  <c r="C9032" i="1"/>
  <c r="B9032" i="1"/>
  <c r="A9032" i="1"/>
  <c r="C9031" i="1"/>
  <c r="B9031" i="1"/>
  <c r="A9031" i="1"/>
  <c r="C9030" i="1"/>
  <c r="B9030" i="1"/>
  <c r="A9030" i="1"/>
  <c r="C9029" i="1"/>
  <c r="B9029" i="1"/>
  <c r="A9029" i="1"/>
  <c r="C9028" i="1"/>
  <c r="B9028" i="1"/>
  <c r="A9028" i="1"/>
  <c r="C9027" i="1"/>
  <c r="B9027" i="1"/>
  <c r="A9027" i="1"/>
  <c r="C9026" i="1"/>
  <c r="B9026" i="1"/>
  <c r="A9026" i="1"/>
  <c r="C9025" i="1"/>
  <c r="B9025" i="1"/>
  <c r="A9025" i="1"/>
  <c r="C9024" i="1"/>
  <c r="B9024" i="1"/>
  <c r="A9024" i="1"/>
  <c r="C9023" i="1"/>
  <c r="B9023" i="1"/>
  <c r="A9023" i="1"/>
  <c r="C9022" i="1"/>
  <c r="B9022" i="1"/>
  <c r="A9022" i="1"/>
  <c r="C9021" i="1"/>
  <c r="B9021" i="1"/>
  <c r="A9021" i="1"/>
  <c r="C9020" i="1"/>
  <c r="B9020" i="1"/>
  <c r="A9020" i="1"/>
  <c r="C9019" i="1"/>
  <c r="B9019" i="1"/>
  <c r="A9019" i="1"/>
  <c r="C9018" i="1"/>
  <c r="B9018" i="1"/>
  <c r="A9018" i="1"/>
  <c r="C9017" i="1"/>
  <c r="B9017" i="1"/>
  <c r="A9017" i="1"/>
  <c r="C9016" i="1"/>
  <c r="B9016" i="1"/>
  <c r="A9016" i="1"/>
  <c r="C9015" i="1"/>
  <c r="B9015" i="1"/>
  <c r="A9015" i="1"/>
  <c r="C9014" i="1"/>
  <c r="B9014" i="1"/>
  <c r="A9014" i="1"/>
  <c r="C9013" i="1"/>
  <c r="B9013" i="1"/>
  <c r="A9013" i="1"/>
  <c r="C9012" i="1"/>
  <c r="B9012" i="1"/>
  <c r="A9012" i="1"/>
  <c r="C9011" i="1"/>
  <c r="B9011" i="1"/>
  <c r="A9011" i="1"/>
  <c r="C9010" i="1"/>
  <c r="B9010" i="1"/>
  <c r="A9010" i="1"/>
  <c r="C9009" i="1"/>
  <c r="B9009" i="1"/>
  <c r="A9009" i="1"/>
  <c r="C9008" i="1"/>
  <c r="B9008" i="1"/>
  <c r="A9008" i="1"/>
  <c r="C9007" i="1"/>
  <c r="B9007" i="1"/>
  <c r="A9007" i="1"/>
  <c r="C9006" i="1"/>
  <c r="B9006" i="1"/>
  <c r="A9006" i="1"/>
  <c r="C9005" i="1"/>
  <c r="B9005" i="1"/>
  <c r="A9005" i="1"/>
  <c r="C9004" i="1"/>
  <c r="B9004" i="1"/>
  <c r="A9004" i="1"/>
  <c r="C9003" i="1"/>
  <c r="B9003" i="1"/>
  <c r="A9003" i="1"/>
  <c r="C9002" i="1"/>
  <c r="B9002" i="1"/>
  <c r="A9002" i="1"/>
  <c r="C9001" i="1"/>
  <c r="B9001" i="1"/>
  <c r="A9001" i="1"/>
  <c r="C9000" i="1"/>
  <c r="B9000" i="1"/>
  <c r="A9000" i="1"/>
  <c r="C8999" i="1"/>
  <c r="B8999" i="1"/>
  <c r="A8999" i="1"/>
  <c r="C8998" i="1"/>
  <c r="B8998" i="1"/>
  <c r="A8998" i="1"/>
  <c r="C8997" i="1"/>
  <c r="B8997" i="1"/>
  <c r="A8997" i="1"/>
  <c r="C8996" i="1"/>
  <c r="B8996" i="1"/>
  <c r="A8996" i="1"/>
  <c r="C8995" i="1"/>
  <c r="B8995" i="1"/>
  <c r="A8995" i="1"/>
  <c r="C8994" i="1"/>
  <c r="B8994" i="1"/>
  <c r="A8994" i="1"/>
  <c r="C8993" i="1"/>
  <c r="B8993" i="1"/>
  <c r="A8993" i="1"/>
  <c r="C8992" i="1"/>
  <c r="B8992" i="1"/>
  <c r="A8992" i="1"/>
  <c r="C8991" i="1"/>
  <c r="B8991" i="1"/>
  <c r="A8991" i="1"/>
  <c r="C8990" i="1"/>
  <c r="B8990" i="1"/>
  <c r="A8990" i="1"/>
  <c r="C8989" i="1"/>
  <c r="B8989" i="1"/>
  <c r="A8989" i="1"/>
  <c r="C8988" i="1"/>
  <c r="B8988" i="1"/>
  <c r="A8988" i="1"/>
  <c r="C8987" i="1"/>
  <c r="B8987" i="1"/>
  <c r="A8987" i="1"/>
  <c r="C8986" i="1"/>
  <c r="B8986" i="1"/>
  <c r="A8986" i="1"/>
  <c r="C8985" i="1"/>
  <c r="B8985" i="1"/>
  <c r="A8985" i="1"/>
  <c r="C8984" i="1"/>
  <c r="B8984" i="1"/>
  <c r="A8984" i="1"/>
  <c r="C8983" i="1"/>
  <c r="B8983" i="1"/>
  <c r="A8983" i="1"/>
  <c r="C8982" i="1"/>
  <c r="B8982" i="1"/>
  <c r="A8982" i="1"/>
  <c r="C8981" i="1"/>
  <c r="B8981" i="1"/>
  <c r="A8981" i="1"/>
  <c r="C8980" i="1"/>
  <c r="B8980" i="1"/>
  <c r="A8980" i="1"/>
  <c r="C8979" i="1"/>
  <c r="B8979" i="1"/>
  <c r="A8979" i="1"/>
  <c r="C8978" i="1"/>
  <c r="B8978" i="1"/>
  <c r="A8978" i="1"/>
  <c r="C8977" i="1"/>
  <c r="B8977" i="1"/>
  <c r="A8977" i="1"/>
  <c r="C8976" i="1"/>
  <c r="B8976" i="1"/>
  <c r="A8976" i="1"/>
  <c r="C8975" i="1"/>
  <c r="B8975" i="1"/>
  <c r="A8975" i="1"/>
  <c r="C8974" i="1"/>
  <c r="B8974" i="1"/>
  <c r="A8974" i="1"/>
  <c r="C8973" i="1"/>
  <c r="B8973" i="1"/>
  <c r="A8973" i="1"/>
  <c r="C8972" i="1"/>
  <c r="B8972" i="1"/>
  <c r="A8972" i="1"/>
  <c r="C8971" i="1"/>
  <c r="B8971" i="1"/>
  <c r="A8971" i="1"/>
  <c r="C8970" i="1"/>
  <c r="B8970" i="1"/>
  <c r="A8970" i="1"/>
  <c r="C8969" i="1"/>
  <c r="B8969" i="1"/>
  <c r="A8969" i="1"/>
  <c r="C8968" i="1"/>
  <c r="B8968" i="1"/>
  <c r="A8968" i="1"/>
  <c r="C8967" i="1"/>
  <c r="B8967" i="1"/>
  <c r="A8967" i="1"/>
  <c r="C8966" i="1"/>
  <c r="B8966" i="1"/>
  <c r="A8966" i="1"/>
  <c r="C8965" i="1"/>
  <c r="B8965" i="1"/>
  <c r="A8965" i="1"/>
  <c r="C8964" i="1"/>
  <c r="B8964" i="1"/>
  <c r="A8964" i="1"/>
  <c r="C8963" i="1"/>
  <c r="B8963" i="1"/>
  <c r="A8963" i="1"/>
  <c r="C8962" i="1"/>
  <c r="B8962" i="1"/>
  <c r="A8962" i="1"/>
  <c r="C8961" i="1"/>
  <c r="B8961" i="1"/>
  <c r="A8961" i="1"/>
  <c r="C8960" i="1"/>
  <c r="B8960" i="1"/>
  <c r="A8960" i="1"/>
  <c r="C8959" i="1"/>
  <c r="B8959" i="1"/>
  <c r="A8959" i="1"/>
  <c r="C8958" i="1"/>
  <c r="B8958" i="1"/>
  <c r="A8958" i="1"/>
  <c r="C8957" i="1"/>
  <c r="B8957" i="1"/>
  <c r="A8957" i="1"/>
  <c r="C8956" i="1"/>
  <c r="B8956" i="1"/>
  <c r="A8956" i="1"/>
  <c r="C8955" i="1"/>
  <c r="B8955" i="1"/>
  <c r="A8955" i="1"/>
  <c r="C8954" i="1"/>
  <c r="B8954" i="1"/>
  <c r="A8954" i="1"/>
  <c r="C8953" i="1"/>
  <c r="B8953" i="1"/>
  <c r="A8953" i="1"/>
  <c r="C8952" i="1"/>
  <c r="B8952" i="1"/>
  <c r="A8952" i="1"/>
  <c r="C8951" i="1"/>
  <c r="B8951" i="1"/>
  <c r="A8951" i="1"/>
  <c r="C8950" i="1"/>
  <c r="B8950" i="1"/>
  <c r="A8950" i="1"/>
  <c r="C8949" i="1"/>
  <c r="B8949" i="1"/>
  <c r="A8949" i="1"/>
  <c r="C8948" i="1"/>
  <c r="B8948" i="1"/>
  <c r="A8948" i="1"/>
  <c r="C8947" i="1"/>
  <c r="B8947" i="1"/>
  <c r="A8947" i="1"/>
  <c r="C8946" i="1"/>
  <c r="B8946" i="1"/>
  <c r="A8946" i="1"/>
  <c r="C8945" i="1"/>
  <c r="B8945" i="1"/>
  <c r="A8945" i="1"/>
  <c r="C8944" i="1"/>
  <c r="B8944" i="1"/>
  <c r="A8944" i="1"/>
  <c r="C8943" i="1"/>
  <c r="B8943" i="1"/>
  <c r="A8943" i="1"/>
  <c r="C8942" i="1"/>
  <c r="B8942" i="1"/>
  <c r="A8942" i="1"/>
  <c r="C8941" i="1"/>
  <c r="B8941" i="1"/>
  <c r="A8941" i="1"/>
  <c r="C8940" i="1"/>
  <c r="B8940" i="1"/>
  <c r="A8940" i="1"/>
  <c r="C8939" i="1"/>
  <c r="B8939" i="1"/>
  <c r="A8939" i="1"/>
  <c r="C8938" i="1"/>
  <c r="B8938" i="1"/>
  <c r="A8938" i="1"/>
  <c r="C8937" i="1"/>
  <c r="B8937" i="1"/>
  <c r="A8937" i="1"/>
  <c r="C8936" i="1"/>
  <c r="B8936" i="1"/>
  <c r="A8936" i="1"/>
  <c r="C8935" i="1"/>
  <c r="B8935" i="1"/>
  <c r="A8935" i="1"/>
  <c r="C8934" i="1"/>
  <c r="B8934" i="1"/>
  <c r="A8934" i="1"/>
  <c r="C8933" i="1"/>
  <c r="B8933" i="1"/>
  <c r="A8933" i="1"/>
  <c r="C8932" i="1"/>
  <c r="B8932" i="1"/>
  <c r="A8932" i="1"/>
  <c r="C8931" i="1"/>
  <c r="B8931" i="1"/>
  <c r="A8931" i="1"/>
  <c r="C8930" i="1"/>
  <c r="B8930" i="1"/>
  <c r="A8930" i="1"/>
  <c r="C8929" i="1"/>
  <c r="B8929" i="1"/>
  <c r="A8929" i="1"/>
  <c r="C8928" i="1"/>
  <c r="B8928" i="1"/>
  <c r="A8928" i="1"/>
  <c r="C8927" i="1"/>
  <c r="B8927" i="1"/>
  <c r="A8927" i="1"/>
  <c r="C8926" i="1"/>
  <c r="B8926" i="1"/>
  <c r="A8926" i="1"/>
  <c r="C8925" i="1"/>
  <c r="B8925" i="1"/>
  <c r="A8925" i="1"/>
  <c r="C8924" i="1"/>
  <c r="B8924" i="1"/>
  <c r="A8924" i="1"/>
  <c r="C8923" i="1"/>
  <c r="B8923" i="1"/>
  <c r="A8923" i="1"/>
  <c r="C8922" i="1"/>
  <c r="B8922" i="1"/>
  <c r="A8922" i="1"/>
  <c r="C8921" i="1"/>
  <c r="B8921" i="1"/>
  <c r="A8921" i="1"/>
  <c r="C8920" i="1"/>
  <c r="B8920" i="1"/>
  <c r="A8920" i="1"/>
  <c r="C8919" i="1"/>
  <c r="B8919" i="1"/>
  <c r="A8919" i="1"/>
  <c r="C8918" i="1"/>
  <c r="B8918" i="1"/>
  <c r="A8918" i="1"/>
  <c r="C8917" i="1"/>
  <c r="B8917" i="1"/>
  <c r="A8917" i="1"/>
  <c r="C8916" i="1"/>
  <c r="B8916" i="1"/>
  <c r="A8916" i="1"/>
  <c r="C8915" i="1"/>
  <c r="B8915" i="1"/>
  <c r="A8915" i="1"/>
  <c r="C8914" i="1"/>
  <c r="B8914" i="1"/>
  <c r="A8914" i="1"/>
  <c r="C8913" i="1"/>
  <c r="B8913" i="1"/>
  <c r="A8913" i="1"/>
  <c r="C8912" i="1"/>
  <c r="B8912" i="1"/>
  <c r="A8912" i="1"/>
  <c r="C8911" i="1"/>
  <c r="B8911" i="1"/>
  <c r="A8911" i="1"/>
  <c r="C8910" i="1"/>
  <c r="B8910" i="1"/>
  <c r="A8910" i="1"/>
  <c r="C8909" i="1"/>
  <c r="B8909" i="1"/>
  <c r="A8909" i="1"/>
  <c r="C8908" i="1"/>
  <c r="B8908" i="1"/>
  <c r="A8908" i="1"/>
  <c r="C8907" i="1"/>
  <c r="B8907" i="1"/>
  <c r="A8907" i="1"/>
  <c r="C8906" i="1"/>
  <c r="B8906" i="1"/>
  <c r="A8906" i="1"/>
  <c r="C8905" i="1"/>
  <c r="B8905" i="1"/>
  <c r="A8905" i="1"/>
  <c r="C8904" i="1"/>
  <c r="B8904" i="1"/>
  <c r="A8904" i="1"/>
  <c r="C8903" i="1"/>
  <c r="B8903" i="1"/>
  <c r="A8903" i="1"/>
  <c r="C8902" i="1"/>
  <c r="B8902" i="1"/>
  <c r="A8902" i="1"/>
  <c r="C8901" i="1"/>
  <c r="B8901" i="1"/>
  <c r="A8901" i="1"/>
  <c r="C8900" i="1"/>
  <c r="B8900" i="1"/>
  <c r="A8900" i="1"/>
  <c r="C8899" i="1"/>
  <c r="B8899" i="1"/>
  <c r="A8899" i="1"/>
  <c r="C8898" i="1"/>
  <c r="B8898" i="1"/>
  <c r="A8898" i="1"/>
  <c r="C8897" i="1"/>
  <c r="B8897" i="1"/>
  <c r="A8897" i="1"/>
  <c r="C8896" i="1"/>
  <c r="B8896" i="1"/>
  <c r="A8896" i="1"/>
  <c r="C8895" i="1"/>
  <c r="B8895" i="1"/>
  <c r="A8895" i="1"/>
  <c r="C8894" i="1"/>
  <c r="B8894" i="1"/>
  <c r="A8894" i="1"/>
  <c r="C8893" i="1"/>
  <c r="B8893" i="1"/>
  <c r="A8893" i="1"/>
  <c r="C8892" i="1"/>
  <c r="B8892" i="1"/>
  <c r="A8892" i="1"/>
  <c r="C8891" i="1"/>
  <c r="B8891" i="1"/>
  <c r="A8891" i="1"/>
  <c r="C8890" i="1"/>
  <c r="B8890" i="1"/>
  <c r="A8890" i="1"/>
  <c r="C8889" i="1"/>
  <c r="B8889" i="1"/>
  <c r="A8889" i="1"/>
  <c r="C8888" i="1"/>
  <c r="B8888" i="1"/>
  <c r="A8888" i="1"/>
  <c r="C8887" i="1"/>
  <c r="B8887" i="1"/>
  <c r="A8887" i="1"/>
  <c r="C8886" i="1"/>
  <c r="B8886" i="1"/>
  <c r="A8886" i="1"/>
  <c r="C8885" i="1"/>
  <c r="B8885" i="1"/>
  <c r="A8885" i="1"/>
  <c r="C8884" i="1"/>
  <c r="B8884" i="1"/>
  <c r="A8884" i="1"/>
  <c r="C8883" i="1"/>
  <c r="B8883" i="1"/>
  <c r="A8883" i="1"/>
  <c r="C8882" i="1"/>
  <c r="B8882" i="1"/>
  <c r="A8882" i="1"/>
  <c r="C8881" i="1"/>
  <c r="B8881" i="1"/>
  <c r="A8881" i="1"/>
  <c r="C8880" i="1"/>
  <c r="B8880" i="1"/>
  <c r="A8880" i="1"/>
  <c r="C8879" i="1"/>
  <c r="B8879" i="1"/>
  <c r="A8879" i="1"/>
  <c r="C8878" i="1"/>
  <c r="B8878" i="1"/>
  <c r="A8878" i="1"/>
  <c r="C8877" i="1"/>
  <c r="B8877" i="1"/>
  <c r="A8877" i="1"/>
  <c r="C8876" i="1"/>
  <c r="B8876" i="1"/>
  <c r="A8876" i="1"/>
  <c r="C8875" i="1"/>
  <c r="B8875" i="1"/>
  <c r="A8875" i="1"/>
  <c r="C8874" i="1"/>
  <c r="B8874" i="1"/>
  <c r="A8874" i="1"/>
  <c r="C8873" i="1"/>
  <c r="B8873" i="1"/>
  <c r="A8873" i="1"/>
  <c r="C8872" i="1"/>
  <c r="B8872" i="1"/>
  <c r="A8872" i="1"/>
  <c r="C8871" i="1"/>
  <c r="B8871" i="1"/>
  <c r="A8871" i="1"/>
  <c r="C8870" i="1"/>
  <c r="B8870" i="1"/>
  <c r="A8870" i="1"/>
  <c r="C8869" i="1"/>
  <c r="B8869" i="1"/>
  <c r="A8869" i="1"/>
  <c r="C8868" i="1"/>
  <c r="B8868" i="1"/>
  <c r="A8868" i="1"/>
  <c r="C8867" i="1"/>
  <c r="B8867" i="1"/>
  <c r="A8867" i="1"/>
  <c r="C8866" i="1"/>
  <c r="B8866" i="1"/>
  <c r="A8866" i="1"/>
  <c r="C8865" i="1"/>
  <c r="B8865" i="1"/>
  <c r="A8865" i="1"/>
  <c r="C8864" i="1"/>
  <c r="B8864" i="1"/>
  <c r="A8864" i="1"/>
  <c r="C8863" i="1"/>
  <c r="B8863" i="1"/>
  <c r="A8863" i="1"/>
  <c r="C8862" i="1"/>
  <c r="B8862" i="1"/>
  <c r="A8862" i="1"/>
  <c r="C8861" i="1"/>
  <c r="B8861" i="1"/>
  <c r="A8861" i="1"/>
  <c r="C8860" i="1"/>
  <c r="B8860" i="1"/>
  <c r="A8860" i="1"/>
  <c r="C8859" i="1"/>
  <c r="B8859" i="1"/>
  <c r="A8859" i="1"/>
  <c r="C8858" i="1"/>
  <c r="B8858" i="1"/>
  <c r="A8858" i="1"/>
  <c r="C8857" i="1"/>
  <c r="B8857" i="1"/>
  <c r="A8857" i="1"/>
  <c r="C8856" i="1"/>
  <c r="B8856" i="1"/>
  <c r="A8856" i="1"/>
  <c r="C8855" i="1"/>
  <c r="B8855" i="1"/>
  <c r="A8855" i="1"/>
  <c r="C8854" i="1"/>
  <c r="B8854" i="1"/>
  <c r="A8854" i="1"/>
  <c r="C8853" i="1"/>
  <c r="B8853" i="1"/>
  <c r="A8853" i="1"/>
  <c r="C8852" i="1"/>
  <c r="B8852" i="1"/>
  <c r="A8852" i="1"/>
  <c r="C8851" i="1"/>
  <c r="B8851" i="1"/>
  <c r="A8851" i="1"/>
  <c r="C8850" i="1"/>
  <c r="B8850" i="1"/>
  <c r="A8850" i="1"/>
  <c r="C8849" i="1"/>
  <c r="B8849" i="1"/>
  <c r="A8849" i="1"/>
  <c r="C8848" i="1"/>
  <c r="B8848" i="1"/>
  <c r="A8848" i="1"/>
  <c r="C8847" i="1"/>
  <c r="B8847" i="1"/>
  <c r="A8847" i="1"/>
  <c r="C8846" i="1"/>
  <c r="B8846" i="1"/>
  <c r="A8846" i="1"/>
  <c r="C8845" i="1"/>
  <c r="B8845" i="1"/>
  <c r="A8845" i="1"/>
  <c r="C8844" i="1"/>
  <c r="B8844" i="1"/>
  <c r="A8844" i="1"/>
  <c r="C8843" i="1"/>
  <c r="B8843" i="1"/>
  <c r="A8843" i="1"/>
  <c r="C8842" i="1"/>
  <c r="B8842" i="1"/>
  <c r="A8842" i="1"/>
  <c r="C8841" i="1"/>
  <c r="B8841" i="1"/>
  <c r="A8841" i="1"/>
  <c r="C8840" i="1"/>
  <c r="B8840" i="1"/>
  <c r="A8840" i="1"/>
  <c r="C8839" i="1"/>
  <c r="B8839" i="1"/>
  <c r="A8839" i="1"/>
  <c r="C8838" i="1"/>
  <c r="B8838" i="1"/>
  <c r="A8838" i="1"/>
  <c r="C8837" i="1"/>
  <c r="B8837" i="1"/>
  <c r="A8837" i="1"/>
  <c r="C8836" i="1"/>
  <c r="B8836" i="1"/>
  <c r="A8836" i="1"/>
  <c r="C8835" i="1"/>
  <c r="B8835" i="1"/>
  <c r="A8835" i="1"/>
  <c r="C8834" i="1"/>
  <c r="B8834" i="1"/>
  <c r="A8834" i="1"/>
  <c r="C8833" i="1"/>
  <c r="B8833" i="1"/>
  <c r="A8833" i="1"/>
  <c r="C8832" i="1"/>
  <c r="B8832" i="1"/>
  <c r="A8832" i="1"/>
  <c r="C8831" i="1"/>
  <c r="B8831" i="1"/>
  <c r="A8831" i="1"/>
  <c r="C8830" i="1"/>
  <c r="B8830" i="1"/>
  <c r="A8830" i="1"/>
  <c r="C8829" i="1"/>
  <c r="B8829" i="1"/>
  <c r="A8829" i="1"/>
  <c r="C8828" i="1"/>
  <c r="B8828" i="1"/>
  <c r="A8828" i="1"/>
  <c r="C8827" i="1"/>
  <c r="B8827" i="1"/>
  <c r="A8827" i="1"/>
  <c r="C8826" i="1"/>
  <c r="B8826" i="1"/>
  <c r="A8826" i="1"/>
  <c r="C8825" i="1"/>
  <c r="B8825" i="1"/>
  <c r="A8825" i="1"/>
  <c r="C8824" i="1"/>
  <c r="B8824" i="1"/>
  <c r="A8824" i="1"/>
  <c r="C8823" i="1"/>
  <c r="B8823" i="1"/>
  <c r="A8823" i="1"/>
  <c r="C8822" i="1"/>
  <c r="B8822" i="1"/>
  <c r="A8822" i="1"/>
  <c r="C8821" i="1"/>
  <c r="B8821" i="1"/>
  <c r="A8821" i="1"/>
  <c r="C8820" i="1"/>
  <c r="B8820" i="1"/>
  <c r="A8820" i="1"/>
  <c r="C8819" i="1"/>
  <c r="B8819" i="1"/>
  <c r="A8819" i="1"/>
  <c r="C8818" i="1"/>
  <c r="B8818" i="1"/>
  <c r="A8818" i="1"/>
  <c r="C8817" i="1"/>
  <c r="B8817" i="1"/>
  <c r="A8817" i="1"/>
  <c r="C8816" i="1"/>
  <c r="B8816" i="1"/>
  <c r="A8816" i="1"/>
  <c r="C8815" i="1"/>
  <c r="B8815" i="1"/>
  <c r="A8815" i="1"/>
  <c r="C8814" i="1"/>
  <c r="B8814" i="1"/>
  <c r="A8814" i="1"/>
  <c r="C8813" i="1"/>
  <c r="B8813" i="1"/>
  <c r="A8813" i="1"/>
  <c r="C8812" i="1"/>
  <c r="B8812" i="1"/>
  <c r="A8812" i="1"/>
  <c r="C8811" i="1"/>
  <c r="B8811" i="1"/>
  <c r="A8811" i="1"/>
  <c r="C8810" i="1"/>
  <c r="B8810" i="1"/>
  <c r="A8810" i="1"/>
  <c r="C8809" i="1"/>
  <c r="B8809" i="1"/>
  <c r="A8809" i="1"/>
  <c r="C8808" i="1"/>
  <c r="B8808" i="1"/>
  <c r="A8808" i="1"/>
  <c r="C8807" i="1"/>
  <c r="B8807" i="1"/>
  <c r="A8807" i="1"/>
  <c r="C8806" i="1"/>
  <c r="B8806" i="1"/>
  <c r="A8806" i="1"/>
  <c r="C8805" i="1"/>
  <c r="B8805" i="1"/>
  <c r="A8805" i="1"/>
  <c r="C8804" i="1"/>
  <c r="B8804" i="1"/>
  <c r="A8804" i="1"/>
  <c r="C8803" i="1"/>
  <c r="B8803" i="1"/>
  <c r="A8803" i="1"/>
  <c r="C8802" i="1"/>
  <c r="B8802" i="1"/>
  <c r="A8802" i="1"/>
  <c r="C8801" i="1"/>
  <c r="B8801" i="1"/>
  <c r="A8801" i="1"/>
  <c r="C8800" i="1"/>
  <c r="B8800" i="1"/>
  <c r="A8800" i="1"/>
  <c r="C8799" i="1"/>
  <c r="B8799" i="1"/>
  <c r="A8799" i="1"/>
  <c r="C8798" i="1"/>
  <c r="B8798" i="1"/>
  <c r="A8798" i="1"/>
  <c r="C8797" i="1"/>
  <c r="B8797" i="1"/>
  <c r="A8797" i="1"/>
  <c r="C8796" i="1"/>
  <c r="B8796" i="1"/>
  <c r="A8796" i="1"/>
  <c r="C8795" i="1"/>
  <c r="B8795" i="1"/>
  <c r="A8795" i="1"/>
  <c r="C8794" i="1"/>
  <c r="B8794" i="1"/>
  <c r="A8794" i="1"/>
  <c r="C8793" i="1"/>
  <c r="B8793" i="1"/>
  <c r="A8793" i="1"/>
  <c r="C8792" i="1"/>
  <c r="B8792" i="1"/>
  <c r="A8792" i="1"/>
  <c r="C8791" i="1"/>
  <c r="B8791" i="1"/>
  <c r="A8791" i="1"/>
  <c r="C8790" i="1"/>
  <c r="B8790" i="1"/>
  <c r="A8790" i="1"/>
  <c r="C8789" i="1"/>
  <c r="B8789" i="1"/>
  <c r="A8789" i="1"/>
  <c r="C8788" i="1"/>
  <c r="B8788" i="1"/>
  <c r="A8788" i="1"/>
  <c r="C8787" i="1"/>
  <c r="B8787" i="1"/>
  <c r="A8787" i="1"/>
  <c r="C8786" i="1"/>
  <c r="B8786" i="1"/>
  <c r="A8786" i="1"/>
  <c r="C8785" i="1"/>
  <c r="B8785" i="1"/>
  <c r="A8785" i="1"/>
  <c r="C8784" i="1"/>
  <c r="B8784" i="1"/>
  <c r="A8784" i="1"/>
  <c r="C8783" i="1"/>
  <c r="B8783" i="1"/>
  <c r="A8783" i="1"/>
  <c r="C8782" i="1"/>
  <c r="B8782" i="1"/>
  <c r="A8782" i="1"/>
  <c r="C8781" i="1"/>
  <c r="B8781" i="1"/>
  <c r="A8781" i="1"/>
  <c r="C8780" i="1"/>
  <c r="B8780" i="1"/>
  <c r="A8780" i="1"/>
  <c r="C8779" i="1"/>
  <c r="B8779" i="1"/>
  <c r="A8779" i="1"/>
  <c r="C8778" i="1"/>
  <c r="B8778" i="1"/>
  <c r="A8778" i="1"/>
  <c r="C8777" i="1"/>
  <c r="B8777" i="1"/>
  <c r="A8777" i="1"/>
  <c r="C8776" i="1"/>
  <c r="B8776" i="1"/>
  <c r="A8776" i="1"/>
  <c r="C8775" i="1"/>
  <c r="B8775" i="1"/>
  <c r="A8775" i="1"/>
  <c r="C8774" i="1"/>
  <c r="B8774" i="1"/>
  <c r="A8774" i="1"/>
  <c r="C8773" i="1"/>
  <c r="B8773" i="1"/>
  <c r="A8773" i="1"/>
  <c r="C8772" i="1"/>
  <c r="B8772" i="1"/>
  <c r="A8772" i="1"/>
  <c r="C8771" i="1"/>
  <c r="B8771" i="1"/>
  <c r="A8771" i="1"/>
  <c r="C8770" i="1"/>
  <c r="B8770" i="1"/>
  <c r="A8770" i="1"/>
  <c r="C8769" i="1"/>
  <c r="B8769" i="1"/>
  <c r="A8769" i="1"/>
  <c r="C8768" i="1"/>
  <c r="B8768" i="1"/>
  <c r="A8768" i="1"/>
  <c r="C8767" i="1"/>
  <c r="B8767" i="1"/>
  <c r="A8767" i="1"/>
  <c r="C8766" i="1"/>
  <c r="B8766" i="1"/>
  <c r="A8766" i="1"/>
  <c r="C8765" i="1"/>
  <c r="B8765" i="1"/>
  <c r="A8765" i="1"/>
  <c r="C8764" i="1"/>
  <c r="B8764" i="1"/>
  <c r="A8764" i="1"/>
  <c r="C8763" i="1"/>
  <c r="B8763" i="1"/>
  <c r="A8763" i="1"/>
  <c r="C8762" i="1"/>
  <c r="B8762" i="1"/>
  <c r="A8762" i="1"/>
  <c r="C8761" i="1"/>
  <c r="B8761" i="1"/>
  <c r="A8761" i="1"/>
  <c r="C8760" i="1"/>
  <c r="B8760" i="1"/>
  <c r="A8760" i="1"/>
  <c r="C8759" i="1"/>
  <c r="B8759" i="1"/>
  <c r="A8759" i="1"/>
  <c r="C8758" i="1"/>
  <c r="B8758" i="1"/>
  <c r="A8758" i="1"/>
  <c r="C8757" i="1"/>
  <c r="B8757" i="1"/>
  <c r="A8757" i="1"/>
  <c r="C8756" i="1"/>
  <c r="B8756" i="1"/>
  <c r="A8756" i="1"/>
  <c r="C8755" i="1"/>
  <c r="B8755" i="1"/>
  <c r="A8755" i="1"/>
  <c r="C8754" i="1"/>
  <c r="B8754" i="1"/>
  <c r="A8754" i="1"/>
  <c r="C8753" i="1"/>
  <c r="B8753" i="1"/>
  <c r="A8753" i="1"/>
  <c r="C8752" i="1"/>
  <c r="B8752" i="1"/>
  <c r="A8752" i="1"/>
  <c r="C8751" i="1"/>
  <c r="B8751" i="1"/>
  <c r="A8751" i="1"/>
  <c r="C8750" i="1"/>
  <c r="B8750" i="1"/>
  <c r="A8750" i="1"/>
  <c r="C8749" i="1"/>
  <c r="B8749" i="1"/>
  <c r="A8749" i="1"/>
  <c r="C8748" i="1"/>
  <c r="B8748" i="1"/>
  <c r="A8748" i="1"/>
  <c r="C8747" i="1"/>
  <c r="B8747" i="1"/>
  <c r="A8747" i="1"/>
  <c r="C8746" i="1"/>
  <c r="B8746" i="1"/>
  <c r="A8746" i="1"/>
  <c r="C8745" i="1"/>
  <c r="B8745" i="1"/>
  <c r="A8745" i="1"/>
  <c r="C8744" i="1"/>
  <c r="B8744" i="1"/>
  <c r="A8744" i="1"/>
  <c r="C8743" i="1"/>
  <c r="B8743" i="1"/>
  <c r="A8743" i="1"/>
  <c r="C8742" i="1"/>
  <c r="B8742" i="1"/>
  <c r="A8742" i="1"/>
  <c r="C8741" i="1"/>
  <c r="B8741" i="1"/>
  <c r="A8741" i="1"/>
  <c r="C8740" i="1"/>
  <c r="B8740" i="1"/>
  <c r="A8740" i="1"/>
  <c r="C8739" i="1"/>
  <c r="B8739" i="1"/>
  <c r="A8739" i="1"/>
  <c r="C8738" i="1"/>
  <c r="B8738" i="1"/>
  <c r="A8738" i="1"/>
  <c r="C8737" i="1"/>
  <c r="B8737" i="1"/>
  <c r="A8737" i="1"/>
  <c r="C8736" i="1"/>
  <c r="B8736" i="1"/>
  <c r="A8736" i="1"/>
  <c r="C8735" i="1"/>
  <c r="B8735" i="1"/>
  <c r="A8735" i="1"/>
  <c r="C8734" i="1"/>
  <c r="B8734" i="1"/>
  <c r="A8734" i="1"/>
  <c r="C8733" i="1"/>
  <c r="B8733" i="1"/>
  <c r="A8733" i="1"/>
  <c r="C8732" i="1"/>
  <c r="B8732" i="1"/>
  <c r="A8732" i="1"/>
  <c r="C8731" i="1"/>
  <c r="B8731" i="1"/>
  <c r="A8731" i="1"/>
  <c r="C8730" i="1"/>
  <c r="B8730" i="1"/>
  <c r="A8730" i="1"/>
  <c r="C8729" i="1"/>
  <c r="B8729" i="1"/>
  <c r="A8729" i="1"/>
  <c r="C8728" i="1"/>
  <c r="B8728" i="1"/>
  <c r="A8728" i="1"/>
  <c r="C8727" i="1"/>
  <c r="B8727" i="1"/>
  <c r="A8727" i="1"/>
  <c r="C8726" i="1"/>
  <c r="B8726" i="1"/>
  <c r="A8726" i="1"/>
  <c r="C8725" i="1"/>
  <c r="B8725" i="1"/>
  <c r="A8725" i="1"/>
  <c r="C8724" i="1"/>
  <c r="B8724" i="1"/>
  <c r="A8724" i="1"/>
  <c r="C8723" i="1"/>
  <c r="B8723" i="1"/>
  <c r="A8723" i="1"/>
  <c r="C8722" i="1"/>
  <c r="B8722" i="1"/>
  <c r="A8722" i="1"/>
  <c r="C8721" i="1"/>
  <c r="B8721" i="1"/>
  <c r="A8721" i="1"/>
  <c r="C8720" i="1"/>
  <c r="B8720" i="1"/>
  <c r="A8720" i="1"/>
  <c r="C8719" i="1"/>
  <c r="B8719" i="1"/>
  <c r="A8719" i="1"/>
  <c r="C8718" i="1"/>
  <c r="B8718" i="1"/>
  <c r="A8718" i="1"/>
  <c r="C8717" i="1"/>
  <c r="B8717" i="1"/>
  <c r="A8717" i="1"/>
  <c r="C8716" i="1"/>
  <c r="B8716" i="1"/>
  <c r="A8716" i="1"/>
  <c r="C8715" i="1"/>
  <c r="B8715" i="1"/>
  <c r="A8715" i="1"/>
  <c r="C8714" i="1"/>
  <c r="B8714" i="1"/>
  <c r="A8714" i="1"/>
  <c r="C8713" i="1"/>
  <c r="B8713" i="1"/>
  <c r="A8713" i="1"/>
  <c r="C8712" i="1"/>
  <c r="B8712" i="1"/>
  <c r="A8712" i="1"/>
  <c r="C8711" i="1"/>
  <c r="B8711" i="1"/>
  <c r="A8711" i="1"/>
  <c r="C8710" i="1"/>
  <c r="B8710" i="1"/>
  <c r="A8710" i="1"/>
  <c r="C8709" i="1"/>
  <c r="B8709" i="1"/>
  <c r="A8709" i="1"/>
  <c r="C8708" i="1"/>
  <c r="B8708" i="1"/>
  <c r="A8708" i="1"/>
  <c r="C8707" i="1"/>
  <c r="B8707" i="1"/>
  <c r="A8707" i="1"/>
  <c r="C8706" i="1"/>
  <c r="B8706" i="1"/>
  <c r="A8706" i="1"/>
  <c r="C8705" i="1"/>
  <c r="B8705" i="1"/>
  <c r="A8705" i="1"/>
  <c r="C8704" i="1"/>
  <c r="B8704" i="1"/>
  <c r="A8704" i="1"/>
  <c r="C8703" i="1"/>
  <c r="B8703" i="1"/>
  <c r="A8703" i="1"/>
  <c r="C8702" i="1"/>
  <c r="B8702" i="1"/>
  <c r="A8702" i="1"/>
  <c r="C8701" i="1"/>
  <c r="B8701" i="1"/>
  <c r="A8701" i="1"/>
  <c r="C8700" i="1"/>
  <c r="B8700" i="1"/>
  <c r="A8700" i="1"/>
  <c r="C8699" i="1"/>
  <c r="B8699" i="1"/>
  <c r="A8699" i="1"/>
  <c r="C8698" i="1"/>
  <c r="B8698" i="1"/>
  <c r="A8698" i="1"/>
  <c r="C8697" i="1"/>
  <c r="B8697" i="1"/>
  <c r="A8697" i="1"/>
  <c r="C8696" i="1"/>
  <c r="B8696" i="1"/>
  <c r="A8696" i="1"/>
  <c r="C8695" i="1"/>
  <c r="B8695" i="1"/>
  <c r="A8695" i="1"/>
  <c r="C8694" i="1"/>
  <c r="B8694" i="1"/>
  <c r="A8694" i="1"/>
  <c r="C8693" i="1"/>
  <c r="B8693" i="1"/>
  <c r="A8693" i="1"/>
  <c r="C8692" i="1"/>
  <c r="B8692" i="1"/>
  <c r="A8692" i="1"/>
  <c r="C8691" i="1"/>
  <c r="B8691" i="1"/>
  <c r="A8691" i="1"/>
  <c r="C8690" i="1"/>
  <c r="B8690" i="1"/>
  <c r="A8690" i="1"/>
  <c r="C8689" i="1"/>
  <c r="B8689" i="1"/>
  <c r="A8689" i="1"/>
  <c r="C8688" i="1"/>
  <c r="B8688" i="1"/>
  <c r="A8688" i="1"/>
  <c r="C8687" i="1"/>
  <c r="B8687" i="1"/>
  <c r="A8687" i="1"/>
  <c r="C8686" i="1"/>
  <c r="B8686" i="1"/>
  <c r="A8686" i="1"/>
  <c r="C8685" i="1"/>
  <c r="B8685" i="1"/>
  <c r="A8685" i="1"/>
  <c r="C8684" i="1"/>
  <c r="B8684" i="1"/>
  <c r="A8684" i="1"/>
  <c r="C8683" i="1"/>
  <c r="B8683" i="1"/>
  <c r="A8683" i="1"/>
  <c r="C8682" i="1"/>
  <c r="B8682" i="1"/>
  <c r="A8682" i="1"/>
  <c r="C8681" i="1"/>
  <c r="B8681" i="1"/>
  <c r="A8681" i="1"/>
  <c r="C8680" i="1"/>
  <c r="B8680" i="1"/>
  <c r="A8680" i="1"/>
  <c r="C8679" i="1"/>
  <c r="B8679" i="1"/>
  <c r="A8679" i="1"/>
  <c r="C8678" i="1"/>
  <c r="B8678" i="1"/>
  <c r="A8678" i="1"/>
  <c r="C8677" i="1"/>
  <c r="B8677" i="1"/>
  <c r="A8677" i="1"/>
  <c r="C8676" i="1"/>
  <c r="B8676" i="1"/>
  <c r="A8676" i="1"/>
  <c r="C8675" i="1"/>
  <c r="B8675" i="1"/>
  <c r="A8675" i="1"/>
  <c r="C8674" i="1"/>
  <c r="B8674" i="1"/>
  <c r="A8674" i="1"/>
  <c r="C8673" i="1"/>
  <c r="B8673" i="1"/>
  <c r="A8673" i="1"/>
  <c r="C8672" i="1"/>
  <c r="B8672" i="1"/>
  <c r="A8672" i="1"/>
  <c r="C8671" i="1"/>
  <c r="B8671" i="1"/>
  <c r="A8671" i="1"/>
  <c r="C8670" i="1"/>
  <c r="B8670" i="1"/>
  <c r="A8670" i="1"/>
  <c r="C8669" i="1"/>
  <c r="B8669" i="1"/>
  <c r="A8669" i="1"/>
  <c r="C8668" i="1"/>
  <c r="B8668" i="1"/>
  <c r="A8668" i="1"/>
  <c r="C8667" i="1"/>
  <c r="B8667" i="1"/>
  <c r="A8667" i="1"/>
  <c r="C8666" i="1"/>
  <c r="B8666" i="1"/>
  <c r="A8666" i="1"/>
  <c r="C8665" i="1"/>
  <c r="B8665" i="1"/>
  <c r="A8665" i="1"/>
  <c r="C8664" i="1"/>
  <c r="B8664" i="1"/>
  <c r="A8664" i="1"/>
  <c r="C8663" i="1"/>
  <c r="B8663" i="1"/>
  <c r="A8663" i="1"/>
  <c r="C8662" i="1"/>
  <c r="B8662" i="1"/>
  <c r="A8662" i="1"/>
  <c r="C8661" i="1"/>
  <c r="B8661" i="1"/>
  <c r="A8661" i="1"/>
  <c r="C8660" i="1"/>
  <c r="B8660" i="1"/>
  <c r="A8660" i="1"/>
  <c r="C8659" i="1"/>
  <c r="B8659" i="1"/>
  <c r="A8659" i="1"/>
  <c r="C8658" i="1"/>
  <c r="B8658" i="1"/>
  <c r="A8658" i="1"/>
  <c r="C8657" i="1"/>
  <c r="B8657" i="1"/>
  <c r="A8657" i="1"/>
  <c r="C8656" i="1"/>
  <c r="B8656" i="1"/>
  <c r="A8656" i="1"/>
  <c r="C8655" i="1"/>
  <c r="B8655" i="1"/>
  <c r="A8655" i="1"/>
  <c r="C8654" i="1"/>
  <c r="B8654" i="1"/>
  <c r="A8654" i="1"/>
  <c r="C8653" i="1"/>
  <c r="B8653" i="1"/>
  <c r="A8653" i="1"/>
  <c r="C8652" i="1"/>
  <c r="B8652" i="1"/>
  <c r="A8652" i="1"/>
  <c r="C8651" i="1"/>
  <c r="B8651" i="1"/>
  <c r="A8651" i="1"/>
  <c r="C8650" i="1"/>
  <c r="B8650" i="1"/>
  <c r="A8650" i="1"/>
  <c r="C8649" i="1"/>
  <c r="B8649" i="1"/>
  <c r="A8649" i="1"/>
  <c r="C8648" i="1"/>
  <c r="B8648" i="1"/>
  <c r="A8648" i="1"/>
  <c r="C8647" i="1"/>
  <c r="B8647" i="1"/>
  <c r="A8647" i="1"/>
  <c r="C8646" i="1"/>
  <c r="B8646" i="1"/>
  <c r="A8646" i="1"/>
  <c r="C8645" i="1"/>
  <c r="B8645" i="1"/>
  <c r="A8645" i="1"/>
  <c r="C8644" i="1"/>
  <c r="B8644" i="1"/>
  <c r="A8644" i="1"/>
  <c r="C8643" i="1"/>
  <c r="B8643" i="1"/>
  <c r="A8643" i="1"/>
  <c r="C8642" i="1"/>
  <c r="B8642" i="1"/>
  <c r="A8642" i="1"/>
  <c r="C8641" i="1"/>
  <c r="B8641" i="1"/>
  <c r="A8641" i="1"/>
  <c r="C8640" i="1"/>
  <c r="B8640" i="1"/>
  <c r="A8640" i="1"/>
  <c r="C8639" i="1"/>
  <c r="B8639" i="1"/>
  <c r="A8639" i="1"/>
  <c r="C8638" i="1"/>
  <c r="B8638" i="1"/>
  <c r="A8638" i="1"/>
  <c r="C8637" i="1"/>
  <c r="B8637" i="1"/>
  <c r="A8637" i="1"/>
  <c r="C8636" i="1"/>
  <c r="B8636" i="1"/>
  <c r="A8636" i="1"/>
  <c r="C8635" i="1"/>
  <c r="B8635" i="1"/>
  <c r="A8635" i="1"/>
  <c r="C8634" i="1"/>
  <c r="B8634" i="1"/>
  <c r="A8634" i="1"/>
  <c r="C8633" i="1"/>
  <c r="B8633" i="1"/>
  <c r="A8633" i="1"/>
  <c r="C8632" i="1"/>
  <c r="B8632" i="1"/>
  <c r="A8632" i="1"/>
  <c r="C8631" i="1"/>
  <c r="B8631" i="1"/>
  <c r="A8631" i="1"/>
  <c r="C8630" i="1"/>
  <c r="B8630" i="1"/>
  <c r="A8630" i="1"/>
  <c r="C8629" i="1"/>
  <c r="B8629" i="1"/>
  <c r="A8629" i="1"/>
  <c r="C8628" i="1"/>
  <c r="B8628" i="1"/>
  <c r="A8628" i="1"/>
  <c r="C8627" i="1"/>
  <c r="B8627" i="1"/>
  <c r="A8627" i="1"/>
  <c r="C8626" i="1"/>
  <c r="B8626" i="1"/>
  <c r="A8626" i="1"/>
  <c r="C8625" i="1"/>
  <c r="B8625" i="1"/>
  <c r="A8625" i="1"/>
  <c r="C8624" i="1"/>
  <c r="B8624" i="1"/>
  <c r="A8624" i="1"/>
  <c r="C8623" i="1"/>
  <c r="B8623" i="1"/>
  <c r="A8623" i="1"/>
  <c r="C8622" i="1"/>
  <c r="B8622" i="1"/>
  <c r="A8622" i="1"/>
  <c r="C8621" i="1"/>
  <c r="B8621" i="1"/>
  <c r="A8621" i="1"/>
  <c r="C8620" i="1"/>
  <c r="B8620" i="1"/>
  <c r="A8620" i="1"/>
  <c r="C8619" i="1"/>
  <c r="B8619" i="1"/>
  <c r="A8619" i="1"/>
  <c r="C8618" i="1"/>
  <c r="B8618" i="1"/>
  <c r="A8618" i="1"/>
  <c r="C8617" i="1"/>
  <c r="B8617" i="1"/>
  <c r="A8617" i="1"/>
  <c r="C8616" i="1"/>
  <c r="B8616" i="1"/>
  <c r="A8616" i="1"/>
  <c r="C8615" i="1"/>
  <c r="B8615" i="1"/>
  <c r="A8615" i="1"/>
  <c r="C8614" i="1"/>
  <c r="B8614" i="1"/>
  <c r="A8614" i="1"/>
  <c r="C8613" i="1"/>
  <c r="B8613" i="1"/>
  <c r="A8613" i="1"/>
  <c r="C8612" i="1"/>
  <c r="B8612" i="1"/>
  <c r="A8612" i="1"/>
  <c r="C8611" i="1"/>
  <c r="B8611" i="1"/>
  <c r="A8611" i="1"/>
  <c r="C8610" i="1"/>
  <c r="B8610" i="1"/>
  <c r="A8610" i="1"/>
  <c r="C8609" i="1"/>
  <c r="B8609" i="1"/>
  <c r="A8609" i="1"/>
  <c r="C8608" i="1"/>
  <c r="B8608" i="1"/>
  <c r="A8608" i="1"/>
  <c r="C8607" i="1"/>
  <c r="B8607" i="1"/>
  <c r="A8607" i="1"/>
  <c r="C8606" i="1"/>
  <c r="B8606" i="1"/>
  <c r="A8606" i="1"/>
  <c r="C8605" i="1"/>
  <c r="B8605" i="1"/>
  <c r="A8605" i="1"/>
  <c r="C8604" i="1"/>
  <c r="B8604" i="1"/>
  <c r="A8604" i="1"/>
  <c r="C8603" i="1"/>
  <c r="B8603" i="1"/>
  <c r="A8603" i="1"/>
  <c r="C8602" i="1"/>
  <c r="B8602" i="1"/>
  <c r="A8602" i="1"/>
  <c r="C8601" i="1"/>
  <c r="B8601" i="1"/>
  <c r="A8601" i="1"/>
  <c r="C8600" i="1"/>
  <c r="B8600" i="1"/>
  <c r="A8600" i="1"/>
  <c r="C8599" i="1"/>
  <c r="B8599" i="1"/>
  <c r="A8599" i="1"/>
  <c r="C8598" i="1"/>
  <c r="B8598" i="1"/>
  <c r="A8598" i="1"/>
  <c r="C8597" i="1"/>
  <c r="B8597" i="1"/>
  <c r="A8597" i="1"/>
  <c r="C8596" i="1"/>
  <c r="B8596" i="1"/>
  <c r="A8596" i="1"/>
  <c r="C8595" i="1"/>
  <c r="B8595" i="1"/>
  <c r="A8595" i="1"/>
  <c r="C8594" i="1"/>
  <c r="B8594" i="1"/>
  <c r="A8594" i="1"/>
  <c r="C8593" i="1"/>
  <c r="B8593" i="1"/>
  <c r="A8593" i="1"/>
  <c r="C8592" i="1"/>
  <c r="B8592" i="1"/>
  <c r="A8592" i="1"/>
  <c r="C8591" i="1"/>
  <c r="B8591" i="1"/>
  <c r="A8591" i="1"/>
  <c r="C8590" i="1"/>
  <c r="B8590" i="1"/>
  <c r="A8590" i="1"/>
  <c r="C8589" i="1"/>
  <c r="B8589" i="1"/>
  <c r="A8589" i="1"/>
  <c r="C8588" i="1"/>
  <c r="B8588" i="1"/>
  <c r="A8588" i="1"/>
  <c r="C8587" i="1"/>
  <c r="B8587" i="1"/>
  <c r="A8587" i="1"/>
  <c r="C8586" i="1"/>
  <c r="B8586" i="1"/>
  <c r="A8586" i="1"/>
  <c r="C8585" i="1"/>
  <c r="B8585" i="1"/>
  <c r="A8585" i="1"/>
  <c r="C8584" i="1"/>
  <c r="B8584" i="1"/>
  <c r="A8584" i="1"/>
  <c r="C8583" i="1"/>
  <c r="B8583" i="1"/>
  <c r="A8583" i="1"/>
  <c r="C8582" i="1"/>
  <c r="B8582" i="1"/>
  <c r="A8582" i="1"/>
  <c r="C8581" i="1"/>
  <c r="B8581" i="1"/>
  <c r="A8581" i="1"/>
  <c r="C8580" i="1"/>
  <c r="B8580" i="1"/>
  <c r="A8580" i="1"/>
  <c r="C8579" i="1"/>
  <c r="B8579" i="1"/>
  <c r="A8579" i="1"/>
  <c r="C8578" i="1"/>
  <c r="B8578" i="1"/>
  <c r="A8578" i="1"/>
  <c r="C8577" i="1"/>
  <c r="B8577" i="1"/>
  <c r="A8577" i="1"/>
  <c r="C8576" i="1"/>
  <c r="B8576" i="1"/>
  <c r="A8576" i="1"/>
  <c r="C8575" i="1"/>
  <c r="B8575" i="1"/>
  <c r="A8575" i="1"/>
  <c r="C8574" i="1"/>
  <c r="B8574" i="1"/>
  <c r="A8574" i="1"/>
  <c r="C8573" i="1"/>
  <c r="B8573" i="1"/>
  <c r="A8573" i="1"/>
  <c r="C8572" i="1"/>
  <c r="B8572" i="1"/>
  <c r="A8572" i="1"/>
  <c r="C8571" i="1"/>
  <c r="B8571" i="1"/>
  <c r="A8571" i="1"/>
  <c r="C8570" i="1"/>
  <c r="B8570" i="1"/>
  <c r="A8570" i="1"/>
  <c r="C8569" i="1"/>
  <c r="B8569" i="1"/>
  <c r="A8569" i="1"/>
  <c r="C8568" i="1"/>
  <c r="B8568" i="1"/>
  <c r="A8568" i="1"/>
  <c r="C8567" i="1"/>
  <c r="B8567" i="1"/>
  <c r="A8567" i="1"/>
  <c r="C8566" i="1"/>
  <c r="B8566" i="1"/>
  <c r="A8566" i="1"/>
  <c r="C8565" i="1"/>
  <c r="B8565" i="1"/>
  <c r="A8565" i="1"/>
  <c r="C8564" i="1"/>
  <c r="B8564" i="1"/>
  <c r="A8564" i="1"/>
  <c r="C8563" i="1"/>
  <c r="B8563" i="1"/>
  <c r="A8563" i="1"/>
  <c r="C8562" i="1"/>
  <c r="B8562" i="1"/>
  <c r="A8562" i="1"/>
  <c r="C8561" i="1"/>
  <c r="B8561" i="1"/>
  <c r="A8561" i="1"/>
  <c r="C8560" i="1"/>
  <c r="B8560" i="1"/>
  <c r="A8560" i="1"/>
  <c r="C8559" i="1"/>
  <c r="B8559" i="1"/>
  <c r="A8559" i="1"/>
  <c r="C8558" i="1"/>
  <c r="B8558" i="1"/>
  <c r="A8558" i="1"/>
  <c r="C8557" i="1"/>
  <c r="B8557" i="1"/>
  <c r="A8557" i="1"/>
  <c r="C8556" i="1"/>
  <c r="B8556" i="1"/>
  <c r="A8556" i="1"/>
  <c r="C8555" i="1"/>
  <c r="B8555" i="1"/>
  <c r="A8555" i="1"/>
  <c r="C8554" i="1"/>
  <c r="B8554" i="1"/>
  <c r="A8554" i="1"/>
  <c r="C8553" i="1"/>
  <c r="B8553" i="1"/>
  <c r="A8553" i="1"/>
  <c r="C8552" i="1"/>
  <c r="B8552" i="1"/>
  <c r="A8552" i="1"/>
  <c r="C8551" i="1"/>
  <c r="B8551" i="1"/>
  <c r="A8551" i="1"/>
  <c r="C8550" i="1"/>
  <c r="B8550" i="1"/>
  <c r="A8550" i="1"/>
  <c r="C8549" i="1"/>
  <c r="B8549" i="1"/>
  <c r="A8549" i="1"/>
  <c r="C8548" i="1"/>
  <c r="B8548" i="1"/>
  <c r="A8548" i="1"/>
  <c r="C8547" i="1"/>
  <c r="B8547" i="1"/>
  <c r="A8547" i="1"/>
  <c r="C8546" i="1"/>
  <c r="B8546" i="1"/>
  <c r="A8546" i="1"/>
  <c r="C8545" i="1"/>
  <c r="B8545" i="1"/>
  <c r="A8545" i="1"/>
  <c r="C8544" i="1"/>
  <c r="B8544" i="1"/>
  <c r="A8544" i="1"/>
  <c r="C8543" i="1"/>
  <c r="B8543" i="1"/>
  <c r="A8543" i="1"/>
  <c r="C8542" i="1"/>
  <c r="B8542" i="1"/>
  <c r="A8542" i="1"/>
  <c r="C8541" i="1"/>
  <c r="B8541" i="1"/>
  <c r="A8541" i="1"/>
  <c r="C8540" i="1"/>
  <c r="B8540" i="1"/>
  <c r="A8540" i="1"/>
  <c r="C8539" i="1"/>
  <c r="B8539" i="1"/>
  <c r="A8539" i="1"/>
  <c r="C8538" i="1"/>
  <c r="B8538" i="1"/>
  <c r="A8538" i="1"/>
  <c r="C8537" i="1"/>
  <c r="B8537" i="1"/>
  <c r="A8537" i="1"/>
  <c r="C8536" i="1"/>
  <c r="B8536" i="1"/>
  <c r="A8536" i="1"/>
  <c r="C8535" i="1"/>
  <c r="B8535" i="1"/>
  <c r="A8535" i="1"/>
  <c r="C8534" i="1"/>
  <c r="B8534" i="1"/>
  <c r="A8534" i="1"/>
  <c r="C8533" i="1"/>
  <c r="B8533" i="1"/>
  <c r="A8533" i="1"/>
  <c r="C8532" i="1"/>
  <c r="B8532" i="1"/>
  <c r="A8532" i="1"/>
  <c r="C8531" i="1"/>
  <c r="B8531" i="1"/>
  <c r="A8531" i="1"/>
  <c r="C8530" i="1"/>
  <c r="B8530" i="1"/>
  <c r="A8530" i="1"/>
  <c r="C8529" i="1"/>
  <c r="B8529" i="1"/>
  <c r="A8529" i="1"/>
  <c r="C8528" i="1"/>
  <c r="B8528" i="1"/>
  <c r="A8528" i="1"/>
  <c r="C8527" i="1"/>
  <c r="B8527" i="1"/>
  <c r="A8527" i="1"/>
  <c r="C8526" i="1"/>
  <c r="B8526" i="1"/>
  <c r="A8526" i="1"/>
  <c r="C8525" i="1"/>
  <c r="B8525" i="1"/>
  <c r="A8525" i="1"/>
  <c r="C8524" i="1"/>
  <c r="B8524" i="1"/>
  <c r="A8524" i="1"/>
  <c r="C8523" i="1"/>
  <c r="B8523" i="1"/>
  <c r="A8523" i="1"/>
  <c r="C8522" i="1"/>
  <c r="B8522" i="1"/>
  <c r="A8522" i="1"/>
  <c r="C8521" i="1"/>
  <c r="B8521" i="1"/>
  <c r="A8521" i="1"/>
  <c r="C8520" i="1"/>
  <c r="B8520" i="1"/>
  <c r="A8520" i="1"/>
  <c r="C8519" i="1"/>
  <c r="B8519" i="1"/>
  <c r="A8519" i="1"/>
  <c r="C8518" i="1"/>
  <c r="B8518" i="1"/>
  <c r="A8518" i="1"/>
  <c r="C8517" i="1"/>
  <c r="B8517" i="1"/>
  <c r="A8517" i="1"/>
  <c r="C8516" i="1"/>
  <c r="B8516" i="1"/>
  <c r="A8516" i="1"/>
  <c r="C8515" i="1"/>
  <c r="B8515" i="1"/>
  <c r="A8515" i="1"/>
  <c r="C8514" i="1"/>
  <c r="B8514" i="1"/>
  <c r="A8514" i="1"/>
  <c r="C8513" i="1"/>
  <c r="B8513" i="1"/>
  <c r="A8513" i="1"/>
  <c r="C8512" i="1"/>
  <c r="B8512" i="1"/>
  <c r="A8512" i="1"/>
  <c r="C8511" i="1"/>
  <c r="B8511" i="1"/>
  <c r="A8511" i="1"/>
  <c r="C8510" i="1"/>
  <c r="B8510" i="1"/>
  <c r="A8510" i="1"/>
  <c r="C8509" i="1"/>
  <c r="B8509" i="1"/>
  <c r="A8509" i="1"/>
  <c r="C8508" i="1"/>
  <c r="B8508" i="1"/>
  <c r="A8508" i="1"/>
  <c r="C8507" i="1"/>
  <c r="B8507" i="1"/>
  <c r="A8507" i="1"/>
  <c r="C8506" i="1"/>
  <c r="B8506" i="1"/>
  <c r="A8506" i="1"/>
  <c r="C8505" i="1"/>
  <c r="B8505" i="1"/>
  <c r="A8505" i="1"/>
  <c r="C8504" i="1"/>
  <c r="B8504" i="1"/>
  <c r="A8504" i="1"/>
  <c r="C8503" i="1"/>
  <c r="B8503" i="1"/>
  <c r="A8503" i="1"/>
  <c r="C8502" i="1"/>
  <c r="B8502" i="1"/>
  <c r="A8502" i="1"/>
  <c r="C8501" i="1"/>
  <c r="B8501" i="1"/>
  <c r="A8501" i="1"/>
  <c r="C8500" i="1"/>
  <c r="B8500" i="1"/>
  <c r="A8500" i="1"/>
  <c r="C8499" i="1"/>
  <c r="B8499" i="1"/>
  <c r="A8499" i="1"/>
  <c r="C8498" i="1"/>
  <c r="B8498" i="1"/>
  <c r="A8498" i="1"/>
  <c r="C8497" i="1"/>
  <c r="B8497" i="1"/>
  <c r="A8497" i="1"/>
  <c r="C8496" i="1"/>
  <c r="B8496" i="1"/>
  <c r="A8496" i="1"/>
  <c r="C8495" i="1"/>
  <c r="B8495" i="1"/>
  <c r="A8495" i="1"/>
  <c r="C8494" i="1"/>
  <c r="B8494" i="1"/>
  <c r="A8494" i="1"/>
  <c r="C8493" i="1"/>
  <c r="B8493" i="1"/>
  <c r="A8493" i="1"/>
  <c r="C8492" i="1"/>
  <c r="B8492" i="1"/>
  <c r="A8492" i="1"/>
  <c r="C8491" i="1"/>
  <c r="B8491" i="1"/>
  <c r="A8491" i="1"/>
  <c r="C8490" i="1"/>
  <c r="B8490" i="1"/>
  <c r="A8490" i="1"/>
  <c r="C8489" i="1"/>
  <c r="B8489" i="1"/>
  <c r="A8489" i="1"/>
  <c r="C8488" i="1"/>
  <c r="B8488" i="1"/>
  <c r="A8488" i="1"/>
  <c r="C8487" i="1"/>
  <c r="B8487" i="1"/>
  <c r="A8487" i="1"/>
  <c r="C8486" i="1"/>
  <c r="B8486" i="1"/>
  <c r="A8486" i="1"/>
  <c r="C8485" i="1"/>
  <c r="B8485" i="1"/>
  <c r="A8485" i="1"/>
  <c r="C8484" i="1"/>
  <c r="B8484" i="1"/>
  <c r="A8484" i="1"/>
  <c r="C8483" i="1"/>
  <c r="B8483" i="1"/>
  <c r="A8483" i="1"/>
  <c r="C8482" i="1"/>
  <c r="B8482" i="1"/>
  <c r="A8482" i="1"/>
  <c r="C8481" i="1"/>
  <c r="B8481" i="1"/>
  <c r="A8481" i="1"/>
  <c r="C8480" i="1"/>
  <c r="B8480" i="1"/>
  <c r="A8480" i="1"/>
  <c r="C8479" i="1"/>
  <c r="B8479" i="1"/>
  <c r="A8479" i="1"/>
  <c r="C8478" i="1"/>
  <c r="B8478" i="1"/>
  <c r="A8478" i="1"/>
  <c r="C8477" i="1"/>
  <c r="B8477" i="1"/>
  <c r="A8477" i="1"/>
  <c r="C8476" i="1"/>
  <c r="B8476" i="1"/>
  <c r="A8476" i="1"/>
  <c r="C8475" i="1"/>
  <c r="B8475" i="1"/>
  <c r="A8475" i="1"/>
  <c r="C8474" i="1"/>
  <c r="B8474" i="1"/>
  <c r="A8474" i="1"/>
  <c r="C8473" i="1"/>
  <c r="B8473" i="1"/>
  <c r="A8473" i="1"/>
  <c r="C8472" i="1"/>
  <c r="B8472" i="1"/>
  <c r="A8472" i="1"/>
  <c r="C8471" i="1"/>
  <c r="B8471" i="1"/>
  <c r="A8471" i="1"/>
  <c r="C8470" i="1"/>
  <c r="B8470" i="1"/>
  <c r="A8470" i="1"/>
  <c r="C8469" i="1"/>
  <c r="B8469" i="1"/>
  <c r="A8469" i="1"/>
  <c r="C8468" i="1"/>
  <c r="B8468" i="1"/>
  <c r="A8468" i="1"/>
  <c r="C8467" i="1"/>
  <c r="B8467" i="1"/>
  <c r="A8467" i="1"/>
  <c r="C8466" i="1"/>
  <c r="B8466" i="1"/>
  <c r="A8466" i="1"/>
  <c r="C8465" i="1"/>
  <c r="B8465" i="1"/>
  <c r="A8465" i="1"/>
  <c r="C8464" i="1"/>
  <c r="B8464" i="1"/>
  <c r="A8464" i="1"/>
  <c r="C8463" i="1"/>
  <c r="B8463" i="1"/>
  <c r="A8463" i="1"/>
  <c r="C8462" i="1"/>
  <c r="B8462" i="1"/>
  <c r="A8462" i="1"/>
  <c r="C8461" i="1"/>
  <c r="B8461" i="1"/>
  <c r="A8461" i="1"/>
  <c r="C8460" i="1"/>
  <c r="B8460" i="1"/>
  <c r="A8460" i="1"/>
  <c r="C8459" i="1"/>
  <c r="B8459" i="1"/>
  <c r="A8459" i="1"/>
  <c r="C8458" i="1"/>
  <c r="B8458" i="1"/>
  <c r="A8458" i="1"/>
  <c r="C8457" i="1"/>
  <c r="B8457" i="1"/>
  <c r="A8457" i="1"/>
  <c r="C8456" i="1"/>
  <c r="B8456" i="1"/>
  <c r="A8456" i="1"/>
  <c r="C8455" i="1"/>
  <c r="B8455" i="1"/>
  <c r="A8455" i="1"/>
  <c r="C8454" i="1"/>
  <c r="B8454" i="1"/>
  <c r="A8454" i="1"/>
  <c r="C8453" i="1"/>
  <c r="B8453" i="1"/>
  <c r="A8453" i="1"/>
  <c r="C8452" i="1"/>
  <c r="B8452" i="1"/>
  <c r="A8452" i="1"/>
  <c r="C8451" i="1"/>
  <c r="B8451" i="1"/>
  <c r="A8451" i="1"/>
  <c r="C8450" i="1"/>
  <c r="B8450" i="1"/>
  <c r="A8450" i="1"/>
  <c r="C8449" i="1"/>
  <c r="B8449" i="1"/>
  <c r="A8449" i="1"/>
  <c r="C8448" i="1"/>
  <c r="B8448" i="1"/>
  <c r="A8448" i="1"/>
  <c r="C8447" i="1"/>
  <c r="B8447" i="1"/>
  <c r="A8447" i="1"/>
  <c r="C8446" i="1"/>
  <c r="B8446" i="1"/>
  <c r="A8446" i="1"/>
  <c r="C8445" i="1"/>
  <c r="B8445" i="1"/>
  <c r="A8445" i="1"/>
  <c r="C8444" i="1"/>
  <c r="B8444" i="1"/>
  <c r="A8444" i="1"/>
  <c r="C8443" i="1"/>
  <c r="B8443" i="1"/>
  <c r="A8443" i="1"/>
  <c r="C8442" i="1"/>
  <c r="B8442" i="1"/>
  <c r="A8442" i="1"/>
  <c r="C8441" i="1"/>
  <c r="B8441" i="1"/>
  <c r="A8441" i="1"/>
  <c r="C8440" i="1"/>
  <c r="B8440" i="1"/>
  <c r="A8440" i="1"/>
  <c r="C8439" i="1"/>
  <c r="B8439" i="1"/>
  <c r="A8439" i="1"/>
  <c r="C8438" i="1"/>
  <c r="B8438" i="1"/>
  <c r="A8438" i="1"/>
  <c r="C8437" i="1"/>
  <c r="B8437" i="1"/>
  <c r="A8437" i="1"/>
  <c r="C8436" i="1"/>
  <c r="B8436" i="1"/>
  <c r="A8436" i="1"/>
  <c r="C8435" i="1"/>
  <c r="B8435" i="1"/>
  <c r="A8435" i="1"/>
  <c r="C8434" i="1"/>
  <c r="B8434" i="1"/>
  <c r="A8434" i="1"/>
  <c r="C8433" i="1"/>
  <c r="B8433" i="1"/>
  <c r="A8433" i="1"/>
  <c r="C8432" i="1"/>
  <c r="B8432" i="1"/>
  <c r="A8432" i="1"/>
  <c r="C8431" i="1"/>
  <c r="B8431" i="1"/>
  <c r="A8431" i="1"/>
  <c r="C8430" i="1"/>
  <c r="B8430" i="1"/>
  <c r="A8430" i="1"/>
  <c r="C8429" i="1"/>
  <c r="B8429" i="1"/>
  <c r="A8429" i="1"/>
  <c r="C8428" i="1"/>
  <c r="B8428" i="1"/>
  <c r="A8428" i="1"/>
  <c r="C8427" i="1"/>
  <c r="B8427" i="1"/>
  <c r="A8427" i="1"/>
  <c r="C8426" i="1"/>
  <c r="B8426" i="1"/>
  <c r="A8426" i="1"/>
  <c r="C8425" i="1"/>
  <c r="B8425" i="1"/>
  <c r="A8425" i="1"/>
  <c r="C8424" i="1"/>
  <c r="B8424" i="1"/>
  <c r="A8424" i="1"/>
  <c r="C8423" i="1"/>
  <c r="B8423" i="1"/>
  <c r="A8423" i="1"/>
  <c r="C8422" i="1"/>
  <c r="B8422" i="1"/>
  <c r="A8422" i="1"/>
  <c r="C8421" i="1"/>
  <c r="B8421" i="1"/>
  <c r="A8421" i="1"/>
  <c r="C8420" i="1"/>
  <c r="B8420" i="1"/>
  <c r="A8420" i="1"/>
  <c r="C8419" i="1"/>
  <c r="B8419" i="1"/>
  <c r="A8419" i="1"/>
  <c r="C8418" i="1"/>
  <c r="B8418" i="1"/>
  <c r="A8418" i="1"/>
  <c r="C8417" i="1"/>
  <c r="B8417" i="1"/>
  <c r="A8417" i="1"/>
  <c r="C8416" i="1"/>
  <c r="B8416" i="1"/>
  <c r="A8416" i="1"/>
  <c r="C8415" i="1"/>
  <c r="B8415" i="1"/>
  <c r="A8415" i="1"/>
  <c r="C8414" i="1"/>
  <c r="B8414" i="1"/>
  <c r="A8414" i="1"/>
  <c r="C8413" i="1"/>
  <c r="B8413" i="1"/>
  <c r="A8413" i="1"/>
  <c r="C8412" i="1"/>
  <c r="B8412" i="1"/>
  <c r="A8412" i="1"/>
  <c r="C8411" i="1"/>
  <c r="B8411" i="1"/>
  <c r="A8411" i="1"/>
  <c r="C8410" i="1"/>
  <c r="B8410" i="1"/>
  <c r="A8410" i="1"/>
  <c r="C8409" i="1"/>
  <c r="B8409" i="1"/>
  <c r="A8409" i="1"/>
  <c r="C8408" i="1"/>
  <c r="B8408" i="1"/>
  <c r="A8408" i="1"/>
  <c r="C8407" i="1"/>
  <c r="B8407" i="1"/>
  <c r="A8407" i="1"/>
  <c r="C8406" i="1"/>
  <c r="B8406" i="1"/>
  <c r="A8406" i="1"/>
  <c r="C8405" i="1"/>
  <c r="B8405" i="1"/>
  <c r="A8405" i="1"/>
  <c r="C8404" i="1"/>
  <c r="B8404" i="1"/>
  <c r="A8404" i="1"/>
  <c r="C8403" i="1"/>
  <c r="B8403" i="1"/>
  <c r="A8403" i="1"/>
  <c r="C8402" i="1"/>
  <c r="B8402" i="1"/>
  <c r="A8402" i="1"/>
  <c r="C8401" i="1"/>
  <c r="B8401" i="1"/>
  <c r="A8401" i="1"/>
  <c r="C8400" i="1"/>
  <c r="B8400" i="1"/>
  <c r="A8400" i="1"/>
  <c r="C8399" i="1"/>
  <c r="B8399" i="1"/>
  <c r="A8399" i="1"/>
  <c r="C8398" i="1"/>
  <c r="B8398" i="1"/>
  <c r="A8398" i="1"/>
  <c r="C8397" i="1"/>
  <c r="B8397" i="1"/>
  <c r="A8397" i="1"/>
  <c r="C8396" i="1"/>
  <c r="B8396" i="1"/>
  <c r="A8396" i="1"/>
  <c r="C8395" i="1"/>
  <c r="B8395" i="1"/>
  <c r="A8395" i="1"/>
  <c r="C8394" i="1"/>
  <c r="B8394" i="1"/>
  <c r="A8394" i="1"/>
  <c r="C8393" i="1"/>
  <c r="B8393" i="1"/>
  <c r="A8393" i="1"/>
  <c r="C8392" i="1"/>
  <c r="B8392" i="1"/>
  <c r="A8392" i="1"/>
  <c r="C8391" i="1"/>
  <c r="B8391" i="1"/>
  <c r="A8391" i="1"/>
  <c r="C8390" i="1"/>
  <c r="B8390" i="1"/>
  <c r="A8390" i="1"/>
  <c r="C8389" i="1"/>
  <c r="B8389" i="1"/>
  <c r="A8389" i="1"/>
  <c r="C8388" i="1"/>
  <c r="B8388" i="1"/>
  <c r="A8388" i="1"/>
  <c r="C8387" i="1"/>
  <c r="B8387" i="1"/>
  <c r="A8387" i="1"/>
  <c r="C8386" i="1"/>
  <c r="B8386" i="1"/>
  <c r="A8386" i="1"/>
  <c r="C8385" i="1"/>
  <c r="B8385" i="1"/>
  <c r="A8385" i="1"/>
  <c r="C8384" i="1"/>
  <c r="B8384" i="1"/>
  <c r="A8384" i="1"/>
  <c r="C8383" i="1"/>
  <c r="B8383" i="1"/>
  <c r="A8383" i="1"/>
  <c r="C8382" i="1"/>
  <c r="B8382" i="1"/>
  <c r="A8382" i="1"/>
  <c r="C8381" i="1"/>
  <c r="B8381" i="1"/>
  <c r="A8381" i="1"/>
  <c r="C8380" i="1"/>
  <c r="B8380" i="1"/>
  <c r="A8380" i="1"/>
  <c r="C8379" i="1"/>
  <c r="B8379" i="1"/>
  <c r="A8379" i="1"/>
  <c r="C8378" i="1"/>
  <c r="B8378" i="1"/>
  <c r="A8378" i="1"/>
  <c r="C8377" i="1"/>
  <c r="B8377" i="1"/>
  <c r="A8377" i="1"/>
  <c r="C8376" i="1"/>
  <c r="B8376" i="1"/>
  <c r="A8376" i="1"/>
  <c r="C8375" i="1"/>
  <c r="B8375" i="1"/>
  <c r="A8375" i="1"/>
  <c r="C8374" i="1"/>
  <c r="B8374" i="1"/>
  <c r="A8374" i="1"/>
  <c r="C8373" i="1"/>
  <c r="B8373" i="1"/>
  <c r="A8373" i="1"/>
  <c r="C8372" i="1"/>
  <c r="B8372" i="1"/>
  <c r="A8372" i="1"/>
  <c r="C8371" i="1"/>
  <c r="B8371" i="1"/>
  <c r="A8371" i="1"/>
  <c r="C8370" i="1"/>
  <c r="B8370" i="1"/>
  <c r="A8370" i="1"/>
  <c r="C8369" i="1"/>
  <c r="B8369" i="1"/>
  <c r="A8369" i="1"/>
  <c r="C8368" i="1"/>
  <c r="B8368" i="1"/>
  <c r="A8368" i="1"/>
  <c r="C8367" i="1"/>
  <c r="B8367" i="1"/>
  <c r="A8367" i="1"/>
  <c r="C8366" i="1"/>
  <c r="B8366" i="1"/>
  <c r="A8366" i="1"/>
  <c r="C8365" i="1"/>
  <c r="B8365" i="1"/>
  <c r="A8365" i="1"/>
  <c r="C8364" i="1"/>
  <c r="B8364" i="1"/>
  <c r="A8364" i="1"/>
  <c r="C8363" i="1"/>
  <c r="B8363" i="1"/>
  <c r="A8363" i="1"/>
  <c r="C8362" i="1"/>
  <c r="B8362" i="1"/>
  <c r="A8362" i="1"/>
  <c r="C8361" i="1"/>
  <c r="B8361" i="1"/>
  <c r="A8361" i="1"/>
  <c r="C8360" i="1"/>
  <c r="B8360" i="1"/>
  <c r="A8360" i="1"/>
  <c r="C8359" i="1"/>
  <c r="B8359" i="1"/>
  <c r="A8359" i="1"/>
  <c r="C8358" i="1"/>
  <c r="B8358" i="1"/>
  <c r="A8358" i="1"/>
  <c r="C8357" i="1"/>
  <c r="B8357" i="1"/>
  <c r="A8357" i="1"/>
  <c r="C8356" i="1"/>
  <c r="B8356" i="1"/>
  <c r="A8356" i="1"/>
  <c r="C8355" i="1"/>
  <c r="B8355" i="1"/>
  <c r="A8355" i="1"/>
  <c r="C8354" i="1"/>
  <c r="B8354" i="1"/>
  <c r="A8354" i="1"/>
  <c r="C8353" i="1"/>
  <c r="B8353" i="1"/>
  <c r="A8353" i="1"/>
  <c r="C8352" i="1"/>
  <c r="B8352" i="1"/>
  <c r="A8352" i="1"/>
  <c r="C8351" i="1"/>
  <c r="B8351" i="1"/>
  <c r="A8351" i="1"/>
  <c r="C8350" i="1"/>
  <c r="B8350" i="1"/>
  <c r="A8350" i="1"/>
  <c r="C8349" i="1"/>
  <c r="B8349" i="1"/>
  <c r="A8349" i="1"/>
  <c r="C8348" i="1"/>
  <c r="B8348" i="1"/>
  <c r="A8348" i="1"/>
  <c r="C8347" i="1"/>
  <c r="B8347" i="1"/>
  <c r="A8347" i="1"/>
  <c r="C8346" i="1"/>
  <c r="B8346" i="1"/>
  <c r="A8346" i="1"/>
  <c r="C8345" i="1"/>
  <c r="B8345" i="1"/>
  <c r="A8345" i="1"/>
  <c r="C8344" i="1"/>
  <c r="B8344" i="1"/>
  <c r="A8344" i="1"/>
  <c r="C8343" i="1"/>
  <c r="B8343" i="1"/>
  <c r="A8343" i="1"/>
  <c r="C8342" i="1"/>
  <c r="B8342" i="1"/>
  <c r="A8342" i="1"/>
  <c r="C8341" i="1"/>
  <c r="B8341" i="1"/>
  <c r="A8341" i="1"/>
  <c r="C8340" i="1"/>
  <c r="B8340" i="1"/>
  <c r="A8340" i="1"/>
  <c r="C8339" i="1"/>
  <c r="B8339" i="1"/>
  <c r="A8339" i="1"/>
  <c r="C8338" i="1"/>
  <c r="B8338" i="1"/>
  <c r="A8338" i="1"/>
  <c r="C8337" i="1"/>
  <c r="B8337" i="1"/>
  <c r="A8337" i="1"/>
  <c r="C8336" i="1"/>
  <c r="B8336" i="1"/>
  <c r="A8336" i="1"/>
  <c r="C8335" i="1"/>
  <c r="B8335" i="1"/>
  <c r="A8335" i="1"/>
  <c r="C8334" i="1"/>
  <c r="B8334" i="1"/>
  <c r="A8334" i="1"/>
  <c r="C8333" i="1"/>
  <c r="B8333" i="1"/>
  <c r="A8333" i="1"/>
  <c r="C8332" i="1"/>
  <c r="B8332" i="1"/>
  <c r="A8332" i="1"/>
  <c r="C8331" i="1"/>
  <c r="B8331" i="1"/>
  <c r="A8331" i="1"/>
  <c r="C8330" i="1"/>
  <c r="B8330" i="1"/>
  <c r="A8330" i="1"/>
  <c r="C8329" i="1"/>
  <c r="B8329" i="1"/>
  <c r="A8329" i="1"/>
  <c r="C8328" i="1"/>
  <c r="B8328" i="1"/>
  <c r="A8328" i="1"/>
  <c r="C8327" i="1"/>
  <c r="B8327" i="1"/>
  <c r="A8327" i="1"/>
  <c r="C8326" i="1"/>
  <c r="B8326" i="1"/>
  <c r="A8326" i="1"/>
  <c r="C8325" i="1"/>
  <c r="B8325" i="1"/>
  <c r="A8325" i="1"/>
  <c r="C8324" i="1"/>
  <c r="B8324" i="1"/>
  <c r="A8324" i="1"/>
  <c r="C8323" i="1"/>
  <c r="B8323" i="1"/>
  <c r="A8323" i="1"/>
  <c r="C8322" i="1"/>
  <c r="B8322" i="1"/>
  <c r="A8322" i="1"/>
  <c r="C8321" i="1"/>
  <c r="B8321" i="1"/>
  <c r="A8321" i="1"/>
  <c r="C8320" i="1"/>
  <c r="B8320" i="1"/>
  <c r="A8320" i="1"/>
  <c r="C8319" i="1"/>
  <c r="B8319" i="1"/>
  <c r="A8319" i="1"/>
  <c r="C8318" i="1"/>
  <c r="B8318" i="1"/>
  <c r="A8318" i="1"/>
  <c r="C8317" i="1"/>
  <c r="B8317" i="1"/>
  <c r="A8317" i="1"/>
  <c r="C8316" i="1"/>
  <c r="B8316" i="1"/>
  <c r="A8316" i="1"/>
  <c r="C8315" i="1"/>
  <c r="B8315" i="1"/>
  <c r="A8315" i="1"/>
  <c r="C8314" i="1"/>
  <c r="B8314" i="1"/>
  <c r="A8314" i="1"/>
  <c r="C8313" i="1"/>
  <c r="B8313" i="1"/>
  <c r="A8313" i="1"/>
  <c r="C8312" i="1"/>
  <c r="B8312" i="1"/>
  <c r="A8312" i="1"/>
  <c r="C8311" i="1"/>
  <c r="B8311" i="1"/>
  <c r="A8311" i="1"/>
  <c r="C8310" i="1"/>
  <c r="B8310" i="1"/>
  <c r="A8310" i="1"/>
  <c r="C8309" i="1"/>
  <c r="B8309" i="1"/>
  <c r="A8309" i="1"/>
  <c r="C8308" i="1"/>
  <c r="B8308" i="1"/>
  <c r="A8308" i="1"/>
  <c r="C8307" i="1"/>
  <c r="B8307" i="1"/>
  <c r="A8307" i="1"/>
  <c r="C8306" i="1"/>
  <c r="B8306" i="1"/>
  <c r="A8306" i="1"/>
  <c r="C8305" i="1"/>
  <c r="B8305" i="1"/>
  <c r="A8305" i="1"/>
  <c r="C8304" i="1"/>
  <c r="B8304" i="1"/>
  <c r="A8304" i="1"/>
  <c r="C8303" i="1"/>
  <c r="B8303" i="1"/>
  <c r="A8303" i="1"/>
  <c r="C8302" i="1"/>
  <c r="B8302" i="1"/>
  <c r="A8302" i="1"/>
  <c r="C8301" i="1"/>
  <c r="B8301" i="1"/>
  <c r="A8301" i="1"/>
  <c r="C8300" i="1"/>
  <c r="B8300" i="1"/>
  <c r="A8300" i="1"/>
  <c r="C8299" i="1"/>
  <c r="B8299" i="1"/>
  <c r="A8299" i="1"/>
  <c r="C8298" i="1"/>
  <c r="B8298" i="1"/>
  <c r="A8298" i="1"/>
  <c r="C8297" i="1"/>
  <c r="B8297" i="1"/>
  <c r="A8297" i="1"/>
  <c r="C8296" i="1"/>
  <c r="B8296" i="1"/>
  <c r="A8296" i="1"/>
  <c r="C8295" i="1"/>
  <c r="B8295" i="1"/>
  <c r="A8295" i="1"/>
  <c r="C8294" i="1"/>
  <c r="B8294" i="1"/>
  <c r="A8294" i="1"/>
  <c r="C8293" i="1"/>
  <c r="B8293" i="1"/>
  <c r="A8293" i="1"/>
  <c r="C8292" i="1"/>
  <c r="B8292" i="1"/>
  <c r="A8292" i="1"/>
  <c r="C8291" i="1"/>
  <c r="B8291" i="1"/>
  <c r="A8291" i="1"/>
  <c r="C8290" i="1"/>
  <c r="B8290" i="1"/>
  <c r="A8290" i="1"/>
  <c r="C8289" i="1"/>
  <c r="B8289" i="1"/>
  <c r="A8289" i="1"/>
  <c r="C8288" i="1"/>
  <c r="B8288" i="1"/>
  <c r="A8288" i="1"/>
  <c r="C8287" i="1"/>
  <c r="B8287" i="1"/>
  <c r="A8287" i="1"/>
  <c r="C8286" i="1"/>
  <c r="B8286" i="1"/>
  <c r="A8286" i="1"/>
  <c r="C8285" i="1"/>
  <c r="B8285" i="1"/>
  <c r="A8285" i="1"/>
  <c r="C8284" i="1"/>
  <c r="B8284" i="1"/>
  <c r="A8284" i="1"/>
  <c r="C8283" i="1"/>
  <c r="B8283" i="1"/>
  <c r="A8283" i="1"/>
  <c r="C8282" i="1"/>
  <c r="B8282" i="1"/>
  <c r="A8282" i="1"/>
  <c r="C8281" i="1"/>
  <c r="B8281" i="1"/>
  <c r="A8281" i="1"/>
  <c r="C8280" i="1"/>
  <c r="B8280" i="1"/>
  <c r="A8280" i="1"/>
  <c r="C8279" i="1"/>
  <c r="B8279" i="1"/>
  <c r="A8279" i="1"/>
  <c r="C8278" i="1"/>
  <c r="B8278" i="1"/>
  <c r="A8278" i="1"/>
  <c r="C8277" i="1"/>
  <c r="B8277" i="1"/>
  <c r="A8277" i="1"/>
  <c r="C8276" i="1"/>
  <c r="B8276" i="1"/>
  <c r="A8276" i="1"/>
  <c r="C8275" i="1"/>
  <c r="B8275" i="1"/>
  <c r="A8275" i="1"/>
  <c r="C8274" i="1"/>
  <c r="B8274" i="1"/>
  <c r="A8274" i="1"/>
  <c r="C8273" i="1"/>
  <c r="B8273" i="1"/>
  <c r="A8273" i="1"/>
  <c r="C8272" i="1"/>
  <c r="B8272" i="1"/>
  <c r="A8272" i="1"/>
  <c r="C8271" i="1"/>
  <c r="B8271" i="1"/>
  <c r="A8271" i="1"/>
  <c r="C8270" i="1"/>
  <c r="B8270" i="1"/>
  <c r="A8270" i="1"/>
  <c r="C8269" i="1"/>
  <c r="B8269" i="1"/>
  <c r="A8269" i="1"/>
  <c r="C8268" i="1"/>
  <c r="B8268" i="1"/>
  <c r="A8268" i="1"/>
  <c r="C8267" i="1"/>
  <c r="B8267" i="1"/>
  <c r="A8267" i="1"/>
  <c r="C8266" i="1"/>
  <c r="B8266" i="1"/>
  <c r="A8266" i="1"/>
  <c r="C8265" i="1"/>
  <c r="B8265" i="1"/>
  <c r="A8265" i="1"/>
  <c r="C8264" i="1"/>
  <c r="B8264" i="1"/>
  <c r="A8264" i="1"/>
  <c r="C8263" i="1"/>
  <c r="B8263" i="1"/>
  <c r="A8263" i="1"/>
  <c r="C8262" i="1"/>
  <c r="B8262" i="1"/>
  <c r="A8262" i="1"/>
  <c r="C8261" i="1"/>
  <c r="B8261" i="1"/>
  <c r="A8261" i="1"/>
  <c r="C8260" i="1"/>
  <c r="B8260" i="1"/>
  <c r="A8260" i="1"/>
  <c r="C8259" i="1"/>
  <c r="B8259" i="1"/>
  <c r="A8259" i="1"/>
  <c r="C8258" i="1"/>
  <c r="B8258" i="1"/>
  <c r="A8258" i="1"/>
  <c r="C8257" i="1"/>
  <c r="B8257" i="1"/>
  <c r="A8257" i="1"/>
  <c r="C8256" i="1"/>
  <c r="B8256" i="1"/>
  <c r="A8256" i="1"/>
  <c r="C8255" i="1"/>
  <c r="B8255" i="1"/>
  <c r="A8255" i="1"/>
  <c r="C8254" i="1"/>
  <c r="B8254" i="1"/>
  <c r="A8254" i="1"/>
  <c r="C8253" i="1"/>
  <c r="B8253" i="1"/>
  <c r="A8253" i="1"/>
  <c r="C8252" i="1"/>
  <c r="B8252" i="1"/>
  <c r="A8252" i="1"/>
  <c r="C8251" i="1"/>
  <c r="B8251" i="1"/>
  <c r="A8251" i="1"/>
  <c r="C8250" i="1"/>
  <c r="B8250" i="1"/>
  <c r="A8250" i="1"/>
  <c r="C8249" i="1"/>
  <c r="B8249" i="1"/>
  <c r="A8249" i="1"/>
  <c r="C8248" i="1"/>
  <c r="B8248" i="1"/>
  <c r="A8248" i="1"/>
  <c r="C8247" i="1"/>
  <c r="B8247" i="1"/>
  <c r="A8247" i="1"/>
  <c r="C8246" i="1"/>
  <c r="B8246" i="1"/>
  <c r="A8246" i="1"/>
  <c r="C8245" i="1"/>
  <c r="B8245" i="1"/>
  <c r="A8245" i="1"/>
  <c r="C8244" i="1"/>
  <c r="B8244" i="1"/>
  <c r="A8244" i="1"/>
  <c r="C8243" i="1"/>
  <c r="B8243" i="1"/>
  <c r="A8243" i="1"/>
  <c r="C8242" i="1"/>
  <c r="B8242" i="1"/>
  <c r="A8242" i="1"/>
  <c r="C8241" i="1"/>
  <c r="B8241" i="1"/>
  <c r="A8241" i="1"/>
  <c r="C8240" i="1"/>
  <c r="B8240" i="1"/>
  <c r="A8240" i="1"/>
  <c r="C8239" i="1"/>
  <c r="B8239" i="1"/>
  <c r="A8239" i="1"/>
  <c r="C8238" i="1"/>
  <c r="B8238" i="1"/>
  <c r="A8238" i="1"/>
  <c r="C8237" i="1"/>
  <c r="B8237" i="1"/>
  <c r="A8237" i="1"/>
  <c r="C8236" i="1"/>
  <c r="B8236" i="1"/>
  <c r="A8236" i="1"/>
  <c r="C8235" i="1"/>
  <c r="B8235" i="1"/>
  <c r="A8235" i="1"/>
  <c r="C8234" i="1"/>
  <c r="B8234" i="1"/>
  <c r="A8234" i="1"/>
  <c r="C8233" i="1"/>
  <c r="B8233" i="1"/>
  <c r="A8233" i="1"/>
  <c r="C8232" i="1"/>
  <c r="B8232" i="1"/>
  <c r="A8232" i="1"/>
  <c r="C8231" i="1"/>
  <c r="B8231" i="1"/>
  <c r="A8231" i="1"/>
  <c r="C8230" i="1"/>
  <c r="B8230" i="1"/>
  <c r="A8230" i="1"/>
  <c r="C8229" i="1"/>
  <c r="B8229" i="1"/>
  <c r="A8229" i="1"/>
  <c r="C8228" i="1"/>
  <c r="B8228" i="1"/>
  <c r="A8228" i="1"/>
  <c r="C8227" i="1"/>
  <c r="B8227" i="1"/>
  <c r="A8227" i="1"/>
  <c r="C8226" i="1"/>
  <c r="B8226" i="1"/>
  <c r="A8226" i="1"/>
  <c r="C8225" i="1"/>
  <c r="B8225" i="1"/>
  <c r="A8225" i="1"/>
  <c r="C8224" i="1"/>
  <c r="B8224" i="1"/>
  <c r="A8224" i="1"/>
  <c r="C8223" i="1"/>
  <c r="B8223" i="1"/>
  <c r="A8223" i="1"/>
  <c r="C8222" i="1"/>
  <c r="B8222" i="1"/>
  <c r="A8222" i="1"/>
  <c r="C8221" i="1"/>
  <c r="B8221" i="1"/>
  <c r="A8221" i="1"/>
  <c r="C8220" i="1"/>
  <c r="B8220" i="1"/>
  <c r="A8220" i="1"/>
  <c r="C8219" i="1"/>
  <c r="B8219" i="1"/>
  <c r="A8219" i="1"/>
  <c r="C8218" i="1"/>
  <c r="B8218" i="1"/>
  <c r="A8218" i="1"/>
  <c r="C8217" i="1"/>
  <c r="B8217" i="1"/>
  <c r="A8217" i="1"/>
  <c r="C8216" i="1"/>
  <c r="B8216" i="1"/>
  <c r="A8216" i="1"/>
  <c r="C8215" i="1"/>
  <c r="B8215" i="1"/>
  <c r="A8215" i="1"/>
  <c r="C8214" i="1"/>
  <c r="B8214" i="1"/>
  <c r="A8214" i="1"/>
  <c r="C8213" i="1"/>
  <c r="B8213" i="1"/>
  <c r="A8213" i="1"/>
  <c r="C8212" i="1"/>
  <c r="B8212" i="1"/>
  <c r="A8212" i="1"/>
  <c r="C8211" i="1"/>
  <c r="B8211" i="1"/>
  <c r="A8211" i="1"/>
  <c r="C8210" i="1"/>
  <c r="B8210" i="1"/>
  <c r="A8210" i="1"/>
  <c r="C8209" i="1"/>
  <c r="B8209" i="1"/>
  <c r="A8209" i="1"/>
  <c r="C8208" i="1"/>
  <c r="B8208" i="1"/>
  <c r="A8208" i="1"/>
  <c r="C8207" i="1"/>
  <c r="B8207" i="1"/>
  <c r="A8207" i="1"/>
  <c r="C8206" i="1"/>
  <c r="B8206" i="1"/>
  <c r="A8206" i="1"/>
  <c r="C8205" i="1"/>
  <c r="B8205" i="1"/>
  <c r="A8205" i="1"/>
  <c r="C8204" i="1"/>
  <c r="B8204" i="1"/>
  <c r="A8204" i="1"/>
  <c r="C8203" i="1"/>
  <c r="B8203" i="1"/>
  <c r="A8203" i="1"/>
  <c r="C8202" i="1"/>
  <c r="B8202" i="1"/>
  <c r="A8202" i="1"/>
  <c r="C8201" i="1"/>
  <c r="B8201" i="1"/>
  <c r="A8201" i="1"/>
  <c r="C8200" i="1"/>
  <c r="B8200" i="1"/>
  <c r="A8200" i="1"/>
  <c r="C8199" i="1"/>
  <c r="B8199" i="1"/>
  <c r="A8199" i="1"/>
  <c r="C8198" i="1"/>
  <c r="B8198" i="1"/>
  <c r="A8198" i="1"/>
  <c r="C8197" i="1"/>
  <c r="B8197" i="1"/>
  <c r="A8197" i="1"/>
  <c r="C8196" i="1"/>
  <c r="B8196" i="1"/>
  <c r="A8196" i="1"/>
  <c r="C8195" i="1"/>
  <c r="B8195" i="1"/>
  <c r="A8195" i="1"/>
  <c r="C8194" i="1"/>
  <c r="B8194" i="1"/>
  <c r="A8194" i="1"/>
  <c r="C8193" i="1"/>
  <c r="B8193" i="1"/>
  <c r="A8193" i="1"/>
  <c r="C8192" i="1"/>
  <c r="B8192" i="1"/>
  <c r="A8192" i="1"/>
  <c r="C8191" i="1"/>
  <c r="B8191" i="1"/>
  <c r="A8191" i="1"/>
  <c r="C8190" i="1"/>
  <c r="B8190" i="1"/>
  <c r="A8190" i="1"/>
  <c r="C8189" i="1"/>
  <c r="B8189" i="1"/>
  <c r="A8189" i="1"/>
  <c r="C8188" i="1"/>
  <c r="B8188" i="1"/>
  <c r="A8188" i="1"/>
  <c r="C8187" i="1"/>
  <c r="B8187" i="1"/>
  <c r="A8187" i="1"/>
  <c r="C8186" i="1"/>
  <c r="B8186" i="1"/>
  <c r="A8186" i="1"/>
  <c r="C8185" i="1"/>
  <c r="B8185" i="1"/>
  <c r="A8185" i="1"/>
  <c r="C8184" i="1"/>
  <c r="B8184" i="1"/>
  <c r="A8184" i="1"/>
  <c r="C8183" i="1"/>
  <c r="B8183" i="1"/>
  <c r="A8183" i="1"/>
  <c r="C8182" i="1"/>
  <c r="B8182" i="1"/>
  <c r="A8182" i="1"/>
  <c r="C8181" i="1"/>
  <c r="B8181" i="1"/>
  <c r="A8181" i="1"/>
  <c r="C8180" i="1"/>
  <c r="B8180" i="1"/>
  <c r="A8180" i="1"/>
  <c r="C8179" i="1"/>
  <c r="B8179" i="1"/>
  <c r="A8179" i="1"/>
  <c r="C8178" i="1"/>
  <c r="B8178" i="1"/>
  <c r="A8178" i="1"/>
  <c r="C8177" i="1"/>
  <c r="B8177" i="1"/>
  <c r="A8177" i="1"/>
  <c r="C8176" i="1"/>
  <c r="B8176" i="1"/>
  <c r="A8176" i="1"/>
  <c r="C8175" i="1"/>
  <c r="B8175" i="1"/>
  <c r="A8175" i="1"/>
  <c r="C8174" i="1"/>
  <c r="B8174" i="1"/>
  <c r="A8174" i="1"/>
  <c r="C8173" i="1"/>
  <c r="B8173" i="1"/>
  <c r="A8173" i="1"/>
  <c r="C8172" i="1"/>
  <c r="B8172" i="1"/>
  <c r="A8172" i="1"/>
  <c r="C8171" i="1"/>
  <c r="B8171" i="1"/>
  <c r="A8171" i="1"/>
  <c r="C8170" i="1"/>
  <c r="B8170" i="1"/>
  <c r="A8170" i="1"/>
  <c r="C8169" i="1"/>
  <c r="B8169" i="1"/>
  <c r="A8169" i="1"/>
  <c r="C8168" i="1"/>
  <c r="B8168" i="1"/>
  <c r="A8168" i="1"/>
  <c r="C8167" i="1"/>
  <c r="B8167" i="1"/>
  <c r="A8167" i="1"/>
  <c r="C8166" i="1"/>
  <c r="B8166" i="1"/>
  <c r="A8166" i="1"/>
  <c r="C8165" i="1"/>
  <c r="B8165" i="1"/>
  <c r="A8165" i="1"/>
  <c r="C8164" i="1"/>
  <c r="B8164" i="1"/>
  <c r="A8164" i="1"/>
  <c r="C8163" i="1"/>
  <c r="B8163" i="1"/>
  <c r="A8163" i="1"/>
  <c r="C8162" i="1"/>
  <c r="B8162" i="1"/>
  <c r="A8162" i="1"/>
  <c r="C8161" i="1"/>
  <c r="B8161" i="1"/>
  <c r="A8161" i="1"/>
  <c r="C8160" i="1"/>
  <c r="B8160" i="1"/>
  <c r="A8160" i="1"/>
  <c r="C8159" i="1"/>
  <c r="B8159" i="1"/>
  <c r="A8159" i="1"/>
  <c r="C8158" i="1"/>
  <c r="B8158" i="1"/>
  <c r="A8158" i="1"/>
  <c r="C8157" i="1"/>
  <c r="B8157" i="1"/>
  <c r="A8157" i="1"/>
  <c r="C8156" i="1"/>
  <c r="B8156" i="1"/>
  <c r="A8156" i="1"/>
  <c r="C8155" i="1"/>
  <c r="B8155" i="1"/>
  <c r="A8155" i="1"/>
  <c r="C8154" i="1"/>
  <c r="B8154" i="1"/>
  <c r="A8154" i="1"/>
  <c r="C8153" i="1"/>
  <c r="B8153" i="1"/>
  <c r="A8153" i="1"/>
  <c r="C8152" i="1"/>
  <c r="B8152" i="1"/>
  <c r="A8152" i="1"/>
  <c r="C8151" i="1"/>
  <c r="B8151" i="1"/>
  <c r="A8151" i="1"/>
  <c r="C8150" i="1"/>
  <c r="B8150" i="1"/>
  <c r="A8150" i="1"/>
  <c r="C8149" i="1"/>
  <c r="B8149" i="1"/>
  <c r="A8149" i="1"/>
  <c r="C8148" i="1"/>
  <c r="B8148" i="1"/>
  <c r="A8148" i="1"/>
  <c r="C8147" i="1"/>
  <c r="B8147" i="1"/>
  <c r="A8147" i="1"/>
  <c r="C8146" i="1"/>
  <c r="B8146" i="1"/>
  <c r="A8146" i="1"/>
  <c r="C8145" i="1"/>
  <c r="B8145" i="1"/>
  <c r="A8145" i="1"/>
  <c r="C8144" i="1"/>
  <c r="B8144" i="1"/>
  <c r="A8144" i="1"/>
  <c r="C8143" i="1"/>
  <c r="B8143" i="1"/>
  <c r="A8143" i="1"/>
  <c r="C8142" i="1"/>
  <c r="B8142" i="1"/>
  <c r="A8142" i="1"/>
  <c r="C8141" i="1"/>
  <c r="B8141" i="1"/>
  <c r="A8141" i="1"/>
  <c r="C8140" i="1"/>
  <c r="B8140" i="1"/>
  <c r="A8140" i="1"/>
  <c r="C8139" i="1"/>
  <c r="B8139" i="1"/>
  <c r="A8139" i="1"/>
  <c r="C8138" i="1"/>
  <c r="B8138" i="1"/>
  <c r="A8138" i="1"/>
  <c r="C8137" i="1"/>
  <c r="B8137" i="1"/>
  <c r="A8137" i="1"/>
  <c r="C8136" i="1"/>
  <c r="B8136" i="1"/>
  <c r="A8136" i="1"/>
  <c r="C8135" i="1"/>
  <c r="B8135" i="1"/>
  <c r="A8135" i="1"/>
  <c r="C8134" i="1"/>
  <c r="B8134" i="1"/>
  <c r="A8134" i="1"/>
  <c r="C8133" i="1"/>
  <c r="B8133" i="1"/>
  <c r="A8133" i="1"/>
  <c r="C8132" i="1"/>
  <c r="B8132" i="1"/>
  <c r="A8132" i="1"/>
  <c r="C8131" i="1"/>
  <c r="B8131" i="1"/>
  <c r="A8131" i="1"/>
  <c r="C8130" i="1"/>
  <c r="B8130" i="1"/>
  <c r="A8130" i="1"/>
  <c r="C8129" i="1"/>
  <c r="B8129" i="1"/>
  <c r="A8129" i="1"/>
  <c r="C8128" i="1"/>
  <c r="B8128" i="1"/>
  <c r="A8128" i="1"/>
  <c r="C8127" i="1"/>
  <c r="B8127" i="1"/>
  <c r="A8127" i="1"/>
  <c r="C8126" i="1"/>
  <c r="B8126" i="1"/>
  <c r="A8126" i="1"/>
  <c r="C8125" i="1"/>
  <c r="B8125" i="1"/>
  <c r="A8125" i="1"/>
  <c r="C8124" i="1"/>
  <c r="B8124" i="1"/>
  <c r="A8124" i="1"/>
  <c r="C8123" i="1"/>
  <c r="B8123" i="1"/>
  <c r="A8123" i="1"/>
  <c r="C8122" i="1"/>
  <c r="B8122" i="1"/>
  <c r="A8122" i="1"/>
  <c r="C8121" i="1"/>
  <c r="B8121" i="1"/>
  <c r="A8121" i="1"/>
  <c r="C8120" i="1"/>
  <c r="B8120" i="1"/>
  <c r="A8120" i="1"/>
  <c r="C8119" i="1"/>
  <c r="B8119" i="1"/>
  <c r="A8119" i="1"/>
  <c r="C8118" i="1"/>
  <c r="B8118" i="1"/>
  <c r="A8118" i="1"/>
  <c r="C8117" i="1"/>
  <c r="B8117" i="1"/>
  <c r="A8117" i="1"/>
  <c r="C8116" i="1"/>
  <c r="B8116" i="1"/>
  <c r="A8116" i="1"/>
  <c r="C8115" i="1"/>
  <c r="B8115" i="1"/>
  <c r="A8115" i="1"/>
  <c r="C8114" i="1"/>
  <c r="B8114" i="1"/>
  <c r="A8114" i="1"/>
  <c r="C8113" i="1"/>
  <c r="B8113" i="1"/>
  <c r="A8113" i="1"/>
  <c r="C8112" i="1"/>
  <c r="B8112" i="1"/>
  <c r="A8112" i="1"/>
  <c r="C8111" i="1"/>
  <c r="B8111" i="1"/>
  <c r="A8111" i="1"/>
  <c r="C8110" i="1"/>
  <c r="B8110" i="1"/>
  <c r="A8110" i="1"/>
  <c r="C8109" i="1"/>
  <c r="B8109" i="1"/>
  <c r="A8109" i="1"/>
  <c r="C8108" i="1"/>
  <c r="B8108" i="1"/>
  <c r="A8108" i="1"/>
  <c r="C8107" i="1"/>
  <c r="B8107" i="1"/>
  <c r="A8107" i="1"/>
  <c r="C8106" i="1"/>
  <c r="B8106" i="1"/>
  <c r="A8106" i="1"/>
  <c r="C8105" i="1"/>
  <c r="B8105" i="1"/>
  <c r="A8105" i="1"/>
  <c r="C8104" i="1"/>
  <c r="B8104" i="1"/>
  <c r="A8104" i="1"/>
  <c r="C8103" i="1"/>
  <c r="B8103" i="1"/>
  <c r="A8103" i="1"/>
  <c r="C8102" i="1"/>
  <c r="B8102" i="1"/>
  <c r="A8102" i="1"/>
  <c r="C8101" i="1"/>
  <c r="B8101" i="1"/>
  <c r="A8101" i="1"/>
  <c r="C8100" i="1"/>
  <c r="B8100" i="1"/>
  <c r="A8100" i="1"/>
  <c r="C8099" i="1"/>
  <c r="B8099" i="1"/>
  <c r="A8099" i="1"/>
  <c r="C8098" i="1"/>
  <c r="B8098" i="1"/>
  <c r="A8098" i="1"/>
  <c r="C8097" i="1"/>
  <c r="B8097" i="1"/>
  <c r="A8097" i="1"/>
  <c r="C8096" i="1"/>
  <c r="B8096" i="1"/>
  <c r="A8096" i="1"/>
  <c r="C8095" i="1"/>
  <c r="B8095" i="1"/>
  <c r="A8095" i="1"/>
  <c r="C8094" i="1"/>
  <c r="B8094" i="1"/>
  <c r="A8094" i="1"/>
  <c r="C8093" i="1"/>
  <c r="B8093" i="1"/>
  <c r="A8093" i="1"/>
  <c r="C8092" i="1"/>
  <c r="B8092" i="1"/>
  <c r="A8092" i="1"/>
  <c r="C8091" i="1"/>
  <c r="B8091" i="1"/>
  <c r="A8091" i="1"/>
  <c r="C8090" i="1"/>
  <c r="B8090" i="1"/>
  <c r="A8090" i="1"/>
  <c r="C8089" i="1"/>
  <c r="B8089" i="1"/>
  <c r="A8089" i="1"/>
  <c r="C8088" i="1"/>
  <c r="B8088" i="1"/>
  <c r="A8088" i="1"/>
  <c r="C8087" i="1"/>
  <c r="B8087" i="1"/>
  <c r="A8087" i="1"/>
  <c r="C8086" i="1"/>
  <c r="B8086" i="1"/>
  <c r="A8086" i="1"/>
  <c r="C8085" i="1"/>
  <c r="B8085" i="1"/>
  <c r="A8085" i="1"/>
  <c r="C8084" i="1"/>
  <c r="B8084" i="1"/>
  <c r="A8084" i="1"/>
  <c r="C8083" i="1"/>
  <c r="B8083" i="1"/>
  <c r="A8083" i="1"/>
  <c r="C8082" i="1"/>
  <c r="B8082" i="1"/>
  <c r="A8082" i="1"/>
  <c r="C8081" i="1"/>
  <c r="B8081" i="1"/>
  <c r="A8081" i="1"/>
  <c r="C8080" i="1"/>
  <c r="B8080" i="1"/>
  <c r="A8080" i="1"/>
  <c r="C8079" i="1"/>
  <c r="B8079" i="1"/>
  <c r="A8079" i="1"/>
  <c r="C8078" i="1"/>
  <c r="B8078" i="1"/>
  <c r="A8078" i="1"/>
  <c r="C8077" i="1"/>
  <c r="B8077" i="1"/>
  <c r="A8077" i="1"/>
  <c r="C8076" i="1"/>
  <c r="B8076" i="1"/>
  <c r="A8076" i="1"/>
  <c r="C8075" i="1"/>
  <c r="B8075" i="1"/>
  <c r="A8075" i="1"/>
  <c r="C8074" i="1"/>
  <c r="B8074" i="1"/>
  <c r="A8074" i="1"/>
  <c r="C8073" i="1"/>
  <c r="B8073" i="1"/>
  <c r="A8073" i="1"/>
  <c r="C8072" i="1"/>
  <c r="B8072" i="1"/>
  <c r="A8072" i="1"/>
  <c r="C8071" i="1"/>
  <c r="B8071" i="1"/>
  <c r="A8071" i="1"/>
  <c r="C8070" i="1"/>
  <c r="B8070" i="1"/>
  <c r="A8070" i="1"/>
  <c r="C8069" i="1"/>
  <c r="B8069" i="1"/>
  <c r="A8069" i="1"/>
  <c r="C8068" i="1"/>
  <c r="B8068" i="1"/>
  <c r="A8068" i="1"/>
  <c r="C8067" i="1"/>
  <c r="B8067" i="1"/>
  <c r="A8067" i="1"/>
  <c r="C8066" i="1"/>
  <c r="B8066" i="1"/>
  <c r="A8066" i="1"/>
  <c r="C8065" i="1"/>
  <c r="B8065" i="1"/>
  <c r="A8065" i="1"/>
  <c r="C8064" i="1"/>
  <c r="B8064" i="1"/>
  <c r="A8064" i="1"/>
  <c r="C8063" i="1"/>
  <c r="B8063" i="1"/>
  <c r="A8063" i="1"/>
  <c r="C8062" i="1"/>
  <c r="B8062" i="1"/>
  <c r="A8062" i="1"/>
  <c r="C8061" i="1"/>
  <c r="B8061" i="1"/>
  <c r="A8061" i="1"/>
  <c r="C8060" i="1"/>
  <c r="B8060" i="1"/>
  <c r="A8060" i="1"/>
  <c r="C8059" i="1"/>
  <c r="B8059" i="1"/>
  <c r="A8059" i="1"/>
  <c r="C8058" i="1"/>
  <c r="B8058" i="1"/>
  <c r="A8058" i="1"/>
  <c r="C8057" i="1"/>
  <c r="B8057" i="1"/>
  <c r="A8057" i="1"/>
  <c r="C8056" i="1"/>
  <c r="B8056" i="1"/>
  <c r="A8056" i="1"/>
  <c r="C8055" i="1"/>
  <c r="B8055" i="1"/>
  <c r="A8055" i="1"/>
  <c r="C8054" i="1"/>
  <c r="B8054" i="1"/>
  <c r="A8054" i="1"/>
  <c r="C8053" i="1"/>
  <c r="B8053" i="1"/>
  <c r="A8053" i="1"/>
  <c r="C8052" i="1"/>
  <c r="B8052" i="1"/>
  <c r="A8052" i="1"/>
  <c r="C8051" i="1"/>
  <c r="B8051" i="1"/>
  <c r="A8051" i="1"/>
  <c r="C8050" i="1"/>
  <c r="B8050" i="1"/>
  <c r="A8050" i="1"/>
  <c r="C8049" i="1"/>
  <c r="B8049" i="1"/>
  <c r="A8049" i="1"/>
  <c r="C8048" i="1"/>
  <c r="B8048" i="1"/>
  <c r="A8048" i="1"/>
  <c r="C8047" i="1"/>
  <c r="B8047" i="1"/>
  <c r="A8047" i="1"/>
  <c r="C8046" i="1"/>
  <c r="B8046" i="1"/>
  <c r="A8046" i="1"/>
  <c r="C8045" i="1"/>
  <c r="B8045" i="1"/>
  <c r="A8045" i="1"/>
  <c r="C8044" i="1"/>
  <c r="B8044" i="1"/>
  <c r="A8044" i="1"/>
  <c r="C8043" i="1"/>
  <c r="B8043" i="1"/>
  <c r="A8043" i="1"/>
  <c r="C8042" i="1"/>
  <c r="B8042" i="1"/>
  <c r="A8042" i="1"/>
  <c r="C8041" i="1"/>
  <c r="B8041" i="1"/>
  <c r="A8041" i="1"/>
  <c r="C8040" i="1"/>
  <c r="B8040" i="1"/>
  <c r="A8040" i="1"/>
  <c r="C8039" i="1"/>
  <c r="B8039" i="1"/>
  <c r="A8039" i="1"/>
  <c r="C8038" i="1"/>
  <c r="B8038" i="1"/>
  <c r="A8038" i="1"/>
  <c r="C8037" i="1"/>
  <c r="B8037" i="1"/>
  <c r="A8037" i="1"/>
  <c r="C8036" i="1"/>
  <c r="B8036" i="1"/>
  <c r="A8036" i="1"/>
  <c r="C8035" i="1"/>
  <c r="B8035" i="1"/>
  <c r="A8035" i="1"/>
  <c r="C8034" i="1"/>
  <c r="B8034" i="1"/>
  <c r="A8034" i="1"/>
  <c r="C8033" i="1"/>
  <c r="B8033" i="1"/>
  <c r="A8033" i="1"/>
  <c r="C8032" i="1"/>
  <c r="B8032" i="1"/>
  <c r="A8032" i="1"/>
  <c r="C8031" i="1"/>
  <c r="B8031" i="1"/>
  <c r="A8031" i="1"/>
  <c r="C8030" i="1"/>
  <c r="B8030" i="1"/>
  <c r="A8030" i="1"/>
  <c r="C8029" i="1"/>
  <c r="B8029" i="1"/>
  <c r="A8029" i="1"/>
  <c r="C8028" i="1"/>
  <c r="B8028" i="1"/>
  <c r="A8028" i="1"/>
  <c r="C8027" i="1"/>
  <c r="B8027" i="1"/>
  <c r="A8027" i="1"/>
  <c r="C8026" i="1"/>
  <c r="B8026" i="1"/>
  <c r="A8026" i="1"/>
  <c r="C8025" i="1"/>
  <c r="B8025" i="1"/>
  <c r="A8025" i="1"/>
  <c r="C8024" i="1"/>
  <c r="B8024" i="1"/>
  <c r="A8024" i="1"/>
  <c r="C8023" i="1"/>
  <c r="B8023" i="1"/>
  <c r="A8023" i="1"/>
  <c r="C8022" i="1"/>
  <c r="B8022" i="1"/>
  <c r="A8022" i="1"/>
  <c r="C8021" i="1"/>
  <c r="B8021" i="1"/>
  <c r="A8021" i="1"/>
  <c r="C8020" i="1"/>
  <c r="B8020" i="1"/>
  <c r="A8020" i="1"/>
  <c r="C8019" i="1"/>
  <c r="B8019" i="1"/>
  <c r="A8019" i="1"/>
  <c r="C8018" i="1"/>
  <c r="B8018" i="1"/>
  <c r="A8018" i="1"/>
  <c r="C8017" i="1"/>
  <c r="B8017" i="1"/>
  <c r="A8017" i="1"/>
  <c r="C8016" i="1"/>
  <c r="B8016" i="1"/>
  <c r="A8016" i="1"/>
  <c r="C8015" i="1"/>
  <c r="B8015" i="1"/>
  <c r="A8015" i="1"/>
  <c r="C8014" i="1"/>
  <c r="B8014" i="1"/>
  <c r="A8014" i="1"/>
  <c r="C8013" i="1"/>
  <c r="B8013" i="1"/>
  <c r="A8013" i="1"/>
  <c r="C8012" i="1"/>
  <c r="B8012" i="1"/>
  <c r="A8012" i="1"/>
  <c r="C8011" i="1"/>
  <c r="B8011" i="1"/>
  <c r="A8011" i="1"/>
  <c r="C8010" i="1"/>
  <c r="B8010" i="1"/>
  <c r="A8010" i="1"/>
  <c r="C8009" i="1"/>
  <c r="B8009" i="1"/>
  <c r="A8009" i="1"/>
  <c r="C8008" i="1"/>
  <c r="B8008" i="1"/>
  <c r="A8008" i="1"/>
  <c r="C8007" i="1"/>
  <c r="B8007" i="1"/>
  <c r="A8007" i="1"/>
  <c r="C8006" i="1"/>
  <c r="B8006" i="1"/>
  <c r="A8006" i="1"/>
  <c r="C8005" i="1"/>
  <c r="B8005" i="1"/>
  <c r="A8005" i="1"/>
  <c r="C8004" i="1"/>
  <c r="B8004" i="1"/>
  <c r="A8004" i="1"/>
  <c r="C8003" i="1"/>
  <c r="B8003" i="1"/>
  <c r="A8003" i="1"/>
  <c r="C8002" i="1"/>
  <c r="B8002" i="1"/>
  <c r="A8002" i="1"/>
  <c r="C8001" i="1"/>
  <c r="B8001" i="1"/>
  <c r="A8001" i="1"/>
  <c r="C8000" i="1"/>
  <c r="B8000" i="1"/>
  <c r="A8000" i="1"/>
  <c r="C7999" i="1"/>
  <c r="B7999" i="1"/>
  <c r="A7999" i="1"/>
  <c r="C7998" i="1"/>
  <c r="B7998" i="1"/>
  <c r="A7998" i="1"/>
  <c r="C7997" i="1"/>
  <c r="B7997" i="1"/>
  <c r="A7997" i="1"/>
  <c r="C7996" i="1"/>
  <c r="B7996" i="1"/>
  <c r="A7996" i="1"/>
  <c r="C7995" i="1"/>
  <c r="B7995" i="1"/>
  <c r="A7995" i="1"/>
  <c r="C7994" i="1"/>
  <c r="B7994" i="1"/>
  <c r="A7994" i="1"/>
  <c r="C7993" i="1"/>
  <c r="B7993" i="1"/>
  <c r="A7993" i="1"/>
  <c r="C7992" i="1"/>
  <c r="B7992" i="1"/>
  <c r="A7992" i="1"/>
  <c r="C7991" i="1"/>
  <c r="B7991" i="1"/>
  <c r="A7991" i="1"/>
  <c r="C7990" i="1"/>
  <c r="B7990" i="1"/>
  <c r="A7990" i="1"/>
  <c r="C7989" i="1"/>
  <c r="B7989" i="1"/>
  <c r="A7989" i="1"/>
  <c r="C7988" i="1"/>
  <c r="B7988" i="1"/>
  <c r="A7988" i="1"/>
  <c r="C7987" i="1"/>
  <c r="B7987" i="1"/>
  <c r="A7987" i="1"/>
  <c r="C7986" i="1"/>
  <c r="B7986" i="1"/>
  <c r="A7986" i="1"/>
  <c r="C7985" i="1"/>
  <c r="B7985" i="1"/>
  <c r="A7985" i="1"/>
  <c r="C7984" i="1"/>
  <c r="B7984" i="1"/>
  <c r="A7984" i="1"/>
  <c r="C7983" i="1"/>
  <c r="B7983" i="1"/>
  <c r="A7983" i="1"/>
  <c r="C7982" i="1"/>
  <c r="B7982" i="1"/>
  <c r="A7982" i="1"/>
  <c r="C7981" i="1"/>
  <c r="B7981" i="1"/>
  <c r="A7981" i="1"/>
  <c r="C7980" i="1"/>
  <c r="B7980" i="1"/>
  <c r="A7980" i="1"/>
  <c r="C7979" i="1"/>
  <c r="B7979" i="1"/>
  <c r="A7979" i="1"/>
  <c r="C7978" i="1"/>
  <c r="B7978" i="1"/>
  <c r="A7978" i="1"/>
  <c r="C7977" i="1"/>
  <c r="B7977" i="1"/>
  <c r="A7977" i="1"/>
  <c r="C7976" i="1"/>
  <c r="B7976" i="1"/>
  <c r="A7976" i="1"/>
  <c r="C7975" i="1"/>
  <c r="B7975" i="1"/>
  <c r="A7975" i="1"/>
  <c r="C7974" i="1"/>
  <c r="B7974" i="1"/>
  <c r="A7974" i="1"/>
  <c r="C7973" i="1"/>
  <c r="B7973" i="1"/>
  <c r="A7973" i="1"/>
  <c r="C7972" i="1"/>
  <c r="B7972" i="1"/>
  <c r="A7972" i="1"/>
  <c r="C7971" i="1"/>
  <c r="B7971" i="1"/>
  <c r="A7971" i="1"/>
  <c r="C7970" i="1"/>
  <c r="B7970" i="1"/>
  <c r="A7970" i="1"/>
  <c r="C7969" i="1"/>
  <c r="B7969" i="1"/>
  <c r="A7969" i="1"/>
  <c r="C7968" i="1"/>
  <c r="B7968" i="1"/>
  <c r="A7968" i="1"/>
  <c r="C7967" i="1"/>
  <c r="B7967" i="1"/>
  <c r="A7967" i="1"/>
  <c r="C7966" i="1"/>
  <c r="B7966" i="1"/>
  <c r="A7966" i="1"/>
  <c r="C7965" i="1"/>
  <c r="B7965" i="1"/>
  <c r="A7965" i="1"/>
  <c r="C7964" i="1"/>
  <c r="B7964" i="1"/>
  <c r="A7964" i="1"/>
  <c r="C7963" i="1"/>
  <c r="B7963" i="1"/>
  <c r="A7963" i="1"/>
  <c r="C7962" i="1"/>
  <c r="B7962" i="1"/>
  <c r="A7962" i="1"/>
  <c r="C7961" i="1"/>
  <c r="B7961" i="1"/>
  <c r="A7961" i="1"/>
  <c r="C7960" i="1"/>
  <c r="B7960" i="1"/>
  <c r="A7960" i="1"/>
  <c r="C7959" i="1"/>
  <c r="B7959" i="1"/>
  <c r="A7959" i="1"/>
  <c r="C7958" i="1"/>
  <c r="B7958" i="1"/>
  <c r="A7958" i="1"/>
  <c r="C7957" i="1"/>
  <c r="B7957" i="1"/>
  <c r="A7957" i="1"/>
  <c r="C7956" i="1"/>
  <c r="B7956" i="1"/>
  <c r="A7956" i="1"/>
  <c r="C7955" i="1"/>
  <c r="B7955" i="1"/>
  <c r="A7955" i="1"/>
  <c r="C7954" i="1"/>
  <c r="B7954" i="1"/>
  <c r="A7954" i="1"/>
  <c r="C7953" i="1"/>
  <c r="B7953" i="1"/>
  <c r="A7953" i="1"/>
  <c r="C7952" i="1"/>
  <c r="B7952" i="1"/>
  <c r="A7952" i="1"/>
  <c r="C7951" i="1"/>
  <c r="B7951" i="1"/>
  <c r="A7951" i="1"/>
  <c r="C7950" i="1"/>
  <c r="B7950" i="1"/>
  <c r="A7950" i="1"/>
  <c r="C7949" i="1"/>
  <c r="B7949" i="1"/>
  <c r="A7949" i="1"/>
  <c r="C7948" i="1"/>
  <c r="B7948" i="1"/>
  <c r="A7948" i="1"/>
  <c r="C7947" i="1"/>
  <c r="B7947" i="1"/>
  <c r="A7947" i="1"/>
  <c r="C7946" i="1"/>
  <c r="B7946" i="1"/>
  <c r="A7946" i="1"/>
  <c r="C7945" i="1"/>
  <c r="B7945" i="1"/>
  <c r="A7945" i="1"/>
  <c r="C7944" i="1"/>
  <c r="B7944" i="1"/>
  <c r="A7944" i="1"/>
  <c r="C7943" i="1"/>
  <c r="B7943" i="1"/>
  <c r="A7943" i="1"/>
  <c r="C7942" i="1"/>
  <c r="B7942" i="1"/>
  <c r="A7942" i="1"/>
  <c r="C7941" i="1"/>
  <c r="B7941" i="1"/>
  <c r="A7941" i="1"/>
  <c r="C7940" i="1"/>
  <c r="B7940" i="1"/>
  <c r="A7940" i="1"/>
  <c r="C7939" i="1"/>
  <c r="B7939" i="1"/>
  <c r="A7939" i="1"/>
  <c r="C7938" i="1"/>
  <c r="B7938" i="1"/>
  <c r="A7938" i="1"/>
  <c r="C7937" i="1"/>
  <c r="B7937" i="1"/>
  <c r="A7937" i="1"/>
  <c r="C7936" i="1"/>
  <c r="B7936" i="1"/>
  <c r="A7936" i="1"/>
  <c r="C7935" i="1"/>
  <c r="B7935" i="1"/>
  <c r="A7935" i="1"/>
  <c r="C7934" i="1"/>
  <c r="B7934" i="1"/>
  <c r="A7934" i="1"/>
  <c r="C7933" i="1"/>
  <c r="B7933" i="1"/>
  <c r="A7933" i="1"/>
  <c r="C7932" i="1"/>
  <c r="B7932" i="1"/>
  <c r="A7932" i="1"/>
  <c r="C7931" i="1"/>
  <c r="B7931" i="1"/>
  <c r="A7931" i="1"/>
  <c r="C7930" i="1"/>
  <c r="B7930" i="1"/>
  <c r="A7930" i="1"/>
  <c r="C7929" i="1"/>
  <c r="B7929" i="1"/>
  <c r="A7929" i="1"/>
  <c r="C7928" i="1"/>
  <c r="B7928" i="1"/>
  <c r="A7928" i="1"/>
  <c r="C7927" i="1"/>
  <c r="B7927" i="1"/>
  <c r="A7927" i="1"/>
  <c r="C7926" i="1"/>
  <c r="B7926" i="1"/>
  <c r="A7926" i="1"/>
  <c r="C7925" i="1"/>
  <c r="B7925" i="1"/>
  <c r="A7925" i="1"/>
  <c r="C7924" i="1"/>
  <c r="B7924" i="1"/>
  <c r="A7924" i="1"/>
  <c r="C7923" i="1"/>
  <c r="B7923" i="1"/>
  <c r="A7923" i="1"/>
  <c r="C7922" i="1"/>
  <c r="B7922" i="1"/>
  <c r="A7922" i="1"/>
  <c r="C7921" i="1"/>
  <c r="B7921" i="1"/>
  <c r="A7921" i="1"/>
  <c r="C7920" i="1"/>
  <c r="B7920" i="1"/>
  <c r="A7920" i="1"/>
  <c r="C7919" i="1"/>
  <c r="B7919" i="1"/>
  <c r="A7919" i="1"/>
  <c r="C7918" i="1"/>
  <c r="B7918" i="1"/>
  <c r="A7918" i="1"/>
  <c r="C7917" i="1"/>
  <c r="B7917" i="1"/>
  <c r="A7917" i="1"/>
  <c r="C7916" i="1"/>
  <c r="B7916" i="1"/>
  <c r="A7916" i="1"/>
  <c r="C7915" i="1"/>
  <c r="B7915" i="1"/>
  <c r="A7915" i="1"/>
  <c r="C7914" i="1"/>
  <c r="B7914" i="1"/>
  <c r="A7914" i="1"/>
  <c r="C7913" i="1"/>
  <c r="B7913" i="1"/>
  <c r="A7913" i="1"/>
  <c r="C7912" i="1"/>
  <c r="B7912" i="1"/>
  <c r="A7912" i="1"/>
  <c r="C7911" i="1"/>
  <c r="B7911" i="1"/>
  <c r="A7911" i="1"/>
  <c r="C7910" i="1"/>
  <c r="B7910" i="1"/>
  <c r="A7910" i="1"/>
  <c r="C7909" i="1"/>
  <c r="B7909" i="1"/>
  <c r="A7909" i="1"/>
  <c r="C7908" i="1"/>
  <c r="B7908" i="1"/>
  <c r="A7908" i="1"/>
  <c r="C7907" i="1"/>
  <c r="B7907" i="1"/>
  <c r="A7907" i="1"/>
  <c r="C7906" i="1"/>
  <c r="B7906" i="1"/>
  <c r="A7906" i="1"/>
  <c r="C7905" i="1"/>
  <c r="B7905" i="1"/>
  <c r="A7905" i="1"/>
  <c r="C7904" i="1"/>
  <c r="B7904" i="1"/>
  <c r="A7904" i="1"/>
  <c r="C7903" i="1"/>
  <c r="B7903" i="1"/>
  <c r="A7903" i="1"/>
  <c r="C7902" i="1"/>
  <c r="B7902" i="1"/>
  <c r="A7902" i="1"/>
  <c r="C7901" i="1"/>
  <c r="B7901" i="1"/>
  <c r="A7901" i="1"/>
  <c r="C7900" i="1"/>
  <c r="B7900" i="1"/>
  <c r="A7900" i="1"/>
  <c r="C7899" i="1"/>
  <c r="B7899" i="1"/>
  <c r="A7899" i="1"/>
  <c r="C7898" i="1"/>
  <c r="B7898" i="1"/>
  <c r="A7898" i="1"/>
  <c r="C7897" i="1"/>
  <c r="B7897" i="1"/>
  <c r="A7897" i="1"/>
  <c r="C7896" i="1"/>
  <c r="B7896" i="1"/>
  <c r="A7896" i="1"/>
  <c r="C7895" i="1"/>
  <c r="B7895" i="1"/>
  <c r="A7895" i="1"/>
  <c r="C7894" i="1"/>
  <c r="B7894" i="1"/>
  <c r="A7894" i="1"/>
  <c r="C7893" i="1"/>
  <c r="B7893" i="1"/>
  <c r="A7893" i="1"/>
  <c r="C7892" i="1"/>
  <c r="B7892" i="1"/>
  <c r="A7892" i="1"/>
  <c r="C7891" i="1"/>
  <c r="B7891" i="1"/>
  <c r="A7891" i="1"/>
  <c r="C7890" i="1"/>
  <c r="B7890" i="1"/>
  <c r="A7890" i="1"/>
  <c r="C7889" i="1"/>
  <c r="B7889" i="1"/>
  <c r="A7889" i="1"/>
  <c r="C7888" i="1"/>
  <c r="B7888" i="1"/>
  <c r="A7888" i="1"/>
  <c r="C7887" i="1"/>
  <c r="B7887" i="1"/>
  <c r="A7887" i="1"/>
  <c r="C7886" i="1"/>
  <c r="B7886" i="1"/>
  <c r="A7886" i="1"/>
  <c r="C7885" i="1"/>
  <c r="B7885" i="1"/>
  <c r="A7885" i="1"/>
  <c r="C7884" i="1"/>
  <c r="B7884" i="1"/>
  <c r="A7884" i="1"/>
  <c r="C7883" i="1"/>
  <c r="B7883" i="1"/>
  <c r="A7883" i="1"/>
  <c r="C7882" i="1"/>
  <c r="B7882" i="1"/>
  <c r="A7882" i="1"/>
  <c r="C7881" i="1"/>
  <c r="B7881" i="1"/>
  <c r="A7881" i="1"/>
  <c r="C7880" i="1"/>
  <c r="B7880" i="1"/>
  <c r="A7880" i="1"/>
  <c r="C7879" i="1"/>
  <c r="B7879" i="1"/>
  <c r="A7879" i="1"/>
  <c r="C7878" i="1"/>
  <c r="B7878" i="1"/>
  <c r="A7878" i="1"/>
  <c r="C7877" i="1"/>
  <c r="B7877" i="1"/>
  <c r="A7877" i="1"/>
  <c r="C7876" i="1"/>
  <c r="B7876" i="1"/>
  <c r="A7876" i="1"/>
  <c r="C7875" i="1"/>
  <c r="B7875" i="1"/>
  <c r="A7875" i="1"/>
  <c r="C7874" i="1"/>
  <c r="B7874" i="1"/>
  <c r="A7874" i="1"/>
  <c r="C7873" i="1"/>
  <c r="B7873" i="1"/>
  <c r="A7873" i="1"/>
  <c r="C7872" i="1"/>
  <c r="B7872" i="1"/>
  <c r="A7872" i="1"/>
  <c r="C7871" i="1"/>
  <c r="B7871" i="1"/>
  <c r="A7871" i="1"/>
  <c r="C7870" i="1"/>
  <c r="B7870" i="1"/>
  <c r="A7870" i="1"/>
  <c r="C7869" i="1"/>
  <c r="B7869" i="1"/>
  <c r="A7869" i="1"/>
  <c r="C7868" i="1"/>
  <c r="B7868" i="1"/>
  <c r="A7868" i="1"/>
  <c r="C7867" i="1"/>
  <c r="B7867" i="1"/>
  <c r="A7867" i="1"/>
  <c r="C7866" i="1"/>
  <c r="B7866" i="1"/>
  <c r="A7866" i="1"/>
  <c r="C7865" i="1"/>
  <c r="B7865" i="1"/>
  <c r="A7865" i="1"/>
  <c r="C7864" i="1"/>
  <c r="B7864" i="1"/>
  <c r="A7864" i="1"/>
  <c r="C7863" i="1"/>
  <c r="B7863" i="1"/>
  <c r="A7863" i="1"/>
  <c r="C7862" i="1"/>
  <c r="B7862" i="1"/>
  <c r="A7862" i="1"/>
  <c r="C7861" i="1"/>
  <c r="B7861" i="1"/>
  <c r="A7861" i="1"/>
  <c r="C7860" i="1"/>
  <c r="B7860" i="1"/>
  <c r="A7860" i="1"/>
  <c r="C7859" i="1"/>
  <c r="B7859" i="1"/>
  <c r="A7859" i="1"/>
  <c r="C7858" i="1"/>
  <c r="B7858" i="1"/>
  <c r="A7858" i="1"/>
  <c r="C7857" i="1"/>
  <c r="B7857" i="1"/>
  <c r="A7857" i="1"/>
  <c r="C7856" i="1"/>
  <c r="B7856" i="1"/>
  <c r="A7856" i="1"/>
  <c r="C7855" i="1"/>
  <c r="B7855" i="1"/>
  <c r="A7855" i="1"/>
  <c r="C7854" i="1"/>
  <c r="B7854" i="1"/>
  <c r="A7854" i="1"/>
  <c r="C7853" i="1"/>
  <c r="B7853" i="1"/>
  <c r="A7853" i="1"/>
  <c r="C7852" i="1"/>
  <c r="B7852" i="1"/>
  <c r="A7852" i="1"/>
  <c r="C7851" i="1"/>
  <c r="B7851" i="1"/>
  <c r="A7851" i="1"/>
  <c r="C7850" i="1"/>
  <c r="B7850" i="1"/>
  <c r="A7850" i="1"/>
  <c r="C7849" i="1"/>
  <c r="B7849" i="1"/>
  <c r="A7849" i="1"/>
  <c r="C7848" i="1"/>
  <c r="B7848" i="1"/>
  <c r="A7848" i="1"/>
  <c r="C7847" i="1"/>
  <c r="B7847" i="1"/>
  <c r="A7847" i="1"/>
  <c r="C7846" i="1"/>
  <c r="B7846" i="1"/>
  <c r="A7846" i="1"/>
  <c r="C7845" i="1"/>
  <c r="B7845" i="1"/>
  <c r="A7845" i="1"/>
  <c r="C7844" i="1"/>
  <c r="B7844" i="1"/>
  <c r="A7844" i="1"/>
  <c r="C7843" i="1"/>
  <c r="B7843" i="1"/>
  <c r="A7843" i="1"/>
  <c r="C7842" i="1"/>
  <c r="B7842" i="1"/>
  <c r="A7842" i="1"/>
  <c r="C7841" i="1"/>
  <c r="B7841" i="1"/>
  <c r="A7841" i="1"/>
  <c r="C7840" i="1"/>
  <c r="B7840" i="1"/>
  <c r="A7840" i="1"/>
  <c r="C7839" i="1"/>
  <c r="B7839" i="1"/>
  <c r="A7839" i="1"/>
  <c r="C7838" i="1"/>
  <c r="B7838" i="1"/>
  <c r="A7838" i="1"/>
  <c r="C7837" i="1"/>
  <c r="B7837" i="1"/>
  <c r="A7837" i="1"/>
  <c r="C7836" i="1"/>
  <c r="B7836" i="1"/>
  <c r="A7836" i="1"/>
  <c r="C7835" i="1"/>
  <c r="B7835" i="1"/>
  <c r="A7835" i="1"/>
  <c r="C7834" i="1"/>
  <c r="B7834" i="1"/>
  <c r="A7834" i="1"/>
  <c r="C7833" i="1"/>
  <c r="B7833" i="1"/>
  <c r="A7833" i="1"/>
  <c r="C7832" i="1"/>
  <c r="B7832" i="1"/>
  <c r="A7832" i="1"/>
  <c r="C7831" i="1"/>
  <c r="B7831" i="1"/>
  <c r="A7831" i="1"/>
  <c r="C7830" i="1"/>
  <c r="B7830" i="1"/>
  <c r="A7830" i="1"/>
  <c r="C7829" i="1"/>
  <c r="B7829" i="1"/>
  <c r="A7829" i="1"/>
  <c r="C7828" i="1"/>
  <c r="B7828" i="1"/>
  <c r="A7828" i="1"/>
  <c r="C7827" i="1"/>
  <c r="B7827" i="1"/>
  <c r="A7827" i="1"/>
  <c r="C7826" i="1"/>
  <c r="B7826" i="1"/>
  <c r="A7826" i="1"/>
  <c r="C7825" i="1"/>
  <c r="B7825" i="1"/>
  <c r="A7825" i="1"/>
  <c r="C7824" i="1"/>
  <c r="B7824" i="1"/>
  <c r="A7824" i="1"/>
  <c r="C7823" i="1"/>
  <c r="B7823" i="1"/>
  <c r="A7823" i="1"/>
  <c r="C7822" i="1"/>
  <c r="B7822" i="1"/>
  <c r="A7822" i="1"/>
  <c r="C7821" i="1"/>
  <c r="B7821" i="1"/>
  <c r="A7821" i="1"/>
  <c r="C7820" i="1"/>
  <c r="B7820" i="1"/>
  <c r="A7820" i="1"/>
  <c r="C7819" i="1"/>
  <c r="B7819" i="1"/>
  <c r="A7819" i="1"/>
  <c r="C7818" i="1"/>
  <c r="B7818" i="1"/>
  <c r="A7818" i="1"/>
  <c r="C7817" i="1"/>
  <c r="B7817" i="1"/>
  <c r="A7817" i="1"/>
  <c r="C7816" i="1"/>
  <c r="B7816" i="1"/>
  <c r="A7816" i="1"/>
  <c r="C7815" i="1"/>
  <c r="B7815" i="1"/>
  <c r="A7815" i="1"/>
  <c r="C7814" i="1"/>
  <c r="B7814" i="1"/>
  <c r="A7814" i="1"/>
  <c r="C7813" i="1"/>
  <c r="B7813" i="1"/>
  <c r="A7813" i="1"/>
  <c r="C7812" i="1"/>
  <c r="B7812" i="1"/>
  <c r="A7812" i="1"/>
  <c r="C7811" i="1"/>
  <c r="B7811" i="1"/>
  <c r="A7811" i="1"/>
  <c r="C7810" i="1"/>
  <c r="B7810" i="1"/>
  <c r="A7810" i="1"/>
  <c r="C7809" i="1"/>
  <c r="B7809" i="1"/>
  <c r="A7809" i="1"/>
  <c r="C7808" i="1"/>
  <c r="B7808" i="1"/>
  <c r="A7808" i="1"/>
  <c r="C7807" i="1"/>
  <c r="B7807" i="1"/>
  <c r="A7807" i="1"/>
  <c r="C7806" i="1"/>
  <c r="B7806" i="1"/>
  <c r="A7806" i="1"/>
  <c r="C7805" i="1"/>
  <c r="B7805" i="1"/>
  <c r="A7805" i="1"/>
  <c r="C7804" i="1"/>
  <c r="B7804" i="1"/>
  <c r="A7804" i="1"/>
  <c r="C7803" i="1"/>
  <c r="B7803" i="1"/>
  <c r="A7803" i="1"/>
  <c r="C7802" i="1"/>
  <c r="B7802" i="1"/>
  <c r="A7802" i="1"/>
  <c r="C7801" i="1"/>
  <c r="B7801" i="1"/>
  <c r="A7801" i="1"/>
  <c r="C7800" i="1"/>
  <c r="B7800" i="1"/>
  <c r="A7800" i="1"/>
  <c r="C7799" i="1"/>
  <c r="B7799" i="1"/>
  <c r="A7799" i="1"/>
  <c r="C7798" i="1"/>
  <c r="B7798" i="1"/>
  <c r="A7798" i="1"/>
  <c r="C7797" i="1"/>
  <c r="B7797" i="1"/>
  <c r="A7797" i="1"/>
  <c r="C7796" i="1"/>
  <c r="B7796" i="1"/>
  <c r="A7796" i="1"/>
  <c r="C7795" i="1"/>
  <c r="B7795" i="1"/>
  <c r="A7795" i="1"/>
  <c r="C7794" i="1"/>
  <c r="B7794" i="1"/>
  <c r="A7794" i="1"/>
  <c r="C7793" i="1"/>
  <c r="B7793" i="1"/>
  <c r="A7793" i="1"/>
  <c r="C7792" i="1"/>
  <c r="B7792" i="1"/>
  <c r="A7792" i="1"/>
  <c r="C7791" i="1"/>
  <c r="B7791" i="1"/>
  <c r="A7791" i="1"/>
  <c r="C7790" i="1"/>
  <c r="B7790" i="1"/>
  <c r="A7790" i="1"/>
  <c r="C7789" i="1"/>
  <c r="B7789" i="1"/>
  <c r="A7789" i="1"/>
  <c r="C7788" i="1"/>
  <c r="B7788" i="1"/>
  <c r="A7788" i="1"/>
  <c r="C7787" i="1"/>
  <c r="B7787" i="1"/>
  <c r="A7787" i="1"/>
  <c r="C7786" i="1"/>
  <c r="B7786" i="1"/>
  <c r="A7786" i="1"/>
  <c r="C7785" i="1"/>
  <c r="B7785" i="1"/>
  <c r="A7785" i="1"/>
  <c r="C7784" i="1"/>
  <c r="B7784" i="1"/>
  <c r="A7784" i="1"/>
  <c r="C7783" i="1"/>
  <c r="B7783" i="1"/>
  <c r="A7783" i="1"/>
  <c r="C7782" i="1"/>
  <c r="B7782" i="1"/>
  <c r="A7782" i="1"/>
  <c r="C7781" i="1"/>
  <c r="B7781" i="1"/>
  <c r="A7781" i="1"/>
  <c r="C7780" i="1"/>
  <c r="B7780" i="1"/>
  <c r="A7780" i="1"/>
  <c r="C7779" i="1"/>
  <c r="B7779" i="1"/>
  <c r="A7779" i="1"/>
  <c r="C7778" i="1"/>
  <c r="B7778" i="1"/>
  <c r="A7778" i="1"/>
  <c r="C7777" i="1"/>
  <c r="B7777" i="1"/>
  <c r="A7777" i="1"/>
  <c r="C7776" i="1"/>
  <c r="B7776" i="1"/>
  <c r="A7776" i="1"/>
  <c r="C7775" i="1"/>
  <c r="B7775" i="1"/>
  <c r="A7775" i="1"/>
  <c r="C7774" i="1"/>
  <c r="B7774" i="1"/>
  <c r="A7774" i="1"/>
  <c r="C7773" i="1"/>
  <c r="B7773" i="1"/>
  <c r="A7773" i="1"/>
  <c r="C7772" i="1"/>
  <c r="B7772" i="1"/>
  <c r="A7772" i="1"/>
  <c r="C7771" i="1"/>
  <c r="B7771" i="1"/>
  <c r="A7771" i="1"/>
  <c r="C7770" i="1"/>
  <c r="B7770" i="1"/>
  <c r="A7770" i="1"/>
  <c r="C7769" i="1"/>
  <c r="B7769" i="1"/>
  <c r="A7769" i="1"/>
  <c r="C7768" i="1"/>
  <c r="B7768" i="1"/>
  <c r="A7768" i="1"/>
  <c r="C7767" i="1"/>
  <c r="B7767" i="1"/>
  <c r="A7767" i="1"/>
  <c r="C7766" i="1"/>
  <c r="B7766" i="1"/>
  <c r="A7766" i="1"/>
  <c r="C7765" i="1"/>
  <c r="B7765" i="1"/>
  <c r="A7765" i="1"/>
  <c r="C7764" i="1"/>
  <c r="B7764" i="1"/>
  <c r="A7764" i="1"/>
  <c r="C7763" i="1"/>
  <c r="B7763" i="1"/>
  <c r="A7763" i="1"/>
  <c r="C7762" i="1"/>
  <c r="B7762" i="1"/>
  <c r="A7762" i="1"/>
  <c r="C7761" i="1"/>
  <c r="B7761" i="1"/>
  <c r="A7761" i="1"/>
  <c r="C7760" i="1"/>
  <c r="B7760" i="1"/>
  <c r="A7760" i="1"/>
  <c r="C7759" i="1"/>
  <c r="B7759" i="1"/>
  <c r="A7759" i="1"/>
  <c r="C7758" i="1"/>
  <c r="B7758" i="1"/>
  <c r="A7758" i="1"/>
  <c r="C7757" i="1"/>
  <c r="B7757" i="1"/>
  <c r="A7757" i="1"/>
  <c r="C7756" i="1"/>
  <c r="B7756" i="1"/>
  <c r="A7756" i="1"/>
  <c r="C7755" i="1"/>
  <c r="B7755" i="1"/>
  <c r="A7755" i="1"/>
  <c r="C7754" i="1"/>
  <c r="B7754" i="1"/>
  <c r="A7754" i="1"/>
  <c r="C7753" i="1"/>
  <c r="B7753" i="1"/>
  <c r="A7753" i="1"/>
  <c r="C7752" i="1"/>
  <c r="B7752" i="1"/>
  <c r="A7752" i="1"/>
  <c r="C7751" i="1"/>
  <c r="B7751" i="1"/>
  <c r="A7751" i="1"/>
  <c r="C7750" i="1"/>
  <c r="B7750" i="1"/>
  <c r="A7750" i="1"/>
  <c r="C7749" i="1"/>
  <c r="B7749" i="1"/>
  <c r="A7749" i="1"/>
  <c r="C7748" i="1"/>
  <c r="B7748" i="1"/>
  <c r="A7748" i="1"/>
  <c r="C7747" i="1"/>
  <c r="B7747" i="1"/>
  <c r="A7747" i="1"/>
  <c r="C7746" i="1"/>
  <c r="B7746" i="1"/>
  <c r="A7746" i="1"/>
  <c r="C7745" i="1"/>
  <c r="B7745" i="1"/>
  <c r="A7745" i="1"/>
  <c r="C7744" i="1"/>
  <c r="B7744" i="1"/>
  <c r="A7744" i="1"/>
  <c r="C7743" i="1"/>
  <c r="B7743" i="1"/>
  <c r="A7743" i="1"/>
  <c r="C7742" i="1"/>
  <c r="B7742" i="1"/>
  <c r="A7742" i="1"/>
  <c r="C7741" i="1"/>
  <c r="B7741" i="1"/>
  <c r="A7741" i="1"/>
  <c r="C7740" i="1"/>
  <c r="B7740" i="1"/>
  <c r="A7740" i="1"/>
  <c r="C7739" i="1"/>
  <c r="B7739" i="1"/>
  <c r="A7739" i="1"/>
  <c r="C7738" i="1"/>
  <c r="B7738" i="1"/>
  <c r="A7738" i="1"/>
  <c r="C7737" i="1"/>
  <c r="B7737" i="1"/>
  <c r="A7737" i="1"/>
  <c r="C7736" i="1"/>
  <c r="B7736" i="1"/>
  <c r="A7736" i="1"/>
  <c r="C7735" i="1"/>
  <c r="B7735" i="1"/>
  <c r="A7735" i="1"/>
  <c r="C7734" i="1"/>
  <c r="B7734" i="1"/>
  <c r="A7734" i="1"/>
  <c r="C7733" i="1"/>
  <c r="B7733" i="1"/>
  <c r="A7733" i="1"/>
  <c r="C7732" i="1"/>
  <c r="B7732" i="1"/>
  <c r="A7732" i="1"/>
  <c r="C7731" i="1"/>
  <c r="B7731" i="1"/>
  <c r="A7731" i="1"/>
  <c r="C7730" i="1"/>
  <c r="B7730" i="1"/>
  <c r="A7730" i="1"/>
  <c r="C7729" i="1"/>
  <c r="B7729" i="1"/>
  <c r="A7729" i="1"/>
  <c r="C7728" i="1"/>
  <c r="B7728" i="1"/>
  <c r="A7728" i="1"/>
  <c r="C7727" i="1"/>
  <c r="B7727" i="1"/>
  <c r="A7727" i="1"/>
  <c r="C7726" i="1"/>
  <c r="B7726" i="1"/>
  <c r="A7726" i="1"/>
  <c r="C7725" i="1"/>
  <c r="B7725" i="1"/>
  <c r="A7725" i="1"/>
  <c r="C7724" i="1"/>
  <c r="B7724" i="1"/>
  <c r="A7724" i="1"/>
  <c r="C7723" i="1"/>
  <c r="B7723" i="1"/>
  <c r="A7723" i="1"/>
  <c r="C7722" i="1"/>
  <c r="B7722" i="1"/>
  <c r="A7722" i="1"/>
  <c r="C7721" i="1"/>
  <c r="B7721" i="1"/>
  <c r="A7721" i="1"/>
  <c r="C7720" i="1"/>
  <c r="B7720" i="1"/>
  <c r="A7720" i="1"/>
  <c r="C7719" i="1"/>
  <c r="B7719" i="1"/>
  <c r="A7719" i="1"/>
  <c r="C7718" i="1"/>
  <c r="B7718" i="1"/>
  <c r="A7718" i="1"/>
  <c r="C7717" i="1"/>
  <c r="B7717" i="1"/>
  <c r="A7717" i="1"/>
  <c r="C7716" i="1"/>
  <c r="B7716" i="1"/>
  <c r="A7716" i="1"/>
  <c r="C7715" i="1"/>
  <c r="B7715" i="1"/>
  <c r="A7715" i="1"/>
  <c r="C7714" i="1"/>
  <c r="B7714" i="1"/>
  <c r="A7714" i="1"/>
  <c r="C7713" i="1"/>
  <c r="B7713" i="1"/>
  <c r="A7713" i="1"/>
  <c r="C7712" i="1"/>
  <c r="B7712" i="1"/>
  <c r="A7712" i="1"/>
  <c r="C7711" i="1"/>
  <c r="B7711" i="1"/>
  <c r="A7711" i="1"/>
  <c r="C7710" i="1"/>
  <c r="B7710" i="1"/>
  <c r="A7710" i="1"/>
  <c r="C7709" i="1"/>
  <c r="B7709" i="1"/>
  <c r="A7709" i="1"/>
  <c r="C7708" i="1"/>
  <c r="B7708" i="1"/>
  <c r="A7708" i="1"/>
  <c r="C7707" i="1"/>
  <c r="B7707" i="1"/>
  <c r="A7707" i="1"/>
  <c r="C7706" i="1"/>
  <c r="B7706" i="1"/>
  <c r="A7706" i="1"/>
  <c r="C7705" i="1"/>
  <c r="B7705" i="1"/>
  <c r="A7705" i="1"/>
  <c r="C7704" i="1"/>
  <c r="B7704" i="1"/>
  <c r="A7704" i="1"/>
  <c r="C7703" i="1"/>
  <c r="B7703" i="1"/>
  <c r="A7703" i="1"/>
  <c r="C7702" i="1"/>
  <c r="B7702" i="1"/>
  <c r="A7702" i="1"/>
  <c r="C7701" i="1"/>
  <c r="B7701" i="1"/>
  <c r="A7701" i="1"/>
  <c r="C7700" i="1"/>
  <c r="B7700" i="1"/>
  <c r="A7700" i="1"/>
  <c r="C7699" i="1"/>
  <c r="B7699" i="1"/>
  <c r="A7699" i="1"/>
  <c r="C7698" i="1"/>
  <c r="B7698" i="1"/>
  <c r="A7698" i="1"/>
  <c r="C7697" i="1"/>
  <c r="B7697" i="1"/>
  <c r="A7697" i="1"/>
  <c r="C7696" i="1"/>
  <c r="B7696" i="1"/>
  <c r="A7696" i="1"/>
  <c r="C7695" i="1"/>
  <c r="B7695" i="1"/>
  <c r="A7695" i="1"/>
  <c r="C7694" i="1"/>
  <c r="B7694" i="1"/>
  <c r="A7694" i="1"/>
  <c r="C7693" i="1"/>
  <c r="B7693" i="1"/>
  <c r="A7693" i="1"/>
  <c r="C7692" i="1"/>
  <c r="B7692" i="1"/>
  <c r="A7692" i="1"/>
  <c r="C7691" i="1"/>
  <c r="B7691" i="1"/>
  <c r="A7691" i="1"/>
  <c r="C7690" i="1"/>
  <c r="B7690" i="1"/>
  <c r="A7690" i="1"/>
  <c r="C7689" i="1"/>
  <c r="B7689" i="1"/>
  <c r="A7689" i="1"/>
  <c r="C7688" i="1"/>
  <c r="B7688" i="1"/>
  <c r="A7688" i="1"/>
  <c r="C7687" i="1"/>
  <c r="B7687" i="1"/>
  <c r="A7687" i="1"/>
  <c r="C7686" i="1"/>
  <c r="B7686" i="1"/>
  <c r="A7686" i="1"/>
  <c r="C7685" i="1"/>
  <c r="B7685" i="1"/>
  <c r="A7685" i="1"/>
  <c r="C7684" i="1"/>
  <c r="B7684" i="1"/>
  <c r="A7684" i="1"/>
  <c r="C7683" i="1"/>
  <c r="B7683" i="1"/>
  <c r="A7683" i="1"/>
  <c r="C7682" i="1"/>
  <c r="B7682" i="1"/>
  <c r="A7682" i="1"/>
  <c r="C7681" i="1"/>
  <c r="B7681" i="1"/>
  <c r="A7681" i="1"/>
  <c r="C7680" i="1"/>
  <c r="B7680" i="1"/>
  <c r="A7680" i="1"/>
  <c r="C7679" i="1"/>
  <c r="B7679" i="1"/>
  <c r="A7679" i="1"/>
  <c r="C7678" i="1"/>
  <c r="B7678" i="1"/>
  <c r="A7678" i="1"/>
  <c r="C7677" i="1"/>
  <c r="B7677" i="1"/>
  <c r="A7677" i="1"/>
  <c r="C7676" i="1"/>
  <c r="B7676" i="1"/>
  <c r="A7676" i="1"/>
  <c r="C7675" i="1"/>
  <c r="B7675" i="1"/>
  <c r="A7675" i="1"/>
  <c r="C7674" i="1"/>
  <c r="B7674" i="1"/>
  <c r="A7674" i="1"/>
  <c r="C7673" i="1"/>
  <c r="B7673" i="1"/>
  <c r="A7673" i="1"/>
  <c r="C7672" i="1"/>
  <c r="B7672" i="1"/>
  <c r="A7672" i="1"/>
  <c r="C7671" i="1"/>
  <c r="B7671" i="1"/>
  <c r="A7671" i="1"/>
  <c r="C7670" i="1"/>
  <c r="B7670" i="1"/>
  <c r="A7670" i="1"/>
  <c r="C7669" i="1"/>
  <c r="B7669" i="1"/>
  <c r="A7669" i="1"/>
  <c r="C7668" i="1"/>
  <c r="B7668" i="1"/>
  <c r="A7668" i="1"/>
  <c r="C7667" i="1"/>
  <c r="B7667" i="1"/>
  <c r="A7667" i="1"/>
  <c r="C7666" i="1"/>
  <c r="B7666" i="1"/>
  <c r="A7666" i="1"/>
  <c r="C7665" i="1"/>
  <c r="B7665" i="1"/>
  <c r="A7665" i="1"/>
  <c r="C7664" i="1"/>
  <c r="B7664" i="1"/>
  <c r="A7664" i="1"/>
  <c r="C7663" i="1"/>
  <c r="B7663" i="1"/>
  <c r="A7663" i="1"/>
  <c r="C7662" i="1"/>
  <c r="B7662" i="1"/>
  <c r="A7662" i="1"/>
  <c r="C7661" i="1"/>
  <c r="B7661" i="1"/>
  <c r="A7661" i="1"/>
  <c r="C7660" i="1"/>
  <c r="B7660" i="1"/>
  <c r="A7660" i="1"/>
  <c r="C7659" i="1"/>
  <c r="B7659" i="1"/>
  <c r="A7659" i="1"/>
  <c r="C7658" i="1"/>
  <c r="B7658" i="1"/>
  <c r="A7658" i="1"/>
  <c r="C7657" i="1"/>
  <c r="B7657" i="1"/>
  <c r="A7657" i="1"/>
  <c r="C7656" i="1"/>
  <c r="B7656" i="1"/>
  <c r="A7656" i="1"/>
  <c r="C7655" i="1"/>
  <c r="B7655" i="1"/>
  <c r="A7655" i="1"/>
  <c r="C7654" i="1"/>
  <c r="B7654" i="1"/>
  <c r="A7654" i="1"/>
  <c r="C7653" i="1"/>
  <c r="B7653" i="1"/>
  <c r="A7653" i="1"/>
  <c r="C7652" i="1"/>
  <c r="B7652" i="1"/>
  <c r="A7652" i="1"/>
  <c r="C7651" i="1"/>
  <c r="B7651" i="1"/>
  <c r="A7651" i="1"/>
  <c r="C7650" i="1"/>
  <c r="B7650" i="1"/>
  <c r="A7650" i="1"/>
  <c r="C7649" i="1"/>
  <c r="B7649" i="1"/>
  <c r="A7649" i="1"/>
  <c r="C7648" i="1"/>
  <c r="B7648" i="1"/>
  <c r="A7648" i="1"/>
  <c r="C7647" i="1"/>
  <c r="B7647" i="1"/>
  <c r="A7647" i="1"/>
  <c r="C7646" i="1"/>
  <c r="B7646" i="1"/>
  <c r="A7646" i="1"/>
  <c r="C7645" i="1"/>
  <c r="B7645" i="1"/>
  <c r="A7645" i="1"/>
  <c r="C7644" i="1"/>
  <c r="B7644" i="1"/>
  <c r="A7644" i="1"/>
  <c r="C7643" i="1"/>
  <c r="B7643" i="1"/>
  <c r="A7643" i="1"/>
  <c r="C7642" i="1"/>
  <c r="B7642" i="1"/>
  <c r="A7642" i="1"/>
  <c r="C7641" i="1"/>
  <c r="B7641" i="1"/>
  <c r="A7641" i="1"/>
  <c r="C7640" i="1"/>
  <c r="B7640" i="1"/>
  <c r="A7640" i="1"/>
  <c r="C7639" i="1"/>
  <c r="B7639" i="1"/>
  <c r="A7639" i="1"/>
  <c r="C7638" i="1"/>
  <c r="B7638" i="1"/>
  <c r="A7638" i="1"/>
  <c r="C7637" i="1"/>
  <c r="B7637" i="1"/>
  <c r="A7637" i="1"/>
  <c r="C7636" i="1"/>
  <c r="B7636" i="1"/>
  <c r="A7636" i="1"/>
  <c r="C7635" i="1"/>
  <c r="B7635" i="1"/>
  <c r="A7635" i="1"/>
  <c r="C7634" i="1"/>
  <c r="B7634" i="1"/>
  <c r="A7634" i="1"/>
  <c r="C7633" i="1"/>
  <c r="B7633" i="1"/>
  <c r="A7633" i="1"/>
  <c r="C7632" i="1"/>
  <c r="B7632" i="1"/>
  <c r="A7632" i="1"/>
  <c r="C7631" i="1"/>
  <c r="B7631" i="1"/>
  <c r="A7631" i="1"/>
  <c r="C7630" i="1"/>
  <c r="B7630" i="1"/>
  <c r="A7630" i="1"/>
  <c r="C7629" i="1"/>
  <c r="B7629" i="1"/>
  <c r="A7629" i="1"/>
  <c r="C7628" i="1"/>
  <c r="B7628" i="1"/>
  <c r="A7628" i="1"/>
  <c r="C7627" i="1"/>
  <c r="B7627" i="1"/>
  <c r="A7627" i="1"/>
  <c r="C7626" i="1"/>
  <c r="B7626" i="1"/>
  <c r="A7626" i="1"/>
  <c r="C7625" i="1"/>
  <c r="B7625" i="1"/>
  <c r="A7625" i="1"/>
  <c r="C7624" i="1"/>
  <c r="B7624" i="1"/>
  <c r="A7624" i="1"/>
  <c r="C7623" i="1"/>
  <c r="B7623" i="1"/>
  <c r="A7623" i="1"/>
  <c r="C7622" i="1"/>
  <c r="B7622" i="1"/>
  <c r="A7622" i="1"/>
  <c r="C7621" i="1"/>
  <c r="B7621" i="1"/>
  <c r="A7621" i="1"/>
  <c r="C7620" i="1"/>
  <c r="B7620" i="1"/>
  <c r="A7620" i="1"/>
  <c r="C7619" i="1"/>
  <c r="B7619" i="1"/>
  <c r="A7619" i="1"/>
  <c r="C7618" i="1"/>
  <c r="B7618" i="1"/>
  <c r="A7618" i="1"/>
  <c r="C7617" i="1"/>
  <c r="B7617" i="1"/>
  <c r="A7617" i="1"/>
  <c r="C7616" i="1"/>
  <c r="B7616" i="1"/>
  <c r="A7616" i="1"/>
  <c r="C7615" i="1"/>
  <c r="B7615" i="1"/>
  <c r="A7615" i="1"/>
  <c r="C7614" i="1"/>
  <c r="B7614" i="1"/>
  <c r="A7614" i="1"/>
  <c r="C7613" i="1"/>
  <c r="B7613" i="1"/>
  <c r="A7613" i="1"/>
  <c r="C7612" i="1"/>
  <c r="B7612" i="1"/>
  <c r="A7612" i="1"/>
  <c r="C7611" i="1"/>
  <c r="B7611" i="1"/>
  <c r="A7611" i="1"/>
  <c r="C7610" i="1"/>
  <c r="B7610" i="1"/>
  <c r="A7610" i="1"/>
  <c r="C7609" i="1"/>
  <c r="B7609" i="1"/>
  <c r="A7609" i="1"/>
  <c r="C7608" i="1"/>
  <c r="B7608" i="1"/>
  <c r="A7608" i="1"/>
  <c r="C7607" i="1"/>
  <c r="B7607" i="1"/>
  <c r="A7607" i="1"/>
  <c r="C7606" i="1"/>
  <c r="B7606" i="1"/>
  <c r="A7606" i="1"/>
  <c r="C7605" i="1"/>
  <c r="B7605" i="1"/>
  <c r="A7605" i="1"/>
  <c r="C7604" i="1"/>
  <c r="B7604" i="1"/>
  <c r="A7604" i="1"/>
  <c r="C7603" i="1"/>
  <c r="B7603" i="1"/>
  <c r="A7603" i="1"/>
  <c r="C7602" i="1"/>
  <c r="B7602" i="1"/>
  <c r="A7602" i="1"/>
  <c r="C7601" i="1"/>
  <c r="B7601" i="1"/>
  <c r="A7601" i="1"/>
  <c r="C7600" i="1"/>
  <c r="B7600" i="1"/>
  <c r="A7600" i="1"/>
  <c r="C7599" i="1"/>
  <c r="B7599" i="1"/>
  <c r="A7599" i="1"/>
  <c r="C7598" i="1"/>
  <c r="B7598" i="1"/>
  <c r="A7598" i="1"/>
  <c r="C7597" i="1"/>
  <c r="B7597" i="1"/>
  <c r="A7597" i="1"/>
  <c r="C7596" i="1"/>
  <c r="B7596" i="1"/>
  <c r="A7596" i="1"/>
  <c r="C7595" i="1"/>
  <c r="B7595" i="1"/>
  <c r="A7595" i="1"/>
  <c r="C7594" i="1"/>
  <c r="B7594" i="1"/>
  <c r="A7594" i="1"/>
  <c r="C7593" i="1"/>
  <c r="B7593" i="1"/>
  <c r="A7593" i="1"/>
  <c r="C7592" i="1"/>
  <c r="B7592" i="1"/>
  <c r="A7592" i="1"/>
  <c r="C7591" i="1"/>
  <c r="B7591" i="1"/>
  <c r="A7591" i="1"/>
  <c r="C7590" i="1"/>
  <c r="B7590" i="1"/>
  <c r="A7590" i="1"/>
  <c r="C7589" i="1"/>
  <c r="B7589" i="1"/>
  <c r="A7589" i="1"/>
  <c r="C7588" i="1"/>
  <c r="B7588" i="1"/>
  <c r="A7588" i="1"/>
  <c r="C7587" i="1"/>
  <c r="B7587" i="1"/>
  <c r="A7587" i="1"/>
  <c r="C7586" i="1"/>
  <c r="B7586" i="1"/>
  <c r="A7586" i="1"/>
  <c r="C7585" i="1"/>
  <c r="B7585" i="1"/>
  <c r="A7585" i="1"/>
  <c r="C7584" i="1"/>
  <c r="B7584" i="1"/>
  <c r="A7584" i="1"/>
  <c r="C7583" i="1"/>
  <c r="B7583" i="1"/>
  <c r="A7583" i="1"/>
  <c r="C7582" i="1"/>
  <c r="B7582" i="1"/>
  <c r="A7582" i="1"/>
  <c r="C7581" i="1"/>
  <c r="B7581" i="1"/>
  <c r="A7581" i="1"/>
  <c r="C7580" i="1"/>
  <c r="B7580" i="1"/>
  <c r="A7580" i="1"/>
  <c r="C7579" i="1"/>
  <c r="B7579" i="1"/>
  <c r="A7579" i="1"/>
  <c r="C7578" i="1"/>
  <c r="B7578" i="1"/>
  <c r="A7578" i="1"/>
  <c r="C7577" i="1"/>
  <c r="B7577" i="1"/>
  <c r="A7577" i="1"/>
  <c r="C7576" i="1"/>
  <c r="B7576" i="1"/>
  <c r="A7576" i="1"/>
  <c r="C7575" i="1"/>
  <c r="B7575" i="1"/>
  <c r="A7575" i="1"/>
  <c r="C7574" i="1"/>
  <c r="B7574" i="1"/>
  <c r="A7574" i="1"/>
  <c r="C7573" i="1"/>
  <c r="B7573" i="1"/>
  <c r="A7573" i="1"/>
  <c r="C7572" i="1"/>
  <c r="B7572" i="1"/>
  <c r="A7572" i="1"/>
  <c r="C7571" i="1"/>
  <c r="B7571" i="1"/>
  <c r="A7571" i="1"/>
  <c r="C7570" i="1"/>
  <c r="B7570" i="1"/>
  <c r="A7570" i="1"/>
  <c r="C7569" i="1"/>
  <c r="B7569" i="1"/>
  <c r="A7569" i="1"/>
  <c r="C7568" i="1"/>
  <c r="B7568" i="1"/>
  <c r="A7568" i="1"/>
  <c r="C7567" i="1"/>
  <c r="B7567" i="1"/>
  <c r="A7567" i="1"/>
  <c r="C7566" i="1"/>
  <c r="B7566" i="1"/>
  <c r="A7566" i="1"/>
  <c r="C7565" i="1"/>
  <c r="B7565" i="1"/>
  <c r="A7565" i="1"/>
  <c r="C7564" i="1"/>
  <c r="B7564" i="1"/>
  <c r="A7564" i="1"/>
  <c r="C7563" i="1"/>
  <c r="B7563" i="1"/>
  <c r="A7563" i="1"/>
  <c r="C7562" i="1"/>
  <c r="B7562" i="1"/>
  <c r="A7562" i="1"/>
  <c r="C7561" i="1"/>
  <c r="B7561" i="1"/>
  <c r="A7561" i="1"/>
  <c r="C7560" i="1"/>
  <c r="B7560" i="1"/>
  <c r="A7560" i="1"/>
  <c r="C7559" i="1"/>
  <c r="B7559" i="1"/>
  <c r="A7559" i="1"/>
  <c r="C7558" i="1"/>
  <c r="B7558" i="1"/>
  <c r="A7558" i="1"/>
  <c r="C7557" i="1"/>
  <c r="B7557" i="1"/>
  <c r="A7557" i="1"/>
  <c r="C7556" i="1"/>
  <c r="B7556" i="1"/>
  <c r="A7556" i="1"/>
  <c r="C7555" i="1"/>
  <c r="B7555" i="1"/>
  <c r="A7555" i="1"/>
  <c r="C7554" i="1"/>
  <c r="B7554" i="1"/>
  <c r="A7554" i="1"/>
  <c r="C7553" i="1"/>
  <c r="B7553" i="1"/>
  <c r="A7553" i="1"/>
  <c r="C7552" i="1"/>
  <c r="B7552" i="1"/>
  <c r="A7552" i="1"/>
  <c r="C7551" i="1"/>
  <c r="B7551" i="1"/>
  <c r="A7551" i="1"/>
  <c r="C7550" i="1"/>
  <c r="B7550" i="1"/>
  <c r="A7550" i="1"/>
  <c r="C7549" i="1"/>
  <c r="B7549" i="1"/>
  <c r="A7549" i="1"/>
  <c r="C7548" i="1"/>
  <c r="B7548" i="1"/>
  <c r="A7548" i="1"/>
  <c r="C7547" i="1"/>
  <c r="B7547" i="1"/>
  <c r="A7547" i="1"/>
  <c r="C7546" i="1"/>
  <c r="B7546" i="1"/>
  <c r="A7546" i="1"/>
  <c r="C7545" i="1"/>
  <c r="B7545" i="1"/>
  <c r="A7545" i="1"/>
  <c r="C7544" i="1"/>
  <c r="B7544" i="1"/>
  <c r="A7544" i="1"/>
  <c r="C7543" i="1"/>
  <c r="B7543" i="1"/>
  <c r="A7543" i="1"/>
  <c r="C7542" i="1"/>
  <c r="B7542" i="1"/>
  <c r="A7542" i="1"/>
  <c r="C7541" i="1"/>
  <c r="B7541" i="1"/>
  <c r="A7541" i="1"/>
  <c r="C7540" i="1"/>
  <c r="B7540" i="1"/>
  <c r="A7540" i="1"/>
  <c r="C7539" i="1"/>
  <c r="B7539" i="1"/>
  <c r="A7539" i="1"/>
  <c r="C7538" i="1"/>
  <c r="B7538" i="1"/>
  <c r="A7538" i="1"/>
  <c r="C7537" i="1"/>
  <c r="B7537" i="1"/>
  <c r="A7537" i="1"/>
  <c r="C7536" i="1"/>
  <c r="B7536" i="1"/>
  <c r="A7536" i="1"/>
  <c r="C7535" i="1"/>
  <c r="B7535" i="1"/>
  <c r="A7535" i="1"/>
  <c r="C7534" i="1"/>
  <c r="B7534" i="1"/>
  <c r="A7534" i="1"/>
  <c r="C7533" i="1"/>
  <c r="B7533" i="1"/>
  <c r="A7533" i="1"/>
  <c r="C7532" i="1"/>
  <c r="B7532" i="1"/>
  <c r="A7532" i="1"/>
  <c r="C7531" i="1"/>
  <c r="B7531" i="1"/>
  <c r="A7531" i="1"/>
  <c r="C7530" i="1"/>
  <c r="B7530" i="1"/>
  <c r="A7530" i="1"/>
  <c r="C7529" i="1"/>
  <c r="B7529" i="1"/>
  <c r="A7529" i="1"/>
  <c r="C7528" i="1"/>
  <c r="B7528" i="1"/>
  <c r="A7528" i="1"/>
  <c r="C7527" i="1"/>
  <c r="B7527" i="1"/>
  <c r="A7527" i="1"/>
  <c r="C7526" i="1"/>
  <c r="B7526" i="1"/>
  <c r="A7526" i="1"/>
  <c r="C7525" i="1"/>
  <c r="B7525" i="1"/>
  <c r="A7525" i="1"/>
  <c r="C7524" i="1"/>
  <c r="B7524" i="1"/>
  <c r="A7524" i="1"/>
  <c r="C7523" i="1"/>
  <c r="B7523" i="1"/>
  <c r="A7523" i="1"/>
  <c r="C7522" i="1"/>
  <c r="B7522" i="1"/>
  <c r="A7522" i="1"/>
  <c r="C7521" i="1"/>
  <c r="B7521" i="1"/>
  <c r="A7521" i="1"/>
  <c r="C7520" i="1"/>
  <c r="B7520" i="1"/>
  <c r="A7520" i="1"/>
  <c r="C7519" i="1"/>
  <c r="B7519" i="1"/>
  <c r="A7519" i="1"/>
  <c r="C7518" i="1"/>
  <c r="B7518" i="1"/>
  <c r="A7518" i="1"/>
  <c r="C7517" i="1"/>
  <c r="B7517" i="1"/>
  <c r="A7517" i="1"/>
  <c r="C7516" i="1"/>
  <c r="B7516" i="1"/>
  <c r="A7516" i="1"/>
  <c r="C7515" i="1"/>
  <c r="B7515" i="1"/>
  <c r="A7515" i="1"/>
  <c r="C7514" i="1"/>
  <c r="B7514" i="1"/>
  <c r="A7514" i="1"/>
  <c r="C7513" i="1"/>
  <c r="B7513" i="1"/>
  <c r="A7513" i="1"/>
  <c r="C7512" i="1"/>
  <c r="B7512" i="1"/>
  <c r="A7512" i="1"/>
  <c r="C7511" i="1"/>
  <c r="B7511" i="1"/>
  <c r="A7511" i="1"/>
  <c r="C7510" i="1"/>
  <c r="B7510" i="1"/>
  <c r="A7510" i="1"/>
  <c r="C7509" i="1"/>
  <c r="B7509" i="1"/>
  <c r="A7509" i="1"/>
  <c r="C7508" i="1"/>
  <c r="B7508" i="1"/>
  <c r="A7508" i="1"/>
  <c r="C7507" i="1"/>
  <c r="B7507" i="1"/>
  <c r="A7507" i="1"/>
  <c r="C7506" i="1"/>
  <c r="B7506" i="1"/>
  <c r="A7506" i="1"/>
  <c r="C7505" i="1"/>
  <c r="B7505" i="1"/>
  <c r="A7505" i="1"/>
  <c r="C7504" i="1"/>
  <c r="B7504" i="1"/>
  <c r="A7504" i="1"/>
  <c r="C7503" i="1"/>
  <c r="B7503" i="1"/>
  <c r="A7503" i="1"/>
  <c r="C7502" i="1"/>
  <c r="B7502" i="1"/>
  <c r="A7502" i="1"/>
  <c r="C7501" i="1"/>
  <c r="B7501" i="1"/>
  <c r="A7501" i="1"/>
  <c r="C7500" i="1"/>
  <c r="B7500" i="1"/>
  <c r="A7500" i="1"/>
  <c r="C7499" i="1"/>
  <c r="B7499" i="1"/>
  <c r="A7499" i="1"/>
  <c r="C7498" i="1"/>
  <c r="B7498" i="1"/>
  <c r="A7498" i="1"/>
  <c r="C7497" i="1"/>
  <c r="B7497" i="1"/>
  <c r="A7497" i="1"/>
  <c r="C7496" i="1"/>
  <c r="B7496" i="1"/>
  <c r="A7496" i="1"/>
  <c r="C7495" i="1"/>
  <c r="B7495" i="1"/>
  <c r="A7495" i="1"/>
  <c r="C7494" i="1"/>
  <c r="B7494" i="1"/>
  <c r="A7494" i="1"/>
  <c r="C7493" i="1"/>
  <c r="B7493" i="1"/>
  <c r="A7493" i="1"/>
  <c r="C7492" i="1"/>
  <c r="B7492" i="1"/>
  <c r="A7492" i="1"/>
  <c r="C7491" i="1"/>
  <c r="B7491" i="1"/>
  <c r="A7491" i="1"/>
  <c r="C7490" i="1"/>
  <c r="B7490" i="1"/>
  <c r="A7490" i="1"/>
  <c r="C7489" i="1"/>
  <c r="B7489" i="1"/>
  <c r="A7489" i="1"/>
  <c r="C7488" i="1"/>
  <c r="B7488" i="1"/>
  <c r="A7488" i="1"/>
  <c r="C7487" i="1"/>
  <c r="B7487" i="1"/>
  <c r="A7487" i="1"/>
  <c r="C7486" i="1"/>
  <c r="B7486" i="1"/>
  <c r="A7486" i="1"/>
  <c r="C7485" i="1"/>
  <c r="B7485" i="1"/>
  <c r="A7485" i="1"/>
  <c r="C7484" i="1"/>
  <c r="B7484" i="1"/>
  <c r="A7484" i="1"/>
  <c r="C7483" i="1"/>
  <c r="B7483" i="1"/>
  <c r="A7483" i="1"/>
  <c r="C7482" i="1"/>
  <c r="B7482" i="1"/>
  <c r="A7482" i="1"/>
  <c r="C7481" i="1"/>
  <c r="B7481" i="1"/>
  <c r="A7481" i="1"/>
  <c r="C7480" i="1"/>
  <c r="B7480" i="1"/>
  <c r="A7480" i="1"/>
  <c r="C7479" i="1"/>
  <c r="B7479" i="1"/>
  <c r="A7479" i="1"/>
  <c r="C7478" i="1"/>
  <c r="B7478" i="1"/>
  <c r="A7478" i="1"/>
  <c r="C7477" i="1"/>
  <c r="B7477" i="1"/>
  <c r="A7477" i="1"/>
  <c r="C7476" i="1"/>
  <c r="B7476" i="1"/>
  <c r="A7476" i="1"/>
  <c r="C7475" i="1"/>
  <c r="B7475" i="1"/>
  <c r="A7475" i="1"/>
  <c r="C7474" i="1"/>
  <c r="B7474" i="1"/>
  <c r="A7474" i="1"/>
  <c r="C7473" i="1"/>
  <c r="B7473" i="1"/>
  <c r="A7473" i="1"/>
  <c r="C7472" i="1"/>
  <c r="B7472" i="1"/>
  <c r="A7472" i="1"/>
  <c r="C7471" i="1"/>
  <c r="B7471" i="1"/>
  <c r="A7471" i="1"/>
  <c r="C7470" i="1"/>
  <c r="B7470" i="1"/>
  <c r="A7470" i="1"/>
  <c r="C7469" i="1"/>
  <c r="B7469" i="1"/>
  <c r="A7469" i="1"/>
  <c r="C7468" i="1"/>
  <c r="B7468" i="1"/>
  <c r="A7468" i="1"/>
  <c r="C7467" i="1"/>
  <c r="B7467" i="1"/>
  <c r="A7467" i="1"/>
  <c r="C7466" i="1"/>
  <c r="B7466" i="1"/>
  <c r="A7466" i="1"/>
  <c r="C7465" i="1"/>
  <c r="B7465" i="1"/>
  <c r="A7465" i="1"/>
  <c r="C7464" i="1"/>
  <c r="B7464" i="1"/>
  <c r="A7464" i="1"/>
  <c r="C7463" i="1"/>
  <c r="B7463" i="1"/>
  <c r="A7463" i="1"/>
  <c r="C7462" i="1"/>
  <c r="B7462" i="1"/>
  <c r="A7462" i="1"/>
  <c r="C7461" i="1"/>
  <c r="B7461" i="1"/>
  <c r="A7461" i="1"/>
  <c r="C7460" i="1"/>
  <c r="B7460" i="1"/>
  <c r="A7460" i="1"/>
  <c r="C7459" i="1"/>
  <c r="B7459" i="1"/>
  <c r="A7459" i="1"/>
  <c r="C7458" i="1"/>
  <c r="B7458" i="1"/>
  <c r="A7458" i="1"/>
  <c r="C7457" i="1"/>
  <c r="B7457" i="1"/>
  <c r="A7457" i="1"/>
  <c r="C7456" i="1"/>
  <c r="B7456" i="1"/>
  <c r="A7456" i="1"/>
  <c r="C7455" i="1"/>
  <c r="B7455" i="1"/>
  <c r="A7455" i="1"/>
  <c r="C7454" i="1"/>
  <c r="B7454" i="1"/>
  <c r="A7454" i="1"/>
  <c r="C7453" i="1"/>
  <c r="B7453" i="1"/>
  <c r="A7453" i="1"/>
  <c r="C7452" i="1"/>
  <c r="B7452" i="1"/>
  <c r="A7452" i="1"/>
  <c r="C7451" i="1"/>
  <c r="B7451" i="1"/>
  <c r="A7451" i="1"/>
  <c r="C7450" i="1"/>
  <c r="B7450" i="1"/>
  <c r="A7450" i="1"/>
  <c r="C7449" i="1"/>
  <c r="B7449" i="1"/>
  <c r="A7449" i="1"/>
  <c r="C7448" i="1"/>
  <c r="B7448" i="1"/>
  <c r="A7448" i="1"/>
  <c r="C7447" i="1"/>
  <c r="B7447" i="1"/>
  <c r="A7447" i="1"/>
  <c r="C7446" i="1"/>
  <c r="B7446" i="1"/>
  <c r="A7446" i="1"/>
  <c r="C7445" i="1"/>
  <c r="B7445" i="1"/>
  <c r="A7445" i="1"/>
  <c r="C7444" i="1"/>
  <c r="B7444" i="1"/>
  <c r="A7444" i="1"/>
  <c r="C7443" i="1"/>
  <c r="B7443" i="1"/>
  <c r="A7443" i="1"/>
  <c r="C7442" i="1"/>
  <c r="B7442" i="1"/>
  <c r="A7442" i="1"/>
  <c r="C7441" i="1"/>
  <c r="B7441" i="1"/>
  <c r="A7441" i="1"/>
  <c r="C7440" i="1"/>
  <c r="B7440" i="1"/>
  <c r="A7440" i="1"/>
  <c r="C7439" i="1"/>
  <c r="B7439" i="1"/>
  <c r="A7439" i="1"/>
  <c r="C7438" i="1"/>
  <c r="B7438" i="1"/>
  <c r="A7438" i="1"/>
  <c r="C7437" i="1"/>
  <c r="B7437" i="1"/>
  <c r="A7437" i="1"/>
  <c r="C7436" i="1"/>
  <c r="B7436" i="1"/>
  <c r="A7436" i="1"/>
  <c r="C7435" i="1"/>
  <c r="B7435" i="1"/>
  <c r="A7435" i="1"/>
  <c r="C7434" i="1"/>
  <c r="B7434" i="1"/>
  <c r="A7434" i="1"/>
  <c r="C7433" i="1"/>
  <c r="B7433" i="1"/>
  <c r="A7433" i="1"/>
  <c r="C7432" i="1"/>
  <c r="B7432" i="1"/>
  <c r="A7432" i="1"/>
  <c r="C7431" i="1"/>
  <c r="B7431" i="1"/>
  <c r="A7431" i="1"/>
  <c r="C7430" i="1"/>
  <c r="B7430" i="1"/>
  <c r="A7430" i="1"/>
  <c r="C7429" i="1"/>
  <c r="B7429" i="1"/>
  <c r="A7429" i="1"/>
  <c r="C7428" i="1"/>
  <c r="B7428" i="1"/>
  <c r="A7428" i="1"/>
  <c r="C7427" i="1"/>
  <c r="B7427" i="1"/>
  <c r="A7427" i="1"/>
  <c r="C7426" i="1"/>
  <c r="B7426" i="1"/>
  <c r="A7426" i="1"/>
  <c r="C7425" i="1"/>
  <c r="B7425" i="1"/>
  <c r="A7425" i="1"/>
  <c r="C7424" i="1"/>
  <c r="B7424" i="1"/>
  <c r="A7424" i="1"/>
  <c r="C7423" i="1"/>
  <c r="B7423" i="1"/>
  <c r="A7423" i="1"/>
  <c r="C7422" i="1"/>
  <c r="B7422" i="1"/>
  <c r="A7422" i="1"/>
  <c r="C7421" i="1"/>
  <c r="B7421" i="1"/>
  <c r="A7421" i="1"/>
  <c r="C7420" i="1"/>
  <c r="B7420" i="1"/>
  <c r="A7420" i="1"/>
  <c r="C7419" i="1"/>
  <c r="B7419" i="1"/>
  <c r="A7419" i="1"/>
  <c r="C7418" i="1"/>
  <c r="B7418" i="1"/>
  <c r="A7418" i="1"/>
  <c r="C7417" i="1"/>
  <c r="B7417" i="1"/>
  <c r="A7417" i="1"/>
  <c r="C7416" i="1"/>
  <c r="B7416" i="1"/>
  <c r="A7416" i="1"/>
  <c r="C7415" i="1"/>
  <c r="B7415" i="1"/>
  <c r="A7415" i="1"/>
  <c r="C7414" i="1"/>
  <c r="B7414" i="1"/>
  <c r="A7414" i="1"/>
  <c r="C7413" i="1"/>
  <c r="B7413" i="1"/>
  <c r="A7413" i="1"/>
  <c r="C7412" i="1"/>
  <c r="B7412" i="1"/>
  <c r="A7412" i="1"/>
  <c r="C7411" i="1"/>
  <c r="B7411" i="1"/>
  <c r="A7411" i="1"/>
  <c r="C7410" i="1"/>
  <c r="B7410" i="1"/>
  <c r="A7410" i="1"/>
  <c r="C7409" i="1"/>
  <c r="B7409" i="1"/>
  <c r="A7409" i="1"/>
  <c r="C7408" i="1"/>
  <c r="B7408" i="1"/>
  <c r="A7408" i="1"/>
  <c r="C7407" i="1"/>
  <c r="B7407" i="1"/>
  <c r="A7407" i="1"/>
  <c r="C7406" i="1"/>
  <c r="B7406" i="1"/>
  <c r="A7406" i="1"/>
  <c r="C7405" i="1"/>
  <c r="B7405" i="1"/>
  <c r="A7405" i="1"/>
  <c r="C7404" i="1"/>
  <c r="B7404" i="1"/>
  <c r="A7404" i="1"/>
  <c r="C7403" i="1"/>
  <c r="B7403" i="1"/>
  <c r="A7403" i="1"/>
  <c r="C7402" i="1"/>
  <c r="B7402" i="1"/>
  <c r="A7402" i="1"/>
  <c r="C7401" i="1"/>
  <c r="B7401" i="1"/>
  <c r="A7401" i="1"/>
  <c r="C7400" i="1"/>
  <c r="B7400" i="1"/>
  <c r="A7400" i="1"/>
  <c r="C7399" i="1"/>
  <c r="B7399" i="1"/>
  <c r="A7399" i="1"/>
  <c r="C7398" i="1"/>
  <c r="B7398" i="1"/>
  <c r="A7398" i="1"/>
  <c r="C7397" i="1"/>
  <c r="B7397" i="1"/>
  <c r="A7397" i="1"/>
  <c r="C7396" i="1"/>
  <c r="B7396" i="1"/>
  <c r="A7396" i="1"/>
  <c r="C7395" i="1"/>
  <c r="B7395" i="1"/>
  <c r="A7395" i="1"/>
  <c r="C7394" i="1"/>
  <c r="B7394" i="1"/>
  <c r="A7394" i="1"/>
  <c r="C7393" i="1"/>
  <c r="B7393" i="1"/>
  <c r="A7393" i="1"/>
  <c r="C7392" i="1"/>
  <c r="B7392" i="1"/>
  <c r="A7392" i="1"/>
  <c r="C7391" i="1"/>
  <c r="B7391" i="1"/>
  <c r="A7391" i="1"/>
  <c r="C7390" i="1"/>
  <c r="B7390" i="1"/>
  <c r="A7390" i="1"/>
  <c r="C7389" i="1"/>
  <c r="B7389" i="1"/>
  <c r="A7389" i="1"/>
  <c r="C7388" i="1"/>
  <c r="B7388" i="1"/>
  <c r="A7388" i="1"/>
  <c r="C7387" i="1"/>
  <c r="B7387" i="1"/>
  <c r="A7387" i="1"/>
  <c r="C7386" i="1"/>
  <c r="B7386" i="1"/>
  <c r="A7386" i="1"/>
  <c r="C7385" i="1"/>
  <c r="B7385" i="1"/>
  <c r="A7385" i="1"/>
  <c r="C7384" i="1"/>
  <c r="B7384" i="1"/>
  <c r="A7384" i="1"/>
  <c r="C7383" i="1"/>
  <c r="B7383" i="1"/>
  <c r="A7383" i="1"/>
  <c r="C7382" i="1"/>
  <c r="B7382" i="1"/>
  <c r="A7382" i="1"/>
  <c r="C7381" i="1"/>
  <c r="B7381" i="1"/>
  <c r="A7381" i="1"/>
  <c r="C7380" i="1"/>
  <c r="B7380" i="1"/>
  <c r="A7380" i="1"/>
  <c r="C7379" i="1"/>
  <c r="B7379" i="1"/>
  <c r="A7379" i="1"/>
  <c r="C7378" i="1"/>
  <c r="B7378" i="1"/>
  <c r="A7378" i="1"/>
  <c r="C7377" i="1"/>
  <c r="B7377" i="1"/>
  <c r="A7377" i="1"/>
  <c r="C7376" i="1"/>
  <c r="B7376" i="1"/>
  <c r="A7376" i="1"/>
  <c r="C7375" i="1"/>
  <c r="B7375" i="1"/>
  <c r="A7375" i="1"/>
  <c r="C7374" i="1"/>
  <c r="B7374" i="1"/>
  <c r="A7374" i="1"/>
  <c r="C7373" i="1"/>
  <c r="B7373" i="1"/>
  <c r="A7373" i="1"/>
  <c r="C7372" i="1"/>
  <c r="B7372" i="1"/>
  <c r="A7372" i="1"/>
  <c r="C7371" i="1"/>
  <c r="B7371" i="1"/>
  <c r="A7371" i="1"/>
  <c r="C7370" i="1"/>
  <c r="B7370" i="1"/>
  <c r="A7370" i="1"/>
  <c r="C7369" i="1"/>
  <c r="B7369" i="1"/>
  <c r="A7369" i="1"/>
  <c r="C7368" i="1"/>
  <c r="B7368" i="1"/>
  <c r="A7368" i="1"/>
  <c r="C7367" i="1"/>
  <c r="B7367" i="1"/>
  <c r="A7367" i="1"/>
  <c r="C7366" i="1"/>
  <c r="B7366" i="1"/>
  <c r="A7366" i="1"/>
  <c r="C7365" i="1"/>
  <c r="B7365" i="1"/>
  <c r="A7365" i="1"/>
  <c r="C7364" i="1"/>
  <c r="B7364" i="1"/>
  <c r="A7364" i="1"/>
  <c r="C7363" i="1"/>
  <c r="B7363" i="1"/>
  <c r="A7363" i="1"/>
  <c r="C7362" i="1"/>
  <c r="B7362" i="1"/>
  <c r="A7362" i="1"/>
  <c r="C7361" i="1"/>
  <c r="B7361" i="1"/>
  <c r="A7361" i="1"/>
  <c r="C7360" i="1"/>
  <c r="B7360" i="1"/>
  <c r="A7360" i="1"/>
  <c r="C7359" i="1"/>
  <c r="B7359" i="1"/>
  <c r="A7359" i="1"/>
  <c r="C7358" i="1"/>
  <c r="B7358" i="1"/>
  <c r="A7358" i="1"/>
  <c r="C7357" i="1"/>
  <c r="B7357" i="1"/>
  <c r="A7357" i="1"/>
  <c r="C7356" i="1"/>
  <c r="B7356" i="1"/>
  <c r="A7356" i="1"/>
  <c r="C7355" i="1"/>
  <c r="B7355" i="1"/>
  <c r="A7355" i="1"/>
  <c r="C7354" i="1"/>
  <c r="B7354" i="1"/>
  <c r="A7354" i="1"/>
  <c r="C7353" i="1"/>
  <c r="B7353" i="1"/>
  <c r="A7353" i="1"/>
  <c r="C7352" i="1"/>
  <c r="B7352" i="1"/>
  <c r="A7352" i="1"/>
  <c r="C7351" i="1"/>
  <c r="B7351" i="1"/>
  <c r="A7351" i="1"/>
  <c r="C7350" i="1"/>
  <c r="B7350" i="1"/>
  <c r="A7350" i="1"/>
  <c r="C7349" i="1"/>
  <c r="B7349" i="1"/>
  <c r="A7349" i="1"/>
  <c r="C7348" i="1"/>
  <c r="B7348" i="1"/>
  <c r="A7348" i="1"/>
  <c r="C7347" i="1"/>
  <c r="B7347" i="1"/>
  <c r="A7347" i="1"/>
  <c r="C7346" i="1"/>
  <c r="B7346" i="1"/>
  <c r="A7346" i="1"/>
  <c r="C7345" i="1"/>
  <c r="B7345" i="1"/>
  <c r="A7345" i="1"/>
  <c r="C7344" i="1"/>
  <c r="B7344" i="1"/>
  <c r="A7344" i="1"/>
  <c r="C7343" i="1"/>
  <c r="B7343" i="1"/>
  <c r="A7343" i="1"/>
  <c r="C7342" i="1"/>
  <c r="B7342" i="1"/>
  <c r="A7342" i="1"/>
  <c r="C7341" i="1"/>
  <c r="B7341" i="1"/>
  <c r="A7341" i="1"/>
  <c r="C7340" i="1"/>
  <c r="B7340" i="1"/>
  <c r="A7340" i="1"/>
  <c r="C7339" i="1"/>
  <c r="B7339" i="1"/>
  <c r="A7339" i="1"/>
  <c r="C7338" i="1"/>
  <c r="B7338" i="1"/>
  <c r="A7338" i="1"/>
  <c r="C7337" i="1"/>
  <c r="B7337" i="1"/>
  <c r="A7337" i="1"/>
  <c r="C7336" i="1"/>
  <c r="B7336" i="1"/>
  <c r="A7336" i="1"/>
  <c r="C7335" i="1"/>
  <c r="B7335" i="1"/>
  <c r="A7335" i="1"/>
  <c r="C7334" i="1"/>
  <c r="B7334" i="1"/>
  <c r="A7334" i="1"/>
  <c r="C7333" i="1"/>
  <c r="B7333" i="1"/>
  <c r="A7333" i="1"/>
  <c r="C7332" i="1"/>
  <c r="B7332" i="1"/>
  <c r="A7332" i="1"/>
  <c r="C7331" i="1"/>
  <c r="B7331" i="1"/>
  <c r="A7331" i="1"/>
  <c r="C7330" i="1"/>
  <c r="B7330" i="1"/>
  <c r="A7330" i="1"/>
  <c r="C7329" i="1"/>
  <c r="B7329" i="1"/>
  <c r="A7329" i="1"/>
  <c r="C7328" i="1"/>
  <c r="B7328" i="1"/>
  <c r="A7328" i="1"/>
  <c r="C7327" i="1"/>
  <c r="B7327" i="1"/>
  <c r="A7327" i="1"/>
  <c r="C7326" i="1"/>
  <c r="B7326" i="1"/>
  <c r="A7326" i="1"/>
  <c r="C7325" i="1"/>
  <c r="B7325" i="1"/>
  <c r="A7325" i="1"/>
  <c r="C7324" i="1"/>
  <c r="B7324" i="1"/>
  <c r="A7324" i="1"/>
  <c r="C7323" i="1"/>
  <c r="B7323" i="1"/>
  <c r="A7323" i="1"/>
  <c r="C7322" i="1"/>
  <c r="B7322" i="1"/>
  <c r="A7322" i="1"/>
  <c r="C7321" i="1"/>
  <c r="B7321" i="1"/>
  <c r="A7321" i="1"/>
  <c r="C7320" i="1"/>
  <c r="B7320" i="1"/>
  <c r="A7320" i="1"/>
  <c r="C7319" i="1"/>
  <c r="B7319" i="1"/>
  <c r="A7319" i="1"/>
  <c r="C7318" i="1"/>
  <c r="B7318" i="1"/>
  <c r="A7318" i="1"/>
  <c r="C7317" i="1"/>
  <c r="B7317" i="1"/>
  <c r="A7317" i="1"/>
  <c r="C7316" i="1"/>
  <c r="B7316" i="1"/>
  <c r="A7316" i="1"/>
  <c r="C7315" i="1"/>
  <c r="B7315" i="1"/>
  <c r="A7315" i="1"/>
  <c r="C7314" i="1"/>
  <c r="B7314" i="1"/>
  <c r="A7314" i="1"/>
  <c r="C7313" i="1"/>
  <c r="B7313" i="1"/>
  <c r="A7313" i="1"/>
  <c r="C7312" i="1"/>
  <c r="B7312" i="1"/>
  <c r="A7312" i="1"/>
  <c r="C7311" i="1"/>
  <c r="B7311" i="1"/>
  <c r="A7311" i="1"/>
  <c r="C7310" i="1"/>
  <c r="B7310" i="1"/>
  <c r="A7310" i="1"/>
  <c r="C7309" i="1"/>
  <c r="B7309" i="1"/>
  <c r="A7309" i="1"/>
  <c r="C7308" i="1"/>
  <c r="B7308" i="1"/>
  <c r="A7308" i="1"/>
  <c r="C7307" i="1"/>
  <c r="B7307" i="1"/>
  <c r="A7307" i="1"/>
  <c r="C7306" i="1"/>
  <c r="B7306" i="1"/>
  <c r="A7306" i="1"/>
  <c r="C7305" i="1"/>
  <c r="B7305" i="1"/>
  <c r="A7305" i="1"/>
  <c r="C7304" i="1"/>
  <c r="B7304" i="1"/>
  <c r="A7304" i="1"/>
  <c r="C7303" i="1"/>
  <c r="B7303" i="1"/>
  <c r="A7303" i="1"/>
  <c r="C7302" i="1"/>
  <c r="B7302" i="1"/>
  <c r="A7302" i="1"/>
  <c r="C7301" i="1"/>
  <c r="B7301" i="1"/>
  <c r="A7301" i="1"/>
  <c r="C7300" i="1"/>
  <c r="B7300" i="1"/>
  <c r="A7300" i="1"/>
  <c r="C7299" i="1"/>
  <c r="B7299" i="1"/>
  <c r="A7299" i="1"/>
  <c r="C7298" i="1"/>
  <c r="B7298" i="1"/>
  <c r="A7298" i="1"/>
  <c r="C7297" i="1"/>
  <c r="B7297" i="1"/>
  <c r="A7297" i="1"/>
  <c r="C7296" i="1"/>
  <c r="B7296" i="1"/>
  <c r="A7296" i="1"/>
  <c r="C7295" i="1"/>
  <c r="B7295" i="1"/>
  <c r="A7295" i="1"/>
  <c r="C7294" i="1"/>
  <c r="B7294" i="1"/>
  <c r="A7294" i="1"/>
  <c r="C7293" i="1"/>
  <c r="B7293" i="1"/>
  <c r="A7293" i="1"/>
  <c r="C7292" i="1"/>
  <c r="B7292" i="1"/>
  <c r="A7292" i="1"/>
  <c r="C7291" i="1"/>
  <c r="B7291" i="1"/>
  <c r="A7291" i="1"/>
  <c r="C7290" i="1"/>
  <c r="B7290" i="1"/>
  <c r="A7290" i="1"/>
  <c r="C7289" i="1"/>
  <c r="B7289" i="1"/>
  <c r="A7289" i="1"/>
  <c r="C7288" i="1"/>
  <c r="B7288" i="1"/>
  <c r="A7288" i="1"/>
  <c r="C7287" i="1"/>
  <c r="B7287" i="1"/>
  <c r="A7287" i="1"/>
  <c r="C7286" i="1"/>
  <c r="B7286" i="1"/>
  <c r="A7286" i="1"/>
  <c r="C7285" i="1"/>
  <c r="B7285" i="1"/>
  <c r="A7285" i="1"/>
  <c r="C7284" i="1"/>
  <c r="B7284" i="1"/>
  <c r="A7284" i="1"/>
  <c r="C7283" i="1"/>
  <c r="B7283" i="1"/>
  <c r="A7283" i="1"/>
  <c r="C7282" i="1"/>
  <c r="B7282" i="1"/>
  <c r="A7282" i="1"/>
  <c r="C7281" i="1"/>
  <c r="B7281" i="1"/>
  <c r="A7281" i="1"/>
  <c r="C7280" i="1"/>
  <c r="B7280" i="1"/>
  <c r="A7280" i="1"/>
  <c r="C7279" i="1"/>
  <c r="B7279" i="1"/>
  <c r="A7279" i="1"/>
  <c r="C7278" i="1"/>
  <c r="B7278" i="1"/>
  <c r="A7278" i="1"/>
  <c r="C7277" i="1"/>
  <c r="B7277" i="1"/>
  <c r="A7277" i="1"/>
  <c r="C7276" i="1"/>
  <c r="B7276" i="1"/>
  <c r="A7276" i="1"/>
  <c r="C7275" i="1"/>
  <c r="B7275" i="1"/>
  <c r="A7275" i="1"/>
  <c r="C7274" i="1"/>
  <c r="B7274" i="1"/>
  <c r="A7274" i="1"/>
  <c r="C7273" i="1"/>
  <c r="B7273" i="1"/>
  <c r="A7273" i="1"/>
  <c r="C7272" i="1"/>
  <c r="B7272" i="1"/>
  <c r="A7272" i="1"/>
  <c r="C7271" i="1"/>
  <c r="B7271" i="1"/>
  <c r="A7271" i="1"/>
  <c r="C7270" i="1"/>
  <c r="B7270" i="1"/>
  <c r="A7270" i="1"/>
  <c r="C7269" i="1"/>
  <c r="B7269" i="1"/>
  <c r="A7269" i="1"/>
  <c r="C7268" i="1"/>
  <c r="B7268" i="1"/>
  <c r="A7268" i="1"/>
  <c r="C7267" i="1"/>
  <c r="B7267" i="1"/>
  <c r="A7267" i="1"/>
  <c r="C7266" i="1"/>
  <c r="B7266" i="1"/>
  <c r="A7266" i="1"/>
  <c r="C7265" i="1"/>
  <c r="B7265" i="1"/>
  <c r="A7265" i="1"/>
  <c r="C7264" i="1"/>
  <c r="B7264" i="1"/>
  <c r="A7264" i="1"/>
  <c r="C7263" i="1"/>
  <c r="B7263" i="1"/>
  <c r="A7263" i="1"/>
  <c r="C7262" i="1"/>
  <c r="B7262" i="1"/>
  <c r="A7262" i="1"/>
  <c r="C7261" i="1"/>
  <c r="B7261" i="1"/>
  <c r="A7261" i="1"/>
  <c r="C7260" i="1"/>
  <c r="B7260" i="1"/>
  <c r="A7260" i="1"/>
  <c r="C7259" i="1"/>
  <c r="B7259" i="1"/>
  <c r="A7259" i="1"/>
  <c r="C7258" i="1"/>
  <c r="B7258" i="1"/>
  <c r="A7258" i="1"/>
  <c r="C7257" i="1"/>
  <c r="B7257" i="1"/>
  <c r="A7257" i="1"/>
  <c r="C7256" i="1"/>
  <c r="B7256" i="1"/>
  <c r="A7256" i="1"/>
  <c r="C7255" i="1"/>
  <c r="B7255" i="1"/>
  <c r="A7255" i="1"/>
  <c r="C7254" i="1"/>
  <c r="B7254" i="1"/>
  <c r="A7254" i="1"/>
  <c r="C7253" i="1"/>
  <c r="B7253" i="1"/>
  <c r="A7253" i="1"/>
  <c r="C7252" i="1"/>
  <c r="B7252" i="1"/>
  <c r="A7252" i="1"/>
  <c r="C7251" i="1"/>
  <c r="B7251" i="1"/>
  <c r="A7251" i="1"/>
  <c r="C7250" i="1"/>
  <c r="B7250" i="1"/>
  <c r="A7250" i="1"/>
  <c r="C7249" i="1"/>
  <c r="B7249" i="1"/>
  <c r="A7249" i="1"/>
  <c r="C7248" i="1"/>
  <c r="B7248" i="1"/>
  <c r="A7248" i="1"/>
  <c r="C7247" i="1"/>
  <c r="B7247" i="1"/>
  <c r="A7247" i="1"/>
  <c r="C7246" i="1"/>
  <c r="B7246" i="1"/>
  <c r="A7246" i="1"/>
  <c r="C7245" i="1"/>
  <c r="B7245" i="1"/>
  <c r="A7245" i="1"/>
  <c r="C7244" i="1"/>
  <c r="B7244" i="1"/>
  <c r="A7244" i="1"/>
  <c r="C7243" i="1"/>
  <c r="B7243" i="1"/>
  <c r="A7243" i="1"/>
  <c r="C7242" i="1"/>
  <c r="B7242" i="1"/>
  <c r="A7242" i="1"/>
  <c r="C7241" i="1"/>
  <c r="B7241" i="1"/>
  <c r="A7241" i="1"/>
  <c r="C7240" i="1"/>
  <c r="B7240" i="1"/>
  <c r="A7240" i="1"/>
  <c r="C7239" i="1"/>
  <c r="B7239" i="1"/>
  <c r="A7239" i="1"/>
  <c r="C7238" i="1"/>
  <c r="B7238" i="1"/>
  <c r="A7238" i="1"/>
  <c r="C7237" i="1"/>
  <c r="B7237" i="1"/>
  <c r="A7237" i="1"/>
  <c r="C7236" i="1"/>
  <c r="B7236" i="1"/>
  <c r="A7236" i="1"/>
  <c r="C7235" i="1"/>
  <c r="B7235" i="1"/>
  <c r="A7235" i="1"/>
  <c r="C7234" i="1"/>
  <c r="B7234" i="1"/>
  <c r="A7234" i="1"/>
  <c r="C7233" i="1"/>
  <c r="B7233" i="1"/>
  <c r="A7233" i="1"/>
  <c r="C7232" i="1"/>
  <c r="B7232" i="1"/>
  <c r="A7232" i="1"/>
  <c r="C7231" i="1"/>
  <c r="B7231" i="1"/>
  <c r="A7231" i="1"/>
  <c r="C7230" i="1"/>
  <c r="B7230" i="1"/>
  <c r="A7230" i="1"/>
  <c r="C7229" i="1"/>
  <c r="B7229" i="1"/>
  <c r="A7229" i="1"/>
  <c r="C7228" i="1"/>
  <c r="B7228" i="1"/>
  <c r="A7228" i="1"/>
  <c r="C7227" i="1"/>
  <c r="B7227" i="1"/>
  <c r="A7227" i="1"/>
  <c r="C7226" i="1"/>
  <c r="B7226" i="1"/>
  <c r="A7226" i="1"/>
  <c r="C7225" i="1"/>
  <c r="B7225" i="1"/>
  <c r="A7225" i="1"/>
  <c r="C7224" i="1"/>
  <c r="B7224" i="1"/>
  <c r="A7224" i="1"/>
  <c r="C7223" i="1"/>
  <c r="B7223" i="1"/>
  <c r="A7223" i="1"/>
  <c r="C7222" i="1"/>
  <c r="B7222" i="1"/>
  <c r="A7222" i="1"/>
  <c r="C7221" i="1"/>
  <c r="B7221" i="1"/>
  <c r="A7221" i="1"/>
  <c r="C7220" i="1"/>
  <c r="B7220" i="1"/>
  <c r="A7220" i="1"/>
  <c r="C7219" i="1"/>
  <c r="B7219" i="1"/>
  <c r="A7219" i="1"/>
  <c r="C7218" i="1"/>
  <c r="B7218" i="1"/>
  <c r="A7218" i="1"/>
  <c r="C7217" i="1"/>
  <c r="B7217" i="1"/>
  <c r="A7217" i="1"/>
  <c r="C7216" i="1"/>
  <c r="B7216" i="1"/>
  <c r="A7216" i="1"/>
  <c r="C7215" i="1"/>
  <c r="B7215" i="1"/>
  <c r="A7215" i="1"/>
  <c r="C7214" i="1"/>
  <c r="B7214" i="1"/>
  <c r="A7214" i="1"/>
  <c r="C7213" i="1"/>
  <c r="B7213" i="1"/>
  <c r="A7213" i="1"/>
  <c r="C7212" i="1"/>
  <c r="B7212" i="1"/>
  <c r="A7212" i="1"/>
  <c r="C7211" i="1"/>
  <c r="B7211" i="1"/>
  <c r="A7211" i="1"/>
  <c r="C7210" i="1"/>
  <c r="B7210" i="1"/>
  <c r="A7210" i="1"/>
  <c r="C7209" i="1"/>
  <c r="B7209" i="1"/>
  <c r="A7209" i="1"/>
  <c r="C7208" i="1"/>
  <c r="B7208" i="1"/>
  <c r="A7208" i="1"/>
  <c r="C7207" i="1"/>
  <c r="B7207" i="1"/>
  <c r="A7207" i="1"/>
  <c r="C7206" i="1"/>
  <c r="B7206" i="1"/>
  <c r="A7206" i="1"/>
  <c r="C7205" i="1"/>
  <c r="B7205" i="1"/>
  <c r="A7205" i="1"/>
  <c r="C7204" i="1"/>
  <c r="B7204" i="1"/>
  <c r="A7204" i="1"/>
  <c r="C7203" i="1"/>
  <c r="B7203" i="1"/>
  <c r="A7203" i="1"/>
  <c r="C7202" i="1"/>
  <c r="B7202" i="1"/>
  <c r="A7202" i="1"/>
  <c r="C7201" i="1"/>
  <c r="B7201" i="1"/>
  <c r="A7201" i="1"/>
  <c r="C7200" i="1"/>
  <c r="B7200" i="1"/>
  <c r="A7200" i="1"/>
  <c r="C7199" i="1"/>
  <c r="B7199" i="1"/>
  <c r="A7199" i="1"/>
  <c r="C7198" i="1"/>
  <c r="B7198" i="1"/>
  <c r="A7198" i="1"/>
  <c r="C7197" i="1"/>
  <c r="B7197" i="1"/>
  <c r="A7197" i="1"/>
  <c r="C7196" i="1"/>
  <c r="B7196" i="1"/>
  <c r="A7196" i="1"/>
  <c r="C7195" i="1"/>
  <c r="B7195" i="1"/>
  <c r="A7195" i="1"/>
  <c r="C7194" i="1"/>
  <c r="B7194" i="1"/>
  <c r="A7194" i="1"/>
  <c r="C7193" i="1"/>
  <c r="B7193" i="1"/>
  <c r="A7193" i="1"/>
  <c r="C7192" i="1"/>
  <c r="B7192" i="1"/>
  <c r="A7192" i="1"/>
  <c r="C7191" i="1"/>
  <c r="B7191" i="1"/>
  <c r="A7191" i="1"/>
  <c r="C7190" i="1"/>
  <c r="B7190" i="1"/>
  <c r="A7190" i="1"/>
  <c r="C7189" i="1"/>
  <c r="B7189" i="1"/>
  <c r="A7189" i="1"/>
  <c r="C7188" i="1"/>
  <c r="B7188" i="1"/>
  <c r="A7188" i="1"/>
  <c r="C7187" i="1"/>
  <c r="B7187" i="1"/>
  <c r="A7187" i="1"/>
  <c r="C7186" i="1"/>
  <c r="B7186" i="1"/>
  <c r="A7186" i="1"/>
  <c r="C7185" i="1"/>
  <c r="B7185" i="1"/>
  <c r="A7185" i="1"/>
  <c r="C7184" i="1"/>
  <c r="B7184" i="1"/>
  <c r="A7184" i="1"/>
  <c r="C7183" i="1"/>
  <c r="B7183" i="1"/>
  <c r="A7183" i="1"/>
  <c r="C7182" i="1"/>
  <c r="B7182" i="1"/>
  <c r="A7182" i="1"/>
  <c r="C7181" i="1"/>
  <c r="B7181" i="1"/>
  <c r="A7181" i="1"/>
  <c r="C7180" i="1"/>
  <c r="B7180" i="1"/>
  <c r="A7180" i="1"/>
  <c r="C7179" i="1"/>
  <c r="B7179" i="1"/>
  <c r="A7179" i="1"/>
  <c r="C7178" i="1"/>
  <c r="B7178" i="1"/>
  <c r="A7178" i="1"/>
  <c r="C7177" i="1"/>
  <c r="B7177" i="1"/>
  <c r="A7177" i="1"/>
  <c r="C7176" i="1"/>
  <c r="B7176" i="1"/>
  <c r="A7176" i="1"/>
  <c r="C7175" i="1"/>
  <c r="B7175" i="1"/>
  <c r="A7175" i="1"/>
  <c r="C7174" i="1"/>
  <c r="B7174" i="1"/>
  <c r="A7174" i="1"/>
  <c r="C7173" i="1"/>
  <c r="B7173" i="1"/>
  <c r="A7173" i="1"/>
  <c r="C7172" i="1"/>
  <c r="B7172" i="1"/>
  <c r="A7172" i="1"/>
  <c r="C7171" i="1"/>
  <c r="B7171" i="1"/>
  <c r="A7171" i="1"/>
  <c r="C7170" i="1"/>
  <c r="B7170" i="1"/>
  <c r="A7170" i="1"/>
  <c r="C7169" i="1"/>
  <c r="B7169" i="1"/>
  <c r="A7169" i="1"/>
  <c r="C7168" i="1"/>
  <c r="B7168" i="1"/>
  <c r="A7168" i="1"/>
  <c r="C7167" i="1"/>
  <c r="B7167" i="1"/>
  <c r="A7167" i="1"/>
  <c r="C7166" i="1"/>
  <c r="B7166" i="1"/>
  <c r="A7166" i="1"/>
  <c r="C7165" i="1"/>
  <c r="B7165" i="1"/>
  <c r="A7165" i="1"/>
  <c r="C7164" i="1"/>
  <c r="B7164" i="1"/>
  <c r="A7164" i="1"/>
  <c r="C7163" i="1"/>
  <c r="B7163" i="1"/>
  <c r="A7163" i="1"/>
  <c r="C7162" i="1"/>
  <c r="B7162" i="1"/>
  <c r="A7162" i="1"/>
  <c r="C7161" i="1"/>
  <c r="B7161" i="1"/>
  <c r="A7161" i="1"/>
  <c r="C7160" i="1"/>
  <c r="B7160" i="1"/>
  <c r="A7160" i="1"/>
  <c r="C7159" i="1"/>
  <c r="B7159" i="1"/>
  <c r="A7159" i="1"/>
  <c r="C7158" i="1"/>
  <c r="B7158" i="1"/>
  <c r="A7158" i="1"/>
  <c r="C7157" i="1"/>
  <c r="B7157" i="1"/>
  <c r="A7157" i="1"/>
  <c r="C7156" i="1"/>
  <c r="B7156" i="1"/>
  <c r="A7156" i="1"/>
  <c r="C7155" i="1"/>
  <c r="B7155" i="1"/>
  <c r="A7155" i="1"/>
  <c r="C7154" i="1"/>
  <c r="B7154" i="1"/>
  <c r="A7154" i="1"/>
  <c r="C7153" i="1"/>
  <c r="B7153" i="1"/>
  <c r="A7153" i="1"/>
  <c r="C7152" i="1"/>
  <c r="B7152" i="1"/>
  <c r="A7152" i="1"/>
  <c r="C7151" i="1"/>
  <c r="B7151" i="1"/>
  <c r="A7151" i="1"/>
  <c r="C7150" i="1"/>
  <c r="B7150" i="1"/>
  <c r="A7150" i="1"/>
  <c r="C7149" i="1"/>
  <c r="B7149" i="1"/>
  <c r="A7149" i="1"/>
  <c r="C7148" i="1"/>
  <c r="B7148" i="1"/>
  <c r="A7148" i="1"/>
  <c r="C7147" i="1"/>
  <c r="B7147" i="1"/>
  <c r="A7147" i="1"/>
  <c r="C7146" i="1"/>
  <c r="B7146" i="1"/>
  <c r="A7146" i="1"/>
  <c r="C7145" i="1"/>
  <c r="B7145" i="1"/>
  <c r="A7145" i="1"/>
  <c r="C7144" i="1"/>
  <c r="B7144" i="1"/>
  <c r="A7144" i="1"/>
  <c r="C7143" i="1"/>
  <c r="B7143" i="1"/>
  <c r="A7143" i="1"/>
  <c r="C7142" i="1"/>
  <c r="B7142" i="1"/>
  <c r="A7142" i="1"/>
  <c r="C7141" i="1"/>
  <c r="B7141" i="1"/>
  <c r="A7141" i="1"/>
  <c r="C7140" i="1"/>
  <c r="B7140" i="1"/>
  <c r="A7140" i="1"/>
  <c r="C7139" i="1"/>
  <c r="B7139" i="1"/>
  <c r="A7139" i="1"/>
  <c r="C7138" i="1"/>
  <c r="B7138" i="1"/>
  <c r="A7138" i="1"/>
  <c r="C7137" i="1"/>
  <c r="B7137" i="1"/>
  <c r="A7137" i="1"/>
  <c r="C7136" i="1"/>
  <c r="B7136" i="1"/>
  <c r="A7136" i="1"/>
  <c r="C7135" i="1"/>
  <c r="B7135" i="1"/>
  <c r="A7135" i="1"/>
  <c r="C7134" i="1"/>
  <c r="B7134" i="1"/>
  <c r="A7134" i="1"/>
  <c r="C7133" i="1"/>
  <c r="B7133" i="1"/>
  <c r="A7133" i="1"/>
  <c r="C7132" i="1"/>
  <c r="B7132" i="1"/>
  <c r="A7132" i="1"/>
  <c r="C7131" i="1"/>
  <c r="B7131" i="1"/>
  <c r="A7131" i="1"/>
  <c r="C7130" i="1"/>
  <c r="B7130" i="1"/>
  <c r="A7130" i="1"/>
  <c r="C7129" i="1"/>
  <c r="B7129" i="1"/>
  <c r="A7129" i="1"/>
  <c r="C7128" i="1"/>
  <c r="B7128" i="1"/>
  <c r="A7128" i="1"/>
  <c r="C7127" i="1"/>
  <c r="B7127" i="1"/>
  <c r="A7127" i="1"/>
  <c r="C7126" i="1"/>
  <c r="B7126" i="1"/>
  <c r="A7126" i="1"/>
  <c r="C7125" i="1"/>
  <c r="B7125" i="1"/>
  <c r="A7125" i="1"/>
  <c r="C7124" i="1"/>
  <c r="B7124" i="1"/>
  <c r="A7124" i="1"/>
  <c r="C7123" i="1"/>
  <c r="B7123" i="1"/>
  <c r="A7123" i="1"/>
  <c r="C7122" i="1"/>
  <c r="B7122" i="1"/>
  <c r="A7122" i="1"/>
  <c r="C7121" i="1"/>
  <c r="B7121" i="1"/>
  <c r="A7121" i="1"/>
  <c r="C7120" i="1"/>
  <c r="B7120" i="1"/>
  <c r="A7120" i="1"/>
  <c r="C7119" i="1"/>
  <c r="B7119" i="1"/>
  <c r="A7119" i="1"/>
  <c r="C7118" i="1"/>
  <c r="B7118" i="1"/>
  <c r="A7118" i="1"/>
  <c r="C7117" i="1"/>
  <c r="B7117" i="1"/>
  <c r="A7117" i="1"/>
  <c r="C7116" i="1"/>
  <c r="B7116" i="1"/>
  <c r="A7116" i="1"/>
  <c r="C7115" i="1"/>
  <c r="B7115" i="1"/>
  <c r="A7115" i="1"/>
  <c r="C7114" i="1"/>
  <c r="B7114" i="1"/>
  <c r="A7114" i="1"/>
  <c r="C7113" i="1"/>
  <c r="B7113" i="1"/>
  <c r="A7113" i="1"/>
  <c r="C7112" i="1"/>
  <c r="B7112" i="1"/>
  <c r="A7112" i="1"/>
  <c r="C7111" i="1"/>
  <c r="B7111" i="1"/>
  <c r="A7111" i="1"/>
  <c r="C7110" i="1"/>
  <c r="B7110" i="1"/>
  <c r="A7110" i="1"/>
  <c r="C7109" i="1"/>
  <c r="B7109" i="1"/>
  <c r="A7109" i="1"/>
  <c r="C7108" i="1"/>
  <c r="B7108" i="1"/>
  <c r="A7108" i="1"/>
  <c r="C7107" i="1"/>
  <c r="B7107" i="1"/>
  <c r="A7107" i="1"/>
  <c r="C7106" i="1"/>
  <c r="B7106" i="1"/>
  <c r="A7106" i="1"/>
  <c r="C7105" i="1"/>
  <c r="B7105" i="1"/>
  <c r="A7105" i="1"/>
  <c r="C7104" i="1"/>
  <c r="B7104" i="1"/>
  <c r="A7104" i="1"/>
  <c r="C7103" i="1"/>
  <c r="B7103" i="1"/>
  <c r="A7103" i="1"/>
  <c r="C7102" i="1"/>
  <c r="B7102" i="1"/>
  <c r="A7102" i="1"/>
  <c r="C7101" i="1"/>
  <c r="B7101" i="1"/>
  <c r="A7101" i="1"/>
  <c r="C7100" i="1"/>
  <c r="B7100" i="1"/>
  <c r="A7100" i="1"/>
  <c r="C7099" i="1"/>
  <c r="B7099" i="1"/>
  <c r="A7099" i="1"/>
  <c r="C7098" i="1"/>
  <c r="B7098" i="1"/>
  <c r="A7098" i="1"/>
  <c r="C7097" i="1"/>
  <c r="B7097" i="1"/>
  <c r="A7097" i="1"/>
  <c r="C7096" i="1"/>
  <c r="B7096" i="1"/>
  <c r="A7096" i="1"/>
  <c r="C7095" i="1"/>
  <c r="B7095" i="1"/>
  <c r="A7095" i="1"/>
  <c r="C7094" i="1"/>
  <c r="B7094" i="1"/>
  <c r="A7094" i="1"/>
  <c r="C7093" i="1"/>
  <c r="B7093" i="1"/>
  <c r="A7093" i="1"/>
  <c r="C7092" i="1"/>
  <c r="B7092" i="1"/>
  <c r="A7092" i="1"/>
  <c r="C7091" i="1"/>
  <c r="B7091" i="1"/>
  <c r="A7091" i="1"/>
  <c r="C7090" i="1"/>
  <c r="B7090" i="1"/>
  <c r="A7090" i="1"/>
  <c r="C7089" i="1"/>
  <c r="B7089" i="1"/>
  <c r="A7089" i="1"/>
  <c r="C7088" i="1"/>
  <c r="B7088" i="1"/>
  <c r="A7088" i="1"/>
  <c r="C7087" i="1"/>
  <c r="B7087" i="1"/>
  <c r="A7087" i="1"/>
  <c r="C7086" i="1"/>
  <c r="B7086" i="1"/>
  <c r="A7086" i="1"/>
  <c r="C7085" i="1"/>
  <c r="B7085" i="1"/>
  <c r="A7085" i="1"/>
  <c r="C7084" i="1"/>
  <c r="B7084" i="1"/>
  <c r="A7084" i="1"/>
  <c r="C7083" i="1"/>
  <c r="B7083" i="1"/>
  <c r="A7083" i="1"/>
  <c r="C7082" i="1"/>
  <c r="B7082" i="1"/>
  <c r="A7082" i="1"/>
  <c r="C7081" i="1"/>
  <c r="B7081" i="1"/>
  <c r="A7081" i="1"/>
  <c r="C7080" i="1"/>
  <c r="B7080" i="1"/>
  <c r="A7080" i="1"/>
  <c r="C7079" i="1"/>
  <c r="B7079" i="1"/>
  <c r="A7079" i="1"/>
  <c r="C7078" i="1"/>
  <c r="B7078" i="1"/>
  <c r="A7078" i="1"/>
  <c r="C7077" i="1"/>
  <c r="B7077" i="1"/>
  <c r="A7077" i="1"/>
  <c r="C7076" i="1"/>
  <c r="B7076" i="1"/>
  <c r="A7076" i="1"/>
  <c r="C7075" i="1"/>
  <c r="B7075" i="1"/>
  <c r="A7075" i="1"/>
  <c r="C7074" i="1"/>
  <c r="B7074" i="1"/>
  <c r="A7074" i="1"/>
  <c r="C7073" i="1"/>
  <c r="B7073" i="1"/>
  <c r="A7073" i="1"/>
  <c r="C7072" i="1"/>
  <c r="B7072" i="1"/>
  <c r="A7072" i="1"/>
  <c r="C7071" i="1"/>
  <c r="B7071" i="1"/>
  <c r="A7071" i="1"/>
  <c r="C7070" i="1"/>
  <c r="B7070" i="1"/>
  <c r="A7070" i="1"/>
  <c r="C7069" i="1"/>
  <c r="B7069" i="1"/>
  <c r="A7069" i="1"/>
  <c r="C7068" i="1"/>
  <c r="B7068" i="1"/>
  <c r="A7068" i="1"/>
  <c r="C7067" i="1"/>
  <c r="B7067" i="1"/>
  <c r="A7067" i="1"/>
  <c r="C7066" i="1"/>
  <c r="B7066" i="1"/>
  <c r="A7066" i="1"/>
  <c r="C7065" i="1"/>
  <c r="B7065" i="1"/>
  <c r="A7065" i="1"/>
  <c r="C7064" i="1"/>
  <c r="B7064" i="1"/>
  <c r="A7064" i="1"/>
  <c r="C7063" i="1"/>
  <c r="B7063" i="1"/>
  <c r="A7063" i="1"/>
  <c r="C7062" i="1"/>
  <c r="B7062" i="1"/>
  <c r="A7062" i="1"/>
  <c r="C7061" i="1"/>
  <c r="B7061" i="1"/>
  <c r="A7061" i="1"/>
  <c r="C7060" i="1"/>
  <c r="B7060" i="1"/>
  <c r="A7060" i="1"/>
  <c r="C7059" i="1"/>
  <c r="B7059" i="1"/>
  <c r="A7059" i="1"/>
  <c r="C7058" i="1"/>
  <c r="B7058" i="1"/>
  <c r="A7058" i="1"/>
  <c r="C7057" i="1"/>
  <c r="B7057" i="1"/>
  <c r="A7057" i="1"/>
  <c r="C7056" i="1"/>
  <c r="B7056" i="1"/>
  <c r="A7056" i="1"/>
  <c r="C7055" i="1"/>
  <c r="B7055" i="1"/>
  <c r="A7055" i="1"/>
  <c r="C7054" i="1"/>
  <c r="B7054" i="1"/>
  <c r="A7054" i="1"/>
  <c r="C7053" i="1"/>
  <c r="B7053" i="1"/>
  <c r="A7053" i="1"/>
  <c r="C7052" i="1"/>
  <c r="B7052" i="1"/>
  <c r="A7052" i="1"/>
  <c r="C7051" i="1"/>
  <c r="B7051" i="1"/>
  <c r="A7051" i="1"/>
  <c r="C7050" i="1"/>
  <c r="B7050" i="1"/>
  <c r="A7050" i="1"/>
  <c r="C7049" i="1"/>
  <c r="B7049" i="1"/>
  <c r="A7049" i="1"/>
  <c r="C7048" i="1"/>
  <c r="B7048" i="1"/>
  <c r="A7048" i="1"/>
  <c r="C7047" i="1"/>
  <c r="B7047" i="1"/>
  <c r="A7047" i="1"/>
  <c r="C7046" i="1"/>
  <c r="B7046" i="1"/>
  <c r="A7046" i="1"/>
  <c r="C7045" i="1"/>
  <c r="B7045" i="1"/>
  <c r="A7045" i="1"/>
  <c r="C7044" i="1"/>
  <c r="B7044" i="1"/>
  <c r="A7044" i="1"/>
  <c r="C7043" i="1"/>
  <c r="B7043" i="1"/>
  <c r="A7043" i="1"/>
  <c r="C7042" i="1"/>
  <c r="B7042" i="1"/>
  <c r="A7042" i="1"/>
  <c r="C7041" i="1"/>
  <c r="B7041" i="1"/>
  <c r="A7041" i="1"/>
  <c r="C7040" i="1"/>
  <c r="B7040" i="1"/>
  <c r="A7040" i="1"/>
  <c r="C7039" i="1"/>
  <c r="B7039" i="1"/>
  <c r="A7039" i="1"/>
  <c r="C7038" i="1"/>
  <c r="B7038" i="1"/>
  <c r="A7038" i="1"/>
  <c r="C7037" i="1"/>
  <c r="B7037" i="1"/>
  <c r="A7037" i="1"/>
  <c r="C7036" i="1"/>
  <c r="B7036" i="1"/>
  <c r="A7036" i="1"/>
  <c r="C7035" i="1"/>
  <c r="B7035" i="1"/>
  <c r="A7035" i="1"/>
  <c r="C7034" i="1"/>
  <c r="B7034" i="1"/>
  <c r="A7034" i="1"/>
  <c r="C7033" i="1"/>
  <c r="B7033" i="1"/>
  <c r="A7033" i="1"/>
  <c r="C7032" i="1"/>
  <c r="B7032" i="1"/>
  <c r="A7032" i="1"/>
  <c r="C7031" i="1"/>
  <c r="B7031" i="1"/>
  <c r="A7031" i="1"/>
  <c r="C7030" i="1"/>
  <c r="B7030" i="1"/>
  <c r="A7030" i="1"/>
  <c r="C7029" i="1"/>
  <c r="B7029" i="1"/>
  <c r="A7029" i="1"/>
  <c r="C7028" i="1"/>
  <c r="B7028" i="1"/>
  <c r="A7028" i="1"/>
  <c r="C7027" i="1"/>
  <c r="B7027" i="1"/>
  <c r="A7027" i="1"/>
  <c r="C7026" i="1"/>
  <c r="B7026" i="1"/>
  <c r="A7026" i="1"/>
  <c r="C7025" i="1"/>
  <c r="B7025" i="1"/>
  <c r="A7025" i="1"/>
  <c r="C7024" i="1"/>
  <c r="B7024" i="1"/>
  <c r="A7024" i="1"/>
  <c r="C7023" i="1"/>
  <c r="B7023" i="1"/>
  <c r="A7023" i="1"/>
  <c r="C7022" i="1"/>
  <c r="B7022" i="1"/>
  <c r="A7022" i="1"/>
  <c r="C7021" i="1"/>
  <c r="B7021" i="1"/>
  <c r="A7021" i="1"/>
  <c r="C7020" i="1"/>
  <c r="B7020" i="1"/>
  <c r="A7020" i="1"/>
  <c r="C7019" i="1"/>
  <c r="B7019" i="1"/>
  <c r="A7019" i="1"/>
  <c r="C7018" i="1"/>
  <c r="B7018" i="1"/>
  <c r="A7018" i="1"/>
  <c r="C7017" i="1"/>
  <c r="B7017" i="1"/>
  <c r="A7017" i="1"/>
  <c r="C7016" i="1"/>
  <c r="B7016" i="1"/>
  <c r="A7016" i="1"/>
  <c r="C7015" i="1"/>
  <c r="B7015" i="1"/>
  <c r="A7015" i="1"/>
  <c r="C7014" i="1"/>
  <c r="B7014" i="1"/>
  <c r="A7014" i="1"/>
  <c r="C7013" i="1"/>
  <c r="B7013" i="1"/>
  <c r="A7013" i="1"/>
  <c r="C7012" i="1"/>
  <c r="B7012" i="1"/>
  <c r="A7012" i="1"/>
  <c r="C7011" i="1"/>
  <c r="B7011" i="1"/>
  <c r="A7011" i="1"/>
  <c r="C7010" i="1"/>
  <c r="B7010" i="1"/>
  <c r="A7010" i="1"/>
  <c r="C7009" i="1"/>
  <c r="B7009" i="1"/>
  <c r="A7009" i="1"/>
  <c r="C7008" i="1"/>
  <c r="B7008" i="1"/>
  <c r="A7008" i="1"/>
  <c r="C7007" i="1"/>
  <c r="B7007" i="1"/>
  <c r="A7007" i="1"/>
  <c r="C7006" i="1"/>
  <c r="B7006" i="1"/>
  <c r="A7006" i="1"/>
  <c r="C7005" i="1"/>
  <c r="B7005" i="1"/>
  <c r="A7005" i="1"/>
  <c r="C7004" i="1"/>
  <c r="B7004" i="1"/>
  <c r="A7004" i="1"/>
  <c r="C7003" i="1"/>
  <c r="B7003" i="1"/>
  <c r="A7003" i="1"/>
  <c r="C7002" i="1"/>
  <c r="B7002" i="1"/>
  <c r="A7002" i="1"/>
  <c r="C7001" i="1"/>
  <c r="B7001" i="1"/>
  <c r="A7001" i="1"/>
  <c r="C7000" i="1"/>
  <c r="B7000" i="1"/>
  <c r="A7000" i="1"/>
  <c r="C6999" i="1"/>
  <c r="B6999" i="1"/>
  <c r="A6999" i="1"/>
  <c r="C6998" i="1"/>
  <c r="B6998" i="1"/>
  <c r="A6998" i="1"/>
  <c r="C6997" i="1"/>
  <c r="B6997" i="1"/>
  <c r="A6997" i="1"/>
  <c r="C6996" i="1"/>
  <c r="B6996" i="1"/>
  <c r="A6996" i="1"/>
  <c r="C6995" i="1"/>
  <c r="B6995" i="1"/>
  <c r="A6995" i="1"/>
  <c r="C6994" i="1"/>
  <c r="B6994" i="1"/>
  <c r="A6994" i="1"/>
  <c r="C6993" i="1"/>
  <c r="B6993" i="1"/>
  <c r="A6993" i="1"/>
  <c r="C6992" i="1"/>
  <c r="B6992" i="1"/>
  <c r="A6992" i="1"/>
  <c r="C6991" i="1"/>
  <c r="B6991" i="1"/>
  <c r="A6991" i="1"/>
  <c r="C6990" i="1"/>
  <c r="B6990" i="1"/>
  <c r="A6990" i="1"/>
  <c r="C6989" i="1"/>
  <c r="B6989" i="1"/>
  <c r="A6989" i="1"/>
  <c r="C6988" i="1"/>
  <c r="B6988" i="1"/>
  <c r="A6988" i="1"/>
  <c r="C6987" i="1"/>
  <c r="B6987" i="1"/>
  <c r="A6987" i="1"/>
  <c r="C6986" i="1"/>
  <c r="B6986" i="1"/>
  <c r="A6986" i="1"/>
  <c r="C6985" i="1"/>
  <c r="B6985" i="1"/>
  <c r="A6985" i="1"/>
  <c r="C6984" i="1"/>
  <c r="B6984" i="1"/>
  <c r="A6984" i="1"/>
  <c r="C6983" i="1"/>
  <c r="B6983" i="1"/>
  <c r="A6983" i="1"/>
  <c r="C6982" i="1"/>
  <c r="B6982" i="1"/>
  <c r="A6982" i="1"/>
  <c r="C6981" i="1"/>
  <c r="B6981" i="1"/>
  <c r="A6981" i="1"/>
  <c r="C6980" i="1"/>
  <c r="B6980" i="1"/>
  <c r="A6980" i="1"/>
  <c r="C6979" i="1"/>
  <c r="B6979" i="1"/>
  <c r="A6979" i="1"/>
  <c r="C6978" i="1"/>
  <c r="B6978" i="1"/>
  <c r="A6978" i="1"/>
  <c r="C6977" i="1"/>
  <c r="B6977" i="1"/>
  <c r="A6977" i="1"/>
  <c r="C6976" i="1"/>
  <c r="B6976" i="1"/>
  <c r="A6976" i="1"/>
  <c r="C6975" i="1"/>
  <c r="B6975" i="1"/>
  <c r="A6975" i="1"/>
  <c r="C6974" i="1"/>
  <c r="B6974" i="1"/>
  <c r="A6974" i="1"/>
  <c r="C6973" i="1"/>
  <c r="B6973" i="1"/>
  <c r="A6973" i="1"/>
  <c r="C6972" i="1"/>
  <c r="B6972" i="1"/>
  <c r="A6972" i="1"/>
  <c r="C6971" i="1"/>
  <c r="B6971" i="1"/>
  <c r="A6971" i="1"/>
  <c r="C6970" i="1"/>
  <c r="B6970" i="1"/>
  <c r="A6970" i="1"/>
  <c r="C6969" i="1"/>
  <c r="B6969" i="1"/>
  <c r="A6969" i="1"/>
  <c r="C6968" i="1"/>
  <c r="B6968" i="1"/>
  <c r="A6968" i="1"/>
  <c r="C6967" i="1"/>
  <c r="B6967" i="1"/>
  <c r="A6967" i="1"/>
  <c r="C6966" i="1"/>
  <c r="B6966" i="1"/>
  <c r="A6966" i="1"/>
  <c r="C6965" i="1"/>
  <c r="B6965" i="1"/>
  <c r="A6965" i="1"/>
  <c r="C6964" i="1"/>
  <c r="B6964" i="1"/>
  <c r="A6964" i="1"/>
  <c r="C6963" i="1"/>
  <c r="B6963" i="1"/>
  <c r="A6963" i="1"/>
  <c r="C6962" i="1"/>
  <c r="B6962" i="1"/>
  <c r="A6962" i="1"/>
  <c r="C6961" i="1"/>
  <c r="B6961" i="1"/>
  <c r="A6961" i="1"/>
  <c r="C6960" i="1"/>
  <c r="B6960" i="1"/>
  <c r="A6960" i="1"/>
  <c r="C6959" i="1"/>
  <c r="B6959" i="1"/>
  <c r="A6959" i="1"/>
  <c r="C6958" i="1"/>
  <c r="B6958" i="1"/>
  <c r="A6958" i="1"/>
  <c r="C6957" i="1"/>
  <c r="B6957" i="1"/>
  <c r="A6957" i="1"/>
  <c r="C6956" i="1"/>
  <c r="B6956" i="1"/>
  <c r="A6956" i="1"/>
  <c r="C6955" i="1"/>
  <c r="B6955" i="1"/>
  <c r="A6955" i="1"/>
  <c r="C6954" i="1"/>
  <c r="B6954" i="1"/>
  <c r="A6954" i="1"/>
  <c r="C6953" i="1"/>
  <c r="B6953" i="1"/>
  <c r="A6953" i="1"/>
  <c r="C6952" i="1"/>
  <c r="B6952" i="1"/>
  <c r="A6952" i="1"/>
  <c r="C6951" i="1"/>
  <c r="B6951" i="1"/>
  <c r="A6951" i="1"/>
  <c r="C6950" i="1"/>
  <c r="B6950" i="1"/>
  <c r="A6950" i="1"/>
  <c r="C6949" i="1"/>
  <c r="B6949" i="1"/>
  <c r="A6949" i="1"/>
  <c r="C6948" i="1"/>
  <c r="B6948" i="1"/>
  <c r="A6948" i="1"/>
  <c r="C6947" i="1"/>
  <c r="B6947" i="1"/>
  <c r="A6947" i="1"/>
  <c r="C6946" i="1"/>
  <c r="B6946" i="1"/>
  <c r="A6946" i="1"/>
  <c r="C6945" i="1"/>
  <c r="B6945" i="1"/>
  <c r="A6945" i="1"/>
  <c r="C6944" i="1"/>
  <c r="B6944" i="1"/>
  <c r="A6944" i="1"/>
  <c r="C6943" i="1"/>
  <c r="B6943" i="1"/>
  <c r="A6943" i="1"/>
  <c r="C6942" i="1"/>
  <c r="B6942" i="1"/>
  <c r="A6942" i="1"/>
  <c r="C6941" i="1"/>
  <c r="B6941" i="1"/>
  <c r="A6941" i="1"/>
  <c r="C6940" i="1"/>
  <c r="B6940" i="1"/>
  <c r="A6940" i="1"/>
  <c r="C6939" i="1"/>
  <c r="B6939" i="1"/>
  <c r="A6939" i="1"/>
  <c r="C6938" i="1"/>
  <c r="B6938" i="1"/>
  <c r="A6938" i="1"/>
  <c r="C6937" i="1"/>
  <c r="B6937" i="1"/>
  <c r="A6937" i="1"/>
  <c r="C6936" i="1"/>
  <c r="B6936" i="1"/>
  <c r="A6936" i="1"/>
  <c r="C6935" i="1"/>
  <c r="B6935" i="1"/>
  <c r="A6935" i="1"/>
  <c r="C6934" i="1"/>
  <c r="B6934" i="1"/>
  <c r="A6934" i="1"/>
  <c r="C6933" i="1"/>
  <c r="B6933" i="1"/>
  <c r="A6933" i="1"/>
  <c r="C6932" i="1"/>
  <c r="B6932" i="1"/>
  <c r="A6932" i="1"/>
  <c r="C6931" i="1"/>
  <c r="B6931" i="1"/>
  <c r="A6931" i="1"/>
  <c r="C6930" i="1"/>
  <c r="B6930" i="1"/>
  <c r="A6930" i="1"/>
  <c r="C6929" i="1"/>
  <c r="B6929" i="1"/>
  <c r="A6929" i="1"/>
  <c r="C6928" i="1"/>
  <c r="B6928" i="1"/>
  <c r="A6928" i="1"/>
  <c r="C6927" i="1"/>
  <c r="B6927" i="1"/>
  <c r="A6927" i="1"/>
  <c r="C6926" i="1"/>
  <c r="B6926" i="1"/>
  <c r="A6926" i="1"/>
  <c r="C6925" i="1"/>
  <c r="B6925" i="1"/>
  <c r="A6925" i="1"/>
  <c r="C6924" i="1"/>
  <c r="B6924" i="1"/>
  <c r="A6924" i="1"/>
  <c r="C6923" i="1"/>
  <c r="B6923" i="1"/>
  <c r="A6923" i="1"/>
  <c r="C6922" i="1"/>
  <c r="B6922" i="1"/>
  <c r="A6922" i="1"/>
  <c r="C6921" i="1"/>
  <c r="B6921" i="1"/>
  <c r="A6921" i="1"/>
  <c r="C6920" i="1"/>
  <c r="B6920" i="1"/>
  <c r="A6920" i="1"/>
  <c r="C6919" i="1"/>
  <c r="B6919" i="1"/>
  <c r="A6919" i="1"/>
  <c r="C6918" i="1"/>
  <c r="B6918" i="1"/>
  <c r="A6918" i="1"/>
  <c r="C6917" i="1"/>
  <c r="B6917" i="1"/>
  <c r="A6917" i="1"/>
  <c r="C6916" i="1"/>
  <c r="B6916" i="1"/>
  <c r="A6916" i="1"/>
  <c r="C6915" i="1"/>
  <c r="B6915" i="1"/>
  <c r="A6915" i="1"/>
  <c r="C6914" i="1"/>
  <c r="B6914" i="1"/>
  <c r="A6914" i="1"/>
  <c r="C6913" i="1"/>
  <c r="B6913" i="1"/>
  <c r="A6913" i="1"/>
  <c r="C6912" i="1"/>
  <c r="B6912" i="1"/>
  <c r="A6912" i="1"/>
  <c r="C6911" i="1"/>
  <c r="B6911" i="1"/>
  <c r="A6911" i="1"/>
  <c r="C6910" i="1"/>
  <c r="B6910" i="1"/>
  <c r="A6910" i="1"/>
  <c r="C6909" i="1"/>
  <c r="B6909" i="1"/>
  <c r="A6909" i="1"/>
  <c r="C6908" i="1"/>
  <c r="B6908" i="1"/>
  <c r="A6908" i="1"/>
  <c r="C6907" i="1"/>
  <c r="B6907" i="1"/>
  <c r="A6907" i="1"/>
  <c r="C6906" i="1"/>
  <c r="B6906" i="1"/>
  <c r="A6906" i="1"/>
  <c r="C6905" i="1"/>
  <c r="B6905" i="1"/>
  <c r="A6905" i="1"/>
  <c r="C6904" i="1"/>
  <c r="B6904" i="1"/>
  <c r="A6904" i="1"/>
  <c r="C6903" i="1"/>
  <c r="B6903" i="1"/>
  <c r="A6903" i="1"/>
  <c r="C6902" i="1"/>
  <c r="B6902" i="1"/>
  <c r="A6902" i="1"/>
  <c r="C6901" i="1"/>
  <c r="B6901" i="1"/>
  <c r="A6901" i="1"/>
  <c r="C6900" i="1"/>
  <c r="B6900" i="1"/>
  <c r="A6900" i="1"/>
  <c r="C6899" i="1"/>
  <c r="B6899" i="1"/>
  <c r="A6899" i="1"/>
  <c r="C6898" i="1"/>
  <c r="B6898" i="1"/>
  <c r="A6898" i="1"/>
  <c r="C6897" i="1"/>
  <c r="B6897" i="1"/>
  <c r="A6897" i="1"/>
  <c r="C6896" i="1"/>
  <c r="B6896" i="1"/>
  <c r="A6896" i="1"/>
  <c r="C6895" i="1"/>
  <c r="B6895" i="1"/>
  <c r="A6895" i="1"/>
  <c r="C6894" i="1"/>
  <c r="B6894" i="1"/>
  <c r="A6894" i="1"/>
  <c r="C6893" i="1"/>
  <c r="B6893" i="1"/>
  <c r="A6893" i="1"/>
  <c r="C6892" i="1"/>
  <c r="B6892" i="1"/>
  <c r="A6892" i="1"/>
  <c r="C6891" i="1"/>
  <c r="B6891" i="1"/>
  <c r="A6891" i="1"/>
  <c r="C6890" i="1"/>
  <c r="B6890" i="1"/>
  <c r="A6890" i="1"/>
  <c r="C6889" i="1"/>
  <c r="B6889" i="1"/>
  <c r="A6889" i="1"/>
  <c r="C6888" i="1"/>
  <c r="B6888" i="1"/>
  <c r="A6888" i="1"/>
  <c r="C6887" i="1"/>
  <c r="B6887" i="1"/>
  <c r="A6887" i="1"/>
  <c r="C6886" i="1"/>
  <c r="B6886" i="1"/>
  <c r="A6886" i="1"/>
  <c r="C6885" i="1"/>
  <c r="B6885" i="1"/>
  <c r="A6885" i="1"/>
  <c r="C6884" i="1"/>
  <c r="B6884" i="1"/>
  <c r="A6884" i="1"/>
  <c r="C6883" i="1"/>
  <c r="B6883" i="1"/>
  <c r="A6883" i="1"/>
  <c r="C6882" i="1"/>
  <c r="B6882" i="1"/>
  <c r="A6882" i="1"/>
  <c r="C6881" i="1"/>
  <c r="B6881" i="1"/>
  <c r="A6881" i="1"/>
  <c r="C6880" i="1"/>
  <c r="B6880" i="1"/>
  <c r="A6880" i="1"/>
  <c r="C6879" i="1"/>
  <c r="B6879" i="1"/>
  <c r="A6879" i="1"/>
  <c r="C6878" i="1"/>
  <c r="B6878" i="1"/>
  <c r="A6878" i="1"/>
  <c r="C6877" i="1"/>
  <c r="B6877" i="1"/>
  <c r="A6877" i="1"/>
  <c r="C6876" i="1"/>
  <c r="B6876" i="1"/>
  <c r="A6876" i="1"/>
  <c r="C6875" i="1"/>
  <c r="B6875" i="1"/>
  <c r="A6875" i="1"/>
  <c r="C6874" i="1"/>
  <c r="B6874" i="1"/>
  <c r="A6874" i="1"/>
  <c r="C6873" i="1"/>
  <c r="B6873" i="1"/>
  <c r="A6873" i="1"/>
  <c r="C6872" i="1"/>
  <c r="B6872" i="1"/>
  <c r="A6872" i="1"/>
  <c r="C6871" i="1"/>
  <c r="B6871" i="1"/>
  <c r="A6871" i="1"/>
  <c r="C6870" i="1"/>
  <c r="B6870" i="1"/>
  <c r="A6870" i="1"/>
  <c r="C6869" i="1"/>
  <c r="B6869" i="1"/>
  <c r="A6869" i="1"/>
  <c r="C6868" i="1"/>
  <c r="B6868" i="1"/>
  <c r="A6868" i="1"/>
  <c r="C6867" i="1"/>
  <c r="B6867" i="1"/>
  <c r="A6867" i="1"/>
  <c r="C6866" i="1"/>
  <c r="B6866" i="1"/>
  <c r="A6866" i="1"/>
  <c r="C6865" i="1"/>
  <c r="B6865" i="1"/>
  <c r="A6865" i="1"/>
  <c r="C6864" i="1"/>
  <c r="B6864" i="1"/>
  <c r="A6864" i="1"/>
  <c r="C6863" i="1"/>
  <c r="B6863" i="1"/>
  <c r="A6863" i="1"/>
  <c r="C6862" i="1"/>
  <c r="B6862" i="1"/>
  <c r="A6862" i="1"/>
  <c r="C6861" i="1"/>
  <c r="B6861" i="1"/>
  <c r="A6861" i="1"/>
  <c r="C6860" i="1"/>
  <c r="B6860" i="1"/>
  <c r="A6860" i="1"/>
  <c r="C6859" i="1"/>
  <c r="B6859" i="1"/>
  <c r="A6859" i="1"/>
  <c r="C6858" i="1"/>
  <c r="B6858" i="1"/>
  <c r="A6858" i="1"/>
  <c r="C6857" i="1"/>
  <c r="B6857" i="1"/>
  <c r="A6857" i="1"/>
  <c r="C6856" i="1"/>
  <c r="B6856" i="1"/>
  <c r="A6856" i="1"/>
  <c r="C6855" i="1"/>
  <c r="B6855" i="1"/>
  <c r="A6855" i="1"/>
  <c r="C6854" i="1"/>
  <c r="B6854" i="1"/>
  <c r="A6854" i="1"/>
  <c r="C6853" i="1"/>
  <c r="B6853" i="1"/>
  <c r="A6853" i="1"/>
  <c r="C6852" i="1"/>
  <c r="B6852" i="1"/>
  <c r="A6852" i="1"/>
  <c r="C6851" i="1"/>
  <c r="B6851" i="1"/>
  <c r="A6851" i="1"/>
  <c r="C6850" i="1"/>
  <c r="B6850" i="1"/>
  <c r="A6850" i="1"/>
  <c r="C6849" i="1"/>
  <c r="B6849" i="1"/>
  <c r="A6849" i="1"/>
  <c r="C6848" i="1"/>
  <c r="B6848" i="1"/>
  <c r="A6848" i="1"/>
  <c r="C6847" i="1"/>
  <c r="B6847" i="1"/>
  <c r="A6847" i="1"/>
  <c r="C6846" i="1"/>
  <c r="B6846" i="1"/>
  <c r="A6846" i="1"/>
  <c r="C6845" i="1"/>
  <c r="B6845" i="1"/>
  <c r="A6845" i="1"/>
  <c r="C6844" i="1"/>
  <c r="B6844" i="1"/>
  <c r="A6844" i="1"/>
  <c r="C6843" i="1"/>
  <c r="B6843" i="1"/>
  <c r="A6843" i="1"/>
  <c r="C6842" i="1"/>
  <c r="B6842" i="1"/>
  <c r="A6842" i="1"/>
  <c r="C6841" i="1"/>
  <c r="B6841" i="1"/>
  <c r="A6841" i="1"/>
  <c r="C6840" i="1"/>
  <c r="B6840" i="1"/>
  <c r="A6840" i="1"/>
  <c r="C6839" i="1"/>
  <c r="B6839" i="1"/>
  <c r="A6839" i="1"/>
  <c r="C6838" i="1"/>
  <c r="B6838" i="1"/>
  <c r="A6838" i="1"/>
  <c r="C6837" i="1"/>
  <c r="B6837" i="1"/>
  <c r="A6837" i="1"/>
  <c r="C6836" i="1"/>
  <c r="B6836" i="1"/>
  <c r="A6836" i="1"/>
  <c r="C6835" i="1"/>
  <c r="B6835" i="1"/>
  <c r="A6835" i="1"/>
  <c r="C6834" i="1"/>
  <c r="B6834" i="1"/>
  <c r="A6834" i="1"/>
  <c r="C6833" i="1"/>
  <c r="B6833" i="1"/>
  <c r="A6833" i="1"/>
  <c r="C6832" i="1"/>
  <c r="B6832" i="1"/>
  <c r="A6832" i="1"/>
  <c r="C6831" i="1"/>
  <c r="B6831" i="1"/>
  <c r="A6831" i="1"/>
  <c r="C6830" i="1"/>
  <c r="B6830" i="1"/>
  <c r="A6830" i="1"/>
  <c r="C6829" i="1"/>
  <c r="B6829" i="1"/>
  <c r="A6829" i="1"/>
  <c r="C6828" i="1"/>
  <c r="B6828" i="1"/>
  <c r="A6828" i="1"/>
  <c r="C6827" i="1"/>
  <c r="B6827" i="1"/>
  <c r="A6827" i="1"/>
  <c r="C6826" i="1"/>
  <c r="B6826" i="1"/>
  <c r="A6826" i="1"/>
  <c r="C6825" i="1"/>
  <c r="B6825" i="1"/>
  <c r="A6825" i="1"/>
  <c r="C6824" i="1"/>
  <c r="B6824" i="1"/>
  <c r="A6824" i="1"/>
  <c r="C6823" i="1"/>
  <c r="B6823" i="1"/>
  <c r="A6823" i="1"/>
  <c r="C6822" i="1"/>
  <c r="B6822" i="1"/>
  <c r="A6822" i="1"/>
  <c r="C6821" i="1"/>
  <c r="B6821" i="1"/>
  <c r="A6821" i="1"/>
  <c r="C6820" i="1"/>
  <c r="B6820" i="1"/>
  <c r="A6820" i="1"/>
  <c r="C6819" i="1"/>
  <c r="B6819" i="1"/>
  <c r="A6819" i="1"/>
  <c r="C6818" i="1"/>
  <c r="B6818" i="1"/>
  <c r="A6818" i="1"/>
  <c r="C6817" i="1"/>
  <c r="B6817" i="1"/>
  <c r="A6817" i="1"/>
  <c r="C6816" i="1"/>
  <c r="B6816" i="1"/>
  <c r="A6816" i="1"/>
  <c r="C6815" i="1"/>
  <c r="B6815" i="1"/>
  <c r="A6815" i="1"/>
  <c r="C6814" i="1"/>
  <c r="B6814" i="1"/>
  <c r="A6814" i="1"/>
  <c r="C6813" i="1"/>
  <c r="B6813" i="1"/>
  <c r="A6813" i="1"/>
  <c r="C6812" i="1"/>
  <c r="B6812" i="1"/>
  <c r="A6812" i="1"/>
  <c r="C6811" i="1"/>
  <c r="B6811" i="1"/>
  <c r="A6811" i="1"/>
  <c r="C6810" i="1"/>
  <c r="B6810" i="1"/>
  <c r="A6810" i="1"/>
  <c r="C6809" i="1"/>
  <c r="B6809" i="1"/>
  <c r="A6809" i="1"/>
  <c r="C6808" i="1"/>
  <c r="B6808" i="1"/>
  <c r="A6808" i="1"/>
  <c r="C6807" i="1"/>
  <c r="B6807" i="1"/>
  <c r="A6807" i="1"/>
  <c r="C6806" i="1"/>
  <c r="B6806" i="1"/>
  <c r="A6806" i="1"/>
  <c r="C6805" i="1"/>
  <c r="B6805" i="1"/>
  <c r="A6805" i="1"/>
  <c r="C6804" i="1"/>
  <c r="B6804" i="1"/>
  <c r="A6804" i="1"/>
  <c r="C6803" i="1"/>
  <c r="B6803" i="1"/>
  <c r="A6803" i="1"/>
  <c r="C6802" i="1"/>
  <c r="B6802" i="1"/>
  <c r="A6802" i="1"/>
  <c r="C6801" i="1"/>
  <c r="B6801" i="1"/>
  <c r="A6801" i="1"/>
  <c r="C6800" i="1"/>
  <c r="B6800" i="1"/>
  <c r="A6800" i="1"/>
  <c r="C6799" i="1"/>
  <c r="B6799" i="1"/>
  <c r="A6799" i="1"/>
  <c r="C6798" i="1"/>
  <c r="B6798" i="1"/>
  <c r="A6798" i="1"/>
  <c r="C6797" i="1"/>
  <c r="B6797" i="1"/>
  <c r="A6797" i="1"/>
  <c r="C6796" i="1"/>
  <c r="B6796" i="1"/>
  <c r="A6796" i="1"/>
  <c r="C6795" i="1"/>
  <c r="B6795" i="1"/>
  <c r="A6795" i="1"/>
  <c r="C6794" i="1"/>
  <c r="B6794" i="1"/>
  <c r="A6794" i="1"/>
  <c r="C6793" i="1"/>
  <c r="B6793" i="1"/>
  <c r="A6793" i="1"/>
  <c r="C6792" i="1"/>
  <c r="B6792" i="1"/>
  <c r="A6792" i="1"/>
  <c r="C6791" i="1"/>
  <c r="B6791" i="1"/>
  <c r="A6791" i="1"/>
  <c r="C6790" i="1"/>
  <c r="B6790" i="1"/>
  <c r="A6790" i="1"/>
  <c r="C6789" i="1"/>
  <c r="B6789" i="1"/>
  <c r="A6789" i="1"/>
  <c r="C6788" i="1"/>
  <c r="B6788" i="1"/>
  <c r="A6788" i="1"/>
  <c r="C6787" i="1"/>
  <c r="B6787" i="1"/>
  <c r="A6787" i="1"/>
  <c r="C6786" i="1"/>
  <c r="B6786" i="1"/>
  <c r="A6786" i="1"/>
  <c r="C6785" i="1"/>
  <c r="B6785" i="1"/>
  <c r="A6785" i="1"/>
  <c r="C6784" i="1"/>
  <c r="B6784" i="1"/>
  <c r="A6784" i="1"/>
  <c r="C6783" i="1"/>
  <c r="B6783" i="1"/>
  <c r="A6783" i="1"/>
  <c r="C6782" i="1"/>
  <c r="B6782" i="1"/>
  <c r="A6782" i="1"/>
  <c r="C6781" i="1"/>
  <c r="B6781" i="1"/>
  <c r="A6781" i="1"/>
  <c r="C6780" i="1"/>
  <c r="B6780" i="1"/>
  <c r="A6780" i="1"/>
  <c r="C6779" i="1"/>
  <c r="B6779" i="1"/>
  <c r="A6779" i="1"/>
  <c r="C6778" i="1"/>
  <c r="B6778" i="1"/>
  <c r="A6778" i="1"/>
  <c r="C6777" i="1"/>
  <c r="B6777" i="1"/>
  <c r="A6777" i="1"/>
  <c r="C6776" i="1"/>
  <c r="B6776" i="1"/>
  <c r="A6776" i="1"/>
  <c r="C6775" i="1"/>
  <c r="B6775" i="1"/>
  <c r="A6775" i="1"/>
  <c r="C6774" i="1"/>
  <c r="B6774" i="1"/>
  <c r="A6774" i="1"/>
  <c r="C6773" i="1"/>
  <c r="B6773" i="1"/>
  <c r="A6773" i="1"/>
  <c r="C6772" i="1"/>
  <c r="B6772" i="1"/>
  <c r="A6772" i="1"/>
  <c r="C6771" i="1"/>
  <c r="B6771" i="1"/>
  <c r="A6771" i="1"/>
  <c r="C6770" i="1"/>
  <c r="B6770" i="1"/>
  <c r="A6770" i="1"/>
  <c r="C6769" i="1"/>
  <c r="B6769" i="1"/>
  <c r="A6769" i="1"/>
  <c r="C6768" i="1"/>
  <c r="B6768" i="1"/>
  <c r="A6768" i="1"/>
  <c r="C6767" i="1"/>
  <c r="B6767" i="1"/>
  <c r="A6767" i="1"/>
  <c r="C6766" i="1"/>
  <c r="B6766" i="1"/>
  <c r="A6766" i="1"/>
  <c r="C6765" i="1"/>
  <c r="B6765" i="1"/>
  <c r="A6765" i="1"/>
  <c r="C6764" i="1"/>
  <c r="B6764" i="1"/>
  <c r="A6764" i="1"/>
  <c r="C6763" i="1"/>
  <c r="B6763" i="1"/>
  <c r="A6763" i="1"/>
  <c r="C6762" i="1"/>
  <c r="B6762" i="1"/>
  <c r="A6762" i="1"/>
  <c r="C6761" i="1"/>
  <c r="B6761" i="1"/>
  <c r="A6761" i="1"/>
  <c r="C6760" i="1"/>
  <c r="B6760" i="1"/>
  <c r="A6760" i="1"/>
  <c r="C6759" i="1"/>
  <c r="B6759" i="1"/>
  <c r="A6759" i="1"/>
  <c r="C6758" i="1"/>
  <c r="B6758" i="1"/>
  <c r="A6758" i="1"/>
  <c r="C6757" i="1"/>
  <c r="B6757" i="1"/>
  <c r="A6757" i="1"/>
  <c r="C6756" i="1"/>
  <c r="B6756" i="1"/>
  <c r="A6756" i="1"/>
  <c r="C6755" i="1"/>
  <c r="B6755" i="1"/>
  <c r="A6755" i="1"/>
  <c r="C6754" i="1"/>
  <c r="B6754" i="1"/>
  <c r="A6754" i="1"/>
  <c r="C6753" i="1"/>
  <c r="B6753" i="1"/>
  <c r="A6753" i="1"/>
  <c r="C6752" i="1"/>
  <c r="B6752" i="1"/>
  <c r="A6752" i="1"/>
  <c r="C6751" i="1"/>
  <c r="B6751" i="1"/>
  <c r="A6751" i="1"/>
  <c r="C6750" i="1"/>
  <c r="B6750" i="1"/>
  <c r="A6750" i="1"/>
  <c r="C6749" i="1"/>
  <c r="B6749" i="1"/>
  <c r="A6749" i="1"/>
  <c r="C6748" i="1"/>
  <c r="B6748" i="1"/>
  <c r="A6748" i="1"/>
  <c r="C6747" i="1"/>
  <c r="B6747" i="1"/>
  <c r="A6747" i="1"/>
  <c r="C6746" i="1"/>
  <c r="B6746" i="1"/>
  <c r="A6746" i="1"/>
  <c r="C6745" i="1"/>
  <c r="B6745" i="1"/>
  <c r="A6745" i="1"/>
  <c r="C6744" i="1"/>
  <c r="B6744" i="1"/>
  <c r="A6744" i="1"/>
  <c r="C6743" i="1"/>
  <c r="B6743" i="1"/>
  <c r="A6743" i="1"/>
  <c r="C6742" i="1"/>
  <c r="B6742" i="1"/>
  <c r="A6742" i="1"/>
  <c r="C6741" i="1"/>
  <c r="B6741" i="1"/>
  <c r="A6741" i="1"/>
  <c r="C6740" i="1"/>
  <c r="B6740" i="1"/>
  <c r="A6740" i="1"/>
  <c r="C6739" i="1"/>
  <c r="B6739" i="1"/>
  <c r="A6739" i="1"/>
  <c r="C6738" i="1"/>
  <c r="B6738" i="1"/>
  <c r="A6738" i="1"/>
  <c r="C6737" i="1"/>
  <c r="B6737" i="1"/>
  <c r="A6737" i="1"/>
  <c r="C6736" i="1"/>
  <c r="B6736" i="1"/>
  <c r="A6736" i="1"/>
  <c r="C6735" i="1"/>
  <c r="B6735" i="1"/>
  <c r="A6735" i="1"/>
  <c r="C6734" i="1"/>
  <c r="B6734" i="1"/>
  <c r="A6734" i="1"/>
  <c r="C6733" i="1"/>
  <c r="B6733" i="1"/>
  <c r="A6733" i="1"/>
  <c r="C6732" i="1"/>
  <c r="B6732" i="1"/>
  <c r="A6732" i="1"/>
  <c r="C6731" i="1"/>
  <c r="B6731" i="1"/>
  <c r="A6731" i="1"/>
  <c r="C6730" i="1"/>
  <c r="B6730" i="1"/>
  <c r="A6730" i="1"/>
  <c r="C6729" i="1"/>
  <c r="B6729" i="1"/>
  <c r="A6729" i="1"/>
  <c r="C6728" i="1"/>
  <c r="B6728" i="1"/>
  <c r="A6728" i="1"/>
  <c r="C6727" i="1"/>
  <c r="B6727" i="1"/>
  <c r="A6727" i="1"/>
  <c r="C6726" i="1"/>
  <c r="B6726" i="1"/>
  <c r="A6726" i="1"/>
  <c r="C6725" i="1"/>
  <c r="B6725" i="1"/>
  <c r="A6725" i="1"/>
  <c r="C6724" i="1"/>
  <c r="B6724" i="1"/>
  <c r="A6724" i="1"/>
  <c r="C6723" i="1"/>
  <c r="B6723" i="1"/>
  <c r="A6723" i="1"/>
  <c r="C6722" i="1"/>
  <c r="B6722" i="1"/>
  <c r="A6722" i="1"/>
  <c r="C6721" i="1"/>
  <c r="B6721" i="1"/>
  <c r="A6721" i="1"/>
  <c r="C6720" i="1"/>
  <c r="B6720" i="1"/>
  <c r="A6720" i="1"/>
  <c r="C6719" i="1"/>
  <c r="B6719" i="1"/>
  <c r="A6719" i="1"/>
  <c r="C6718" i="1"/>
  <c r="B6718" i="1"/>
  <c r="A6718" i="1"/>
  <c r="C6717" i="1"/>
  <c r="B6717" i="1"/>
  <c r="A6717" i="1"/>
  <c r="C6716" i="1"/>
  <c r="B6716" i="1"/>
  <c r="A6716" i="1"/>
  <c r="C6715" i="1"/>
  <c r="B6715" i="1"/>
  <c r="A6715" i="1"/>
  <c r="C6714" i="1"/>
  <c r="B6714" i="1"/>
  <c r="A6714" i="1"/>
  <c r="C6713" i="1"/>
  <c r="B6713" i="1"/>
  <c r="A6713" i="1"/>
  <c r="C6712" i="1"/>
  <c r="B6712" i="1"/>
  <c r="A6712" i="1"/>
  <c r="C6711" i="1"/>
  <c r="B6711" i="1"/>
  <c r="A6711" i="1"/>
  <c r="C6710" i="1"/>
  <c r="B6710" i="1"/>
  <c r="A6710" i="1"/>
  <c r="C6709" i="1"/>
  <c r="B6709" i="1"/>
  <c r="A6709" i="1"/>
  <c r="C6708" i="1"/>
  <c r="B6708" i="1"/>
  <c r="A6708" i="1"/>
  <c r="C6707" i="1"/>
  <c r="B6707" i="1"/>
  <c r="A6707" i="1"/>
  <c r="C6706" i="1"/>
  <c r="B6706" i="1"/>
  <c r="A6706" i="1"/>
  <c r="C6705" i="1"/>
  <c r="B6705" i="1"/>
  <c r="A6705" i="1"/>
  <c r="C6704" i="1"/>
  <c r="B6704" i="1"/>
  <c r="A6704" i="1"/>
  <c r="C6703" i="1"/>
  <c r="B6703" i="1"/>
  <c r="A6703" i="1"/>
  <c r="C6702" i="1"/>
  <c r="B6702" i="1"/>
  <c r="A6702" i="1"/>
  <c r="C6701" i="1"/>
  <c r="B6701" i="1"/>
  <c r="A6701" i="1"/>
  <c r="C6700" i="1"/>
  <c r="B6700" i="1"/>
  <c r="A6700" i="1"/>
  <c r="C6699" i="1"/>
  <c r="B6699" i="1"/>
  <c r="A6699" i="1"/>
  <c r="C6698" i="1"/>
  <c r="B6698" i="1"/>
  <c r="A6698" i="1"/>
  <c r="C6697" i="1"/>
  <c r="B6697" i="1"/>
  <c r="A6697" i="1"/>
  <c r="C6696" i="1"/>
  <c r="B6696" i="1"/>
  <c r="A6696" i="1"/>
  <c r="C6695" i="1"/>
  <c r="B6695" i="1"/>
  <c r="A6695" i="1"/>
  <c r="C6694" i="1"/>
  <c r="B6694" i="1"/>
  <c r="A6694" i="1"/>
  <c r="C6693" i="1"/>
  <c r="B6693" i="1"/>
  <c r="A6693" i="1"/>
  <c r="C6692" i="1"/>
  <c r="B6692" i="1"/>
  <c r="A6692" i="1"/>
  <c r="C6691" i="1"/>
  <c r="B6691" i="1"/>
  <c r="A6691" i="1"/>
  <c r="C6690" i="1"/>
  <c r="B6690" i="1"/>
  <c r="A6690" i="1"/>
  <c r="C6689" i="1"/>
  <c r="B6689" i="1"/>
  <c r="A6689" i="1"/>
  <c r="C6688" i="1"/>
  <c r="B6688" i="1"/>
  <c r="A6688" i="1"/>
  <c r="C6687" i="1"/>
  <c r="B6687" i="1"/>
  <c r="A6687" i="1"/>
  <c r="C6686" i="1"/>
  <c r="B6686" i="1"/>
  <c r="A6686" i="1"/>
  <c r="C6685" i="1"/>
  <c r="B6685" i="1"/>
  <c r="A6685" i="1"/>
  <c r="C6684" i="1"/>
  <c r="B6684" i="1"/>
  <c r="A6684" i="1"/>
  <c r="C6683" i="1"/>
  <c r="B6683" i="1"/>
  <c r="A6683" i="1"/>
  <c r="C6682" i="1"/>
  <c r="B6682" i="1"/>
  <c r="A6682" i="1"/>
  <c r="C6681" i="1"/>
  <c r="B6681" i="1"/>
  <c r="A6681" i="1"/>
  <c r="C6680" i="1"/>
  <c r="B6680" i="1"/>
  <c r="A6680" i="1"/>
  <c r="C6679" i="1"/>
  <c r="B6679" i="1"/>
  <c r="A6679" i="1"/>
  <c r="C6678" i="1"/>
  <c r="B6678" i="1"/>
  <c r="A6678" i="1"/>
  <c r="C6677" i="1"/>
  <c r="B6677" i="1"/>
  <c r="A6677" i="1"/>
  <c r="C6676" i="1"/>
  <c r="B6676" i="1"/>
  <c r="A6676" i="1"/>
  <c r="C6675" i="1"/>
  <c r="B6675" i="1"/>
  <c r="A6675" i="1"/>
  <c r="C6674" i="1"/>
  <c r="B6674" i="1"/>
  <c r="A6674" i="1"/>
  <c r="C6673" i="1"/>
  <c r="B6673" i="1"/>
  <c r="A6673" i="1"/>
  <c r="C6672" i="1"/>
  <c r="B6672" i="1"/>
  <c r="A6672" i="1"/>
  <c r="C6671" i="1"/>
  <c r="B6671" i="1"/>
  <c r="A6671" i="1"/>
  <c r="C6670" i="1"/>
  <c r="B6670" i="1"/>
  <c r="A6670" i="1"/>
  <c r="C6669" i="1"/>
  <c r="B6669" i="1"/>
  <c r="A6669" i="1"/>
  <c r="C6668" i="1"/>
  <c r="B6668" i="1"/>
  <c r="A6668" i="1"/>
  <c r="C6667" i="1"/>
  <c r="B6667" i="1"/>
  <c r="A6667" i="1"/>
  <c r="C6666" i="1"/>
  <c r="B6666" i="1"/>
  <c r="A6666" i="1"/>
  <c r="C6665" i="1"/>
  <c r="B6665" i="1"/>
  <c r="A6665" i="1"/>
  <c r="C6664" i="1"/>
  <c r="B6664" i="1"/>
  <c r="A6664" i="1"/>
  <c r="C6663" i="1"/>
  <c r="B6663" i="1"/>
  <c r="A6663" i="1"/>
  <c r="C6662" i="1"/>
  <c r="B6662" i="1"/>
  <c r="A6662" i="1"/>
  <c r="C6661" i="1"/>
  <c r="B6661" i="1"/>
  <c r="A6661" i="1"/>
  <c r="C6660" i="1"/>
  <c r="B6660" i="1"/>
  <c r="A6660" i="1"/>
  <c r="C6659" i="1"/>
  <c r="B6659" i="1"/>
  <c r="A6659" i="1"/>
  <c r="C6658" i="1"/>
  <c r="B6658" i="1"/>
  <c r="A6658" i="1"/>
  <c r="C6657" i="1"/>
  <c r="B6657" i="1"/>
  <c r="A6657" i="1"/>
  <c r="C6656" i="1"/>
  <c r="B6656" i="1"/>
  <c r="A6656" i="1"/>
  <c r="C6655" i="1"/>
  <c r="B6655" i="1"/>
  <c r="A6655" i="1"/>
  <c r="C6654" i="1"/>
  <c r="B6654" i="1"/>
  <c r="A6654" i="1"/>
  <c r="C6653" i="1"/>
  <c r="B6653" i="1"/>
  <c r="A6653" i="1"/>
  <c r="C6652" i="1"/>
  <c r="B6652" i="1"/>
  <c r="A6652" i="1"/>
  <c r="C6651" i="1"/>
  <c r="B6651" i="1"/>
  <c r="A6651" i="1"/>
  <c r="C6650" i="1"/>
  <c r="B6650" i="1"/>
  <c r="A6650" i="1"/>
  <c r="C6649" i="1"/>
  <c r="B6649" i="1"/>
  <c r="A6649" i="1"/>
  <c r="C6648" i="1"/>
  <c r="B6648" i="1"/>
  <c r="A6648" i="1"/>
  <c r="C6647" i="1"/>
  <c r="B6647" i="1"/>
  <c r="A6647" i="1"/>
  <c r="C6646" i="1"/>
  <c r="B6646" i="1"/>
  <c r="A6646" i="1"/>
  <c r="C6645" i="1"/>
  <c r="B6645" i="1"/>
  <c r="A6645" i="1"/>
  <c r="C6644" i="1"/>
  <c r="B6644" i="1"/>
  <c r="A6644" i="1"/>
  <c r="C6643" i="1"/>
  <c r="B6643" i="1"/>
  <c r="A6643" i="1"/>
  <c r="C6642" i="1"/>
  <c r="B6642" i="1"/>
  <c r="A6642" i="1"/>
  <c r="C6641" i="1"/>
  <c r="B6641" i="1"/>
  <c r="A6641" i="1"/>
  <c r="C6640" i="1"/>
  <c r="B6640" i="1"/>
  <c r="A6640" i="1"/>
  <c r="C6639" i="1"/>
  <c r="B6639" i="1"/>
  <c r="A6639" i="1"/>
  <c r="C6638" i="1"/>
  <c r="B6638" i="1"/>
  <c r="A6638" i="1"/>
  <c r="C6637" i="1"/>
  <c r="B6637" i="1"/>
  <c r="A6637" i="1"/>
  <c r="C6636" i="1"/>
  <c r="B6636" i="1"/>
  <c r="A6636" i="1"/>
  <c r="C6635" i="1"/>
  <c r="B6635" i="1"/>
  <c r="A6635" i="1"/>
  <c r="C6634" i="1"/>
  <c r="B6634" i="1"/>
  <c r="A6634" i="1"/>
  <c r="C6633" i="1"/>
  <c r="B6633" i="1"/>
  <c r="A6633" i="1"/>
  <c r="C6632" i="1"/>
  <c r="B6632" i="1"/>
  <c r="A6632" i="1"/>
  <c r="C6631" i="1"/>
  <c r="B6631" i="1"/>
  <c r="A6631" i="1"/>
  <c r="C6630" i="1"/>
  <c r="B6630" i="1"/>
  <c r="A6630" i="1"/>
  <c r="C6629" i="1"/>
  <c r="B6629" i="1"/>
  <c r="A6629" i="1"/>
  <c r="C6628" i="1"/>
  <c r="B6628" i="1"/>
  <c r="A6628" i="1"/>
  <c r="C6627" i="1"/>
  <c r="B6627" i="1"/>
  <c r="A6627" i="1"/>
  <c r="C6626" i="1"/>
  <c r="B6626" i="1"/>
  <c r="A6626" i="1"/>
  <c r="C6625" i="1"/>
  <c r="B6625" i="1"/>
  <c r="A6625" i="1"/>
  <c r="C6624" i="1"/>
  <c r="B6624" i="1"/>
  <c r="A6624" i="1"/>
  <c r="C6623" i="1"/>
  <c r="B6623" i="1"/>
  <c r="A6623" i="1"/>
  <c r="C6622" i="1"/>
  <c r="B6622" i="1"/>
  <c r="A6622" i="1"/>
  <c r="C6621" i="1"/>
  <c r="B6621" i="1"/>
  <c r="A6621" i="1"/>
  <c r="C6620" i="1"/>
  <c r="B6620" i="1"/>
  <c r="A6620" i="1"/>
  <c r="C6619" i="1"/>
  <c r="B6619" i="1"/>
  <c r="A6619" i="1"/>
  <c r="C6618" i="1"/>
  <c r="B6618" i="1"/>
  <c r="A6618" i="1"/>
  <c r="C6617" i="1"/>
  <c r="B6617" i="1"/>
  <c r="A6617" i="1"/>
  <c r="C6616" i="1"/>
  <c r="B6616" i="1"/>
  <c r="A6616" i="1"/>
  <c r="C6615" i="1"/>
  <c r="B6615" i="1"/>
  <c r="A6615" i="1"/>
  <c r="C6614" i="1"/>
  <c r="B6614" i="1"/>
  <c r="A6614" i="1"/>
  <c r="C6613" i="1"/>
  <c r="B6613" i="1"/>
  <c r="A6613" i="1"/>
  <c r="C6612" i="1"/>
  <c r="B6612" i="1"/>
  <c r="A6612" i="1"/>
  <c r="C6611" i="1"/>
  <c r="B6611" i="1"/>
  <c r="A6611" i="1"/>
  <c r="C6610" i="1"/>
  <c r="B6610" i="1"/>
  <c r="A6610" i="1"/>
  <c r="C6609" i="1"/>
  <c r="B6609" i="1"/>
  <c r="A6609" i="1"/>
  <c r="C6608" i="1"/>
  <c r="B6608" i="1"/>
  <c r="A6608" i="1"/>
  <c r="C6607" i="1"/>
  <c r="B6607" i="1"/>
  <c r="A6607" i="1"/>
  <c r="C6606" i="1"/>
  <c r="B6606" i="1"/>
  <c r="A6606" i="1"/>
  <c r="C6605" i="1"/>
  <c r="B6605" i="1"/>
  <c r="A6605" i="1"/>
  <c r="C6604" i="1"/>
  <c r="B6604" i="1"/>
  <c r="A6604" i="1"/>
  <c r="C6603" i="1"/>
  <c r="B6603" i="1"/>
  <c r="A6603" i="1"/>
  <c r="C6602" i="1"/>
  <c r="B6602" i="1"/>
  <c r="A6602" i="1"/>
  <c r="C6601" i="1"/>
  <c r="B6601" i="1"/>
  <c r="A6601" i="1"/>
  <c r="C6600" i="1"/>
  <c r="B6600" i="1"/>
  <c r="A6600" i="1"/>
  <c r="C6599" i="1"/>
  <c r="B6599" i="1"/>
  <c r="A6599" i="1"/>
  <c r="C6598" i="1"/>
  <c r="B6598" i="1"/>
  <c r="A6598" i="1"/>
  <c r="C6597" i="1"/>
  <c r="B6597" i="1"/>
  <c r="A6597" i="1"/>
  <c r="C6596" i="1"/>
  <c r="B6596" i="1"/>
  <c r="A6596" i="1"/>
  <c r="C6595" i="1"/>
  <c r="B6595" i="1"/>
  <c r="A6595" i="1"/>
  <c r="C6594" i="1"/>
  <c r="B6594" i="1"/>
  <c r="A6594" i="1"/>
  <c r="C6593" i="1"/>
  <c r="B6593" i="1"/>
  <c r="A6593" i="1"/>
  <c r="C6592" i="1"/>
  <c r="B6592" i="1"/>
  <c r="A6592" i="1"/>
  <c r="C6591" i="1"/>
  <c r="B6591" i="1"/>
  <c r="A6591" i="1"/>
  <c r="C6590" i="1"/>
  <c r="B6590" i="1"/>
  <c r="A6590" i="1"/>
  <c r="C6589" i="1"/>
  <c r="B6589" i="1"/>
  <c r="A6589" i="1"/>
  <c r="C6588" i="1"/>
  <c r="B6588" i="1"/>
  <c r="A6588" i="1"/>
  <c r="C6587" i="1"/>
  <c r="B6587" i="1"/>
  <c r="A6587" i="1"/>
  <c r="C6586" i="1"/>
  <c r="B6586" i="1"/>
  <c r="A6586" i="1"/>
  <c r="C6585" i="1"/>
  <c r="B6585" i="1"/>
  <c r="A6585" i="1"/>
  <c r="C6584" i="1"/>
  <c r="B6584" i="1"/>
  <c r="A6584" i="1"/>
  <c r="C6583" i="1"/>
  <c r="B6583" i="1"/>
  <c r="A6583" i="1"/>
  <c r="C6582" i="1"/>
  <c r="B6582" i="1"/>
  <c r="A6582" i="1"/>
  <c r="C6581" i="1"/>
  <c r="B6581" i="1"/>
  <c r="A6581" i="1"/>
  <c r="C6580" i="1"/>
  <c r="B6580" i="1"/>
  <c r="A6580" i="1"/>
  <c r="C6579" i="1"/>
  <c r="B6579" i="1"/>
  <c r="A6579" i="1"/>
  <c r="C6578" i="1"/>
  <c r="B6578" i="1"/>
  <c r="A6578" i="1"/>
  <c r="C6577" i="1"/>
  <c r="B6577" i="1"/>
  <c r="A6577" i="1"/>
  <c r="C6576" i="1"/>
  <c r="B6576" i="1"/>
  <c r="A6576" i="1"/>
  <c r="C6575" i="1"/>
  <c r="B6575" i="1"/>
  <c r="A6575" i="1"/>
  <c r="C6574" i="1"/>
  <c r="B6574" i="1"/>
  <c r="A6574" i="1"/>
  <c r="C6573" i="1"/>
  <c r="B6573" i="1"/>
  <c r="A6573" i="1"/>
  <c r="C6572" i="1"/>
  <c r="B6572" i="1"/>
  <c r="A6572" i="1"/>
  <c r="C6571" i="1"/>
  <c r="B6571" i="1"/>
  <c r="A6571" i="1"/>
  <c r="C6570" i="1"/>
  <c r="B6570" i="1"/>
  <c r="A6570" i="1"/>
  <c r="C6569" i="1"/>
  <c r="B6569" i="1"/>
  <c r="A6569" i="1"/>
  <c r="C6568" i="1"/>
  <c r="B6568" i="1"/>
  <c r="A6568" i="1"/>
  <c r="C6567" i="1"/>
  <c r="B6567" i="1"/>
  <c r="A6567" i="1"/>
  <c r="C6566" i="1"/>
  <c r="B6566" i="1"/>
  <c r="A6566" i="1"/>
  <c r="C6565" i="1"/>
  <c r="B6565" i="1"/>
  <c r="A6565" i="1"/>
  <c r="C6564" i="1"/>
  <c r="B6564" i="1"/>
  <c r="A6564" i="1"/>
  <c r="C6563" i="1"/>
  <c r="B6563" i="1"/>
  <c r="A6563" i="1"/>
  <c r="C6562" i="1"/>
  <c r="B6562" i="1"/>
  <c r="A6562" i="1"/>
  <c r="C6561" i="1"/>
  <c r="B6561" i="1"/>
  <c r="A6561" i="1"/>
  <c r="C6560" i="1"/>
  <c r="B6560" i="1"/>
  <c r="A6560" i="1"/>
  <c r="C6559" i="1"/>
  <c r="B6559" i="1"/>
  <c r="A6559" i="1"/>
  <c r="C6558" i="1"/>
  <c r="B6558" i="1"/>
  <c r="A6558" i="1"/>
  <c r="C6557" i="1"/>
  <c r="B6557" i="1"/>
  <c r="A6557" i="1"/>
  <c r="C6556" i="1"/>
  <c r="B6556" i="1"/>
  <c r="A6556" i="1"/>
  <c r="C6555" i="1"/>
  <c r="B6555" i="1"/>
  <c r="A6555" i="1"/>
  <c r="C6554" i="1"/>
  <c r="B6554" i="1"/>
  <c r="A6554" i="1"/>
  <c r="C6553" i="1"/>
  <c r="B6553" i="1"/>
  <c r="A6553" i="1"/>
  <c r="C6552" i="1"/>
  <c r="B6552" i="1"/>
  <c r="A6552" i="1"/>
  <c r="C6551" i="1"/>
  <c r="B6551" i="1"/>
  <c r="A6551" i="1"/>
  <c r="C6550" i="1"/>
  <c r="B6550" i="1"/>
  <c r="A6550" i="1"/>
  <c r="C6549" i="1"/>
  <c r="B6549" i="1"/>
  <c r="A6549" i="1"/>
  <c r="C6548" i="1"/>
  <c r="B6548" i="1"/>
  <c r="A6548" i="1"/>
  <c r="C6547" i="1"/>
  <c r="B6547" i="1"/>
  <c r="A6547" i="1"/>
  <c r="C6546" i="1"/>
  <c r="B6546" i="1"/>
  <c r="A6546" i="1"/>
  <c r="C6545" i="1"/>
  <c r="B6545" i="1"/>
  <c r="A6545" i="1"/>
  <c r="C6544" i="1"/>
  <c r="B6544" i="1"/>
  <c r="A6544" i="1"/>
  <c r="C6543" i="1"/>
  <c r="B6543" i="1"/>
  <c r="A6543" i="1"/>
  <c r="C6542" i="1"/>
  <c r="B6542" i="1"/>
  <c r="A6542" i="1"/>
  <c r="C6541" i="1"/>
  <c r="B6541" i="1"/>
  <c r="A6541" i="1"/>
  <c r="C6540" i="1"/>
  <c r="B6540" i="1"/>
  <c r="A6540" i="1"/>
  <c r="C6539" i="1"/>
  <c r="B6539" i="1"/>
  <c r="A6539" i="1"/>
  <c r="C6538" i="1"/>
  <c r="B6538" i="1"/>
  <c r="A6538" i="1"/>
  <c r="C6537" i="1"/>
  <c r="B6537" i="1"/>
  <c r="A6537" i="1"/>
  <c r="C6536" i="1"/>
  <c r="B6536" i="1"/>
  <c r="A6536" i="1"/>
  <c r="C6535" i="1"/>
  <c r="B6535" i="1"/>
  <c r="A6535" i="1"/>
  <c r="C6534" i="1"/>
  <c r="B6534" i="1"/>
  <c r="A6534" i="1"/>
  <c r="C6533" i="1"/>
  <c r="B6533" i="1"/>
  <c r="A6533" i="1"/>
  <c r="C6532" i="1"/>
  <c r="B6532" i="1"/>
  <c r="A6532" i="1"/>
  <c r="C6531" i="1"/>
  <c r="B6531" i="1"/>
  <c r="A6531" i="1"/>
  <c r="C6530" i="1"/>
  <c r="B6530" i="1"/>
  <c r="A6530" i="1"/>
  <c r="C6529" i="1"/>
  <c r="B6529" i="1"/>
  <c r="A6529" i="1"/>
  <c r="C6528" i="1"/>
  <c r="B6528" i="1"/>
  <c r="A6528" i="1"/>
  <c r="C6527" i="1"/>
  <c r="B6527" i="1"/>
  <c r="A6527" i="1"/>
  <c r="C6526" i="1"/>
  <c r="B6526" i="1"/>
  <c r="A6526" i="1"/>
  <c r="C6525" i="1"/>
  <c r="B6525" i="1"/>
  <c r="A6525" i="1"/>
  <c r="C6524" i="1"/>
  <c r="B6524" i="1"/>
  <c r="A6524" i="1"/>
  <c r="C6523" i="1"/>
  <c r="B6523" i="1"/>
  <c r="A6523" i="1"/>
  <c r="C6522" i="1"/>
  <c r="B6522" i="1"/>
  <c r="A6522" i="1"/>
  <c r="C6521" i="1"/>
  <c r="B6521" i="1"/>
  <c r="A6521" i="1"/>
  <c r="C6520" i="1"/>
  <c r="B6520" i="1"/>
  <c r="A6520" i="1"/>
  <c r="C6519" i="1"/>
  <c r="B6519" i="1"/>
  <c r="A6519" i="1"/>
  <c r="C6518" i="1"/>
  <c r="B6518" i="1"/>
  <c r="A6518" i="1"/>
  <c r="C6517" i="1"/>
  <c r="B6517" i="1"/>
  <c r="A6517" i="1"/>
  <c r="C6516" i="1"/>
  <c r="B6516" i="1"/>
  <c r="A6516" i="1"/>
  <c r="C6515" i="1"/>
  <c r="B6515" i="1"/>
  <c r="A6515" i="1"/>
  <c r="C6514" i="1"/>
  <c r="B6514" i="1"/>
  <c r="A6514" i="1"/>
  <c r="C6513" i="1"/>
  <c r="B6513" i="1"/>
  <c r="A6513" i="1"/>
  <c r="C6512" i="1"/>
  <c r="B6512" i="1"/>
  <c r="A6512" i="1"/>
  <c r="C6511" i="1"/>
  <c r="B6511" i="1"/>
  <c r="A6511" i="1"/>
  <c r="C6510" i="1"/>
  <c r="B6510" i="1"/>
  <c r="A6510" i="1"/>
  <c r="C6509" i="1"/>
  <c r="B6509" i="1"/>
  <c r="A6509" i="1"/>
  <c r="C6508" i="1"/>
  <c r="B6508" i="1"/>
  <c r="A6508" i="1"/>
  <c r="C6507" i="1"/>
  <c r="B6507" i="1"/>
  <c r="A6507" i="1"/>
  <c r="C6506" i="1"/>
  <c r="B6506" i="1"/>
  <c r="A6506" i="1"/>
  <c r="C6505" i="1"/>
  <c r="B6505" i="1"/>
  <c r="A6505" i="1"/>
  <c r="C6504" i="1"/>
  <c r="B6504" i="1"/>
  <c r="A6504" i="1"/>
  <c r="C6503" i="1"/>
  <c r="B6503" i="1"/>
  <c r="A6503" i="1"/>
  <c r="C6502" i="1"/>
  <c r="B6502" i="1"/>
  <c r="A6502" i="1"/>
  <c r="C6501" i="1"/>
  <c r="B6501" i="1"/>
  <c r="A6501" i="1"/>
  <c r="C6500" i="1"/>
  <c r="B6500" i="1"/>
  <c r="A6500" i="1"/>
  <c r="C6499" i="1"/>
  <c r="B6499" i="1"/>
  <c r="A6499" i="1"/>
  <c r="C6498" i="1"/>
  <c r="B6498" i="1"/>
  <c r="A6498" i="1"/>
  <c r="C6497" i="1"/>
  <c r="B6497" i="1"/>
  <c r="A6497" i="1"/>
  <c r="C6496" i="1"/>
  <c r="B6496" i="1"/>
  <c r="A6496" i="1"/>
  <c r="C6495" i="1"/>
  <c r="B6495" i="1"/>
  <c r="A6495" i="1"/>
  <c r="C6494" i="1"/>
  <c r="B6494" i="1"/>
  <c r="A6494" i="1"/>
  <c r="C6493" i="1"/>
  <c r="B6493" i="1"/>
  <c r="A6493" i="1"/>
  <c r="C6492" i="1"/>
  <c r="B6492" i="1"/>
  <c r="A6492" i="1"/>
  <c r="C6491" i="1"/>
  <c r="B6491" i="1"/>
  <c r="A6491" i="1"/>
  <c r="C6490" i="1"/>
  <c r="B6490" i="1"/>
  <c r="A6490" i="1"/>
  <c r="C6489" i="1"/>
  <c r="B6489" i="1"/>
  <c r="A6489" i="1"/>
  <c r="C6488" i="1"/>
  <c r="B6488" i="1"/>
  <c r="A6488" i="1"/>
  <c r="C6487" i="1"/>
  <c r="B6487" i="1"/>
  <c r="A6487" i="1"/>
  <c r="C6486" i="1"/>
  <c r="B6486" i="1"/>
  <c r="A6486" i="1"/>
  <c r="C6485" i="1"/>
  <c r="B6485" i="1"/>
  <c r="A6485" i="1"/>
  <c r="C6484" i="1"/>
  <c r="B6484" i="1"/>
  <c r="A6484" i="1"/>
  <c r="C6483" i="1"/>
  <c r="B6483" i="1"/>
  <c r="A6483" i="1"/>
  <c r="C6482" i="1"/>
  <c r="B6482" i="1"/>
  <c r="A6482" i="1"/>
  <c r="C6481" i="1"/>
  <c r="B6481" i="1"/>
  <c r="A6481" i="1"/>
  <c r="C6480" i="1"/>
  <c r="B6480" i="1"/>
  <c r="A6480" i="1"/>
  <c r="C6479" i="1"/>
  <c r="B6479" i="1"/>
  <c r="A6479" i="1"/>
  <c r="C6478" i="1"/>
  <c r="B6478" i="1"/>
  <c r="A6478" i="1"/>
  <c r="C6477" i="1"/>
  <c r="B6477" i="1"/>
  <c r="A6477" i="1"/>
  <c r="C6476" i="1"/>
  <c r="B6476" i="1"/>
  <c r="A6476" i="1"/>
  <c r="C6475" i="1"/>
  <c r="B6475" i="1"/>
  <c r="A6475" i="1"/>
  <c r="C6474" i="1"/>
  <c r="B6474" i="1"/>
  <c r="A6474" i="1"/>
  <c r="C6473" i="1"/>
  <c r="B6473" i="1"/>
  <c r="A6473" i="1"/>
  <c r="C6472" i="1"/>
  <c r="B6472" i="1"/>
  <c r="A6472" i="1"/>
  <c r="C6471" i="1"/>
  <c r="B6471" i="1"/>
  <c r="A6471" i="1"/>
  <c r="C6470" i="1"/>
  <c r="B6470" i="1"/>
  <c r="A6470" i="1"/>
  <c r="C6469" i="1"/>
  <c r="B6469" i="1"/>
  <c r="A6469" i="1"/>
  <c r="C6468" i="1"/>
  <c r="B6468" i="1"/>
  <c r="A6468" i="1"/>
  <c r="C6467" i="1"/>
  <c r="B6467" i="1"/>
  <c r="A6467" i="1"/>
  <c r="C6466" i="1"/>
  <c r="B6466" i="1"/>
  <c r="A6466" i="1"/>
  <c r="C6465" i="1"/>
  <c r="B6465" i="1"/>
  <c r="A6465" i="1"/>
  <c r="C6464" i="1"/>
  <c r="B6464" i="1"/>
  <c r="A6464" i="1"/>
  <c r="C6463" i="1"/>
  <c r="B6463" i="1"/>
  <c r="A6463" i="1"/>
  <c r="C6462" i="1"/>
  <c r="B6462" i="1"/>
  <c r="A6462" i="1"/>
  <c r="C6461" i="1"/>
  <c r="B6461" i="1"/>
  <c r="A6461" i="1"/>
  <c r="C6460" i="1"/>
  <c r="B6460" i="1"/>
  <c r="A6460" i="1"/>
  <c r="C6459" i="1"/>
  <c r="B6459" i="1"/>
  <c r="A6459" i="1"/>
  <c r="C6458" i="1"/>
  <c r="B6458" i="1"/>
  <c r="A6458" i="1"/>
  <c r="C6457" i="1"/>
  <c r="B6457" i="1"/>
  <c r="A6457" i="1"/>
  <c r="C6456" i="1"/>
  <c r="B6456" i="1"/>
  <c r="A6456" i="1"/>
  <c r="C6455" i="1"/>
  <c r="B6455" i="1"/>
  <c r="A6455" i="1"/>
  <c r="C6454" i="1"/>
  <c r="B6454" i="1"/>
  <c r="A6454" i="1"/>
  <c r="C6453" i="1"/>
  <c r="B6453" i="1"/>
  <c r="A6453" i="1"/>
  <c r="C6452" i="1"/>
  <c r="B6452" i="1"/>
  <c r="A6452" i="1"/>
  <c r="C6451" i="1"/>
  <c r="B6451" i="1"/>
  <c r="A6451" i="1"/>
  <c r="C6450" i="1"/>
  <c r="B6450" i="1"/>
  <c r="A6450" i="1"/>
  <c r="C6449" i="1"/>
  <c r="B6449" i="1"/>
  <c r="A6449" i="1"/>
  <c r="C6448" i="1"/>
  <c r="B6448" i="1"/>
  <c r="A6448" i="1"/>
  <c r="C6447" i="1"/>
  <c r="B6447" i="1"/>
  <c r="A6447" i="1"/>
  <c r="C6446" i="1"/>
  <c r="B6446" i="1"/>
  <c r="A6446" i="1"/>
  <c r="C6445" i="1"/>
  <c r="B6445" i="1"/>
  <c r="A6445" i="1"/>
  <c r="C6444" i="1"/>
  <c r="B6444" i="1"/>
  <c r="A6444" i="1"/>
  <c r="C6443" i="1"/>
  <c r="B6443" i="1"/>
  <c r="A6443" i="1"/>
  <c r="C6442" i="1"/>
  <c r="B6442" i="1"/>
  <c r="A6442" i="1"/>
  <c r="C6441" i="1"/>
  <c r="B6441" i="1"/>
  <c r="A6441" i="1"/>
  <c r="C6440" i="1"/>
  <c r="B6440" i="1"/>
  <c r="A6440" i="1"/>
  <c r="C6439" i="1"/>
  <c r="B6439" i="1"/>
  <c r="A6439" i="1"/>
  <c r="C6438" i="1"/>
  <c r="B6438" i="1"/>
  <c r="A6438" i="1"/>
  <c r="C6437" i="1"/>
  <c r="B6437" i="1"/>
  <c r="A6437" i="1"/>
  <c r="C6436" i="1"/>
  <c r="B6436" i="1"/>
  <c r="A6436" i="1"/>
  <c r="C6435" i="1"/>
  <c r="B6435" i="1"/>
  <c r="A6435" i="1"/>
  <c r="C6434" i="1"/>
  <c r="B6434" i="1"/>
  <c r="A6434" i="1"/>
  <c r="C6433" i="1"/>
  <c r="B6433" i="1"/>
  <c r="A6433" i="1"/>
  <c r="C6432" i="1"/>
  <c r="B6432" i="1"/>
  <c r="A6432" i="1"/>
  <c r="C6431" i="1"/>
  <c r="B6431" i="1"/>
  <c r="A6431" i="1"/>
  <c r="C6430" i="1"/>
  <c r="B6430" i="1"/>
  <c r="A6430" i="1"/>
  <c r="C6429" i="1"/>
  <c r="B6429" i="1"/>
  <c r="A6429" i="1"/>
  <c r="C6428" i="1"/>
  <c r="B6428" i="1"/>
  <c r="A6428" i="1"/>
  <c r="C6427" i="1"/>
  <c r="B6427" i="1"/>
  <c r="A6427" i="1"/>
  <c r="C6426" i="1"/>
  <c r="B6426" i="1"/>
  <c r="A6426" i="1"/>
  <c r="C6425" i="1"/>
  <c r="B6425" i="1"/>
  <c r="A6425" i="1"/>
  <c r="C6424" i="1"/>
  <c r="B6424" i="1"/>
  <c r="A6424" i="1"/>
  <c r="C6423" i="1"/>
  <c r="B6423" i="1"/>
  <c r="A6423" i="1"/>
  <c r="C6422" i="1"/>
  <c r="B6422" i="1"/>
  <c r="A6422" i="1"/>
  <c r="C6421" i="1"/>
  <c r="B6421" i="1"/>
  <c r="A6421" i="1"/>
  <c r="C6420" i="1"/>
  <c r="B6420" i="1"/>
  <c r="A6420" i="1"/>
  <c r="C6419" i="1"/>
  <c r="B6419" i="1"/>
  <c r="A6419" i="1"/>
  <c r="C6418" i="1"/>
  <c r="B6418" i="1"/>
  <c r="A6418" i="1"/>
  <c r="C6417" i="1"/>
  <c r="B6417" i="1"/>
  <c r="A6417" i="1"/>
  <c r="C6416" i="1"/>
  <c r="B6416" i="1"/>
  <c r="A6416" i="1"/>
  <c r="C6415" i="1"/>
  <c r="B6415" i="1"/>
  <c r="A6415" i="1"/>
  <c r="C6414" i="1"/>
  <c r="B6414" i="1"/>
  <c r="A6414" i="1"/>
  <c r="C6413" i="1"/>
  <c r="B6413" i="1"/>
  <c r="A6413" i="1"/>
  <c r="C6412" i="1"/>
  <c r="B6412" i="1"/>
  <c r="A6412" i="1"/>
  <c r="C6411" i="1"/>
  <c r="B6411" i="1"/>
  <c r="A6411" i="1"/>
  <c r="C6410" i="1"/>
  <c r="B6410" i="1"/>
  <c r="A6410" i="1"/>
  <c r="C6409" i="1"/>
  <c r="B6409" i="1"/>
  <c r="A6409" i="1"/>
  <c r="C6408" i="1"/>
  <c r="B6408" i="1"/>
  <c r="A6408" i="1"/>
  <c r="C6407" i="1"/>
  <c r="B6407" i="1"/>
  <c r="A6407" i="1"/>
  <c r="C6406" i="1"/>
  <c r="B6406" i="1"/>
  <c r="A6406" i="1"/>
  <c r="C6405" i="1"/>
  <c r="B6405" i="1"/>
  <c r="A6405" i="1"/>
  <c r="C6404" i="1"/>
  <c r="B6404" i="1"/>
  <c r="A6404" i="1"/>
  <c r="C6403" i="1"/>
  <c r="B6403" i="1"/>
  <c r="A6403" i="1"/>
  <c r="C6402" i="1"/>
  <c r="B6402" i="1"/>
  <c r="A6402" i="1"/>
  <c r="C6401" i="1"/>
  <c r="B6401" i="1"/>
  <c r="A6401" i="1"/>
  <c r="C6400" i="1"/>
  <c r="B6400" i="1"/>
  <c r="A6400" i="1"/>
  <c r="C6399" i="1"/>
  <c r="B6399" i="1"/>
  <c r="A6399" i="1"/>
  <c r="C6398" i="1"/>
  <c r="B6398" i="1"/>
  <c r="A6398" i="1"/>
  <c r="C6397" i="1"/>
  <c r="B6397" i="1"/>
  <c r="A6397" i="1"/>
  <c r="C6396" i="1"/>
  <c r="B6396" i="1"/>
  <c r="A6396" i="1"/>
  <c r="C6395" i="1"/>
  <c r="B6395" i="1"/>
  <c r="A6395" i="1"/>
  <c r="C6394" i="1"/>
  <c r="B6394" i="1"/>
  <c r="A6394" i="1"/>
  <c r="C6393" i="1"/>
  <c r="B6393" i="1"/>
  <c r="A6393" i="1"/>
  <c r="C6392" i="1"/>
  <c r="B6392" i="1"/>
  <c r="A6392" i="1"/>
  <c r="C6391" i="1"/>
  <c r="B6391" i="1"/>
  <c r="A6391" i="1"/>
  <c r="C6390" i="1"/>
  <c r="B6390" i="1"/>
  <c r="A6390" i="1"/>
  <c r="C6389" i="1"/>
  <c r="B6389" i="1"/>
  <c r="A6389" i="1"/>
  <c r="C6388" i="1"/>
  <c r="B6388" i="1"/>
  <c r="A6388" i="1"/>
  <c r="C6387" i="1"/>
  <c r="B6387" i="1"/>
  <c r="A6387" i="1"/>
  <c r="C6386" i="1"/>
  <c r="B6386" i="1"/>
  <c r="A6386" i="1"/>
  <c r="C6385" i="1"/>
  <c r="B6385" i="1"/>
  <c r="A6385" i="1"/>
  <c r="C6384" i="1"/>
  <c r="B6384" i="1"/>
  <c r="A6384" i="1"/>
  <c r="C6383" i="1"/>
  <c r="B6383" i="1"/>
  <c r="A6383" i="1"/>
  <c r="C6382" i="1"/>
  <c r="B6382" i="1"/>
  <c r="A6382" i="1"/>
  <c r="C6381" i="1"/>
  <c r="B6381" i="1"/>
  <c r="A6381" i="1"/>
  <c r="C6380" i="1"/>
  <c r="B6380" i="1"/>
  <c r="A6380" i="1"/>
  <c r="C6379" i="1"/>
  <c r="B6379" i="1"/>
  <c r="A6379" i="1"/>
  <c r="C6378" i="1"/>
  <c r="B6378" i="1"/>
  <c r="A6378" i="1"/>
  <c r="C6377" i="1"/>
  <c r="B6377" i="1"/>
  <c r="A6377" i="1"/>
  <c r="C6376" i="1"/>
  <c r="B6376" i="1"/>
  <c r="A6376" i="1"/>
  <c r="C6375" i="1"/>
  <c r="B6375" i="1"/>
  <c r="A6375" i="1"/>
  <c r="C6374" i="1"/>
  <c r="B6374" i="1"/>
  <c r="A6374" i="1"/>
  <c r="C6373" i="1"/>
  <c r="B6373" i="1"/>
  <c r="A6373" i="1"/>
  <c r="C6372" i="1"/>
  <c r="B6372" i="1"/>
  <c r="A6372" i="1"/>
  <c r="C6371" i="1"/>
  <c r="B6371" i="1"/>
  <c r="A6371" i="1"/>
  <c r="C6370" i="1"/>
  <c r="B6370" i="1"/>
  <c r="A6370" i="1"/>
  <c r="C6369" i="1"/>
  <c r="B6369" i="1"/>
  <c r="A6369" i="1"/>
  <c r="C6368" i="1"/>
  <c r="B6368" i="1"/>
  <c r="A6368" i="1"/>
  <c r="C6367" i="1"/>
  <c r="B6367" i="1"/>
  <c r="A6367" i="1"/>
  <c r="C6366" i="1"/>
  <c r="B6366" i="1"/>
  <c r="A6366" i="1"/>
  <c r="C6365" i="1"/>
  <c r="B6365" i="1"/>
  <c r="A6365" i="1"/>
  <c r="C6364" i="1"/>
  <c r="B6364" i="1"/>
  <c r="A6364" i="1"/>
  <c r="C6363" i="1"/>
  <c r="B6363" i="1"/>
  <c r="A6363" i="1"/>
  <c r="C6362" i="1"/>
  <c r="B6362" i="1"/>
  <c r="A6362" i="1"/>
  <c r="C6361" i="1"/>
  <c r="B6361" i="1"/>
  <c r="A6361" i="1"/>
  <c r="C6360" i="1"/>
  <c r="B6360" i="1"/>
  <c r="A6360" i="1"/>
  <c r="C6359" i="1"/>
  <c r="B6359" i="1"/>
  <c r="A6359" i="1"/>
  <c r="C6358" i="1"/>
  <c r="B6358" i="1"/>
  <c r="A6358" i="1"/>
  <c r="C6357" i="1"/>
  <c r="B6357" i="1"/>
  <c r="A6357" i="1"/>
  <c r="C6356" i="1"/>
  <c r="B6356" i="1"/>
  <c r="A6356" i="1"/>
  <c r="C6355" i="1"/>
  <c r="B6355" i="1"/>
  <c r="A6355" i="1"/>
  <c r="C6354" i="1"/>
  <c r="B6354" i="1"/>
  <c r="A6354" i="1"/>
  <c r="C6353" i="1"/>
  <c r="B6353" i="1"/>
  <c r="A6353" i="1"/>
  <c r="C6352" i="1"/>
  <c r="B6352" i="1"/>
  <c r="A6352" i="1"/>
  <c r="C6351" i="1"/>
  <c r="B6351" i="1"/>
  <c r="A6351" i="1"/>
  <c r="C6350" i="1"/>
  <c r="B6350" i="1"/>
  <c r="A6350" i="1"/>
  <c r="C6349" i="1"/>
  <c r="B6349" i="1"/>
  <c r="A6349" i="1"/>
  <c r="C6348" i="1"/>
  <c r="B6348" i="1"/>
  <c r="A6348" i="1"/>
  <c r="C6347" i="1"/>
  <c r="B6347" i="1"/>
  <c r="A6347" i="1"/>
  <c r="C6346" i="1"/>
  <c r="B6346" i="1"/>
  <c r="A6346" i="1"/>
  <c r="C6345" i="1"/>
  <c r="B6345" i="1"/>
  <c r="A6345" i="1"/>
  <c r="C6344" i="1"/>
  <c r="B6344" i="1"/>
  <c r="A6344" i="1"/>
  <c r="C6343" i="1"/>
  <c r="B6343" i="1"/>
  <c r="A6343" i="1"/>
  <c r="C6342" i="1"/>
  <c r="B6342" i="1"/>
  <c r="A6342" i="1"/>
  <c r="C6341" i="1"/>
  <c r="B6341" i="1"/>
  <c r="A6341" i="1"/>
  <c r="C6340" i="1"/>
  <c r="B6340" i="1"/>
  <c r="A6340" i="1"/>
  <c r="C6339" i="1"/>
  <c r="B6339" i="1"/>
  <c r="A6339" i="1"/>
  <c r="C6338" i="1"/>
  <c r="B6338" i="1"/>
  <c r="A6338" i="1"/>
  <c r="C6337" i="1"/>
  <c r="B6337" i="1"/>
  <c r="A6337" i="1"/>
  <c r="C6336" i="1"/>
  <c r="B6336" i="1"/>
  <c r="A6336" i="1"/>
  <c r="C6335" i="1"/>
  <c r="B6335" i="1"/>
  <c r="A6335" i="1"/>
  <c r="C6334" i="1"/>
  <c r="B6334" i="1"/>
  <c r="A6334" i="1"/>
  <c r="C6333" i="1"/>
  <c r="B6333" i="1"/>
  <c r="A6333" i="1"/>
  <c r="C6332" i="1"/>
  <c r="B6332" i="1"/>
  <c r="A6332" i="1"/>
  <c r="C6331" i="1"/>
  <c r="B6331" i="1"/>
  <c r="A6331" i="1"/>
  <c r="C6330" i="1"/>
  <c r="B6330" i="1"/>
  <c r="A6330" i="1"/>
  <c r="C6329" i="1"/>
  <c r="B6329" i="1"/>
  <c r="A6329" i="1"/>
  <c r="C6328" i="1"/>
  <c r="B6328" i="1"/>
  <c r="A6328" i="1"/>
  <c r="C6327" i="1"/>
  <c r="B6327" i="1"/>
  <c r="A6327" i="1"/>
  <c r="C6326" i="1"/>
  <c r="B6326" i="1"/>
  <c r="A6326" i="1"/>
  <c r="C6325" i="1"/>
  <c r="B6325" i="1"/>
  <c r="A6325" i="1"/>
  <c r="C6324" i="1"/>
  <c r="B6324" i="1"/>
  <c r="A6324" i="1"/>
  <c r="C6323" i="1"/>
  <c r="B6323" i="1"/>
  <c r="A6323" i="1"/>
  <c r="C6322" i="1"/>
  <c r="B6322" i="1"/>
  <c r="A6322" i="1"/>
  <c r="C6321" i="1"/>
  <c r="B6321" i="1"/>
  <c r="A6321" i="1"/>
  <c r="C6320" i="1"/>
  <c r="B6320" i="1"/>
  <c r="A6320" i="1"/>
  <c r="C6319" i="1"/>
  <c r="B6319" i="1"/>
  <c r="A6319" i="1"/>
  <c r="C6318" i="1"/>
  <c r="B6318" i="1"/>
  <c r="A6318" i="1"/>
  <c r="C6317" i="1"/>
  <c r="B6317" i="1"/>
  <c r="A6317" i="1"/>
  <c r="C6316" i="1"/>
  <c r="B6316" i="1"/>
  <c r="A6316" i="1"/>
  <c r="C6315" i="1"/>
  <c r="B6315" i="1"/>
  <c r="A6315" i="1"/>
  <c r="C6314" i="1"/>
  <c r="B6314" i="1"/>
  <c r="A6314" i="1"/>
  <c r="C6313" i="1"/>
  <c r="B6313" i="1"/>
  <c r="A6313" i="1"/>
  <c r="C6312" i="1"/>
  <c r="B6312" i="1"/>
  <c r="A6312" i="1"/>
  <c r="C6311" i="1"/>
  <c r="B6311" i="1"/>
  <c r="A6311" i="1"/>
  <c r="C6310" i="1"/>
  <c r="B6310" i="1"/>
  <c r="A6310" i="1"/>
  <c r="C6309" i="1"/>
  <c r="B6309" i="1"/>
  <c r="A6309" i="1"/>
  <c r="C6308" i="1"/>
  <c r="B6308" i="1"/>
  <c r="A6308" i="1"/>
  <c r="C6307" i="1"/>
  <c r="B6307" i="1"/>
  <c r="A6307" i="1"/>
  <c r="C6306" i="1"/>
  <c r="B6306" i="1"/>
  <c r="A6306" i="1"/>
  <c r="C6305" i="1"/>
  <c r="B6305" i="1"/>
  <c r="A6305" i="1"/>
  <c r="C6304" i="1"/>
  <c r="B6304" i="1"/>
  <c r="A6304" i="1"/>
  <c r="C6303" i="1"/>
  <c r="B6303" i="1"/>
  <c r="A6303" i="1"/>
  <c r="C6302" i="1"/>
  <c r="B6302" i="1"/>
  <c r="A6302" i="1"/>
  <c r="C6301" i="1"/>
  <c r="B6301" i="1"/>
  <c r="A6301" i="1"/>
  <c r="C6300" i="1"/>
  <c r="B6300" i="1"/>
  <c r="A6300" i="1"/>
  <c r="C6299" i="1"/>
  <c r="B6299" i="1"/>
  <c r="A6299" i="1"/>
  <c r="C6298" i="1"/>
  <c r="B6298" i="1"/>
  <c r="A6298" i="1"/>
  <c r="C6297" i="1"/>
  <c r="B6297" i="1"/>
  <c r="A6297" i="1"/>
  <c r="C6296" i="1"/>
  <c r="B6296" i="1"/>
  <c r="A6296" i="1"/>
  <c r="C6295" i="1"/>
  <c r="B6295" i="1"/>
  <c r="A6295" i="1"/>
  <c r="C6294" i="1"/>
  <c r="B6294" i="1"/>
  <c r="A6294" i="1"/>
  <c r="C6293" i="1"/>
  <c r="B6293" i="1"/>
  <c r="A6293" i="1"/>
  <c r="C6292" i="1"/>
  <c r="B6292" i="1"/>
  <c r="A6292" i="1"/>
  <c r="C6291" i="1"/>
  <c r="B6291" i="1"/>
  <c r="A6291" i="1"/>
  <c r="C6290" i="1"/>
  <c r="B6290" i="1"/>
  <c r="A6290" i="1"/>
  <c r="C6289" i="1"/>
  <c r="B6289" i="1"/>
  <c r="A6289" i="1"/>
  <c r="C6288" i="1"/>
  <c r="B6288" i="1"/>
  <c r="A6288" i="1"/>
  <c r="C6287" i="1"/>
  <c r="B6287" i="1"/>
  <c r="A6287" i="1"/>
  <c r="C6286" i="1"/>
  <c r="B6286" i="1"/>
  <c r="A6286" i="1"/>
  <c r="C6285" i="1"/>
  <c r="B6285" i="1"/>
  <c r="A6285" i="1"/>
  <c r="C6284" i="1"/>
  <c r="B6284" i="1"/>
  <c r="A6284" i="1"/>
  <c r="C6283" i="1"/>
  <c r="B6283" i="1"/>
  <c r="A6283" i="1"/>
  <c r="C6282" i="1"/>
  <c r="B6282" i="1"/>
  <c r="A6282" i="1"/>
  <c r="C6281" i="1"/>
  <c r="B6281" i="1"/>
  <c r="A6281" i="1"/>
  <c r="C6280" i="1"/>
  <c r="B6280" i="1"/>
  <c r="A6280" i="1"/>
  <c r="C6279" i="1"/>
  <c r="B6279" i="1"/>
  <c r="A6279" i="1"/>
  <c r="C6278" i="1"/>
  <c r="B6278" i="1"/>
  <c r="A6278" i="1"/>
  <c r="C6277" i="1"/>
  <c r="B6277" i="1"/>
  <c r="A6277" i="1"/>
  <c r="C6276" i="1"/>
  <c r="B6276" i="1"/>
  <c r="A6276" i="1"/>
  <c r="C6275" i="1"/>
  <c r="B6275" i="1"/>
  <c r="A6275" i="1"/>
  <c r="C6274" i="1"/>
  <c r="B6274" i="1"/>
  <c r="A6274" i="1"/>
  <c r="C6273" i="1"/>
  <c r="B6273" i="1"/>
  <c r="A6273" i="1"/>
  <c r="C6272" i="1"/>
  <c r="B6272" i="1"/>
  <c r="A6272" i="1"/>
  <c r="C6271" i="1"/>
  <c r="B6271" i="1"/>
  <c r="A6271" i="1"/>
  <c r="C6270" i="1"/>
  <c r="B6270" i="1"/>
  <c r="A6270" i="1"/>
  <c r="C6269" i="1"/>
  <c r="B6269" i="1"/>
  <c r="A6269" i="1"/>
  <c r="C6268" i="1"/>
  <c r="B6268" i="1"/>
  <c r="A6268" i="1"/>
  <c r="C6267" i="1"/>
  <c r="B6267" i="1"/>
  <c r="A6267" i="1"/>
  <c r="C6266" i="1"/>
  <c r="B6266" i="1"/>
  <c r="A6266" i="1"/>
  <c r="C6265" i="1"/>
  <c r="B6265" i="1"/>
  <c r="A6265" i="1"/>
  <c r="C6264" i="1"/>
  <c r="B6264" i="1"/>
  <c r="A6264" i="1"/>
  <c r="C6263" i="1"/>
  <c r="B6263" i="1"/>
  <c r="A6263" i="1"/>
  <c r="C6262" i="1"/>
  <c r="B6262" i="1"/>
  <c r="A6262" i="1"/>
  <c r="C6261" i="1"/>
  <c r="B6261" i="1"/>
  <c r="A6261" i="1"/>
  <c r="C6260" i="1"/>
  <c r="B6260" i="1"/>
  <c r="A6260" i="1"/>
  <c r="C6259" i="1"/>
  <c r="B6259" i="1"/>
  <c r="A6259" i="1"/>
  <c r="C6258" i="1"/>
  <c r="B6258" i="1"/>
  <c r="A6258" i="1"/>
  <c r="C6257" i="1"/>
  <c r="B6257" i="1"/>
  <c r="A6257" i="1"/>
  <c r="C6256" i="1"/>
  <c r="B6256" i="1"/>
  <c r="A6256" i="1"/>
  <c r="C6255" i="1"/>
  <c r="B6255" i="1"/>
  <c r="A6255" i="1"/>
  <c r="C6254" i="1"/>
  <c r="B6254" i="1"/>
  <c r="A6254" i="1"/>
  <c r="C6253" i="1"/>
  <c r="B6253" i="1"/>
  <c r="A6253" i="1"/>
  <c r="C6252" i="1"/>
  <c r="B6252" i="1"/>
  <c r="A6252" i="1"/>
  <c r="C6251" i="1"/>
  <c r="B6251" i="1"/>
  <c r="A6251" i="1"/>
  <c r="C6250" i="1"/>
  <c r="B6250" i="1"/>
  <c r="A6250" i="1"/>
  <c r="C6249" i="1"/>
  <c r="B6249" i="1"/>
  <c r="A6249" i="1"/>
  <c r="C6248" i="1"/>
  <c r="B6248" i="1"/>
  <c r="A6248" i="1"/>
  <c r="C6247" i="1"/>
  <c r="B6247" i="1"/>
  <c r="A6247" i="1"/>
  <c r="C6246" i="1"/>
  <c r="B6246" i="1"/>
  <c r="A6246" i="1"/>
  <c r="C6245" i="1"/>
  <c r="B6245" i="1"/>
  <c r="A6245" i="1"/>
  <c r="C6244" i="1"/>
  <c r="B6244" i="1"/>
  <c r="A6244" i="1"/>
  <c r="C6243" i="1"/>
  <c r="B6243" i="1"/>
  <c r="A6243" i="1"/>
  <c r="C6242" i="1"/>
  <c r="B6242" i="1"/>
  <c r="A6242" i="1"/>
  <c r="C6241" i="1"/>
  <c r="B6241" i="1"/>
  <c r="A6241" i="1"/>
  <c r="C6240" i="1"/>
  <c r="B6240" i="1"/>
  <c r="A6240" i="1"/>
  <c r="C6239" i="1"/>
  <c r="B6239" i="1"/>
  <c r="A6239" i="1"/>
  <c r="C6238" i="1"/>
  <c r="B6238" i="1"/>
  <c r="A6238" i="1"/>
  <c r="C6237" i="1"/>
  <c r="B6237" i="1"/>
  <c r="A6237" i="1"/>
  <c r="C6236" i="1"/>
  <c r="B6236" i="1"/>
  <c r="A6236" i="1"/>
  <c r="C6235" i="1"/>
  <c r="B6235" i="1"/>
  <c r="A6235" i="1"/>
  <c r="C6234" i="1"/>
  <c r="B6234" i="1"/>
  <c r="A6234" i="1"/>
  <c r="C6233" i="1"/>
  <c r="B6233" i="1"/>
  <c r="A6233" i="1"/>
  <c r="C6232" i="1"/>
  <c r="B6232" i="1"/>
  <c r="A6232" i="1"/>
  <c r="C6231" i="1"/>
  <c r="B6231" i="1"/>
  <c r="A6231" i="1"/>
  <c r="C6230" i="1"/>
  <c r="B6230" i="1"/>
  <c r="A6230" i="1"/>
  <c r="C6229" i="1"/>
  <c r="B6229" i="1"/>
  <c r="A6229" i="1"/>
  <c r="C6228" i="1"/>
  <c r="B6228" i="1"/>
  <c r="A6228" i="1"/>
  <c r="C6227" i="1"/>
  <c r="B6227" i="1"/>
  <c r="A6227" i="1"/>
  <c r="C6226" i="1"/>
  <c r="B6226" i="1"/>
  <c r="A6226" i="1"/>
  <c r="C6225" i="1"/>
  <c r="B6225" i="1"/>
  <c r="A6225" i="1"/>
  <c r="C6224" i="1"/>
  <c r="B6224" i="1"/>
  <c r="A6224" i="1"/>
  <c r="C6223" i="1"/>
  <c r="B6223" i="1"/>
  <c r="A6223" i="1"/>
  <c r="C6222" i="1"/>
  <c r="B6222" i="1"/>
  <c r="A6222" i="1"/>
  <c r="C6221" i="1"/>
  <c r="B6221" i="1"/>
  <c r="A6221" i="1"/>
  <c r="C6220" i="1"/>
  <c r="B6220" i="1"/>
  <c r="A6220" i="1"/>
  <c r="C6219" i="1"/>
  <c r="B6219" i="1"/>
  <c r="A6219" i="1"/>
  <c r="C6218" i="1"/>
  <c r="B6218" i="1"/>
  <c r="A6218" i="1"/>
  <c r="C6217" i="1"/>
  <c r="B6217" i="1"/>
  <c r="A6217" i="1"/>
  <c r="C6216" i="1"/>
  <c r="B6216" i="1"/>
  <c r="A6216" i="1"/>
  <c r="C6215" i="1"/>
  <c r="B6215" i="1"/>
  <c r="A6215" i="1"/>
  <c r="C6214" i="1"/>
  <c r="B6214" i="1"/>
  <c r="A6214" i="1"/>
  <c r="C6213" i="1"/>
  <c r="B6213" i="1"/>
  <c r="A6213" i="1"/>
  <c r="C6212" i="1"/>
  <c r="B6212" i="1"/>
  <c r="A6212" i="1"/>
  <c r="C6211" i="1"/>
  <c r="B6211" i="1"/>
  <c r="A6211" i="1"/>
  <c r="C6210" i="1"/>
  <c r="B6210" i="1"/>
  <c r="A6210" i="1"/>
  <c r="C6209" i="1"/>
  <c r="B6209" i="1"/>
  <c r="A6209" i="1"/>
  <c r="C6208" i="1"/>
  <c r="B6208" i="1"/>
  <c r="A6208" i="1"/>
  <c r="C6207" i="1"/>
  <c r="B6207" i="1"/>
  <c r="A6207" i="1"/>
  <c r="C6206" i="1"/>
  <c r="B6206" i="1"/>
  <c r="A6206" i="1"/>
  <c r="C6205" i="1"/>
  <c r="B6205" i="1"/>
  <c r="A6205" i="1"/>
  <c r="C6204" i="1"/>
  <c r="B6204" i="1"/>
  <c r="A6204" i="1"/>
  <c r="C6203" i="1"/>
  <c r="B6203" i="1"/>
  <c r="A6203" i="1"/>
  <c r="C6202" i="1"/>
  <c r="B6202" i="1"/>
  <c r="A6202" i="1"/>
  <c r="C6201" i="1"/>
  <c r="B6201" i="1"/>
  <c r="A6201" i="1"/>
  <c r="C6200" i="1"/>
  <c r="B6200" i="1"/>
  <c r="A6200" i="1"/>
  <c r="C6199" i="1"/>
  <c r="B6199" i="1"/>
  <c r="A6199" i="1"/>
  <c r="C6198" i="1"/>
  <c r="B6198" i="1"/>
  <c r="A6198" i="1"/>
  <c r="C6197" i="1"/>
  <c r="B6197" i="1"/>
  <c r="A6197" i="1"/>
  <c r="C6196" i="1"/>
  <c r="B6196" i="1"/>
  <c r="A6196" i="1"/>
  <c r="C6195" i="1"/>
  <c r="B6195" i="1"/>
  <c r="A6195" i="1"/>
  <c r="C6194" i="1"/>
  <c r="B6194" i="1"/>
  <c r="A6194" i="1"/>
  <c r="C6193" i="1"/>
  <c r="B6193" i="1"/>
  <c r="A6193" i="1"/>
  <c r="C6192" i="1"/>
  <c r="B6192" i="1"/>
  <c r="A6192" i="1"/>
  <c r="C6191" i="1"/>
  <c r="B6191" i="1"/>
  <c r="A6191" i="1"/>
  <c r="C6190" i="1"/>
  <c r="B6190" i="1"/>
  <c r="A6190" i="1"/>
  <c r="C6189" i="1"/>
  <c r="B6189" i="1"/>
  <c r="A6189" i="1"/>
  <c r="C6188" i="1"/>
  <c r="B6188" i="1"/>
  <c r="A6188" i="1"/>
  <c r="C6187" i="1"/>
  <c r="B6187" i="1"/>
  <c r="A6187" i="1"/>
  <c r="C6186" i="1"/>
  <c r="B6186" i="1"/>
  <c r="A6186" i="1"/>
  <c r="C6185" i="1"/>
  <c r="B6185" i="1"/>
  <c r="A6185" i="1"/>
  <c r="C6184" i="1"/>
  <c r="B6184" i="1"/>
  <c r="A6184" i="1"/>
  <c r="C6183" i="1"/>
  <c r="B6183" i="1"/>
  <c r="A6183" i="1"/>
  <c r="C6182" i="1"/>
  <c r="B6182" i="1"/>
  <c r="A6182" i="1"/>
  <c r="C6181" i="1"/>
  <c r="B6181" i="1"/>
  <c r="A6181" i="1"/>
  <c r="C6180" i="1"/>
  <c r="B6180" i="1"/>
  <c r="A6180" i="1"/>
  <c r="C6179" i="1"/>
  <c r="B6179" i="1"/>
  <c r="A6179" i="1"/>
  <c r="C6178" i="1"/>
  <c r="B6178" i="1"/>
  <c r="A6178" i="1"/>
  <c r="C6177" i="1"/>
  <c r="B6177" i="1"/>
  <c r="A6177" i="1"/>
  <c r="C6176" i="1"/>
  <c r="B6176" i="1"/>
  <c r="A6176" i="1"/>
  <c r="C6175" i="1"/>
  <c r="B6175" i="1"/>
  <c r="A6175" i="1"/>
  <c r="C6174" i="1"/>
  <c r="B6174" i="1"/>
  <c r="A6174" i="1"/>
  <c r="C6173" i="1"/>
  <c r="B6173" i="1"/>
  <c r="A6173" i="1"/>
  <c r="C6172" i="1"/>
  <c r="B6172" i="1"/>
  <c r="A6172" i="1"/>
  <c r="C6171" i="1"/>
  <c r="B6171" i="1"/>
  <c r="A6171" i="1"/>
  <c r="C6170" i="1"/>
  <c r="B6170" i="1"/>
  <c r="A6170" i="1"/>
  <c r="C6169" i="1"/>
  <c r="B6169" i="1"/>
  <c r="A6169" i="1"/>
  <c r="C6168" i="1"/>
  <c r="B6168" i="1"/>
  <c r="A6168" i="1"/>
  <c r="C6167" i="1"/>
  <c r="B6167" i="1"/>
  <c r="A6167" i="1"/>
  <c r="C6166" i="1"/>
  <c r="B6166" i="1"/>
  <c r="A6166" i="1"/>
  <c r="C6165" i="1"/>
  <c r="B6165" i="1"/>
  <c r="A6165" i="1"/>
  <c r="C6164" i="1"/>
  <c r="B6164" i="1"/>
  <c r="A6164" i="1"/>
  <c r="C6163" i="1"/>
  <c r="B6163" i="1"/>
  <c r="A6163" i="1"/>
  <c r="C6162" i="1"/>
  <c r="B6162" i="1"/>
  <c r="A6162" i="1"/>
  <c r="C6161" i="1"/>
  <c r="B6161" i="1"/>
  <c r="A6161" i="1"/>
  <c r="C6160" i="1"/>
  <c r="B6160" i="1"/>
  <c r="A6160" i="1"/>
  <c r="C6159" i="1"/>
  <c r="B6159" i="1"/>
  <c r="A6159" i="1"/>
  <c r="C6158" i="1"/>
  <c r="B6158" i="1"/>
  <c r="A6158" i="1"/>
  <c r="C6157" i="1"/>
  <c r="B6157" i="1"/>
  <c r="A6157" i="1"/>
  <c r="C6156" i="1"/>
  <c r="B6156" i="1"/>
  <c r="A6156" i="1"/>
  <c r="C6155" i="1"/>
  <c r="B6155" i="1"/>
  <c r="A6155" i="1"/>
  <c r="C6154" i="1"/>
  <c r="B6154" i="1"/>
  <c r="A6154" i="1"/>
  <c r="C6153" i="1"/>
  <c r="B6153" i="1"/>
  <c r="A6153" i="1"/>
  <c r="C6152" i="1"/>
  <c r="B6152" i="1"/>
  <c r="A6152" i="1"/>
  <c r="C6151" i="1"/>
  <c r="B6151" i="1"/>
  <c r="A6151" i="1"/>
  <c r="C6150" i="1"/>
  <c r="B6150" i="1"/>
  <c r="A6150" i="1"/>
  <c r="C6149" i="1"/>
  <c r="B6149" i="1"/>
  <c r="A6149" i="1"/>
  <c r="C6148" i="1"/>
  <c r="B6148" i="1"/>
  <c r="A6148" i="1"/>
  <c r="C6147" i="1"/>
  <c r="B6147" i="1"/>
  <c r="A6147" i="1"/>
  <c r="C6146" i="1"/>
  <c r="B6146" i="1"/>
  <c r="A6146" i="1"/>
  <c r="C6145" i="1"/>
  <c r="B6145" i="1"/>
  <c r="A6145" i="1"/>
  <c r="C6144" i="1"/>
  <c r="B6144" i="1"/>
  <c r="A6144" i="1"/>
  <c r="C6143" i="1"/>
  <c r="B6143" i="1"/>
  <c r="A6143" i="1"/>
  <c r="C6142" i="1"/>
  <c r="B6142" i="1"/>
  <c r="A6142" i="1"/>
  <c r="C6141" i="1"/>
  <c r="B6141" i="1"/>
  <c r="A6141" i="1"/>
  <c r="C6140" i="1"/>
  <c r="B6140" i="1"/>
  <c r="A6140" i="1"/>
  <c r="C6139" i="1"/>
  <c r="B6139" i="1"/>
  <c r="A6139" i="1"/>
  <c r="C6138" i="1"/>
  <c r="B6138" i="1"/>
  <c r="A6138" i="1"/>
  <c r="C6137" i="1"/>
  <c r="B6137" i="1"/>
  <c r="A6137" i="1"/>
  <c r="C6136" i="1"/>
  <c r="B6136" i="1"/>
  <c r="A6136" i="1"/>
  <c r="C6135" i="1"/>
  <c r="B6135" i="1"/>
  <c r="A6135" i="1"/>
  <c r="C6134" i="1"/>
  <c r="B6134" i="1"/>
  <c r="A6134" i="1"/>
  <c r="C6133" i="1"/>
  <c r="B6133" i="1"/>
  <c r="A6133" i="1"/>
  <c r="C6132" i="1"/>
  <c r="B6132" i="1"/>
  <c r="A6132" i="1"/>
  <c r="C6131" i="1"/>
  <c r="B6131" i="1"/>
  <c r="A6131" i="1"/>
  <c r="C6130" i="1"/>
  <c r="B6130" i="1"/>
  <c r="A6130" i="1"/>
  <c r="C6129" i="1"/>
  <c r="B6129" i="1"/>
  <c r="A6129" i="1"/>
  <c r="C6128" i="1"/>
  <c r="B6128" i="1"/>
  <c r="A6128" i="1"/>
  <c r="C6127" i="1"/>
  <c r="B6127" i="1"/>
  <c r="A6127" i="1"/>
  <c r="C6126" i="1"/>
  <c r="B6126" i="1"/>
  <c r="A6126" i="1"/>
  <c r="C6125" i="1"/>
  <c r="B6125" i="1"/>
  <c r="A6125" i="1"/>
  <c r="C6124" i="1"/>
  <c r="B6124" i="1"/>
  <c r="A6124" i="1"/>
  <c r="C6123" i="1"/>
  <c r="B6123" i="1"/>
  <c r="A6123" i="1"/>
  <c r="C6122" i="1"/>
  <c r="B6122" i="1"/>
  <c r="A6122" i="1"/>
  <c r="C6121" i="1"/>
  <c r="B6121" i="1"/>
  <c r="A6121" i="1"/>
  <c r="C6120" i="1"/>
  <c r="B6120" i="1"/>
  <c r="A6120" i="1"/>
  <c r="C6119" i="1"/>
  <c r="B6119" i="1"/>
  <c r="A6119" i="1"/>
  <c r="C6118" i="1"/>
  <c r="B6118" i="1"/>
  <c r="A6118" i="1"/>
  <c r="C6117" i="1"/>
  <c r="B6117" i="1"/>
  <c r="A6117" i="1"/>
  <c r="C6116" i="1"/>
  <c r="B6116" i="1"/>
  <c r="A6116" i="1"/>
  <c r="C6115" i="1"/>
  <c r="B6115" i="1"/>
  <c r="A6115" i="1"/>
  <c r="C6114" i="1"/>
  <c r="B6114" i="1"/>
  <c r="A6114" i="1"/>
  <c r="C6113" i="1"/>
  <c r="B6113" i="1"/>
  <c r="A6113" i="1"/>
  <c r="C6112" i="1"/>
  <c r="B6112" i="1"/>
  <c r="A6112" i="1"/>
  <c r="C6111" i="1"/>
  <c r="B6111" i="1"/>
  <c r="A6111" i="1"/>
  <c r="C6110" i="1"/>
  <c r="B6110" i="1"/>
  <c r="A6110" i="1"/>
  <c r="C6109" i="1"/>
  <c r="B6109" i="1"/>
  <c r="A6109" i="1"/>
  <c r="C6108" i="1"/>
  <c r="B6108" i="1"/>
  <c r="A6108" i="1"/>
  <c r="C6107" i="1"/>
  <c r="B6107" i="1"/>
  <c r="A6107" i="1"/>
  <c r="C6106" i="1"/>
  <c r="B6106" i="1"/>
  <c r="A6106" i="1"/>
  <c r="C6105" i="1"/>
  <c r="B6105" i="1"/>
  <c r="A6105" i="1"/>
  <c r="C6104" i="1"/>
  <c r="B6104" i="1"/>
  <c r="A6104" i="1"/>
  <c r="C6103" i="1"/>
  <c r="B6103" i="1"/>
  <c r="A6103" i="1"/>
  <c r="C6102" i="1"/>
  <c r="B6102" i="1"/>
  <c r="A6102" i="1"/>
  <c r="C6101" i="1"/>
  <c r="B6101" i="1"/>
  <c r="A6101" i="1"/>
  <c r="C6100" i="1"/>
  <c r="B6100" i="1"/>
  <c r="A6100" i="1"/>
  <c r="C6099" i="1"/>
  <c r="B6099" i="1"/>
  <c r="A6099" i="1"/>
  <c r="C6098" i="1"/>
  <c r="B6098" i="1"/>
  <c r="A6098" i="1"/>
  <c r="C6097" i="1"/>
  <c r="B6097" i="1"/>
  <c r="A6097" i="1"/>
  <c r="C6096" i="1"/>
  <c r="B6096" i="1"/>
  <c r="A6096" i="1"/>
  <c r="C6095" i="1"/>
  <c r="B6095" i="1"/>
  <c r="A6095" i="1"/>
  <c r="C6094" i="1"/>
  <c r="B6094" i="1"/>
  <c r="A6094" i="1"/>
  <c r="C6093" i="1"/>
  <c r="B6093" i="1"/>
  <c r="A6093" i="1"/>
  <c r="C6092" i="1"/>
  <c r="B6092" i="1"/>
  <c r="A6092" i="1"/>
  <c r="C6091" i="1"/>
  <c r="B6091" i="1"/>
  <c r="A6091" i="1"/>
  <c r="C6090" i="1"/>
  <c r="B6090" i="1"/>
  <c r="A6090" i="1"/>
  <c r="C6089" i="1"/>
  <c r="B6089" i="1"/>
  <c r="A6089" i="1"/>
  <c r="C6088" i="1"/>
  <c r="B6088" i="1"/>
  <c r="A6088" i="1"/>
  <c r="C6087" i="1"/>
  <c r="B6087" i="1"/>
  <c r="A6087" i="1"/>
  <c r="C6086" i="1"/>
  <c r="B6086" i="1"/>
  <c r="A6086" i="1"/>
  <c r="C6085" i="1"/>
  <c r="B6085" i="1"/>
  <c r="A6085" i="1"/>
  <c r="C6084" i="1"/>
  <c r="B6084" i="1"/>
  <c r="A6084" i="1"/>
  <c r="C6083" i="1"/>
  <c r="B6083" i="1"/>
  <c r="A6083" i="1"/>
  <c r="C6082" i="1"/>
  <c r="B6082" i="1"/>
  <c r="A6082" i="1"/>
  <c r="C6081" i="1"/>
  <c r="B6081" i="1"/>
  <c r="A6081" i="1"/>
  <c r="C6080" i="1"/>
  <c r="B6080" i="1"/>
  <c r="A6080" i="1"/>
  <c r="C6079" i="1"/>
  <c r="B6079" i="1"/>
  <c r="A6079" i="1"/>
  <c r="C6078" i="1"/>
  <c r="B6078" i="1"/>
  <c r="A6078" i="1"/>
  <c r="C6077" i="1"/>
  <c r="B6077" i="1"/>
  <c r="A6077" i="1"/>
  <c r="C6076" i="1"/>
  <c r="B6076" i="1"/>
  <c r="A6076" i="1"/>
  <c r="C6075" i="1"/>
  <c r="B6075" i="1"/>
  <c r="A6075" i="1"/>
  <c r="C6074" i="1"/>
  <c r="B6074" i="1"/>
  <c r="A6074" i="1"/>
  <c r="C6073" i="1"/>
  <c r="B6073" i="1"/>
  <c r="A6073" i="1"/>
  <c r="C6072" i="1"/>
  <c r="B6072" i="1"/>
  <c r="A6072" i="1"/>
  <c r="C6071" i="1"/>
  <c r="B6071" i="1"/>
  <c r="A6071" i="1"/>
  <c r="C6070" i="1"/>
  <c r="B6070" i="1"/>
  <c r="A6070" i="1"/>
  <c r="C6069" i="1"/>
  <c r="B6069" i="1"/>
  <c r="A6069" i="1"/>
  <c r="C6068" i="1"/>
  <c r="B6068" i="1"/>
  <c r="A6068" i="1"/>
  <c r="C6067" i="1"/>
  <c r="B6067" i="1"/>
  <c r="A6067" i="1"/>
  <c r="C6066" i="1"/>
  <c r="B6066" i="1"/>
  <c r="A6066" i="1"/>
  <c r="C6065" i="1"/>
  <c r="B6065" i="1"/>
  <c r="A6065" i="1"/>
  <c r="C6064" i="1"/>
  <c r="B6064" i="1"/>
  <c r="A6064" i="1"/>
  <c r="C6063" i="1"/>
  <c r="B6063" i="1"/>
  <c r="A6063" i="1"/>
  <c r="C6062" i="1"/>
  <c r="B6062" i="1"/>
  <c r="A6062" i="1"/>
  <c r="C6061" i="1"/>
  <c r="B6061" i="1"/>
  <c r="A6061" i="1"/>
  <c r="C6060" i="1"/>
  <c r="B6060" i="1"/>
  <c r="A6060" i="1"/>
  <c r="C6059" i="1"/>
  <c r="B6059" i="1"/>
  <c r="A6059" i="1"/>
  <c r="C6058" i="1"/>
  <c r="B6058" i="1"/>
  <c r="A6058" i="1"/>
  <c r="C6057" i="1"/>
  <c r="B6057" i="1"/>
  <c r="A6057" i="1"/>
  <c r="C6056" i="1"/>
  <c r="B6056" i="1"/>
  <c r="A6056" i="1"/>
  <c r="C6055" i="1"/>
  <c r="B6055" i="1"/>
  <c r="A6055" i="1"/>
  <c r="C6054" i="1"/>
  <c r="B6054" i="1"/>
  <c r="A6054" i="1"/>
  <c r="C6053" i="1"/>
  <c r="B6053" i="1"/>
  <c r="A6053" i="1"/>
  <c r="C6052" i="1"/>
  <c r="B6052" i="1"/>
  <c r="A6052" i="1"/>
  <c r="C6051" i="1"/>
  <c r="B6051" i="1"/>
  <c r="A6051" i="1"/>
  <c r="C6050" i="1"/>
  <c r="B6050" i="1"/>
  <c r="A6050" i="1"/>
  <c r="C6049" i="1"/>
  <c r="B6049" i="1"/>
  <c r="A6049" i="1"/>
  <c r="C6048" i="1"/>
  <c r="B6048" i="1"/>
  <c r="A6048" i="1"/>
  <c r="C6047" i="1"/>
  <c r="B6047" i="1"/>
  <c r="A6047" i="1"/>
  <c r="C6046" i="1"/>
  <c r="B6046" i="1"/>
  <c r="A6046" i="1"/>
  <c r="C6045" i="1"/>
  <c r="B6045" i="1"/>
  <c r="A6045" i="1"/>
  <c r="C6044" i="1"/>
  <c r="B6044" i="1"/>
  <c r="A6044" i="1"/>
  <c r="C6043" i="1"/>
  <c r="B6043" i="1"/>
  <c r="A6043" i="1"/>
  <c r="C6042" i="1"/>
  <c r="B6042" i="1"/>
  <c r="A6042" i="1"/>
  <c r="C6041" i="1"/>
  <c r="B6041" i="1"/>
  <c r="A6041" i="1"/>
  <c r="C6040" i="1"/>
  <c r="B6040" i="1"/>
  <c r="A6040" i="1"/>
  <c r="C6039" i="1"/>
  <c r="B6039" i="1"/>
  <c r="A6039" i="1"/>
  <c r="C6038" i="1"/>
  <c r="B6038" i="1"/>
  <c r="A6038" i="1"/>
  <c r="C6037" i="1"/>
  <c r="B6037" i="1"/>
  <c r="A6037" i="1"/>
  <c r="C6036" i="1"/>
  <c r="B6036" i="1"/>
  <c r="A6036" i="1"/>
  <c r="C6035" i="1"/>
  <c r="B6035" i="1"/>
  <c r="A6035" i="1"/>
  <c r="C6034" i="1"/>
  <c r="B6034" i="1"/>
  <c r="A6034" i="1"/>
  <c r="C6033" i="1"/>
  <c r="B6033" i="1"/>
  <c r="A6033" i="1"/>
  <c r="C6032" i="1"/>
  <c r="B6032" i="1"/>
  <c r="A6032" i="1"/>
  <c r="C6031" i="1"/>
  <c r="B6031" i="1"/>
  <c r="A6031" i="1"/>
  <c r="C6030" i="1"/>
  <c r="B6030" i="1"/>
  <c r="A6030" i="1"/>
  <c r="C6029" i="1"/>
  <c r="B6029" i="1"/>
  <c r="A6029" i="1"/>
  <c r="C6028" i="1"/>
  <c r="B6028" i="1"/>
  <c r="A6028" i="1"/>
  <c r="C6027" i="1"/>
  <c r="B6027" i="1"/>
  <c r="A6027" i="1"/>
  <c r="C6026" i="1"/>
  <c r="B6026" i="1"/>
  <c r="A6026" i="1"/>
  <c r="C6025" i="1"/>
  <c r="B6025" i="1"/>
  <c r="A6025" i="1"/>
  <c r="C6024" i="1"/>
  <c r="B6024" i="1"/>
  <c r="A6024" i="1"/>
  <c r="C6023" i="1"/>
  <c r="B6023" i="1"/>
  <c r="A6023" i="1"/>
  <c r="C6022" i="1"/>
  <c r="B6022" i="1"/>
  <c r="A6022" i="1"/>
  <c r="C6021" i="1"/>
  <c r="B6021" i="1"/>
  <c r="A6021" i="1"/>
  <c r="C6020" i="1"/>
  <c r="B6020" i="1"/>
  <c r="A6020" i="1"/>
  <c r="C6019" i="1"/>
  <c r="B6019" i="1"/>
  <c r="A6019" i="1"/>
  <c r="C6018" i="1"/>
  <c r="B6018" i="1"/>
  <c r="A6018" i="1"/>
  <c r="C6017" i="1"/>
  <c r="B6017" i="1"/>
  <c r="A6017" i="1"/>
  <c r="C6016" i="1"/>
  <c r="B6016" i="1"/>
  <c r="A6016" i="1"/>
  <c r="C6015" i="1"/>
  <c r="B6015" i="1"/>
  <c r="A6015" i="1"/>
  <c r="C6014" i="1"/>
  <c r="B6014" i="1"/>
  <c r="A6014" i="1"/>
  <c r="C6013" i="1"/>
  <c r="B6013" i="1"/>
  <c r="A6013" i="1"/>
  <c r="C6012" i="1"/>
  <c r="B6012" i="1"/>
  <c r="A6012" i="1"/>
  <c r="C6011" i="1"/>
  <c r="B6011" i="1"/>
  <c r="A6011" i="1"/>
  <c r="C6010" i="1"/>
  <c r="B6010" i="1"/>
  <c r="A6010" i="1"/>
  <c r="C6009" i="1"/>
  <c r="B6009" i="1"/>
  <c r="A6009" i="1"/>
  <c r="C6008" i="1"/>
  <c r="B6008" i="1"/>
  <c r="A6008" i="1"/>
  <c r="C6007" i="1"/>
  <c r="B6007" i="1"/>
  <c r="A6007" i="1"/>
  <c r="C6006" i="1"/>
  <c r="B6006" i="1"/>
  <c r="A6006" i="1"/>
  <c r="C6005" i="1"/>
  <c r="B6005" i="1"/>
  <c r="A6005" i="1"/>
  <c r="C6004" i="1"/>
  <c r="B6004" i="1"/>
  <c r="A6004" i="1"/>
  <c r="C6003" i="1"/>
  <c r="B6003" i="1"/>
  <c r="A6003" i="1"/>
  <c r="C6002" i="1"/>
  <c r="B6002" i="1"/>
  <c r="A6002" i="1"/>
  <c r="C6001" i="1"/>
  <c r="B6001" i="1"/>
  <c r="A6001" i="1"/>
  <c r="C6000" i="1"/>
  <c r="B6000" i="1"/>
  <c r="A6000" i="1"/>
  <c r="C5999" i="1"/>
  <c r="B5999" i="1"/>
  <c r="A5999" i="1"/>
  <c r="C5998" i="1"/>
  <c r="B5998" i="1"/>
  <c r="A5998" i="1"/>
  <c r="C5997" i="1"/>
  <c r="B5997" i="1"/>
  <c r="A5997" i="1"/>
  <c r="C5996" i="1"/>
  <c r="B5996" i="1"/>
  <c r="A5996" i="1"/>
  <c r="C5995" i="1"/>
  <c r="B5995" i="1"/>
  <c r="A5995" i="1"/>
  <c r="C5994" i="1"/>
  <c r="B5994" i="1"/>
  <c r="A5994" i="1"/>
  <c r="C5993" i="1"/>
  <c r="B5993" i="1"/>
  <c r="A5993" i="1"/>
  <c r="C5992" i="1"/>
  <c r="B5992" i="1"/>
  <c r="A5992" i="1"/>
  <c r="C5991" i="1"/>
  <c r="B5991" i="1"/>
  <c r="A5991" i="1"/>
  <c r="C5990" i="1"/>
  <c r="B5990" i="1"/>
  <c r="A5990" i="1"/>
  <c r="C5989" i="1"/>
  <c r="B5989" i="1"/>
  <c r="A5989" i="1"/>
  <c r="C5988" i="1"/>
  <c r="B5988" i="1"/>
  <c r="A5988" i="1"/>
  <c r="C5987" i="1"/>
  <c r="B5987" i="1"/>
  <c r="A5987" i="1"/>
  <c r="C5986" i="1"/>
  <c r="B5986" i="1"/>
  <c r="A5986" i="1"/>
  <c r="C5985" i="1"/>
  <c r="B5985" i="1"/>
  <c r="A5985" i="1"/>
  <c r="C5984" i="1"/>
  <c r="B5984" i="1"/>
  <c r="A5984" i="1"/>
  <c r="C5983" i="1"/>
  <c r="B5983" i="1"/>
  <c r="A5983" i="1"/>
  <c r="C5982" i="1"/>
  <c r="B5982" i="1"/>
  <c r="A5982" i="1"/>
  <c r="C5981" i="1"/>
  <c r="B5981" i="1"/>
  <c r="A5981" i="1"/>
  <c r="C5980" i="1"/>
  <c r="B5980" i="1"/>
  <c r="A5980" i="1"/>
  <c r="C5979" i="1"/>
  <c r="B5979" i="1"/>
  <c r="A5979" i="1"/>
  <c r="C5978" i="1"/>
  <c r="B5978" i="1"/>
  <c r="A5978" i="1"/>
  <c r="C5977" i="1"/>
  <c r="B5977" i="1"/>
  <c r="A5977" i="1"/>
  <c r="C5976" i="1"/>
  <c r="B5976" i="1"/>
  <c r="A5976" i="1"/>
  <c r="C5975" i="1"/>
  <c r="B5975" i="1"/>
  <c r="A5975" i="1"/>
  <c r="C5974" i="1"/>
  <c r="B5974" i="1"/>
  <c r="A5974" i="1"/>
  <c r="C5973" i="1"/>
  <c r="B5973" i="1"/>
  <c r="A5973" i="1"/>
  <c r="C5972" i="1"/>
  <c r="B5972" i="1"/>
  <c r="A5972" i="1"/>
  <c r="C5971" i="1"/>
  <c r="B5971" i="1"/>
  <c r="A5971" i="1"/>
  <c r="C5970" i="1"/>
  <c r="B5970" i="1"/>
  <c r="A5970" i="1"/>
  <c r="C5969" i="1"/>
  <c r="B5969" i="1"/>
  <c r="A5969" i="1"/>
  <c r="C5968" i="1"/>
  <c r="B5968" i="1"/>
  <c r="A5968" i="1"/>
  <c r="C5967" i="1"/>
  <c r="B5967" i="1"/>
  <c r="A5967" i="1"/>
  <c r="C5966" i="1"/>
  <c r="B5966" i="1"/>
  <c r="A5966" i="1"/>
  <c r="C5965" i="1"/>
  <c r="B5965" i="1"/>
  <c r="A5965" i="1"/>
  <c r="C5964" i="1"/>
  <c r="B5964" i="1"/>
  <c r="A5964" i="1"/>
  <c r="C5963" i="1"/>
  <c r="B5963" i="1"/>
  <c r="A5963" i="1"/>
  <c r="C5962" i="1"/>
  <c r="B5962" i="1"/>
  <c r="A5962" i="1"/>
  <c r="C5961" i="1"/>
  <c r="B5961" i="1"/>
  <c r="A5961" i="1"/>
  <c r="C5960" i="1"/>
  <c r="B5960" i="1"/>
  <c r="A5960" i="1"/>
  <c r="C5959" i="1"/>
  <c r="B5959" i="1"/>
  <c r="A5959" i="1"/>
  <c r="C5958" i="1"/>
  <c r="B5958" i="1"/>
  <c r="A5958" i="1"/>
  <c r="C5957" i="1"/>
  <c r="B5957" i="1"/>
  <c r="A5957" i="1"/>
  <c r="C5956" i="1"/>
  <c r="B5956" i="1"/>
  <c r="A5956" i="1"/>
  <c r="C5955" i="1"/>
  <c r="B5955" i="1"/>
  <c r="A5955" i="1"/>
  <c r="C5954" i="1"/>
  <c r="B5954" i="1"/>
  <c r="A5954" i="1"/>
  <c r="C5953" i="1"/>
  <c r="B5953" i="1"/>
  <c r="A5953" i="1"/>
  <c r="C5952" i="1"/>
  <c r="B5952" i="1"/>
  <c r="A5952" i="1"/>
  <c r="C5951" i="1"/>
  <c r="B5951" i="1"/>
  <c r="A5951" i="1"/>
  <c r="C5950" i="1"/>
  <c r="B5950" i="1"/>
  <c r="A5950" i="1"/>
  <c r="C5949" i="1"/>
  <c r="B5949" i="1"/>
  <c r="A5949" i="1"/>
  <c r="C5948" i="1"/>
  <c r="B5948" i="1"/>
  <c r="A5948" i="1"/>
  <c r="C5947" i="1"/>
  <c r="B5947" i="1"/>
  <c r="A5947" i="1"/>
  <c r="C5946" i="1"/>
  <c r="B5946" i="1"/>
  <c r="A5946" i="1"/>
  <c r="C5945" i="1"/>
  <c r="B5945" i="1"/>
  <c r="A5945" i="1"/>
  <c r="C5944" i="1"/>
  <c r="B5944" i="1"/>
  <c r="A5944" i="1"/>
  <c r="C5943" i="1"/>
  <c r="B5943" i="1"/>
  <c r="A5943" i="1"/>
  <c r="C5942" i="1"/>
  <c r="B5942" i="1"/>
  <c r="A5942" i="1"/>
  <c r="C5941" i="1"/>
  <c r="B5941" i="1"/>
  <c r="A5941" i="1"/>
  <c r="C5940" i="1"/>
  <c r="B5940" i="1"/>
  <c r="A5940" i="1"/>
  <c r="C5939" i="1"/>
  <c r="B5939" i="1"/>
  <c r="A5939" i="1"/>
  <c r="C5938" i="1"/>
  <c r="B5938" i="1"/>
  <c r="A5938" i="1"/>
  <c r="C5937" i="1"/>
  <c r="B5937" i="1"/>
  <c r="A5937" i="1"/>
  <c r="C5936" i="1"/>
  <c r="B5936" i="1"/>
  <c r="A5936" i="1"/>
  <c r="C5935" i="1"/>
  <c r="B5935" i="1"/>
  <c r="A5935" i="1"/>
  <c r="C5934" i="1"/>
  <c r="B5934" i="1"/>
  <c r="A5934" i="1"/>
  <c r="C5933" i="1"/>
  <c r="B5933" i="1"/>
  <c r="A5933" i="1"/>
  <c r="C5932" i="1"/>
  <c r="B5932" i="1"/>
  <c r="A5932" i="1"/>
  <c r="C5931" i="1"/>
  <c r="B5931" i="1"/>
  <c r="A5931" i="1"/>
  <c r="C5930" i="1"/>
  <c r="B5930" i="1"/>
  <c r="A5930" i="1"/>
  <c r="C5929" i="1"/>
  <c r="B5929" i="1"/>
  <c r="A5929" i="1"/>
  <c r="C5928" i="1"/>
  <c r="B5928" i="1"/>
  <c r="A5928" i="1"/>
  <c r="C5927" i="1"/>
  <c r="B5927" i="1"/>
  <c r="A5927" i="1"/>
  <c r="C5926" i="1"/>
  <c r="B5926" i="1"/>
  <c r="A5926" i="1"/>
  <c r="C5925" i="1"/>
  <c r="B5925" i="1"/>
  <c r="A5925" i="1"/>
  <c r="C5924" i="1"/>
  <c r="B5924" i="1"/>
  <c r="A5924" i="1"/>
  <c r="C5923" i="1"/>
  <c r="B5923" i="1"/>
  <c r="A5923" i="1"/>
  <c r="C5922" i="1"/>
  <c r="B5922" i="1"/>
  <c r="A5922" i="1"/>
  <c r="C5921" i="1"/>
  <c r="B5921" i="1"/>
  <c r="A5921" i="1"/>
  <c r="C5920" i="1"/>
  <c r="B5920" i="1"/>
  <c r="A5920" i="1"/>
  <c r="C5919" i="1"/>
  <c r="B5919" i="1"/>
  <c r="A5919" i="1"/>
  <c r="C5918" i="1"/>
  <c r="B5918" i="1"/>
  <c r="A5918" i="1"/>
  <c r="C5917" i="1"/>
  <c r="B5917" i="1"/>
  <c r="A5917" i="1"/>
  <c r="C5916" i="1"/>
  <c r="B5916" i="1"/>
  <c r="A5916" i="1"/>
  <c r="C5915" i="1"/>
  <c r="B5915" i="1"/>
  <c r="A5915" i="1"/>
  <c r="C5914" i="1"/>
  <c r="B5914" i="1"/>
  <c r="A5914" i="1"/>
  <c r="C5913" i="1"/>
  <c r="B5913" i="1"/>
  <c r="A5913" i="1"/>
  <c r="C5912" i="1"/>
  <c r="B5912" i="1"/>
  <c r="A5912" i="1"/>
  <c r="C5911" i="1"/>
  <c r="B5911" i="1"/>
  <c r="A5911" i="1"/>
  <c r="C5910" i="1"/>
  <c r="B5910" i="1"/>
  <c r="A5910" i="1"/>
  <c r="C5909" i="1"/>
  <c r="B5909" i="1"/>
  <c r="A5909" i="1"/>
  <c r="C5908" i="1"/>
  <c r="B5908" i="1"/>
  <c r="A5908" i="1"/>
  <c r="C5907" i="1"/>
  <c r="B5907" i="1"/>
  <c r="A5907" i="1"/>
  <c r="C5906" i="1"/>
  <c r="B5906" i="1"/>
  <c r="A5906" i="1"/>
  <c r="C5905" i="1"/>
  <c r="B5905" i="1"/>
  <c r="A5905" i="1"/>
  <c r="C5904" i="1"/>
  <c r="B5904" i="1"/>
  <c r="A5904" i="1"/>
  <c r="C5903" i="1"/>
  <c r="B5903" i="1"/>
  <c r="A5903" i="1"/>
  <c r="C5902" i="1"/>
  <c r="B5902" i="1"/>
  <c r="A5902" i="1"/>
  <c r="C5901" i="1"/>
  <c r="B5901" i="1"/>
  <c r="A5901" i="1"/>
  <c r="C5900" i="1"/>
  <c r="B5900" i="1"/>
  <c r="A5900" i="1"/>
  <c r="C5899" i="1"/>
  <c r="B5899" i="1"/>
  <c r="A5899" i="1"/>
  <c r="C5898" i="1"/>
  <c r="B5898" i="1"/>
  <c r="A5898" i="1"/>
  <c r="C5897" i="1"/>
  <c r="B5897" i="1"/>
  <c r="A5897" i="1"/>
  <c r="C5896" i="1"/>
  <c r="B5896" i="1"/>
  <c r="A5896" i="1"/>
  <c r="C5895" i="1"/>
  <c r="B5895" i="1"/>
  <c r="A5895" i="1"/>
  <c r="C5894" i="1"/>
  <c r="B5894" i="1"/>
  <c r="A5894" i="1"/>
  <c r="C5893" i="1"/>
  <c r="B5893" i="1"/>
  <c r="A5893" i="1"/>
  <c r="C5892" i="1"/>
  <c r="B5892" i="1"/>
  <c r="A5892" i="1"/>
  <c r="C5891" i="1"/>
  <c r="B5891" i="1"/>
  <c r="A5891" i="1"/>
  <c r="C5890" i="1"/>
  <c r="B5890" i="1"/>
  <c r="A5890" i="1"/>
  <c r="C5889" i="1"/>
  <c r="B5889" i="1"/>
  <c r="A5889" i="1"/>
  <c r="C5888" i="1"/>
  <c r="B5888" i="1"/>
  <c r="A5888" i="1"/>
  <c r="C5887" i="1"/>
  <c r="B5887" i="1"/>
  <c r="A5887" i="1"/>
  <c r="C5886" i="1"/>
  <c r="B5886" i="1"/>
  <c r="A5886" i="1"/>
  <c r="C5885" i="1"/>
  <c r="B5885" i="1"/>
  <c r="A5885" i="1"/>
  <c r="C5884" i="1"/>
  <c r="B5884" i="1"/>
  <c r="A5884" i="1"/>
  <c r="C5883" i="1"/>
  <c r="B5883" i="1"/>
  <c r="A5883" i="1"/>
  <c r="C5882" i="1"/>
  <c r="B5882" i="1"/>
  <c r="A5882" i="1"/>
  <c r="C5881" i="1"/>
  <c r="B5881" i="1"/>
  <c r="A5881" i="1"/>
  <c r="C5880" i="1"/>
  <c r="B5880" i="1"/>
  <c r="A5880" i="1"/>
  <c r="C5879" i="1"/>
  <c r="B5879" i="1"/>
  <c r="A5879" i="1"/>
  <c r="C5878" i="1"/>
  <c r="B5878" i="1"/>
  <c r="A5878" i="1"/>
  <c r="C5877" i="1"/>
  <c r="B5877" i="1"/>
  <c r="A5877" i="1"/>
  <c r="C5876" i="1"/>
  <c r="B5876" i="1"/>
  <c r="A5876" i="1"/>
  <c r="C5875" i="1"/>
  <c r="B5875" i="1"/>
  <c r="A5875" i="1"/>
  <c r="C5874" i="1"/>
  <c r="B5874" i="1"/>
  <c r="A5874" i="1"/>
  <c r="C5873" i="1"/>
  <c r="B5873" i="1"/>
  <c r="A5873" i="1"/>
  <c r="C5872" i="1"/>
  <c r="B5872" i="1"/>
  <c r="A5872" i="1"/>
  <c r="C5871" i="1"/>
  <c r="B5871" i="1"/>
  <c r="A5871" i="1"/>
  <c r="C5870" i="1"/>
  <c r="B5870" i="1"/>
  <c r="A5870" i="1"/>
  <c r="C5869" i="1"/>
  <c r="B5869" i="1"/>
  <c r="A5869" i="1"/>
  <c r="C5868" i="1"/>
  <c r="B5868" i="1"/>
  <c r="A5868" i="1"/>
  <c r="C5867" i="1"/>
  <c r="B5867" i="1"/>
  <c r="A5867" i="1"/>
  <c r="C5866" i="1"/>
  <c r="B5866" i="1"/>
  <c r="A5866" i="1"/>
  <c r="C5865" i="1"/>
  <c r="B5865" i="1"/>
  <c r="A5865" i="1"/>
  <c r="C5864" i="1"/>
  <c r="B5864" i="1"/>
  <c r="A5864" i="1"/>
  <c r="C5863" i="1"/>
  <c r="B5863" i="1"/>
  <c r="A5863" i="1"/>
  <c r="C5862" i="1"/>
  <c r="B5862" i="1"/>
  <c r="A5862" i="1"/>
  <c r="C5861" i="1"/>
  <c r="B5861" i="1"/>
  <c r="A5861" i="1"/>
  <c r="C5860" i="1"/>
  <c r="B5860" i="1"/>
  <c r="A5860" i="1"/>
  <c r="C5859" i="1"/>
  <c r="B5859" i="1"/>
  <c r="A5859" i="1"/>
  <c r="C5858" i="1"/>
  <c r="B5858" i="1"/>
  <c r="A5858" i="1"/>
  <c r="C5857" i="1"/>
  <c r="B5857" i="1"/>
  <c r="A5857" i="1"/>
  <c r="C5856" i="1"/>
  <c r="B5856" i="1"/>
  <c r="A5856" i="1"/>
  <c r="C5855" i="1"/>
  <c r="B5855" i="1"/>
  <c r="A5855" i="1"/>
  <c r="C5854" i="1"/>
  <c r="B5854" i="1"/>
  <c r="A5854" i="1"/>
  <c r="C5853" i="1"/>
  <c r="B5853" i="1"/>
  <c r="A5853" i="1"/>
  <c r="C5852" i="1"/>
  <c r="B5852" i="1"/>
  <c r="A5852" i="1"/>
  <c r="C5851" i="1"/>
  <c r="B5851" i="1"/>
  <c r="A5851" i="1"/>
  <c r="C5850" i="1"/>
  <c r="B5850" i="1"/>
  <c r="A5850" i="1"/>
  <c r="C5849" i="1"/>
  <c r="B5849" i="1"/>
  <c r="A5849" i="1"/>
  <c r="C5848" i="1"/>
  <c r="B5848" i="1"/>
  <c r="A5848" i="1"/>
  <c r="C5847" i="1"/>
  <c r="B5847" i="1"/>
  <c r="A5847" i="1"/>
  <c r="C5846" i="1"/>
  <c r="B5846" i="1"/>
  <c r="A5846" i="1"/>
  <c r="C5845" i="1"/>
  <c r="B5845" i="1"/>
  <c r="A5845" i="1"/>
  <c r="C5844" i="1"/>
  <c r="B5844" i="1"/>
  <c r="A5844" i="1"/>
  <c r="C5843" i="1"/>
  <c r="B5843" i="1"/>
  <c r="A5843" i="1"/>
  <c r="C5842" i="1"/>
  <c r="B5842" i="1"/>
  <c r="A5842" i="1"/>
  <c r="C5841" i="1"/>
  <c r="B5841" i="1"/>
  <c r="A5841" i="1"/>
  <c r="C5840" i="1"/>
  <c r="B5840" i="1"/>
  <c r="A5840" i="1"/>
  <c r="C5839" i="1"/>
  <c r="B5839" i="1"/>
  <c r="A5839" i="1"/>
  <c r="C5838" i="1"/>
  <c r="B5838" i="1"/>
  <c r="A5838" i="1"/>
  <c r="C5837" i="1"/>
  <c r="B5837" i="1"/>
  <c r="A5837" i="1"/>
  <c r="C5836" i="1"/>
  <c r="B5836" i="1"/>
  <c r="A5836" i="1"/>
  <c r="C5835" i="1"/>
  <c r="B5835" i="1"/>
  <c r="A5835" i="1"/>
  <c r="C5834" i="1"/>
  <c r="B5834" i="1"/>
  <c r="A5834" i="1"/>
  <c r="C5833" i="1"/>
  <c r="B5833" i="1"/>
  <c r="A5833" i="1"/>
  <c r="C5832" i="1"/>
  <c r="B5832" i="1"/>
  <c r="A5832" i="1"/>
  <c r="C5831" i="1"/>
  <c r="B5831" i="1"/>
  <c r="A5831" i="1"/>
  <c r="C5830" i="1"/>
  <c r="B5830" i="1"/>
  <c r="A5830" i="1"/>
  <c r="C5829" i="1"/>
  <c r="B5829" i="1"/>
  <c r="A5829" i="1"/>
  <c r="C5828" i="1"/>
  <c r="B5828" i="1"/>
  <c r="A5828" i="1"/>
  <c r="C5827" i="1"/>
  <c r="B5827" i="1"/>
  <c r="A5827" i="1"/>
  <c r="C5826" i="1"/>
  <c r="B5826" i="1"/>
  <c r="A5826" i="1"/>
  <c r="C5825" i="1"/>
  <c r="B5825" i="1"/>
  <c r="A5825" i="1"/>
  <c r="C5824" i="1"/>
  <c r="B5824" i="1"/>
  <c r="A5824" i="1"/>
  <c r="C5823" i="1"/>
  <c r="B5823" i="1"/>
  <c r="A5823" i="1"/>
  <c r="C5822" i="1"/>
  <c r="B5822" i="1"/>
  <c r="A5822" i="1"/>
  <c r="C5821" i="1"/>
  <c r="B5821" i="1"/>
  <c r="A5821" i="1"/>
  <c r="C5820" i="1"/>
  <c r="B5820" i="1"/>
  <c r="A5820" i="1"/>
  <c r="C5819" i="1"/>
  <c r="B5819" i="1"/>
  <c r="A5819" i="1"/>
  <c r="C5818" i="1"/>
  <c r="B5818" i="1"/>
  <c r="A5818" i="1"/>
  <c r="C5817" i="1"/>
  <c r="B5817" i="1"/>
  <c r="A5817" i="1"/>
  <c r="C5816" i="1"/>
  <c r="B5816" i="1"/>
  <c r="A5816" i="1"/>
  <c r="C5815" i="1"/>
  <c r="B5815" i="1"/>
  <c r="A5815" i="1"/>
  <c r="C5814" i="1"/>
  <c r="B5814" i="1"/>
  <c r="A5814" i="1"/>
  <c r="C5813" i="1"/>
  <c r="B5813" i="1"/>
  <c r="A5813" i="1"/>
  <c r="C5812" i="1"/>
  <c r="B5812" i="1"/>
  <c r="A5812" i="1"/>
  <c r="C5811" i="1"/>
  <c r="B5811" i="1"/>
  <c r="A5811" i="1"/>
  <c r="C5810" i="1"/>
  <c r="B5810" i="1"/>
  <c r="A5810" i="1"/>
  <c r="C5809" i="1"/>
  <c r="B5809" i="1"/>
  <c r="A5809" i="1"/>
  <c r="C5808" i="1"/>
  <c r="B5808" i="1"/>
  <c r="A5808" i="1"/>
  <c r="C5807" i="1"/>
  <c r="B5807" i="1"/>
  <c r="A5807" i="1"/>
  <c r="C5806" i="1"/>
  <c r="B5806" i="1"/>
  <c r="A5806" i="1"/>
  <c r="C5805" i="1"/>
  <c r="B5805" i="1"/>
  <c r="A5805" i="1"/>
  <c r="C5804" i="1"/>
  <c r="B5804" i="1"/>
  <c r="A5804" i="1"/>
  <c r="C5803" i="1"/>
  <c r="B5803" i="1"/>
  <c r="A5803" i="1"/>
  <c r="C5802" i="1"/>
  <c r="B5802" i="1"/>
  <c r="A5802" i="1"/>
  <c r="C5801" i="1"/>
  <c r="B5801" i="1"/>
  <c r="A5801" i="1"/>
  <c r="C5800" i="1"/>
  <c r="B5800" i="1"/>
  <c r="A5800" i="1"/>
  <c r="C5799" i="1"/>
  <c r="B5799" i="1"/>
  <c r="A5799" i="1"/>
  <c r="C5798" i="1"/>
  <c r="B5798" i="1"/>
  <c r="A5798" i="1"/>
  <c r="C5797" i="1"/>
  <c r="B5797" i="1"/>
  <c r="A5797" i="1"/>
  <c r="C5796" i="1"/>
  <c r="B5796" i="1"/>
  <c r="A5796" i="1"/>
  <c r="C5795" i="1"/>
  <c r="B5795" i="1"/>
  <c r="A5795" i="1"/>
  <c r="C5794" i="1"/>
  <c r="B5794" i="1"/>
  <c r="A5794" i="1"/>
  <c r="C5793" i="1"/>
  <c r="B5793" i="1"/>
  <c r="A5793" i="1"/>
  <c r="C5792" i="1"/>
  <c r="B5792" i="1"/>
  <c r="A5792" i="1"/>
  <c r="C5791" i="1"/>
  <c r="B5791" i="1"/>
  <c r="A5791" i="1"/>
  <c r="C5790" i="1"/>
  <c r="B5790" i="1"/>
  <c r="A5790" i="1"/>
  <c r="C5789" i="1"/>
  <c r="B5789" i="1"/>
  <c r="A5789" i="1"/>
  <c r="C5788" i="1"/>
  <c r="B5788" i="1"/>
  <c r="A5788" i="1"/>
  <c r="C5787" i="1"/>
  <c r="B5787" i="1"/>
  <c r="A5787" i="1"/>
  <c r="C5786" i="1"/>
  <c r="B5786" i="1"/>
  <c r="A5786" i="1"/>
  <c r="C5785" i="1"/>
  <c r="B5785" i="1"/>
  <c r="A5785" i="1"/>
  <c r="C5784" i="1"/>
  <c r="B5784" i="1"/>
  <c r="A5784" i="1"/>
  <c r="C5783" i="1"/>
  <c r="B5783" i="1"/>
  <c r="A5783" i="1"/>
  <c r="C5782" i="1"/>
  <c r="B5782" i="1"/>
  <c r="A5782" i="1"/>
  <c r="C5781" i="1"/>
  <c r="B5781" i="1"/>
  <c r="A5781" i="1"/>
  <c r="C5780" i="1"/>
  <c r="B5780" i="1"/>
  <c r="A5780" i="1"/>
  <c r="C5779" i="1"/>
  <c r="B5779" i="1"/>
  <c r="A5779" i="1"/>
  <c r="C5778" i="1"/>
  <c r="B5778" i="1"/>
  <c r="A5778" i="1"/>
  <c r="C5777" i="1"/>
  <c r="B5777" i="1"/>
  <c r="A5777" i="1"/>
  <c r="C5776" i="1"/>
  <c r="B5776" i="1"/>
  <c r="A5776" i="1"/>
  <c r="C5775" i="1"/>
  <c r="B5775" i="1"/>
  <c r="A5775" i="1"/>
  <c r="C5774" i="1"/>
  <c r="B5774" i="1"/>
  <c r="A5774" i="1"/>
  <c r="C5773" i="1"/>
  <c r="B5773" i="1"/>
  <c r="A5773" i="1"/>
  <c r="C5772" i="1"/>
  <c r="B5772" i="1"/>
  <c r="A5772" i="1"/>
  <c r="C5771" i="1"/>
  <c r="B5771" i="1"/>
  <c r="A5771" i="1"/>
  <c r="C5770" i="1"/>
  <c r="B5770" i="1"/>
  <c r="A5770" i="1"/>
  <c r="C5769" i="1"/>
  <c r="B5769" i="1"/>
  <c r="A5769" i="1"/>
  <c r="C5768" i="1"/>
  <c r="B5768" i="1"/>
  <c r="A5768" i="1"/>
  <c r="C5767" i="1"/>
  <c r="B5767" i="1"/>
  <c r="A5767" i="1"/>
  <c r="C5766" i="1"/>
  <c r="B5766" i="1"/>
  <c r="A5766" i="1"/>
  <c r="C5765" i="1"/>
  <c r="B5765" i="1"/>
  <c r="A5765" i="1"/>
  <c r="C5764" i="1"/>
  <c r="B5764" i="1"/>
  <c r="A5764" i="1"/>
  <c r="C5763" i="1"/>
  <c r="B5763" i="1"/>
  <c r="A5763" i="1"/>
  <c r="C5762" i="1"/>
  <c r="B5762" i="1"/>
  <c r="A5762" i="1"/>
  <c r="C5761" i="1"/>
  <c r="B5761" i="1"/>
  <c r="A5761" i="1"/>
  <c r="C5760" i="1"/>
  <c r="B5760" i="1"/>
  <c r="A5760" i="1"/>
  <c r="C5759" i="1"/>
  <c r="B5759" i="1"/>
  <c r="A5759" i="1"/>
  <c r="C5758" i="1"/>
  <c r="B5758" i="1"/>
  <c r="A5758" i="1"/>
  <c r="C5757" i="1"/>
  <c r="B5757" i="1"/>
  <c r="A5757" i="1"/>
  <c r="C5756" i="1"/>
  <c r="B5756" i="1"/>
  <c r="A5756" i="1"/>
  <c r="C5755" i="1"/>
  <c r="B5755" i="1"/>
  <c r="A5755" i="1"/>
  <c r="C5754" i="1"/>
  <c r="B5754" i="1"/>
  <c r="A5754" i="1"/>
  <c r="C5753" i="1"/>
  <c r="B5753" i="1"/>
  <c r="A5753" i="1"/>
  <c r="C5752" i="1"/>
  <c r="B5752" i="1"/>
  <c r="A5752" i="1"/>
  <c r="C5751" i="1"/>
  <c r="B5751" i="1"/>
  <c r="A5751" i="1"/>
  <c r="C5750" i="1"/>
  <c r="B5750" i="1"/>
  <c r="A5750" i="1"/>
  <c r="C5749" i="1"/>
  <c r="B5749" i="1"/>
  <c r="A5749" i="1"/>
  <c r="C5748" i="1"/>
  <c r="B5748" i="1"/>
  <c r="A5748" i="1"/>
  <c r="C5747" i="1"/>
  <c r="B5747" i="1"/>
  <c r="A5747" i="1"/>
  <c r="C5746" i="1"/>
  <c r="B5746" i="1"/>
  <c r="A5746" i="1"/>
  <c r="C5745" i="1"/>
  <c r="B5745" i="1"/>
  <c r="A5745" i="1"/>
  <c r="C5744" i="1"/>
  <c r="B5744" i="1"/>
  <c r="A5744" i="1"/>
  <c r="C5743" i="1"/>
  <c r="B5743" i="1"/>
  <c r="A5743" i="1"/>
  <c r="C5742" i="1"/>
  <c r="B5742" i="1"/>
  <c r="A5742" i="1"/>
  <c r="C5741" i="1"/>
  <c r="B5741" i="1"/>
  <c r="A5741" i="1"/>
  <c r="C5740" i="1"/>
  <c r="B5740" i="1"/>
  <c r="A5740" i="1"/>
  <c r="C5739" i="1"/>
  <c r="B5739" i="1"/>
  <c r="A5739" i="1"/>
  <c r="C5738" i="1"/>
  <c r="B5738" i="1"/>
  <c r="A5738" i="1"/>
  <c r="C5737" i="1"/>
  <c r="B5737" i="1"/>
  <c r="A5737" i="1"/>
  <c r="C5736" i="1"/>
  <c r="B5736" i="1"/>
  <c r="A5736" i="1"/>
  <c r="C5735" i="1"/>
  <c r="B5735" i="1"/>
  <c r="A5735" i="1"/>
  <c r="C5734" i="1"/>
  <c r="B5734" i="1"/>
  <c r="A5734" i="1"/>
  <c r="C5733" i="1"/>
  <c r="B5733" i="1"/>
  <c r="A5733" i="1"/>
  <c r="C5732" i="1"/>
  <c r="B5732" i="1"/>
  <c r="A5732" i="1"/>
  <c r="C5731" i="1"/>
  <c r="B5731" i="1"/>
  <c r="A5731" i="1"/>
  <c r="C5730" i="1"/>
  <c r="B5730" i="1"/>
  <c r="A5730" i="1"/>
  <c r="C5729" i="1"/>
  <c r="B5729" i="1"/>
  <c r="A5729" i="1"/>
  <c r="C5728" i="1"/>
  <c r="B5728" i="1"/>
  <c r="A5728" i="1"/>
  <c r="C5727" i="1"/>
  <c r="B5727" i="1"/>
  <c r="A5727" i="1"/>
  <c r="C5726" i="1"/>
  <c r="B5726" i="1"/>
  <c r="A5726" i="1"/>
  <c r="C5725" i="1"/>
  <c r="B5725" i="1"/>
  <c r="A5725" i="1"/>
  <c r="C5724" i="1"/>
  <c r="B5724" i="1"/>
  <c r="A5724" i="1"/>
  <c r="C5723" i="1"/>
  <c r="B5723" i="1"/>
  <c r="A5723" i="1"/>
  <c r="C5722" i="1"/>
  <c r="B5722" i="1"/>
  <c r="A5722" i="1"/>
  <c r="C5721" i="1"/>
  <c r="B5721" i="1"/>
  <c r="A5721" i="1"/>
  <c r="C5720" i="1"/>
  <c r="B5720" i="1"/>
  <c r="A5720" i="1"/>
  <c r="C5719" i="1"/>
  <c r="B5719" i="1"/>
  <c r="A5719" i="1"/>
  <c r="C5718" i="1"/>
  <c r="B5718" i="1"/>
  <c r="A5718" i="1"/>
  <c r="C5717" i="1"/>
  <c r="B5717" i="1"/>
  <c r="A5717" i="1"/>
  <c r="C5716" i="1"/>
  <c r="B5716" i="1"/>
  <c r="A5716" i="1"/>
  <c r="C5715" i="1"/>
  <c r="B5715" i="1"/>
  <c r="A5715" i="1"/>
  <c r="C5714" i="1"/>
  <c r="B5714" i="1"/>
  <c r="A5714" i="1"/>
  <c r="C5713" i="1"/>
  <c r="B5713" i="1"/>
  <c r="A5713" i="1"/>
  <c r="C5712" i="1"/>
  <c r="B5712" i="1"/>
  <c r="A5712" i="1"/>
  <c r="C5711" i="1"/>
  <c r="B5711" i="1"/>
  <c r="A5711" i="1"/>
  <c r="C5710" i="1"/>
  <c r="B5710" i="1"/>
  <c r="A5710" i="1"/>
  <c r="C5709" i="1"/>
  <c r="B5709" i="1"/>
  <c r="A5709" i="1"/>
  <c r="C5708" i="1"/>
  <c r="B5708" i="1"/>
  <c r="A5708" i="1"/>
  <c r="C5707" i="1"/>
  <c r="B5707" i="1"/>
  <c r="A5707" i="1"/>
  <c r="C5706" i="1"/>
  <c r="B5706" i="1"/>
  <c r="A5706" i="1"/>
  <c r="C5705" i="1"/>
  <c r="B5705" i="1"/>
  <c r="A5705" i="1"/>
  <c r="C5704" i="1"/>
  <c r="B5704" i="1"/>
  <c r="A5704" i="1"/>
  <c r="C5703" i="1"/>
  <c r="B5703" i="1"/>
  <c r="A5703" i="1"/>
  <c r="C5702" i="1"/>
  <c r="B5702" i="1"/>
  <c r="A5702" i="1"/>
  <c r="C5701" i="1"/>
  <c r="B5701" i="1"/>
  <c r="A5701" i="1"/>
  <c r="C5700" i="1"/>
  <c r="B5700" i="1"/>
  <c r="A5700" i="1"/>
  <c r="C5699" i="1"/>
  <c r="B5699" i="1"/>
  <c r="A5699" i="1"/>
  <c r="C5698" i="1"/>
  <c r="B5698" i="1"/>
  <c r="A5698" i="1"/>
  <c r="C5697" i="1"/>
  <c r="B5697" i="1"/>
  <c r="A5697" i="1"/>
  <c r="C5696" i="1"/>
  <c r="B5696" i="1"/>
  <c r="A5696" i="1"/>
  <c r="C5695" i="1"/>
  <c r="B5695" i="1"/>
  <c r="A5695" i="1"/>
  <c r="C5694" i="1"/>
  <c r="B5694" i="1"/>
  <c r="A5694" i="1"/>
  <c r="C5693" i="1"/>
  <c r="B5693" i="1"/>
  <c r="A5693" i="1"/>
  <c r="C5692" i="1"/>
  <c r="B5692" i="1"/>
  <c r="A5692" i="1"/>
  <c r="C5691" i="1"/>
  <c r="B5691" i="1"/>
  <c r="A5691" i="1"/>
  <c r="C5690" i="1"/>
  <c r="B5690" i="1"/>
  <c r="A5690" i="1"/>
  <c r="C5689" i="1"/>
  <c r="B5689" i="1"/>
  <c r="A5689" i="1"/>
  <c r="C5688" i="1"/>
  <c r="B5688" i="1"/>
  <c r="A5688" i="1"/>
  <c r="C5687" i="1"/>
  <c r="B5687" i="1"/>
  <c r="A5687" i="1"/>
  <c r="C5686" i="1"/>
  <c r="B5686" i="1"/>
  <c r="A5686" i="1"/>
  <c r="C5685" i="1"/>
  <c r="B5685" i="1"/>
  <c r="A5685" i="1"/>
  <c r="C5684" i="1"/>
  <c r="B5684" i="1"/>
  <c r="A5684" i="1"/>
  <c r="C5683" i="1"/>
  <c r="B5683" i="1"/>
  <c r="A5683" i="1"/>
  <c r="C5682" i="1"/>
  <c r="B5682" i="1"/>
  <c r="A5682" i="1"/>
  <c r="C5681" i="1"/>
  <c r="B5681" i="1"/>
  <c r="A5681" i="1"/>
  <c r="C5680" i="1"/>
  <c r="B5680" i="1"/>
  <c r="A5680" i="1"/>
  <c r="C5679" i="1"/>
  <c r="B5679" i="1"/>
  <c r="A5679" i="1"/>
  <c r="C5678" i="1"/>
  <c r="B5678" i="1"/>
  <c r="A5678" i="1"/>
  <c r="C5677" i="1"/>
  <c r="B5677" i="1"/>
  <c r="A5677" i="1"/>
  <c r="C5676" i="1"/>
  <c r="B5676" i="1"/>
  <c r="A5676" i="1"/>
  <c r="C5675" i="1"/>
  <c r="B5675" i="1"/>
  <c r="A5675" i="1"/>
  <c r="C5674" i="1"/>
  <c r="B5674" i="1"/>
  <c r="A5674" i="1"/>
  <c r="C5673" i="1"/>
  <c r="B5673" i="1"/>
  <c r="A5673" i="1"/>
  <c r="C5672" i="1"/>
  <c r="B5672" i="1"/>
  <c r="A5672" i="1"/>
  <c r="C5671" i="1"/>
  <c r="B5671" i="1"/>
  <c r="A5671" i="1"/>
  <c r="C5670" i="1"/>
  <c r="B5670" i="1"/>
  <c r="A5670" i="1"/>
  <c r="C5669" i="1"/>
  <c r="B5669" i="1"/>
  <c r="A5669" i="1"/>
  <c r="C5668" i="1"/>
  <c r="B5668" i="1"/>
  <c r="A5668" i="1"/>
  <c r="C5667" i="1"/>
  <c r="B5667" i="1"/>
  <c r="A5667" i="1"/>
  <c r="C5666" i="1"/>
  <c r="B5666" i="1"/>
  <c r="A5666" i="1"/>
  <c r="C5665" i="1"/>
  <c r="B5665" i="1"/>
  <c r="A5665" i="1"/>
  <c r="C5664" i="1"/>
  <c r="B5664" i="1"/>
  <c r="A5664" i="1"/>
  <c r="C5663" i="1"/>
  <c r="B5663" i="1"/>
  <c r="A5663" i="1"/>
  <c r="C5662" i="1"/>
  <c r="B5662" i="1"/>
  <c r="A5662" i="1"/>
  <c r="C5661" i="1"/>
  <c r="B5661" i="1"/>
  <c r="A5661" i="1"/>
  <c r="C5660" i="1"/>
  <c r="B5660" i="1"/>
  <c r="A5660" i="1"/>
  <c r="C5659" i="1"/>
  <c r="B5659" i="1"/>
  <c r="A5659" i="1"/>
  <c r="C5658" i="1"/>
  <c r="B5658" i="1"/>
  <c r="A5658" i="1"/>
  <c r="C5657" i="1"/>
  <c r="B5657" i="1"/>
  <c r="A5657" i="1"/>
  <c r="C5656" i="1"/>
  <c r="B5656" i="1"/>
  <c r="A5656" i="1"/>
  <c r="C5655" i="1"/>
  <c r="B5655" i="1"/>
  <c r="A5655" i="1"/>
  <c r="C5654" i="1"/>
  <c r="B5654" i="1"/>
  <c r="A5654" i="1"/>
  <c r="C5653" i="1"/>
  <c r="B5653" i="1"/>
  <c r="A5653" i="1"/>
  <c r="C5652" i="1"/>
  <c r="B5652" i="1"/>
  <c r="A5652" i="1"/>
  <c r="C5651" i="1"/>
  <c r="B5651" i="1"/>
  <c r="A5651" i="1"/>
  <c r="C5650" i="1"/>
  <c r="B5650" i="1"/>
  <c r="A5650" i="1"/>
  <c r="C5649" i="1"/>
  <c r="B5649" i="1"/>
  <c r="A5649" i="1"/>
  <c r="C5648" i="1"/>
  <c r="B5648" i="1"/>
  <c r="A5648" i="1"/>
  <c r="C5647" i="1"/>
  <c r="B5647" i="1"/>
  <c r="A5647" i="1"/>
  <c r="C5646" i="1"/>
  <c r="B5646" i="1"/>
  <c r="A5646" i="1"/>
  <c r="C5645" i="1"/>
  <c r="B5645" i="1"/>
  <c r="A5645" i="1"/>
  <c r="C5644" i="1"/>
  <c r="B5644" i="1"/>
  <c r="A5644" i="1"/>
  <c r="C5643" i="1"/>
  <c r="B5643" i="1"/>
  <c r="A5643" i="1"/>
  <c r="C5642" i="1"/>
  <c r="B5642" i="1"/>
  <c r="A5642" i="1"/>
  <c r="C5641" i="1"/>
  <c r="B5641" i="1"/>
  <c r="A5641" i="1"/>
  <c r="C5640" i="1"/>
  <c r="B5640" i="1"/>
  <c r="A5640" i="1"/>
  <c r="C5639" i="1"/>
  <c r="B5639" i="1"/>
  <c r="A5639" i="1"/>
  <c r="C5638" i="1"/>
  <c r="B5638" i="1"/>
  <c r="A5638" i="1"/>
  <c r="C5637" i="1"/>
  <c r="B5637" i="1"/>
  <c r="A5637" i="1"/>
  <c r="C5636" i="1"/>
  <c r="B5636" i="1"/>
  <c r="A5636" i="1"/>
  <c r="C5635" i="1"/>
  <c r="B5635" i="1"/>
  <c r="A5635" i="1"/>
  <c r="C5634" i="1"/>
  <c r="B5634" i="1"/>
  <c r="A5634" i="1"/>
  <c r="C5633" i="1"/>
  <c r="B5633" i="1"/>
  <c r="A5633" i="1"/>
  <c r="C5632" i="1"/>
  <c r="B5632" i="1"/>
  <c r="A5632" i="1"/>
  <c r="C5631" i="1"/>
  <c r="B5631" i="1"/>
  <c r="A5631" i="1"/>
  <c r="C5630" i="1"/>
  <c r="B5630" i="1"/>
  <c r="A5630" i="1"/>
  <c r="C5629" i="1"/>
  <c r="B5629" i="1"/>
  <c r="A5629" i="1"/>
  <c r="C5628" i="1"/>
  <c r="B5628" i="1"/>
  <c r="A5628" i="1"/>
  <c r="C5627" i="1"/>
  <c r="B5627" i="1"/>
  <c r="A5627" i="1"/>
  <c r="C5626" i="1"/>
  <c r="B5626" i="1"/>
  <c r="A5626" i="1"/>
  <c r="C5625" i="1"/>
  <c r="B5625" i="1"/>
  <c r="A5625" i="1"/>
  <c r="C5624" i="1"/>
  <c r="B5624" i="1"/>
  <c r="A5624" i="1"/>
  <c r="C5623" i="1"/>
  <c r="B5623" i="1"/>
  <c r="A5623" i="1"/>
  <c r="C5622" i="1"/>
  <c r="B5622" i="1"/>
  <c r="A5622" i="1"/>
  <c r="C5621" i="1"/>
  <c r="B5621" i="1"/>
  <c r="A5621" i="1"/>
  <c r="C5620" i="1"/>
  <c r="B5620" i="1"/>
  <c r="A5620" i="1"/>
  <c r="C5619" i="1"/>
  <c r="B5619" i="1"/>
  <c r="A5619" i="1"/>
  <c r="C5618" i="1"/>
  <c r="B5618" i="1"/>
  <c r="A5618" i="1"/>
  <c r="C5617" i="1"/>
  <c r="B5617" i="1"/>
  <c r="A5617" i="1"/>
  <c r="C5616" i="1"/>
  <c r="B5616" i="1"/>
  <c r="A5616" i="1"/>
  <c r="C5615" i="1"/>
  <c r="B5615" i="1"/>
  <c r="A5615" i="1"/>
  <c r="C5614" i="1"/>
  <c r="B5614" i="1"/>
  <c r="A5614" i="1"/>
  <c r="C5613" i="1"/>
  <c r="B5613" i="1"/>
  <c r="A5613" i="1"/>
  <c r="C5612" i="1"/>
  <c r="B5612" i="1"/>
  <c r="A5612" i="1"/>
  <c r="C5611" i="1"/>
  <c r="B5611" i="1"/>
  <c r="A5611" i="1"/>
  <c r="C5610" i="1"/>
  <c r="B5610" i="1"/>
  <c r="A5610" i="1"/>
  <c r="C5609" i="1"/>
  <c r="B5609" i="1"/>
  <c r="A5609" i="1"/>
  <c r="C5608" i="1"/>
  <c r="B5608" i="1"/>
  <c r="A5608" i="1"/>
  <c r="C5607" i="1"/>
  <c r="B5607" i="1"/>
  <c r="A5607" i="1"/>
  <c r="C5606" i="1"/>
  <c r="B5606" i="1"/>
  <c r="A5606" i="1"/>
  <c r="C5605" i="1"/>
  <c r="B5605" i="1"/>
  <c r="A5605" i="1"/>
  <c r="C5604" i="1"/>
  <c r="B5604" i="1"/>
  <c r="A5604" i="1"/>
  <c r="C5603" i="1"/>
  <c r="B5603" i="1"/>
  <c r="A5603" i="1"/>
  <c r="C5602" i="1"/>
  <c r="B5602" i="1"/>
  <c r="A5602" i="1"/>
  <c r="C5601" i="1"/>
  <c r="B5601" i="1"/>
  <c r="A5601" i="1"/>
  <c r="C5600" i="1"/>
  <c r="B5600" i="1"/>
  <c r="A5600" i="1"/>
  <c r="C5599" i="1"/>
  <c r="B5599" i="1"/>
  <c r="A5599" i="1"/>
  <c r="C5598" i="1"/>
  <c r="B5598" i="1"/>
  <c r="A5598" i="1"/>
  <c r="C5597" i="1"/>
  <c r="B5597" i="1"/>
  <c r="A5597" i="1"/>
  <c r="C5596" i="1"/>
  <c r="B5596" i="1"/>
  <c r="A5596" i="1"/>
  <c r="C5595" i="1"/>
  <c r="B5595" i="1"/>
  <c r="A5595" i="1"/>
  <c r="C5594" i="1"/>
  <c r="B5594" i="1"/>
  <c r="A5594" i="1"/>
  <c r="C5593" i="1"/>
  <c r="B5593" i="1"/>
  <c r="A5593" i="1"/>
  <c r="C5592" i="1"/>
  <c r="B5592" i="1"/>
  <c r="A5592" i="1"/>
  <c r="C5591" i="1"/>
  <c r="B5591" i="1"/>
  <c r="A5591" i="1"/>
  <c r="C5590" i="1"/>
  <c r="B5590" i="1"/>
  <c r="A5590" i="1"/>
  <c r="C5589" i="1"/>
  <c r="B5589" i="1"/>
  <c r="A5589" i="1"/>
  <c r="C5588" i="1"/>
  <c r="B5588" i="1"/>
  <c r="A5588" i="1"/>
  <c r="C5587" i="1"/>
  <c r="B5587" i="1"/>
  <c r="A5587" i="1"/>
  <c r="C5586" i="1"/>
  <c r="B5586" i="1"/>
  <c r="A5586" i="1"/>
  <c r="C5585" i="1"/>
  <c r="B5585" i="1"/>
  <c r="A5585" i="1"/>
  <c r="C5584" i="1"/>
  <c r="B5584" i="1"/>
  <c r="A5584" i="1"/>
  <c r="C5583" i="1"/>
  <c r="B5583" i="1"/>
  <c r="A5583" i="1"/>
  <c r="C5582" i="1"/>
  <c r="B5582" i="1"/>
  <c r="A5582" i="1"/>
  <c r="C5581" i="1"/>
  <c r="B5581" i="1"/>
  <c r="A5581" i="1"/>
  <c r="C5580" i="1"/>
  <c r="B5580" i="1"/>
  <c r="A5580" i="1"/>
  <c r="C5579" i="1"/>
  <c r="B5579" i="1"/>
  <c r="A5579" i="1"/>
  <c r="C5578" i="1"/>
  <c r="B5578" i="1"/>
  <c r="A5578" i="1"/>
  <c r="C5577" i="1"/>
  <c r="B5577" i="1"/>
  <c r="A5577" i="1"/>
  <c r="C5576" i="1"/>
  <c r="B5576" i="1"/>
  <c r="A5576" i="1"/>
  <c r="C5575" i="1"/>
  <c r="B5575" i="1"/>
  <c r="A5575" i="1"/>
  <c r="C5574" i="1"/>
  <c r="B5574" i="1"/>
  <c r="A5574" i="1"/>
  <c r="C5573" i="1"/>
  <c r="B5573" i="1"/>
  <c r="A5573" i="1"/>
  <c r="C5572" i="1"/>
  <c r="B5572" i="1"/>
  <c r="A5572" i="1"/>
  <c r="C5571" i="1"/>
  <c r="B5571" i="1"/>
  <c r="A5571" i="1"/>
  <c r="C5570" i="1"/>
  <c r="B5570" i="1"/>
  <c r="A5570" i="1"/>
  <c r="C5569" i="1"/>
  <c r="B5569" i="1"/>
  <c r="A5569" i="1"/>
  <c r="C5568" i="1"/>
  <c r="B5568" i="1"/>
  <c r="A5568" i="1"/>
  <c r="C5567" i="1"/>
  <c r="B5567" i="1"/>
  <c r="A5567" i="1"/>
  <c r="C5566" i="1"/>
  <c r="B5566" i="1"/>
  <c r="A5566" i="1"/>
  <c r="C5565" i="1"/>
  <c r="B5565" i="1"/>
  <c r="A5565" i="1"/>
  <c r="C5564" i="1"/>
  <c r="B5564" i="1"/>
  <c r="A5564" i="1"/>
  <c r="C5563" i="1"/>
  <c r="B5563" i="1"/>
  <c r="A5563" i="1"/>
  <c r="C5562" i="1"/>
  <c r="B5562" i="1"/>
  <c r="A5562" i="1"/>
  <c r="C5561" i="1"/>
  <c r="B5561" i="1"/>
  <c r="A5561" i="1"/>
  <c r="C5560" i="1"/>
  <c r="B5560" i="1"/>
  <c r="A5560" i="1"/>
  <c r="C5559" i="1"/>
  <c r="B5559" i="1"/>
  <c r="A5559" i="1"/>
  <c r="C5558" i="1"/>
  <c r="B5558" i="1"/>
  <c r="A5558" i="1"/>
  <c r="C5557" i="1"/>
  <c r="B5557" i="1"/>
  <c r="A5557" i="1"/>
  <c r="C5556" i="1"/>
  <c r="B5556" i="1"/>
  <c r="A5556" i="1"/>
  <c r="C5555" i="1"/>
  <c r="B5555" i="1"/>
  <c r="A5555" i="1"/>
  <c r="C5554" i="1"/>
  <c r="B5554" i="1"/>
  <c r="A5554" i="1"/>
  <c r="C5553" i="1"/>
  <c r="B5553" i="1"/>
  <c r="A5553" i="1"/>
  <c r="C5552" i="1"/>
  <c r="B5552" i="1"/>
  <c r="A5552" i="1"/>
  <c r="C5551" i="1"/>
  <c r="B5551" i="1"/>
  <c r="A5551" i="1"/>
  <c r="C5550" i="1"/>
  <c r="B5550" i="1"/>
  <c r="A5550" i="1"/>
  <c r="C5549" i="1"/>
  <c r="B5549" i="1"/>
  <c r="A5549" i="1"/>
  <c r="C5548" i="1"/>
  <c r="B5548" i="1"/>
  <c r="A5548" i="1"/>
  <c r="C5547" i="1"/>
  <c r="B5547" i="1"/>
  <c r="A5547" i="1"/>
  <c r="C5546" i="1"/>
  <c r="B5546" i="1"/>
  <c r="A5546" i="1"/>
  <c r="C5545" i="1"/>
  <c r="B5545" i="1"/>
  <c r="A5545" i="1"/>
  <c r="C5544" i="1"/>
  <c r="B5544" i="1"/>
  <c r="A5544" i="1"/>
  <c r="C5543" i="1"/>
  <c r="B5543" i="1"/>
  <c r="A5543" i="1"/>
  <c r="C5542" i="1"/>
  <c r="B5542" i="1"/>
  <c r="A5542" i="1"/>
  <c r="C5541" i="1"/>
  <c r="B5541" i="1"/>
  <c r="A5541" i="1"/>
  <c r="C5540" i="1"/>
  <c r="B5540" i="1"/>
  <c r="A5540" i="1"/>
  <c r="C5539" i="1"/>
  <c r="B5539" i="1"/>
  <c r="A5539" i="1"/>
  <c r="C5538" i="1"/>
  <c r="B5538" i="1"/>
  <c r="A5538" i="1"/>
  <c r="C5537" i="1"/>
  <c r="B5537" i="1"/>
  <c r="A5537" i="1"/>
  <c r="C5536" i="1"/>
  <c r="B5536" i="1"/>
  <c r="A5536" i="1"/>
  <c r="C5535" i="1"/>
  <c r="B5535" i="1"/>
  <c r="A5535" i="1"/>
  <c r="C5534" i="1"/>
  <c r="B5534" i="1"/>
  <c r="A5534" i="1"/>
  <c r="C5533" i="1"/>
  <c r="B5533" i="1"/>
  <c r="A5533" i="1"/>
  <c r="C5532" i="1"/>
  <c r="B5532" i="1"/>
  <c r="A5532" i="1"/>
  <c r="C5531" i="1"/>
  <c r="B5531" i="1"/>
  <c r="A5531" i="1"/>
  <c r="C5530" i="1"/>
  <c r="B5530" i="1"/>
  <c r="A5530" i="1"/>
  <c r="C5529" i="1"/>
  <c r="B5529" i="1"/>
  <c r="A5529" i="1"/>
  <c r="C5528" i="1"/>
  <c r="B5528" i="1"/>
  <c r="A5528" i="1"/>
  <c r="C5527" i="1"/>
  <c r="B5527" i="1"/>
  <c r="A5527" i="1"/>
  <c r="C5526" i="1"/>
  <c r="B5526" i="1"/>
  <c r="A5526" i="1"/>
  <c r="C5525" i="1"/>
  <c r="B5525" i="1"/>
  <c r="A5525" i="1"/>
  <c r="C5524" i="1"/>
  <c r="B5524" i="1"/>
  <c r="A5524" i="1"/>
  <c r="C5523" i="1"/>
  <c r="B5523" i="1"/>
  <c r="A5523" i="1"/>
  <c r="C5522" i="1"/>
  <c r="B5522" i="1"/>
  <c r="A5522" i="1"/>
  <c r="C5521" i="1"/>
  <c r="B5521" i="1"/>
  <c r="A5521" i="1"/>
  <c r="C5520" i="1"/>
  <c r="B5520" i="1"/>
  <c r="A5520" i="1"/>
  <c r="C5519" i="1"/>
  <c r="B5519" i="1"/>
  <c r="A5519" i="1"/>
  <c r="C5518" i="1"/>
  <c r="B5518" i="1"/>
  <c r="A5518" i="1"/>
  <c r="C5517" i="1"/>
  <c r="B5517" i="1"/>
  <c r="A5517" i="1"/>
  <c r="C5516" i="1"/>
  <c r="B5516" i="1"/>
  <c r="A5516" i="1"/>
  <c r="C5515" i="1"/>
  <c r="B5515" i="1"/>
  <c r="A5515" i="1"/>
  <c r="C5514" i="1"/>
  <c r="B5514" i="1"/>
  <c r="A5514" i="1"/>
  <c r="C5513" i="1"/>
  <c r="B5513" i="1"/>
  <c r="A5513" i="1"/>
  <c r="C5512" i="1"/>
  <c r="B5512" i="1"/>
  <c r="A5512" i="1"/>
  <c r="C5511" i="1"/>
  <c r="B5511" i="1"/>
  <c r="A5511" i="1"/>
  <c r="C5510" i="1"/>
  <c r="B5510" i="1"/>
  <c r="A5510" i="1"/>
  <c r="C5509" i="1"/>
  <c r="B5509" i="1"/>
  <c r="A5509" i="1"/>
  <c r="C5508" i="1"/>
  <c r="B5508" i="1"/>
  <c r="A5508" i="1"/>
  <c r="C5507" i="1"/>
  <c r="B5507" i="1"/>
  <c r="A5507" i="1"/>
  <c r="C5506" i="1"/>
  <c r="B5506" i="1"/>
  <c r="A5506" i="1"/>
  <c r="C5505" i="1"/>
  <c r="B5505" i="1"/>
  <c r="A5505" i="1"/>
  <c r="C5504" i="1"/>
  <c r="B5504" i="1"/>
  <c r="A5504" i="1"/>
  <c r="C5503" i="1"/>
  <c r="B5503" i="1"/>
  <c r="A5503" i="1"/>
  <c r="C5502" i="1"/>
  <c r="B5502" i="1"/>
  <c r="A5502" i="1"/>
  <c r="C5501" i="1"/>
  <c r="B5501" i="1"/>
  <c r="A5501" i="1"/>
  <c r="C5500" i="1"/>
  <c r="B5500" i="1"/>
  <c r="A5500" i="1"/>
  <c r="C5499" i="1"/>
  <c r="B5499" i="1"/>
  <c r="A5499" i="1"/>
  <c r="C5498" i="1"/>
  <c r="B5498" i="1"/>
  <c r="A5498" i="1"/>
  <c r="C5497" i="1"/>
  <c r="B5497" i="1"/>
  <c r="A5497" i="1"/>
  <c r="C5496" i="1"/>
  <c r="B5496" i="1"/>
  <c r="A5496" i="1"/>
  <c r="C5495" i="1"/>
  <c r="B5495" i="1"/>
  <c r="A5495" i="1"/>
  <c r="C5494" i="1"/>
  <c r="B5494" i="1"/>
  <c r="A5494" i="1"/>
  <c r="C5493" i="1"/>
  <c r="B5493" i="1"/>
  <c r="A5493" i="1"/>
  <c r="C5492" i="1"/>
  <c r="B5492" i="1"/>
  <c r="A5492" i="1"/>
  <c r="C5491" i="1"/>
  <c r="B5491" i="1"/>
  <c r="A5491" i="1"/>
  <c r="C5490" i="1"/>
  <c r="B5490" i="1"/>
  <c r="A5490" i="1"/>
  <c r="C5489" i="1"/>
  <c r="B5489" i="1"/>
  <c r="A5489" i="1"/>
  <c r="C5488" i="1"/>
  <c r="B5488" i="1"/>
  <c r="A5488" i="1"/>
  <c r="C5487" i="1"/>
  <c r="B5487" i="1"/>
  <c r="A5487" i="1"/>
  <c r="C5486" i="1"/>
  <c r="B5486" i="1"/>
  <c r="A5486" i="1"/>
  <c r="C5485" i="1"/>
  <c r="B5485" i="1"/>
  <c r="A5485" i="1"/>
  <c r="C5484" i="1"/>
  <c r="B5484" i="1"/>
  <c r="A5484" i="1"/>
  <c r="C5483" i="1"/>
  <c r="B5483" i="1"/>
  <c r="A5483" i="1"/>
  <c r="C5482" i="1"/>
  <c r="B5482" i="1"/>
  <c r="A5482" i="1"/>
  <c r="C5481" i="1"/>
  <c r="B5481" i="1"/>
  <c r="A5481" i="1"/>
  <c r="C5480" i="1"/>
  <c r="B5480" i="1"/>
  <c r="A5480" i="1"/>
  <c r="C5479" i="1"/>
  <c r="B5479" i="1"/>
  <c r="A5479" i="1"/>
  <c r="C5478" i="1"/>
  <c r="B5478" i="1"/>
  <c r="A5478" i="1"/>
  <c r="C5477" i="1"/>
  <c r="B5477" i="1"/>
  <c r="A5477" i="1"/>
  <c r="C5476" i="1"/>
  <c r="B5476" i="1"/>
  <c r="A5476" i="1"/>
  <c r="C5475" i="1"/>
  <c r="B5475" i="1"/>
  <c r="A5475" i="1"/>
  <c r="C5474" i="1"/>
  <c r="B5474" i="1"/>
  <c r="A5474" i="1"/>
  <c r="C5473" i="1"/>
  <c r="B5473" i="1"/>
  <c r="A5473" i="1"/>
  <c r="C5472" i="1"/>
  <c r="B5472" i="1"/>
  <c r="A5472" i="1"/>
  <c r="C5471" i="1"/>
  <c r="B5471" i="1"/>
  <c r="A5471" i="1"/>
  <c r="C5470" i="1"/>
  <c r="B5470" i="1"/>
  <c r="A5470" i="1"/>
  <c r="C5469" i="1"/>
  <c r="B5469" i="1"/>
  <c r="A5469" i="1"/>
  <c r="C5468" i="1"/>
  <c r="B5468" i="1"/>
  <c r="A5468" i="1"/>
  <c r="C5467" i="1"/>
  <c r="B5467" i="1"/>
  <c r="A5467" i="1"/>
  <c r="C5466" i="1"/>
  <c r="B5466" i="1"/>
  <c r="A5466" i="1"/>
  <c r="C5465" i="1"/>
  <c r="B5465" i="1"/>
  <c r="A5465" i="1"/>
  <c r="C5464" i="1"/>
  <c r="B5464" i="1"/>
  <c r="A5464" i="1"/>
  <c r="C5463" i="1"/>
  <c r="B5463" i="1"/>
  <c r="A5463" i="1"/>
  <c r="C5462" i="1"/>
  <c r="B5462" i="1"/>
  <c r="A5462" i="1"/>
  <c r="C5461" i="1"/>
  <c r="B5461" i="1"/>
  <c r="A5461" i="1"/>
  <c r="C5460" i="1"/>
  <c r="B5460" i="1"/>
  <c r="A5460" i="1"/>
  <c r="C5459" i="1"/>
  <c r="B5459" i="1"/>
  <c r="A5459" i="1"/>
  <c r="C5458" i="1"/>
  <c r="B5458" i="1"/>
  <c r="A5458" i="1"/>
  <c r="C5457" i="1"/>
  <c r="B5457" i="1"/>
  <c r="A5457" i="1"/>
  <c r="C5456" i="1"/>
  <c r="B5456" i="1"/>
  <c r="A5456" i="1"/>
  <c r="C5455" i="1"/>
  <c r="B5455" i="1"/>
  <c r="A5455" i="1"/>
  <c r="C5454" i="1"/>
  <c r="B5454" i="1"/>
  <c r="A5454" i="1"/>
  <c r="C5453" i="1"/>
  <c r="B5453" i="1"/>
  <c r="A5453" i="1"/>
  <c r="C5452" i="1"/>
  <c r="B5452" i="1"/>
  <c r="A5452" i="1"/>
  <c r="C5451" i="1"/>
  <c r="B5451" i="1"/>
  <c r="A5451" i="1"/>
  <c r="C5450" i="1"/>
  <c r="B5450" i="1"/>
  <c r="A5450" i="1"/>
  <c r="C5449" i="1"/>
  <c r="B5449" i="1"/>
  <c r="A5449" i="1"/>
  <c r="C5448" i="1"/>
  <c r="B5448" i="1"/>
  <c r="A5448" i="1"/>
  <c r="C5447" i="1"/>
  <c r="B5447" i="1"/>
  <c r="A5447" i="1"/>
  <c r="C5446" i="1"/>
  <c r="B5446" i="1"/>
  <c r="A5446" i="1"/>
  <c r="C5445" i="1"/>
  <c r="B5445" i="1"/>
  <c r="A5445" i="1"/>
  <c r="C5444" i="1"/>
  <c r="B5444" i="1"/>
  <c r="A5444" i="1"/>
  <c r="C5443" i="1"/>
  <c r="B5443" i="1"/>
  <c r="A5443" i="1"/>
  <c r="C5442" i="1"/>
  <c r="B5442" i="1"/>
  <c r="A5442" i="1"/>
  <c r="C5441" i="1"/>
  <c r="B5441" i="1"/>
  <c r="A5441" i="1"/>
  <c r="C5440" i="1"/>
  <c r="B5440" i="1"/>
  <c r="A5440" i="1"/>
  <c r="C5439" i="1"/>
  <c r="B5439" i="1"/>
  <c r="A5439" i="1"/>
  <c r="C5438" i="1"/>
  <c r="B5438" i="1"/>
  <c r="A5438" i="1"/>
  <c r="C5437" i="1"/>
  <c r="B5437" i="1"/>
  <c r="A5437" i="1"/>
  <c r="C5436" i="1"/>
  <c r="B5436" i="1"/>
  <c r="A5436" i="1"/>
  <c r="C5435" i="1"/>
  <c r="B5435" i="1"/>
  <c r="A5435" i="1"/>
  <c r="C5434" i="1"/>
  <c r="B5434" i="1"/>
  <c r="A5434" i="1"/>
  <c r="C5433" i="1"/>
  <c r="B5433" i="1"/>
  <c r="A5433" i="1"/>
  <c r="C5432" i="1"/>
  <c r="B5432" i="1"/>
  <c r="A5432" i="1"/>
  <c r="C5431" i="1"/>
  <c r="B5431" i="1"/>
  <c r="A5431" i="1"/>
  <c r="C5430" i="1"/>
  <c r="B5430" i="1"/>
  <c r="A5430" i="1"/>
  <c r="C5429" i="1"/>
  <c r="B5429" i="1"/>
  <c r="A5429" i="1"/>
  <c r="C5428" i="1"/>
  <c r="B5428" i="1"/>
  <c r="A5428" i="1"/>
  <c r="C5427" i="1"/>
  <c r="B5427" i="1"/>
  <c r="A5427" i="1"/>
  <c r="C5426" i="1"/>
  <c r="B5426" i="1"/>
  <c r="A5426" i="1"/>
  <c r="C5425" i="1"/>
  <c r="B5425" i="1"/>
  <c r="A5425" i="1"/>
  <c r="C5424" i="1"/>
  <c r="B5424" i="1"/>
  <c r="A5424" i="1"/>
  <c r="C5423" i="1"/>
  <c r="B5423" i="1"/>
  <c r="A5423" i="1"/>
  <c r="C5422" i="1"/>
  <c r="B5422" i="1"/>
  <c r="A5422" i="1"/>
  <c r="C5421" i="1"/>
  <c r="B5421" i="1"/>
  <c r="A5421" i="1"/>
  <c r="C5420" i="1"/>
  <c r="B5420" i="1"/>
  <c r="A5420" i="1"/>
  <c r="C5419" i="1"/>
  <c r="B5419" i="1"/>
  <c r="A5419" i="1"/>
  <c r="C5418" i="1"/>
  <c r="B5418" i="1"/>
  <c r="A5418" i="1"/>
  <c r="C5417" i="1"/>
  <c r="B5417" i="1"/>
  <c r="A5417" i="1"/>
  <c r="C5416" i="1"/>
  <c r="B5416" i="1"/>
  <c r="A5416" i="1"/>
  <c r="C5415" i="1"/>
  <c r="B5415" i="1"/>
  <c r="A5415" i="1"/>
  <c r="C5414" i="1"/>
  <c r="B5414" i="1"/>
  <c r="A5414" i="1"/>
  <c r="C5413" i="1"/>
  <c r="B5413" i="1"/>
  <c r="A5413" i="1"/>
  <c r="C5412" i="1"/>
  <c r="B5412" i="1"/>
  <c r="A5412" i="1"/>
  <c r="C5411" i="1"/>
  <c r="B5411" i="1"/>
  <c r="A5411" i="1"/>
  <c r="C5410" i="1"/>
  <c r="B5410" i="1"/>
  <c r="A5410" i="1"/>
  <c r="C5409" i="1"/>
  <c r="B5409" i="1"/>
  <c r="A5409" i="1"/>
  <c r="C5408" i="1"/>
  <c r="B5408" i="1"/>
  <c r="A5408" i="1"/>
  <c r="C5407" i="1"/>
  <c r="B5407" i="1"/>
  <c r="A5407" i="1"/>
  <c r="C5406" i="1"/>
  <c r="B5406" i="1"/>
  <c r="A5406" i="1"/>
  <c r="C5405" i="1"/>
  <c r="B5405" i="1"/>
  <c r="A5405" i="1"/>
  <c r="C5404" i="1"/>
  <c r="B5404" i="1"/>
  <c r="A5404" i="1"/>
  <c r="C5403" i="1"/>
  <c r="B5403" i="1"/>
  <c r="A5403" i="1"/>
  <c r="C5402" i="1"/>
  <c r="B5402" i="1"/>
  <c r="A5402" i="1"/>
  <c r="C5401" i="1"/>
  <c r="B5401" i="1"/>
  <c r="A5401" i="1"/>
  <c r="C5400" i="1"/>
  <c r="B5400" i="1"/>
  <c r="A5400" i="1"/>
  <c r="C5399" i="1"/>
  <c r="B5399" i="1"/>
  <c r="A5399" i="1"/>
  <c r="C5398" i="1"/>
  <c r="B5398" i="1"/>
  <c r="A5398" i="1"/>
  <c r="C5397" i="1"/>
  <c r="B5397" i="1"/>
  <c r="A5397" i="1"/>
  <c r="C5396" i="1"/>
  <c r="B5396" i="1"/>
  <c r="A5396" i="1"/>
  <c r="C5395" i="1"/>
  <c r="B5395" i="1"/>
  <c r="A5395" i="1"/>
  <c r="C5394" i="1"/>
  <c r="B5394" i="1"/>
  <c r="A5394" i="1"/>
  <c r="C5393" i="1"/>
  <c r="B5393" i="1"/>
  <c r="A5393" i="1"/>
  <c r="C5392" i="1"/>
  <c r="B5392" i="1"/>
  <c r="A5392" i="1"/>
  <c r="C5391" i="1"/>
  <c r="B5391" i="1"/>
  <c r="A5391" i="1"/>
  <c r="C5390" i="1"/>
  <c r="B5390" i="1"/>
  <c r="A5390" i="1"/>
  <c r="C5389" i="1"/>
  <c r="B5389" i="1"/>
  <c r="A5389" i="1"/>
  <c r="C5388" i="1"/>
  <c r="B5388" i="1"/>
  <c r="A5388" i="1"/>
  <c r="C5387" i="1"/>
  <c r="B5387" i="1"/>
  <c r="A5387" i="1"/>
  <c r="C5386" i="1"/>
  <c r="B5386" i="1"/>
  <c r="A5386" i="1"/>
  <c r="C5385" i="1"/>
  <c r="B5385" i="1"/>
  <c r="A5385" i="1"/>
  <c r="C5384" i="1"/>
  <c r="B5384" i="1"/>
  <c r="A5384" i="1"/>
  <c r="C5383" i="1"/>
  <c r="B5383" i="1"/>
  <c r="A5383" i="1"/>
  <c r="C5382" i="1"/>
  <c r="B5382" i="1"/>
  <c r="A5382" i="1"/>
  <c r="C5381" i="1"/>
  <c r="B5381" i="1"/>
  <c r="A5381" i="1"/>
  <c r="C5380" i="1"/>
  <c r="B5380" i="1"/>
  <c r="A5380" i="1"/>
  <c r="C5379" i="1"/>
  <c r="B5379" i="1"/>
  <c r="A5379" i="1"/>
  <c r="C5378" i="1"/>
  <c r="B5378" i="1"/>
  <c r="A5378" i="1"/>
  <c r="C5377" i="1"/>
  <c r="B5377" i="1"/>
  <c r="A5377" i="1"/>
  <c r="C5376" i="1"/>
  <c r="B5376" i="1"/>
  <c r="A5376" i="1"/>
  <c r="C5375" i="1"/>
  <c r="B5375" i="1"/>
  <c r="A5375" i="1"/>
  <c r="C5374" i="1"/>
  <c r="B5374" i="1"/>
  <c r="A5374" i="1"/>
  <c r="C5373" i="1"/>
  <c r="B5373" i="1"/>
  <c r="A5373" i="1"/>
  <c r="C5372" i="1"/>
  <c r="B5372" i="1"/>
  <c r="A5372" i="1"/>
  <c r="C5371" i="1"/>
  <c r="B5371" i="1"/>
  <c r="A5371" i="1"/>
  <c r="C5370" i="1"/>
  <c r="B5370" i="1"/>
  <c r="A5370" i="1"/>
  <c r="C5369" i="1"/>
  <c r="B5369" i="1"/>
  <c r="A5369" i="1"/>
  <c r="C5368" i="1"/>
  <c r="B5368" i="1"/>
  <c r="A5368" i="1"/>
  <c r="C5367" i="1"/>
  <c r="B5367" i="1"/>
  <c r="A5367" i="1"/>
  <c r="C5366" i="1"/>
  <c r="B5366" i="1"/>
  <c r="A5366" i="1"/>
  <c r="C5365" i="1"/>
  <c r="B5365" i="1"/>
  <c r="A5365" i="1"/>
  <c r="C5364" i="1"/>
  <c r="B5364" i="1"/>
  <c r="A5364" i="1"/>
  <c r="C5363" i="1"/>
  <c r="B5363" i="1"/>
  <c r="A5363" i="1"/>
  <c r="C5362" i="1"/>
  <c r="B5362" i="1"/>
  <c r="A5362" i="1"/>
  <c r="C5361" i="1"/>
  <c r="B5361" i="1"/>
  <c r="A5361" i="1"/>
  <c r="C5360" i="1"/>
  <c r="B5360" i="1"/>
  <c r="A5360" i="1"/>
  <c r="C5359" i="1"/>
  <c r="B5359" i="1"/>
  <c r="A5359" i="1"/>
  <c r="C5358" i="1"/>
  <c r="B5358" i="1"/>
  <c r="A5358" i="1"/>
  <c r="C5357" i="1"/>
  <c r="B5357" i="1"/>
  <c r="A5357" i="1"/>
  <c r="C5356" i="1"/>
  <c r="B5356" i="1"/>
  <c r="A5356" i="1"/>
  <c r="C5355" i="1"/>
  <c r="B5355" i="1"/>
  <c r="A5355" i="1"/>
  <c r="C5354" i="1"/>
  <c r="B5354" i="1"/>
  <c r="A5354" i="1"/>
  <c r="C5353" i="1"/>
  <c r="B5353" i="1"/>
  <c r="A5353" i="1"/>
  <c r="C5352" i="1"/>
  <c r="B5352" i="1"/>
  <c r="A5352" i="1"/>
  <c r="C5351" i="1"/>
  <c r="B5351" i="1"/>
  <c r="A5351" i="1"/>
  <c r="C5350" i="1"/>
  <c r="B5350" i="1"/>
  <c r="A5350" i="1"/>
  <c r="C5349" i="1"/>
  <c r="B5349" i="1"/>
  <c r="A5349" i="1"/>
  <c r="C5348" i="1"/>
  <c r="B5348" i="1"/>
  <c r="A5348" i="1"/>
  <c r="C5347" i="1"/>
  <c r="B5347" i="1"/>
  <c r="A5347" i="1"/>
  <c r="C5346" i="1"/>
  <c r="B5346" i="1"/>
  <c r="A5346" i="1"/>
  <c r="C5345" i="1"/>
  <c r="B5345" i="1"/>
  <c r="A5345" i="1"/>
  <c r="C5344" i="1"/>
  <c r="B5344" i="1"/>
  <c r="A5344" i="1"/>
  <c r="C5343" i="1"/>
  <c r="B5343" i="1"/>
  <c r="A5343" i="1"/>
  <c r="C5342" i="1"/>
  <c r="B5342" i="1"/>
  <c r="A5342" i="1"/>
  <c r="C5341" i="1"/>
  <c r="B5341" i="1"/>
  <c r="A5341" i="1"/>
  <c r="C5340" i="1"/>
  <c r="B5340" i="1"/>
  <c r="A5340" i="1"/>
  <c r="C5339" i="1"/>
  <c r="B5339" i="1"/>
  <c r="A5339" i="1"/>
  <c r="C5338" i="1"/>
  <c r="B5338" i="1"/>
  <c r="A5338" i="1"/>
  <c r="C5337" i="1"/>
  <c r="B5337" i="1"/>
  <c r="A5337" i="1"/>
  <c r="C5336" i="1"/>
  <c r="B5336" i="1"/>
  <c r="A5336" i="1"/>
  <c r="C5335" i="1"/>
  <c r="B5335" i="1"/>
  <c r="A5335" i="1"/>
  <c r="C5334" i="1"/>
  <c r="B5334" i="1"/>
  <c r="A5334" i="1"/>
  <c r="C5333" i="1"/>
  <c r="B5333" i="1"/>
  <c r="A5333" i="1"/>
  <c r="C5332" i="1"/>
  <c r="B5332" i="1"/>
  <c r="A5332" i="1"/>
  <c r="C5331" i="1"/>
  <c r="B5331" i="1"/>
  <c r="A5331" i="1"/>
  <c r="C5330" i="1"/>
  <c r="B5330" i="1"/>
  <c r="A5330" i="1"/>
  <c r="C5329" i="1"/>
  <c r="B5329" i="1"/>
  <c r="A5329" i="1"/>
  <c r="C5328" i="1"/>
  <c r="B5328" i="1"/>
  <c r="A5328" i="1"/>
  <c r="C5327" i="1"/>
  <c r="B5327" i="1"/>
  <c r="A5327" i="1"/>
  <c r="C5326" i="1"/>
  <c r="B5326" i="1"/>
  <c r="A5326" i="1"/>
  <c r="C5325" i="1"/>
  <c r="B5325" i="1"/>
  <c r="A5325" i="1"/>
  <c r="C5324" i="1"/>
  <c r="B5324" i="1"/>
  <c r="A5324" i="1"/>
  <c r="C5323" i="1"/>
  <c r="B5323" i="1"/>
  <c r="A5323" i="1"/>
  <c r="C5322" i="1"/>
  <c r="B5322" i="1"/>
  <c r="A5322" i="1"/>
  <c r="C5321" i="1"/>
  <c r="B5321" i="1"/>
  <c r="A5321" i="1"/>
  <c r="C5320" i="1"/>
  <c r="B5320" i="1"/>
  <c r="A5320" i="1"/>
  <c r="C5319" i="1"/>
  <c r="B5319" i="1"/>
  <c r="A5319" i="1"/>
  <c r="C5318" i="1"/>
  <c r="B5318" i="1"/>
  <c r="A5318" i="1"/>
  <c r="C5317" i="1"/>
  <c r="B5317" i="1"/>
  <c r="A5317" i="1"/>
  <c r="C5316" i="1"/>
  <c r="B5316" i="1"/>
  <c r="A5316" i="1"/>
  <c r="C5315" i="1"/>
  <c r="B5315" i="1"/>
  <c r="A5315" i="1"/>
  <c r="C5314" i="1"/>
  <c r="B5314" i="1"/>
  <c r="A5314" i="1"/>
  <c r="C5313" i="1"/>
  <c r="B5313" i="1"/>
  <c r="A5313" i="1"/>
  <c r="C5312" i="1"/>
  <c r="B5312" i="1"/>
  <c r="A5312" i="1"/>
  <c r="C5311" i="1"/>
  <c r="B5311" i="1"/>
  <c r="A5311" i="1"/>
  <c r="C5310" i="1"/>
  <c r="B5310" i="1"/>
  <c r="A5310" i="1"/>
  <c r="C5309" i="1"/>
  <c r="B5309" i="1"/>
  <c r="A5309" i="1"/>
  <c r="C5308" i="1"/>
  <c r="B5308" i="1"/>
  <c r="A5308" i="1"/>
  <c r="C5307" i="1"/>
  <c r="B5307" i="1"/>
  <c r="A5307" i="1"/>
  <c r="C5306" i="1"/>
  <c r="B5306" i="1"/>
  <c r="A5306" i="1"/>
  <c r="C5305" i="1"/>
  <c r="B5305" i="1"/>
  <c r="A5305" i="1"/>
  <c r="C5304" i="1"/>
  <c r="B5304" i="1"/>
  <c r="A5304" i="1"/>
  <c r="C5303" i="1"/>
  <c r="B5303" i="1"/>
  <c r="A5303" i="1"/>
  <c r="C5302" i="1"/>
  <c r="B5302" i="1"/>
  <c r="A5302" i="1"/>
  <c r="C5301" i="1"/>
  <c r="B5301" i="1"/>
  <c r="A5301" i="1"/>
  <c r="C5300" i="1"/>
  <c r="B5300" i="1"/>
  <c r="A5300" i="1"/>
  <c r="C5299" i="1"/>
  <c r="B5299" i="1"/>
  <c r="A5299" i="1"/>
  <c r="C5298" i="1"/>
  <c r="B5298" i="1"/>
  <c r="A5298" i="1"/>
  <c r="C5297" i="1"/>
  <c r="B5297" i="1"/>
  <c r="A5297" i="1"/>
  <c r="C5296" i="1"/>
  <c r="B5296" i="1"/>
  <c r="A5296" i="1"/>
  <c r="C5295" i="1"/>
  <c r="B5295" i="1"/>
  <c r="A5295" i="1"/>
  <c r="C5294" i="1"/>
  <c r="B5294" i="1"/>
  <c r="A5294" i="1"/>
  <c r="C5293" i="1"/>
  <c r="B5293" i="1"/>
  <c r="A5293" i="1"/>
  <c r="C5292" i="1"/>
  <c r="B5292" i="1"/>
  <c r="A5292" i="1"/>
  <c r="C5291" i="1"/>
  <c r="B5291" i="1"/>
  <c r="A5291" i="1"/>
  <c r="C5290" i="1"/>
  <c r="B5290" i="1"/>
  <c r="A5290" i="1"/>
  <c r="C5289" i="1"/>
  <c r="B5289" i="1"/>
  <c r="A5289" i="1"/>
  <c r="C5288" i="1"/>
  <c r="B5288" i="1"/>
  <c r="A5288" i="1"/>
  <c r="C5287" i="1"/>
  <c r="B5287" i="1"/>
  <c r="A5287" i="1"/>
  <c r="C5286" i="1"/>
  <c r="B5286" i="1"/>
  <c r="A5286" i="1"/>
  <c r="C5285" i="1"/>
  <c r="B5285" i="1"/>
  <c r="A5285" i="1"/>
  <c r="C5284" i="1"/>
  <c r="B5284" i="1"/>
  <c r="A5284" i="1"/>
  <c r="C5283" i="1"/>
  <c r="B5283" i="1"/>
  <c r="A5283" i="1"/>
  <c r="C5282" i="1"/>
  <c r="B5282" i="1"/>
  <c r="A5282" i="1"/>
  <c r="C5281" i="1"/>
  <c r="B5281" i="1"/>
  <c r="A5281" i="1"/>
  <c r="C5280" i="1"/>
  <c r="B5280" i="1"/>
  <c r="A5280" i="1"/>
  <c r="C5279" i="1"/>
  <c r="B5279" i="1"/>
  <c r="A5279" i="1"/>
  <c r="C5278" i="1"/>
  <c r="B5278" i="1"/>
  <c r="A5278" i="1"/>
  <c r="C5277" i="1"/>
  <c r="B5277" i="1"/>
  <c r="A5277" i="1"/>
  <c r="C5276" i="1"/>
  <c r="B5276" i="1"/>
  <c r="A5276" i="1"/>
  <c r="C5275" i="1"/>
  <c r="B5275" i="1"/>
  <c r="A5275" i="1"/>
  <c r="C5274" i="1"/>
  <c r="B5274" i="1"/>
  <c r="A5274" i="1"/>
  <c r="C5273" i="1"/>
  <c r="B5273" i="1"/>
  <c r="A5273" i="1"/>
  <c r="C5272" i="1"/>
  <c r="B5272" i="1"/>
  <c r="A5272" i="1"/>
  <c r="C5271" i="1"/>
  <c r="B5271" i="1"/>
  <c r="A5271" i="1"/>
  <c r="C5270" i="1"/>
  <c r="B5270" i="1"/>
  <c r="A5270" i="1"/>
  <c r="C5269" i="1"/>
  <c r="B5269" i="1"/>
  <c r="A5269" i="1"/>
  <c r="C5268" i="1"/>
  <c r="B5268" i="1"/>
  <c r="A5268" i="1"/>
  <c r="C5267" i="1"/>
  <c r="B5267" i="1"/>
  <c r="A5267" i="1"/>
  <c r="C5266" i="1"/>
  <c r="B5266" i="1"/>
  <c r="A5266" i="1"/>
  <c r="C5265" i="1"/>
  <c r="B5265" i="1"/>
  <c r="A5265" i="1"/>
  <c r="C5264" i="1"/>
  <c r="B5264" i="1"/>
  <c r="A5264" i="1"/>
  <c r="C5263" i="1"/>
  <c r="B5263" i="1"/>
  <c r="A5263" i="1"/>
  <c r="C5262" i="1"/>
  <c r="B5262" i="1"/>
  <c r="A5262" i="1"/>
  <c r="C5261" i="1"/>
  <c r="B5261" i="1"/>
  <c r="A5261" i="1"/>
  <c r="C5260" i="1"/>
  <c r="B5260" i="1"/>
  <c r="A5260" i="1"/>
  <c r="C5259" i="1"/>
  <c r="B5259" i="1"/>
  <c r="A5259" i="1"/>
  <c r="C5258" i="1"/>
  <c r="B5258" i="1"/>
  <c r="A5258" i="1"/>
  <c r="C5257" i="1"/>
  <c r="B5257" i="1"/>
  <c r="A5257" i="1"/>
  <c r="C5256" i="1"/>
  <c r="B5256" i="1"/>
  <c r="A5256" i="1"/>
  <c r="C5255" i="1"/>
  <c r="B5255" i="1"/>
  <c r="A5255" i="1"/>
  <c r="C5254" i="1"/>
  <c r="B5254" i="1"/>
  <c r="A5254" i="1"/>
  <c r="C5253" i="1"/>
  <c r="B5253" i="1"/>
  <c r="A5253" i="1"/>
  <c r="C5252" i="1"/>
  <c r="B5252" i="1"/>
  <c r="A5252" i="1"/>
  <c r="C5251" i="1"/>
  <c r="B5251" i="1"/>
  <c r="A5251" i="1"/>
  <c r="C5250" i="1"/>
  <c r="B5250" i="1"/>
  <c r="A5250" i="1"/>
  <c r="C5249" i="1"/>
  <c r="B5249" i="1"/>
  <c r="A5249" i="1"/>
  <c r="C5248" i="1"/>
  <c r="B5248" i="1"/>
  <c r="A5248" i="1"/>
  <c r="C5247" i="1"/>
  <c r="B5247" i="1"/>
  <c r="A5247" i="1"/>
  <c r="C5246" i="1"/>
  <c r="B5246" i="1"/>
  <c r="A5246" i="1"/>
  <c r="C5245" i="1"/>
  <c r="B5245" i="1"/>
  <c r="A5245" i="1"/>
  <c r="C5244" i="1"/>
  <c r="B5244" i="1"/>
  <c r="A5244" i="1"/>
  <c r="C5243" i="1"/>
  <c r="B5243" i="1"/>
  <c r="A5243" i="1"/>
  <c r="C5242" i="1"/>
  <c r="B5242" i="1"/>
  <c r="A5242" i="1"/>
  <c r="C5241" i="1"/>
  <c r="B5241" i="1"/>
  <c r="A5241" i="1"/>
  <c r="C5240" i="1"/>
  <c r="B5240" i="1"/>
  <c r="A5240" i="1"/>
  <c r="C5239" i="1"/>
  <c r="B5239" i="1"/>
  <c r="A5239" i="1"/>
  <c r="C5238" i="1"/>
  <c r="B5238" i="1"/>
  <c r="A5238" i="1"/>
  <c r="C5237" i="1"/>
  <c r="B5237" i="1"/>
  <c r="A5237" i="1"/>
  <c r="C5236" i="1"/>
  <c r="B5236" i="1"/>
  <c r="A5236" i="1"/>
  <c r="C5235" i="1"/>
  <c r="B5235" i="1"/>
  <c r="A5235" i="1"/>
  <c r="C5234" i="1"/>
  <c r="B5234" i="1"/>
  <c r="A5234" i="1"/>
  <c r="C5233" i="1"/>
  <c r="B5233" i="1"/>
  <c r="A5233" i="1"/>
  <c r="C5232" i="1"/>
  <c r="B5232" i="1"/>
  <c r="A5232" i="1"/>
  <c r="C5231" i="1"/>
  <c r="B5231" i="1"/>
  <c r="A5231" i="1"/>
  <c r="C5230" i="1"/>
  <c r="B5230" i="1"/>
  <c r="A5230" i="1"/>
  <c r="C5229" i="1"/>
  <c r="B5229" i="1"/>
  <c r="A5229" i="1"/>
  <c r="C5228" i="1"/>
  <c r="B5228" i="1"/>
  <c r="A5228" i="1"/>
  <c r="C5227" i="1"/>
  <c r="B5227" i="1"/>
  <c r="A5227" i="1"/>
  <c r="C5226" i="1"/>
  <c r="B5226" i="1"/>
  <c r="A5226" i="1"/>
  <c r="C5225" i="1"/>
  <c r="B5225" i="1"/>
  <c r="A5225" i="1"/>
  <c r="C5224" i="1"/>
  <c r="B5224" i="1"/>
  <c r="A5224" i="1"/>
  <c r="C5223" i="1"/>
  <c r="B5223" i="1"/>
  <c r="A5223" i="1"/>
  <c r="C5222" i="1"/>
  <c r="B5222" i="1"/>
  <c r="A5222" i="1"/>
  <c r="C5221" i="1"/>
  <c r="B5221" i="1"/>
  <c r="A5221" i="1"/>
  <c r="C5220" i="1"/>
  <c r="B5220" i="1"/>
  <c r="A5220" i="1"/>
  <c r="C5219" i="1"/>
  <c r="B5219" i="1"/>
  <c r="A5219" i="1"/>
  <c r="C5218" i="1"/>
  <c r="B5218" i="1"/>
  <c r="A5218" i="1"/>
  <c r="C5217" i="1"/>
  <c r="B5217" i="1"/>
  <c r="A5217" i="1"/>
  <c r="C5216" i="1"/>
  <c r="B5216" i="1"/>
  <c r="A5216" i="1"/>
  <c r="C5215" i="1"/>
  <c r="B5215" i="1"/>
  <c r="A5215" i="1"/>
  <c r="C5214" i="1"/>
  <c r="B5214" i="1"/>
  <c r="A5214" i="1"/>
  <c r="C5213" i="1"/>
  <c r="B5213" i="1"/>
  <c r="A5213" i="1"/>
  <c r="C5212" i="1"/>
  <c r="B5212" i="1"/>
  <c r="A5212" i="1"/>
  <c r="C5211" i="1"/>
  <c r="B5211" i="1"/>
  <c r="A5211" i="1"/>
  <c r="C5210" i="1"/>
  <c r="B5210" i="1"/>
  <c r="A5210" i="1"/>
  <c r="C5209" i="1"/>
  <c r="B5209" i="1"/>
  <c r="A5209" i="1"/>
  <c r="C5208" i="1"/>
  <c r="B5208" i="1"/>
  <c r="A5208" i="1"/>
  <c r="C5207" i="1"/>
  <c r="B5207" i="1"/>
  <c r="A5207" i="1"/>
  <c r="C5206" i="1"/>
  <c r="B5206" i="1"/>
  <c r="A5206" i="1"/>
  <c r="C5205" i="1"/>
  <c r="B5205" i="1"/>
  <c r="A5205" i="1"/>
  <c r="C5204" i="1"/>
  <c r="B5204" i="1"/>
  <c r="A5204" i="1"/>
  <c r="C5203" i="1"/>
  <c r="B5203" i="1"/>
  <c r="A5203" i="1"/>
  <c r="C5202" i="1"/>
  <c r="B5202" i="1"/>
  <c r="A5202" i="1"/>
  <c r="C5201" i="1"/>
  <c r="B5201" i="1"/>
  <c r="A5201" i="1"/>
  <c r="C5200" i="1"/>
  <c r="B5200" i="1"/>
  <c r="A5200" i="1"/>
  <c r="C5199" i="1"/>
  <c r="B5199" i="1"/>
  <c r="A5199" i="1"/>
  <c r="C5198" i="1"/>
  <c r="B5198" i="1"/>
  <c r="A5198" i="1"/>
  <c r="C5197" i="1"/>
  <c r="B5197" i="1"/>
  <c r="A5197" i="1"/>
  <c r="C5196" i="1"/>
  <c r="B5196" i="1"/>
  <c r="A5196" i="1"/>
  <c r="C5195" i="1"/>
  <c r="B5195" i="1"/>
  <c r="A5195" i="1"/>
  <c r="C5194" i="1"/>
  <c r="B5194" i="1"/>
  <c r="A5194" i="1"/>
  <c r="C5193" i="1"/>
  <c r="B5193" i="1"/>
  <c r="A5193" i="1"/>
  <c r="C5192" i="1"/>
  <c r="B5192" i="1"/>
  <c r="A5192" i="1"/>
  <c r="C5191" i="1"/>
  <c r="B5191" i="1"/>
  <c r="A5191" i="1"/>
  <c r="C5190" i="1"/>
  <c r="B5190" i="1"/>
  <c r="A5190" i="1"/>
  <c r="C5189" i="1"/>
  <c r="B5189" i="1"/>
  <c r="A5189" i="1"/>
  <c r="C5188" i="1"/>
  <c r="B5188" i="1"/>
  <c r="A5188" i="1"/>
  <c r="C5187" i="1"/>
  <c r="B5187" i="1"/>
  <c r="A5187" i="1"/>
  <c r="C5186" i="1"/>
  <c r="B5186" i="1"/>
  <c r="A5186" i="1"/>
  <c r="C5185" i="1"/>
  <c r="B5185" i="1"/>
  <c r="A5185" i="1"/>
  <c r="C5184" i="1"/>
  <c r="B5184" i="1"/>
  <c r="A5184" i="1"/>
  <c r="C5183" i="1"/>
  <c r="B5183" i="1"/>
  <c r="A5183" i="1"/>
  <c r="C5182" i="1"/>
  <c r="B5182" i="1"/>
  <c r="A5182" i="1"/>
  <c r="C5181" i="1"/>
  <c r="B5181" i="1"/>
  <c r="A5181" i="1"/>
  <c r="C5180" i="1"/>
  <c r="B5180" i="1"/>
  <c r="A5180" i="1"/>
  <c r="C5179" i="1"/>
  <c r="B5179" i="1"/>
  <c r="A5179" i="1"/>
  <c r="C5178" i="1"/>
  <c r="B5178" i="1"/>
  <c r="A5178" i="1"/>
  <c r="C5177" i="1"/>
  <c r="B5177" i="1"/>
  <c r="A5177" i="1"/>
  <c r="C5176" i="1"/>
  <c r="B5176" i="1"/>
  <c r="A5176" i="1"/>
  <c r="C5175" i="1"/>
  <c r="B5175" i="1"/>
  <c r="A5175" i="1"/>
  <c r="C5174" i="1"/>
  <c r="B5174" i="1"/>
  <c r="A5174" i="1"/>
  <c r="C5173" i="1"/>
  <c r="B5173" i="1"/>
  <c r="A5173" i="1"/>
  <c r="C5172" i="1"/>
  <c r="B5172" i="1"/>
  <c r="A5172" i="1"/>
  <c r="C5171" i="1"/>
  <c r="B5171" i="1"/>
  <c r="A5171" i="1"/>
  <c r="C5170" i="1"/>
  <c r="B5170" i="1"/>
  <c r="A5170" i="1"/>
  <c r="C5169" i="1"/>
  <c r="B5169" i="1"/>
  <c r="A5169" i="1"/>
  <c r="C5168" i="1"/>
  <c r="B5168" i="1"/>
  <c r="A5168" i="1"/>
  <c r="C5167" i="1"/>
  <c r="B5167" i="1"/>
  <c r="A5167" i="1"/>
  <c r="C5166" i="1"/>
  <c r="B5166" i="1"/>
  <c r="A5166" i="1"/>
  <c r="C5165" i="1"/>
  <c r="B5165" i="1"/>
  <c r="A5165" i="1"/>
  <c r="C5164" i="1"/>
  <c r="B5164" i="1"/>
  <c r="A5164" i="1"/>
  <c r="C5163" i="1"/>
  <c r="B5163" i="1"/>
  <c r="A5163" i="1"/>
  <c r="C5162" i="1"/>
  <c r="B5162" i="1"/>
  <c r="A5162" i="1"/>
  <c r="C5161" i="1"/>
  <c r="B5161" i="1"/>
  <c r="A5161" i="1"/>
  <c r="C5160" i="1"/>
  <c r="B5160" i="1"/>
  <c r="A5160" i="1"/>
  <c r="C5159" i="1"/>
  <c r="B5159" i="1"/>
  <c r="A5159" i="1"/>
  <c r="C5158" i="1"/>
  <c r="B5158" i="1"/>
  <c r="A5158" i="1"/>
  <c r="C5157" i="1"/>
  <c r="B5157" i="1"/>
  <c r="A5157" i="1"/>
  <c r="C5156" i="1"/>
  <c r="B5156" i="1"/>
  <c r="A5156" i="1"/>
  <c r="C5155" i="1"/>
  <c r="B5155" i="1"/>
  <c r="A5155" i="1"/>
  <c r="C5154" i="1"/>
  <c r="B5154" i="1"/>
  <c r="A5154" i="1"/>
  <c r="C5153" i="1"/>
  <c r="B5153" i="1"/>
  <c r="A5153" i="1"/>
  <c r="C5152" i="1"/>
  <c r="B5152" i="1"/>
  <c r="A5152" i="1"/>
  <c r="C5151" i="1"/>
  <c r="B5151" i="1"/>
  <c r="A5151" i="1"/>
  <c r="C5150" i="1"/>
  <c r="B5150" i="1"/>
  <c r="A5150" i="1"/>
  <c r="C5149" i="1"/>
  <c r="B5149" i="1"/>
  <c r="A5149" i="1"/>
  <c r="C5148" i="1"/>
  <c r="B5148" i="1"/>
  <c r="A5148" i="1"/>
  <c r="C5147" i="1"/>
  <c r="B5147" i="1"/>
  <c r="A5147" i="1"/>
  <c r="C5146" i="1"/>
  <c r="B5146" i="1"/>
  <c r="A5146" i="1"/>
  <c r="C5145" i="1"/>
  <c r="B5145" i="1"/>
  <c r="A5145" i="1"/>
  <c r="C5144" i="1"/>
  <c r="B5144" i="1"/>
  <c r="A5144" i="1"/>
  <c r="C5143" i="1"/>
  <c r="B5143" i="1"/>
  <c r="A5143" i="1"/>
  <c r="C5142" i="1"/>
  <c r="B5142" i="1"/>
  <c r="A5142" i="1"/>
  <c r="C5141" i="1"/>
  <c r="B5141" i="1"/>
  <c r="A5141" i="1"/>
  <c r="C5140" i="1"/>
  <c r="B5140" i="1"/>
  <c r="A5140" i="1"/>
  <c r="C5139" i="1"/>
  <c r="B5139" i="1"/>
  <c r="A5139" i="1"/>
  <c r="C5138" i="1"/>
  <c r="B5138" i="1"/>
  <c r="A5138" i="1"/>
  <c r="C5137" i="1"/>
  <c r="B5137" i="1"/>
  <c r="A5137" i="1"/>
  <c r="C5136" i="1"/>
  <c r="B5136" i="1"/>
  <c r="A5136" i="1"/>
  <c r="C5135" i="1"/>
  <c r="B5135" i="1"/>
  <c r="A5135" i="1"/>
  <c r="C5134" i="1"/>
  <c r="B5134" i="1"/>
  <c r="A5134" i="1"/>
  <c r="C5133" i="1"/>
  <c r="B5133" i="1"/>
  <c r="A5133" i="1"/>
  <c r="C5132" i="1"/>
  <c r="B5132" i="1"/>
  <c r="A5132" i="1"/>
  <c r="C5131" i="1"/>
  <c r="B5131" i="1"/>
  <c r="A5131" i="1"/>
  <c r="C5130" i="1"/>
  <c r="B5130" i="1"/>
  <c r="A5130" i="1"/>
  <c r="C5129" i="1"/>
  <c r="B5129" i="1"/>
  <c r="A5129" i="1"/>
  <c r="C5128" i="1"/>
  <c r="B5128" i="1"/>
  <c r="A5128" i="1"/>
  <c r="C5127" i="1"/>
  <c r="B5127" i="1"/>
  <c r="A5127" i="1"/>
  <c r="C5126" i="1"/>
  <c r="B5126" i="1"/>
  <c r="A5126" i="1"/>
  <c r="C5125" i="1"/>
  <c r="B5125" i="1"/>
  <c r="A5125" i="1"/>
  <c r="C5124" i="1"/>
  <c r="B5124" i="1"/>
  <c r="A5124" i="1"/>
  <c r="C5123" i="1"/>
  <c r="B5123" i="1"/>
  <c r="A5123" i="1"/>
  <c r="C5122" i="1"/>
  <c r="B5122" i="1"/>
  <c r="A5122" i="1"/>
  <c r="C5121" i="1"/>
  <c r="B5121" i="1"/>
  <c r="A5121" i="1"/>
  <c r="C5120" i="1"/>
  <c r="B5120" i="1"/>
  <c r="A5120" i="1"/>
  <c r="C5119" i="1"/>
  <c r="B5119" i="1"/>
  <c r="A5119" i="1"/>
  <c r="C5118" i="1"/>
  <c r="B5118" i="1"/>
  <c r="A5118" i="1"/>
  <c r="C5117" i="1"/>
  <c r="B5117" i="1"/>
  <c r="A5117" i="1"/>
  <c r="C5116" i="1"/>
  <c r="B5116" i="1"/>
  <c r="A5116" i="1"/>
  <c r="C5115" i="1"/>
  <c r="B5115" i="1"/>
  <c r="A5115" i="1"/>
  <c r="C5114" i="1"/>
  <c r="B5114" i="1"/>
  <c r="A5114" i="1"/>
  <c r="C5113" i="1"/>
  <c r="B5113" i="1"/>
  <c r="A5113" i="1"/>
  <c r="C5112" i="1"/>
  <c r="B5112" i="1"/>
  <c r="A5112" i="1"/>
  <c r="C5111" i="1"/>
  <c r="B5111" i="1"/>
  <c r="A5111" i="1"/>
  <c r="C5110" i="1"/>
  <c r="B5110" i="1"/>
  <c r="A5110" i="1"/>
  <c r="C5109" i="1"/>
  <c r="B5109" i="1"/>
  <c r="A5109" i="1"/>
  <c r="C5108" i="1"/>
  <c r="B5108" i="1"/>
  <c r="A5108" i="1"/>
  <c r="C5107" i="1"/>
  <c r="B5107" i="1"/>
  <c r="A5107" i="1"/>
  <c r="C5106" i="1"/>
  <c r="B5106" i="1"/>
  <c r="A5106" i="1"/>
  <c r="C5105" i="1"/>
  <c r="B5105" i="1"/>
  <c r="A5105" i="1"/>
  <c r="C5104" i="1"/>
  <c r="B5104" i="1"/>
  <c r="A5104" i="1"/>
  <c r="C5103" i="1"/>
  <c r="B5103" i="1"/>
  <c r="A5103" i="1"/>
  <c r="C5102" i="1"/>
  <c r="B5102" i="1"/>
  <c r="A5102" i="1"/>
  <c r="C5101" i="1"/>
  <c r="B5101" i="1"/>
  <c r="A5101" i="1"/>
  <c r="C5100" i="1"/>
  <c r="B5100" i="1"/>
  <c r="A5100" i="1"/>
  <c r="C5099" i="1"/>
  <c r="B5099" i="1"/>
  <c r="A5099" i="1"/>
  <c r="C5098" i="1"/>
  <c r="B5098" i="1"/>
  <c r="A5098" i="1"/>
  <c r="C5097" i="1"/>
  <c r="B5097" i="1"/>
  <c r="A5097" i="1"/>
  <c r="C5096" i="1"/>
  <c r="B5096" i="1"/>
  <c r="A5096" i="1"/>
  <c r="C5095" i="1"/>
  <c r="B5095" i="1"/>
  <c r="A5095" i="1"/>
  <c r="C5094" i="1"/>
  <c r="B5094" i="1"/>
  <c r="A5094" i="1"/>
  <c r="C5093" i="1"/>
  <c r="B5093" i="1"/>
  <c r="A5093" i="1"/>
  <c r="C5092" i="1"/>
  <c r="B5092" i="1"/>
  <c r="A5092" i="1"/>
  <c r="C5091" i="1"/>
  <c r="B5091" i="1"/>
  <c r="A5091" i="1"/>
  <c r="C5090" i="1"/>
  <c r="B5090" i="1"/>
  <c r="A5090" i="1"/>
  <c r="C5089" i="1"/>
  <c r="B5089" i="1"/>
  <c r="A5089" i="1"/>
  <c r="C5088" i="1"/>
  <c r="B5088" i="1"/>
  <c r="A5088" i="1"/>
  <c r="C5087" i="1"/>
  <c r="B5087" i="1"/>
  <c r="A5087" i="1"/>
  <c r="C5086" i="1"/>
  <c r="B5086" i="1"/>
  <c r="A5086" i="1"/>
  <c r="C5085" i="1"/>
  <c r="B5085" i="1"/>
  <c r="A5085" i="1"/>
  <c r="C5084" i="1"/>
  <c r="B5084" i="1"/>
  <c r="A5084" i="1"/>
  <c r="C5083" i="1"/>
  <c r="B5083" i="1"/>
  <c r="A5083" i="1"/>
  <c r="C5082" i="1"/>
  <c r="B5082" i="1"/>
  <c r="A5082" i="1"/>
  <c r="C5081" i="1"/>
  <c r="B5081" i="1"/>
  <c r="A5081" i="1"/>
  <c r="C5080" i="1"/>
  <c r="B5080" i="1"/>
  <c r="A5080" i="1"/>
  <c r="C5079" i="1"/>
  <c r="B5079" i="1"/>
  <c r="A5079" i="1"/>
  <c r="C5078" i="1"/>
  <c r="B5078" i="1"/>
  <c r="A5078" i="1"/>
  <c r="C5077" i="1"/>
  <c r="B5077" i="1"/>
  <c r="A5077" i="1"/>
  <c r="C5076" i="1"/>
  <c r="B5076" i="1"/>
  <c r="A5076" i="1"/>
  <c r="C5075" i="1"/>
  <c r="B5075" i="1"/>
  <c r="A5075" i="1"/>
  <c r="C5074" i="1"/>
  <c r="B5074" i="1"/>
  <c r="A5074" i="1"/>
  <c r="C5073" i="1"/>
  <c r="B5073" i="1"/>
  <c r="A5073" i="1"/>
  <c r="C5072" i="1"/>
  <c r="B5072" i="1"/>
  <c r="A5072" i="1"/>
  <c r="C5071" i="1"/>
  <c r="B5071" i="1"/>
  <c r="A5071" i="1"/>
  <c r="C5070" i="1"/>
  <c r="B5070" i="1"/>
  <c r="A5070" i="1"/>
  <c r="C5069" i="1"/>
  <c r="B5069" i="1"/>
  <c r="A5069" i="1"/>
  <c r="C5068" i="1"/>
  <c r="B5068" i="1"/>
  <c r="A5068" i="1"/>
  <c r="C5067" i="1"/>
  <c r="B5067" i="1"/>
  <c r="A5067" i="1"/>
  <c r="C5066" i="1"/>
  <c r="B5066" i="1"/>
  <c r="A5066" i="1"/>
  <c r="C5065" i="1"/>
  <c r="B5065" i="1"/>
  <c r="A5065" i="1"/>
  <c r="C5064" i="1"/>
  <c r="B5064" i="1"/>
  <c r="A5064" i="1"/>
  <c r="C5063" i="1"/>
  <c r="B5063" i="1"/>
  <c r="A5063" i="1"/>
  <c r="C5062" i="1"/>
  <c r="B5062" i="1"/>
  <c r="A5062" i="1"/>
  <c r="C5061" i="1"/>
  <c r="B5061" i="1"/>
  <c r="A5061" i="1"/>
  <c r="C5060" i="1"/>
  <c r="B5060" i="1"/>
  <c r="A5060" i="1"/>
  <c r="C5059" i="1"/>
  <c r="B5059" i="1"/>
  <c r="A5059" i="1"/>
  <c r="C5058" i="1"/>
  <c r="B5058" i="1"/>
  <c r="A5058" i="1"/>
  <c r="C5057" i="1"/>
  <c r="B5057" i="1"/>
  <c r="A5057" i="1"/>
  <c r="C5056" i="1"/>
  <c r="B5056" i="1"/>
  <c r="A5056" i="1"/>
  <c r="C5055" i="1"/>
  <c r="B5055" i="1"/>
  <c r="A5055" i="1"/>
  <c r="C5054" i="1"/>
  <c r="B5054" i="1"/>
  <c r="A5054" i="1"/>
  <c r="C5053" i="1"/>
  <c r="B5053" i="1"/>
  <c r="A5053" i="1"/>
  <c r="C5052" i="1"/>
  <c r="B5052" i="1"/>
  <c r="A5052" i="1"/>
  <c r="C5051" i="1"/>
  <c r="B5051" i="1"/>
  <c r="A5051" i="1"/>
  <c r="C5050" i="1"/>
  <c r="B5050" i="1"/>
  <c r="A5050" i="1"/>
  <c r="C5049" i="1"/>
  <c r="B5049" i="1"/>
  <c r="A5049" i="1"/>
  <c r="C5048" i="1"/>
  <c r="B5048" i="1"/>
  <c r="A5048" i="1"/>
  <c r="C5047" i="1"/>
  <c r="B5047" i="1"/>
  <c r="A5047" i="1"/>
  <c r="C5046" i="1"/>
  <c r="B5046" i="1"/>
  <c r="A5046" i="1"/>
  <c r="C5045" i="1"/>
  <c r="B5045" i="1"/>
  <c r="A5045" i="1"/>
  <c r="C5044" i="1"/>
  <c r="B5044" i="1"/>
  <c r="A5044" i="1"/>
  <c r="C5043" i="1"/>
  <c r="B5043" i="1"/>
  <c r="A5043" i="1"/>
  <c r="C5042" i="1"/>
  <c r="B5042" i="1"/>
  <c r="A5042" i="1"/>
  <c r="C5041" i="1"/>
  <c r="B5041" i="1"/>
  <c r="A5041" i="1"/>
  <c r="C5040" i="1"/>
  <c r="B5040" i="1"/>
  <c r="A5040" i="1"/>
  <c r="C5039" i="1"/>
  <c r="B5039" i="1"/>
  <c r="A5039" i="1"/>
  <c r="C5038" i="1"/>
  <c r="B5038" i="1"/>
  <c r="A5038" i="1"/>
  <c r="C5037" i="1"/>
  <c r="B5037" i="1"/>
  <c r="A5037" i="1"/>
  <c r="C5036" i="1"/>
  <c r="B5036" i="1"/>
  <c r="A5036" i="1"/>
  <c r="C5035" i="1"/>
  <c r="B5035" i="1"/>
  <c r="A5035" i="1"/>
  <c r="C5034" i="1"/>
  <c r="B5034" i="1"/>
  <c r="A5034" i="1"/>
  <c r="C5033" i="1"/>
  <c r="B5033" i="1"/>
  <c r="A5033" i="1"/>
  <c r="C5032" i="1"/>
  <c r="B5032" i="1"/>
  <c r="A5032" i="1"/>
  <c r="C5031" i="1"/>
  <c r="B5031" i="1"/>
  <c r="A5031" i="1"/>
  <c r="C5030" i="1"/>
  <c r="B5030" i="1"/>
  <c r="A5030" i="1"/>
  <c r="C5029" i="1"/>
  <c r="B5029" i="1"/>
  <c r="A5029" i="1"/>
  <c r="C5028" i="1"/>
  <c r="B5028" i="1"/>
  <c r="A5028" i="1"/>
  <c r="C5027" i="1"/>
  <c r="B5027" i="1"/>
  <c r="A5027" i="1"/>
  <c r="C5026" i="1"/>
  <c r="B5026" i="1"/>
  <c r="A5026" i="1"/>
  <c r="C5025" i="1"/>
  <c r="B5025" i="1"/>
  <c r="A5025" i="1"/>
  <c r="C5024" i="1"/>
  <c r="B5024" i="1"/>
  <c r="A5024" i="1"/>
  <c r="C5023" i="1"/>
  <c r="B5023" i="1"/>
  <c r="A5023" i="1"/>
  <c r="C5022" i="1"/>
  <c r="B5022" i="1"/>
  <c r="A5022" i="1"/>
  <c r="C5021" i="1"/>
  <c r="B5021" i="1"/>
  <c r="A5021" i="1"/>
  <c r="C5020" i="1"/>
  <c r="B5020" i="1"/>
  <c r="A5020" i="1"/>
  <c r="C5019" i="1"/>
  <c r="B5019" i="1"/>
  <c r="A5019" i="1"/>
  <c r="C5018" i="1"/>
  <c r="B5018" i="1"/>
  <c r="A5018" i="1"/>
  <c r="C5017" i="1"/>
  <c r="B5017" i="1"/>
  <c r="A5017" i="1"/>
  <c r="C5016" i="1"/>
  <c r="B5016" i="1"/>
  <c r="A5016" i="1"/>
  <c r="C5015" i="1"/>
  <c r="B5015" i="1"/>
  <c r="A5015" i="1"/>
  <c r="C5014" i="1"/>
  <c r="B5014" i="1"/>
  <c r="A5014" i="1"/>
  <c r="C5013" i="1"/>
  <c r="B5013" i="1"/>
  <c r="A5013" i="1"/>
  <c r="C5012" i="1"/>
  <c r="B5012" i="1"/>
  <c r="A5012" i="1"/>
  <c r="C5011" i="1"/>
  <c r="B5011" i="1"/>
  <c r="A5011" i="1"/>
  <c r="C5010" i="1"/>
  <c r="B5010" i="1"/>
  <c r="A5010" i="1"/>
  <c r="C5009" i="1"/>
  <c r="B5009" i="1"/>
  <c r="A5009" i="1"/>
  <c r="C5008" i="1"/>
  <c r="B5008" i="1"/>
  <c r="A5008" i="1"/>
  <c r="C5007" i="1"/>
  <c r="B5007" i="1"/>
  <c r="A5007" i="1"/>
  <c r="C5006" i="1"/>
  <c r="B5006" i="1"/>
  <c r="A5006" i="1"/>
  <c r="C5005" i="1"/>
  <c r="B5005" i="1"/>
  <c r="A5005" i="1"/>
  <c r="C5004" i="1"/>
  <c r="B5004" i="1"/>
  <c r="A5004" i="1"/>
  <c r="C5003" i="1"/>
  <c r="B5003" i="1"/>
  <c r="A5003" i="1"/>
  <c r="C5002" i="1"/>
  <c r="B5002" i="1"/>
  <c r="A5002" i="1"/>
  <c r="C5001" i="1"/>
  <c r="B5001" i="1"/>
  <c r="A5001" i="1"/>
  <c r="C5000" i="1"/>
  <c r="B5000" i="1"/>
  <c r="A5000" i="1"/>
  <c r="C4999" i="1"/>
  <c r="B4999" i="1"/>
  <c r="A4999" i="1"/>
  <c r="C4998" i="1"/>
  <c r="B4998" i="1"/>
  <c r="A4998" i="1"/>
  <c r="C4997" i="1"/>
  <c r="B4997" i="1"/>
  <c r="A4997" i="1"/>
  <c r="C4996" i="1"/>
  <c r="B4996" i="1"/>
  <c r="A4996" i="1"/>
  <c r="C4995" i="1"/>
  <c r="B4995" i="1"/>
  <c r="A4995" i="1"/>
  <c r="C4994" i="1"/>
  <c r="B4994" i="1"/>
  <c r="A4994" i="1"/>
  <c r="C4993" i="1"/>
  <c r="B4993" i="1"/>
  <c r="A4993" i="1"/>
  <c r="C4992" i="1"/>
  <c r="B4992" i="1"/>
  <c r="A4992" i="1"/>
  <c r="C4991" i="1"/>
  <c r="B4991" i="1"/>
  <c r="A4991" i="1"/>
  <c r="C4990" i="1"/>
  <c r="B4990" i="1"/>
  <c r="A4990" i="1"/>
  <c r="C4989" i="1"/>
  <c r="B4989" i="1"/>
  <c r="A4989" i="1"/>
  <c r="C4988" i="1"/>
  <c r="B4988" i="1"/>
  <c r="A4988" i="1"/>
  <c r="C4987" i="1"/>
  <c r="B4987" i="1"/>
  <c r="A4987" i="1"/>
  <c r="C4986" i="1"/>
  <c r="B4986" i="1"/>
  <c r="A4986" i="1"/>
  <c r="C4985" i="1"/>
  <c r="B4985" i="1"/>
  <c r="A4985" i="1"/>
  <c r="C4984" i="1"/>
  <c r="B4984" i="1"/>
  <c r="A4984" i="1"/>
  <c r="C4983" i="1"/>
  <c r="B4983" i="1"/>
  <c r="A4983" i="1"/>
  <c r="C4982" i="1"/>
  <c r="B4982" i="1"/>
  <c r="A4982" i="1"/>
  <c r="C4981" i="1"/>
  <c r="B4981" i="1"/>
  <c r="A4981" i="1"/>
  <c r="C4980" i="1"/>
  <c r="B4980" i="1"/>
  <c r="A4980" i="1"/>
  <c r="C4979" i="1"/>
  <c r="B4979" i="1"/>
  <c r="A4979" i="1"/>
  <c r="C4978" i="1"/>
  <c r="B4978" i="1"/>
  <c r="A4978" i="1"/>
  <c r="C4977" i="1"/>
  <c r="B4977" i="1"/>
  <c r="A4977" i="1"/>
  <c r="C4976" i="1"/>
  <c r="B4976" i="1"/>
  <c r="A4976" i="1"/>
  <c r="C4975" i="1"/>
  <c r="B4975" i="1"/>
  <c r="A4975" i="1"/>
  <c r="C4974" i="1"/>
  <c r="B4974" i="1"/>
  <c r="A4974" i="1"/>
  <c r="C4973" i="1"/>
  <c r="B4973" i="1"/>
  <c r="A4973" i="1"/>
  <c r="C4972" i="1"/>
  <c r="B4972" i="1"/>
  <c r="A4972" i="1"/>
  <c r="C4971" i="1"/>
  <c r="B4971" i="1"/>
  <c r="A4971" i="1"/>
  <c r="C4970" i="1"/>
  <c r="B4970" i="1"/>
  <c r="A4970" i="1"/>
  <c r="C4969" i="1"/>
  <c r="B4969" i="1"/>
  <c r="A4969" i="1"/>
  <c r="C4968" i="1"/>
  <c r="B4968" i="1"/>
  <c r="A4968" i="1"/>
  <c r="C4967" i="1"/>
  <c r="B4967" i="1"/>
  <c r="A4967" i="1"/>
  <c r="C4966" i="1"/>
  <c r="B4966" i="1"/>
  <c r="A4966" i="1"/>
  <c r="C4965" i="1"/>
  <c r="B4965" i="1"/>
  <c r="A4965" i="1"/>
  <c r="C4964" i="1"/>
  <c r="B4964" i="1"/>
  <c r="A4964" i="1"/>
  <c r="C4963" i="1"/>
  <c r="B4963" i="1"/>
  <c r="A4963" i="1"/>
  <c r="C4962" i="1"/>
  <c r="B4962" i="1"/>
  <c r="A4962" i="1"/>
  <c r="C4961" i="1"/>
  <c r="B4961" i="1"/>
  <c r="A4961" i="1"/>
  <c r="C4960" i="1"/>
  <c r="B4960" i="1"/>
  <c r="A4960" i="1"/>
  <c r="C4959" i="1"/>
  <c r="B4959" i="1"/>
  <c r="A4959" i="1"/>
  <c r="C4958" i="1"/>
  <c r="B4958" i="1"/>
  <c r="A4958" i="1"/>
  <c r="C4957" i="1"/>
  <c r="B4957" i="1"/>
  <c r="A4957" i="1"/>
  <c r="C4956" i="1"/>
  <c r="B4956" i="1"/>
  <c r="A4956" i="1"/>
  <c r="C4955" i="1"/>
  <c r="B4955" i="1"/>
  <c r="A4955" i="1"/>
  <c r="C4954" i="1"/>
  <c r="B4954" i="1"/>
  <c r="A4954" i="1"/>
  <c r="C4953" i="1"/>
  <c r="B4953" i="1"/>
  <c r="A4953" i="1"/>
  <c r="C4952" i="1"/>
  <c r="B4952" i="1"/>
  <c r="A4952" i="1"/>
  <c r="C4951" i="1"/>
  <c r="B4951" i="1"/>
  <c r="A4951" i="1"/>
  <c r="C4950" i="1"/>
  <c r="B4950" i="1"/>
  <c r="A4950" i="1"/>
  <c r="C4949" i="1"/>
  <c r="B4949" i="1"/>
  <c r="A4949" i="1"/>
  <c r="C4948" i="1"/>
  <c r="B4948" i="1"/>
  <c r="A4948" i="1"/>
  <c r="C4947" i="1"/>
  <c r="B4947" i="1"/>
  <c r="A4947" i="1"/>
  <c r="C4946" i="1"/>
  <c r="B4946" i="1"/>
  <c r="A4946" i="1"/>
  <c r="C4945" i="1"/>
  <c r="B4945" i="1"/>
  <c r="A4945" i="1"/>
  <c r="C4944" i="1"/>
  <c r="B4944" i="1"/>
  <c r="A4944" i="1"/>
  <c r="C4943" i="1"/>
  <c r="B4943" i="1"/>
  <c r="A4943" i="1"/>
  <c r="C4942" i="1"/>
  <c r="B4942" i="1"/>
  <c r="A4942" i="1"/>
  <c r="C4941" i="1"/>
  <c r="B4941" i="1"/>
  <c r="A4941" i="1"/>
  <c r="C4940" i="1"/>
  <c r="B4940" i="1"/>
  <c r="A4940" i="1"/>
  <c r="C4939" i="1"/>
  <c r="B4939" i="1"/>
  <c r="A4939" i="1"/>
  <c r="C4938" i="1"/>
  <c r="B4938" i="1"/>
  <c r="A4938" i="1"/>
  <c r="C4937" i="1"/>
  <c r="B4937" i="1"/>
  <c r="A4937" i="1"/>
  <c r="C4936" i="1"/>
  <c r="B4936" i="1"/>
  <c r="A4936" i="1"/>
  <c r="C4935" i="1"/>
  <c r="B4935" i="1"/>
  <c r="A4935" i="1"/>
  <c r="C4934" i="1"/>
  <c r="B4934" i="1"/>
  <c r="A4934" i="1"/>
  <c r="C4933" i="1"/>
  <c r="B4933" i="1"/>
  <c r="A4933" i="1"/>
  <c r="C4932" i="1"/>
  <c r="B4932" i="1"/>
  <c r="A4932" i="1"/>
  <c r="C4931" i="1"/>
  <c r="B4931" i="1"/>
  <c r="A4931" i="1"/>
  <c r="C4930" i="1"/>
  <c r="B4930" i="1"/>
  <c r="A4930" i="1"/>
  <c r="C4929" i="1"/>
  <c r="B4929" i="1"/>
  <c r="A4929" i="1"/>
  <c r="C4928" i="1"/>
  <c r="B4928" i="1"/>
  <c r="A4928" i="1"/>
  <c r="C4927" i="1"/>
  <c r="B4927" i="1"/>
  <c r="A4927" i="1"/>
  <c r="C4926" i="1"/>
  <c r="B4926" i="1"/>
  <c r="A4926" i="1"/>
  <c r="C4925" i="1"/>
  <c r="B4925" i="1"/>
  <c r="A4925" i="1"/>
  <c r="C4924" i="1"/>
  <c r="B4924" i="1"/>
  <c r="A4924" i="1"/>
  <c r="C4923" i="1"/>
  <c r="B4923" i="1"/>
  <c r="A4923" i="1"/>
  <c r="C4922" i="1"/>
  <c r="B4922" i="1"/>
  <c r="A4922" i="1"/>
  <c r="C4921" i="1"/>
  <c r="B4921" i="1"/>
  <c r="A4921" i="1"/>
  <c r="C4920" i="1"/>
  <c r="B4920" i="1"/>
  <c r="A4920" i="1"/>
  <c r="C4919" i="1"/>
  <c r="B4919" i="1"/>
  <c r="A4919" i="1"/>
  <c r="C4918" i="1"/>
  <c r="B4918" i="1"/>
  <c r="A4918" i="1"/>
  <c r="C4917" i="1"/>
  <c r="B4917" i="1"/>
  <c r="A4917" i="1"/>
  <c r="C4916" i="1"/>
  <c r="B4916" i="1"/>
  <c r="A4916" i="1"/>
  <c r="C4915" i="1"/>
  <c r="B4915" i="1"/>
  <c r="A4915" i="1"/>
  <c r="C4914" i="1"/>
  <c r="B4914" i="1"/>
  <c r="A4914" i="1"/>
  <c r="C4913" i="1"/>
  <c r="B4913" i="1"/>
  <c r="A4913" i="1"/>
  <c r="C4912" i="1"/>
  <c r="B4912" i="1"/>
  <c r="A4912" i="1"/>
  <c r="C4911" i="1"/>
  <c r="B4911" i="1"/>
  <c r="A4911" i="1"/>
  <c r="C4910" i="1"/>
  <c r="B4910" i="1"/>
  <c r="A4910" i="1"/>
  <c r="C4909" i="1"/>
  <c r="B4909" i="1"/>
  <c r="A4909" i="1"/>
  <c r="C4908" i="1"/>
  <c r="B4908" i="1"/>
  <c r="A4908" i="1"/>
  <c r="C4907" i="1"/>
  <c r="B4907" i="1"/>
  <c r="A4907" i="1"/>
  <c r="C4906" i="1"/>
  <c r="B4906" i="1"/>
  <c r="A4906" i="1"/>
  <c r="C4905" i="1"/>
  <c r="B4905" i="1"/>
  <c r="A4905" i="1"/>
  <c r="C4904" i="1"/>
  <c r="B4904" i="1"/>
  <c r="A4904" i="1"/>
  <c r="C4903" i="1"/>
  <c r="B4903" i="1"/>
  <c r="A4903" i="1"/>
  <c r="C4902" i="1"/>
  <c r="B4902" i="1"/>
  <c r="A4902" i="1"/>
  <c r="C4901" i="1"/>
  <c r="B4901" i="1"/>
  <c r="A4901" i="1"/>
  <c r="C4900" i="1"/>
  <c r="B4900" i="1"/>
  <c r="A4900" i="1"/>
  <c r="C4899" i="1"/>
  <c r="B4899" i="1"/>
  <c r="A4899" i="1"/>
  <c r="C4898" i="1"/>
  <c r="B4898" i="1"/>
  <c r="A4898" i="1"/>
  <c r="C4897" i="1"/>
  <c r="B4897" i="1"/>
  <c r="A4897" i="1"/>
  <c r="C4896" i="1"/>
  <c r="B4896" i="1"/>
  <c r="A4896" i="1"/>
  <c r="C4895" i="1"/>
  <c r="B4895" i="1"/>
  <c r="A4895" i="1"/>
  <c r="C4894" i="1"/>
  <c r="B4894" i="1"/>
  <c r="A4894" i="1"/>
  <c r="C4893" i="1"/>
  <c r="B4893" i="1"/>
  <c r="A4893" i="1"/>
  <c r="C4892" i="1"/>
  <c r="B4892" i="1"/>
  <c r="A4892" i="1"/>
  <c r="C4891" i="1"/>
  <c r="B4891" i="1"/>
  <c r="A4891" i="1"/>
  <c r="C4890" i="1"/>
  <c r="B4890" i="1"/>
  <c r="A4890" i="1"/>
  <c r="C4889" i="1"/>
  <c r="B4889" i="1"/>
  <c r="A4889" i="1"/>
  <c r="C4888" i="1"/>
  <c r="B4888" i="1"/>
  <c r="A4888" i="1"/>
  <c r="C4887" i="1"/>
  <c r="B4887" i="1"/>
  <c r="A4887" i="1"/>
  <c r="C4886" i="1"/>
  <c r="B4886" i="1"/>
  <c r="A4886" i="1"/>
  <c r="C4885" i="1"/>
  <c r="B4885" i="1"/>
  <c r="A4885" i="1"/>
  <c r="C4884" i="1"/>
  <c r="B4884" i="1"/>
  <c r="A4884" i="1"/>
  <c r="C4883" i="1"/>
  <c r="B4883" i="1"/>
  <c r="A4883" i="1"/>
  <c r="C4882" i="1"/>
  <c r="B4882" i="1"/>
  <c r="A4882" i="1"/>
  <c r="C4881" i="1"/>
  <c r="B4881" i="1"/>
  <c r="A4881" i="1"/>
  <c r="C4880" i="1"/>
  <c r="B4880" i="1"/>
  <c r="A4880" i="1"/>
  <c r="C4879" i="1"/>
  <c r="B4879" i="1"/>
  <c r="A4879" i="1"/>
  <c r="C4878" i="1"/>
  <c r="B4878" i="1"/>
  <c r="A4878" i="1"/>
  <c r="C4877" i="1"/>
  <c r="B4877" i="1"/>
  <c r="A4877" i="1"/>
  <c r="C4876" i="1"/>
  <c r="B4876" i="1"/>
  <c r="A4876" i="1"/>
  <c r="C4875" i="1"/>
  <c r="B4875" i="1"/>
  <c r="A4875" i="1"/>
  <c r="C4874" i="1"/>
  <c r="B4874" i="1"/>
  <c r="A4874" i="1"/>
  <c r="C4873" i="1"/>
  <c r="B4873" i="1"/>
  <c r="A4873" i="1"/>
  <c r="C4872" i="1"/>
  <c r="B4872" i="1"/>
  <c r="A4872" i="1"/>
  <c r="C4871" i="1"/>
  <c r="B4871" i="1"/>
  <c r="A4871" i="1"/>
  <c r="C4870" i="1"/>
  <c r="B4870" i="1"/>
  <c r="A4870" i="1"/>
  <c r="C4869" i="1"/>
  <c r="B4869" i="1"/>
  <c r="A4869" i="1"/>
  <c r="C4868" i="1"/>
  <c r="B4868" i="1"/>
  <c r="A4868" i="1"/>
  <c r="C4867" i="1"/>
  <c r="B4867" i="1"/>
  <c r="A4867" i="1"/>
  <c r="C4866" i="1"/>
  <c r="B4866" i="1"/>
  <c r="A4866" i="1"/>
  <c r="C4865" i="1"/>
  <c r="B4865" i="1"/>
  <c r="A4865" i="1"/>
  <c r="C4864" i="1"/>
  <c r="B4864" i="1"/>
  <c r="A4864" i="1"/>
  <c r="C4863" i="1"/>
  <c r="B4863" i="1"/>
  <c r="A4863" i="1"/>
  <c r="C4862" i="1"/>
  <c r="B4862" i="1"/>
  <c r="A4862" i="1"/>
  <c r="C4861" i="1"/>
  <c r="B4861" i="1"/>
  <c r="A4861" i="1"/>
  <c r="C4860" i="1"/>
  <c r="B4860" i="1"/>
  <c r="A4860" i="1"/>
  <c r="C4859" i="1"/>
  <c r="B4859" i="1"/>
  <c r="A4859" i="1"/>
  <c r="C4858" i="1"/>
  <c r="B4858" i="1"/>
  <c r="A4858" i="1"/>
  <c r="C4857" i="1"/>
  <c r="B4857" i="1"/>
  <c r="A4857" i="1"/>
  <c r="C4856" i="1"/>
  <c r="B4856" i="1"/>
  <c r="A4856" i="1"/>
  <c r="C4855" i="1"/>
  <c r="B4855" i="1"/>
  <c r="A4855" i="1"/>
  <c r="C4854" i="1"/>
  <c r="B4854" i="1"/>
  <c r="A4854" i="1"/>
  <c r="C4853" i="1"/>
  <c r="B4853" i="1"/>
  <c r="A4853" i="1"/>
  <c r="C4852" i="1"/>
  <c r="B4852" i="1"/>
  <c r="A4852" i="1"/>
  <c r="C4851" i="1"/>
  <c r="B4851" i="1"/>
  <c r="A4851" i="1"/>
  <c r="C4850" i="1"/>
  <c r="B4850" i="1"/>
  <c r="A4850" i="1"/>
  <c r="C4849" i="1"/>
  <c r="B4849" i="1"/>
  <c r="A4849" i="1"/>
  <c r="C4848" i="1"/>
  <c r="B4848" i="1"/>
  <c r="A4848" i="1"/>
  <c r="C4847" i="1"/>
  <c r="B4847" i="1"/>
  <c r="A4847" i="1"/>
  <c r="C4846" i="1"/>
  <c r="B4846" i="1"/>
  <c r="A4846" i="1"/>
  <c r="C4845" i="1"/>
  <c r="B4845" i="1"/>
  <c r="A4845" i="1"/>
  <c r="C4844" i="1"/>
  <c r="B4844" i="1"/>
  <c r="A4844" i="1"/>
  <c r="C4843" i="1"/>
  <c r="B4843" i="1"/>
  <c r="A4843" i="1"/>
  <c r="C4842" i="1"/>
  <c r="B4842" i="1"/>
  <c r="A4842" i="1"/>
  <c r="C4841" i="1"/>
  <c r="B4841" i="1"/>
  <c r="A4841" i="1"/>
  <c r="C4840" i="1"/>
  <c r="B4840" i="1"/>
  <c r="A4840" i="1"/>
  <c r="C4839" i="1"/>
  <c r="B4839" i="1"/>
  <c r="A4839" i="1"/>
  <c r="C4838" i="1"/>
  <c r="B4838" i="1"/>
  <c r="A4838" i="1"/>
  <c r="C4837" i="1"/>
  <c r="B4837" i="1"/>
  <c r="A4837" i="1"/>
  <c r="C4836" i="1"/>
  <c r="B4836" i="1"/>
  <c r="A4836" i="1"/>
  <c r="C4835" i="1"/>
  <c r="B4835" i="1"/>
  <c r="A4835" i="1"/>
  <c r="C4834" i="1"/>
  <c r="B4834" i="1"/>
  <c r="A4834" i="1"/>
  <c r="C4833" i="1"/>
  <c r="B4833" i="1"/>
  <c r="A4833" i="1"/>
  <c r="C4832" i="1"/>
  <c r="B4832" i="1"/>
  <c r="A4832" i="1"/>
  <c r="C4831" i="1"/>
  <c r="B4831" i="1"/>
  <c r="A4831" i="1"/>
  <c r="C4830" i="1"/>
  <c r="B4830" i="1"/>
  <c r="A4830" i="1"/>
  <c r="C4829" i="1"/>
  <c r="B4829" i="1"/>
  <c r="A4829" i="1"/>
  <c r="C4828" i="1"/>
  <c r="B4828" i="1"/>
  <c r="A4828" i="1"/>
  <c r="C4827" i="1"/>
  <c r="B4827" i="1"/>
  <c r="A4827" i="1"/>
  <c r="C4826" i="1"/>
  <c r="B4826" i="1"/>
  <c r="A4826" i="1"/>
  <c r="C4825" i="1"/>
  <c r="B4825" i="1"/>
  <c r="A4825" i="1"/>
  <c r="C4824" i="1"/>
  <c r="B4824" i="1"/>
  <c r="A4824" i="1"/>
  <c r="C4823" i="1"/>
  <c r="B4823" i="1"/>
  <c r="A4823" i="1"/>
  <c r="C4822" i="1"/>
  <c r="B4822" i="1"/>
  <c r="A4822" i="1"/>
  <c r="C4821" i="1"/>
  <c r="B4821" i="1"/>
  <c r="A4821" i="1"/>
  <c r="C4820" i="1"/>
  <c r="B4820" i="1"/>
  <c r="A4820" i="1"/>
  <c r="C4819" i="1"/>
  <c r="B4819" i="1"/>
  <c r="A4819" i="1"/>
  <c r="C4818" i="1"/>
  <c r="B4818" i="1"/>
  <c r="A4818" i="1"/>
  <c r="C4817" i="1"/>
  <c r="B4817" i="1"/>
  <c r="A4817" i="1"/>
  <c r="C4816" i="1"/>
  <c r="B4816" i="1"/>
  <c r="A4816" i="1"/>
  <c r="C4815" i="1"/>
  <c r="B4815" i="1"/>
  <c r="A4815" i="1"/>
  <c r="C4814" i="1"/>
  <c r="B4814" i="1"/>
  <c r="A4814" i="1"/>
  <c r="C4813" i="1"/>
  <c r="B4813" i="1"/>
  <c r="A4813" i="1"/>
  <c r="C4812" i="1"/>
  <c r="B4812" i="1"/>
  <c r="A4812" i="1"/>
  <c r="C4811" i="1"/>
  <c r="B4811" i="1"/>
  <c r="A4811" i="1"/>
  <c r="C4810" i="1"/>
  <c r="B4810" i="1"/>
  <c r="A4810" i="1"/>
  <c r="C4809" i="1"/>
  <c r="B4809" i="1"/>
  <c r="A4809" i="1"/>
  <c r="C4808" i="1"/>
  <c r="B4808" i="1"/>
  <c r="A4808" i="1"/>
  <c r="C4807" i="1"/>
  <c r="B4807" i="1"/>
  <c r="A4807" i="1"/>
  <c r="C4806" i="1"/>
  <c r="B4806" i="1"/>
  <c r="A4806" i="1"/>
  <c r="C4805" i="1"/>
  <c r="B4805" i="1"/>
  <c r="A4805" i="1"/>
  <c r="C4804" i="1"/>
  <c r="B4804" i="1"/>
  <c r="A4804" i="1"/>
  <c r="C4803" i="1"/>
  <c r="B4803" i="1"/>
  <c r="A4803" i="1"/>
  <c r="C4802" i="1"/>
  <c r="B4802" i="1"/>
  <c r="A4802" i="1"/>
  <c r="C4801" i="1"/>
  <c r="B4801" i="1"/>
  <c r="A4801" i="1"/>
  <c r="C4800" i="1"/>
  <c r="B4800" i="1"/>
  <c r="A4800" i="1"/>
  <c r="C4799" i="1"/>
  <c r="B4799" i="1"/>
  <c r="A4799" i="1"/>
  <c r="C4798" i="1"/>
  <c r="B4798" i="1"/>
  <c r="A4798" i="1"/>
  <c r="C4797" i="1"/>
  <c r="B4797" i="1"/>
  <c r="A4797" i="1"/>
  <c r="C4796" i="1"/>
  <c r="B4796" i="1"/>
  <c r="A4796" i="1"/>
  <c r="C4795" i="1"/>
  <c r="B4795" i="1"/>
  <c r="A4795" i="1"/>
  <c r="C4794" i="1"/>
  <c r="B4794" i="1"/>
  <c r="A4794" i="1"/>
  <c r="C4793" i="1"/>
  <c r="B4793" i="1"/>
  <c r="A4793" i="1"/>
  <c r="C4792" i="1"/>
  <c r="B4792" i="1"/>
  <c r="A4792" i="1"/>
  <c r="C4791" i="1"/>
  <c r="B4791" i="1"/>
  <c r="A4791" i="1"/>
  <c r="C4790" i="1"/>
  <c r="B4790" i="1"/>
  <c r="A4790" i="1"/>
  <c r="C4789" i="1"/>
  <c r="B4789" i="1"/>
  <c r="A4789" i="1"/>
  <c r="C4788" i="1"/>
  <c r="B4788" i="1"/>
  <c r="A4788" i="1"/>
  <c r="C4787" i="1"/>
  <c r="B4787" i="1"/>
  <c r="A4787" i="1"/>
  <c r="C4786" i="1"/>
  <c r="B4786" i="1"/>
  <c r="A4786" i="1"/>
  <c r="C4785" i="1"/>
  <c r="B4785" i="1"/>
  <c r="A4785" i="1"/>
  <c r="C4784" i="1"/>
  <c r="B4784" i="1"/>
  <c r="A4784" i="1"/>
  <c r="C4783" i="1"/>
  <c r="B4783" i="1"/>
  <c r="A4783" i="1"/>
  <c r="C4782" i="1"/>
  <c r="B4782" i="1"/>
  <c r="A4782" i="1"/>
  <c r="C4781" i="1"/>
  <c r="B4781" i="1"/>
  <c r="A4781" i="1"/>
  <c r="C4780" i="1"/>
  <c r="B4780" i="1"/>
  <c r="A4780" i="1"/>
  <c r="C4779" i="1"/>
  <c r="B4779" i="1"/>
  <c r="A4779" i="1"/>
  <c r="C4778" i="1"/>
  <c r="B4778" i="1"/>
  <c r="A4778" i="1"/>
  <c r="C4777" i="1"/>
  <c r="B4777" i="1"/>
  <c r="A4777" i="1"/>
  <c r="C4776" i="1"/>
  <c r="B4776" i="1"/>
  <c r="A4776" i="1"/>
  <c r="C4775" i="1"/>
  <c r="B4775" i="1"/>
  <c r="A4775" i="1"/>
  <c r="C4774" i="1"/>
  <c r="B4774" i="1"/>
  <c r="A4774" i="1"/>
  <c r="C4773" i="1"/>
  <c r="B4773" i="1"/>
  <c r="A4773" i="1"/>
  <c r="C4772" i="1"/>
  <c r="B4772" i="1"/>
  <c r="A4772" i="1"/>
  <c r="C4771" i="1"/>
  <c r="B4771" i="1"/>
  <c r="A4771" i="1"/>
  <c r="C4770" i="1"/>
  <c r="B4770" i="1"/>
  <c r="A4770" i="1"/>
  <c r="C4769" i="1"/>
  <c r="B4769" i="1"/>
  <c r="A4769" i="1"/>
  <c r="C4768" i="1"/>
  <c r="B4768" i="1"/>
  <c r="A4768" i="1"/>
  <c r="C4767" i="1"/>
  <c r="B4767" i="1"/>
  <c r="A4767" i="1"/>
  <c r="C4766" i="1"/>
  <c r="B4766" i="1"/>
  <c r="A4766" i="1"/>
  <c r="C4765" i="1"/>
  <c r="B4765" i="1"/>
  <c r="A4765" i="1"/>
  <c r="C4764" i="1"/>
  <c r="B4764" i="1"/>
  <c r="A4764" i="1"/>
  <c r="C4763" i="1"/>
  <c r="B4763" i="1"/>
  <c r="A4763" i="1"/>
  <c r="C4762" i="1"/>
  <c r="B4762" i="1"/>
  <c r="A4762" i="1"/>
  <c r="C4761" i="1"/>
  <c r="B4761" i="1"/>
  <c r="A4761" i="1"/>
  <c r="C4760" i="1"/>
  <c r="B4760" i="1"/>
  <c r="A4760" i="1"/>
  <c r="C4759" i="1"/>
  <c r="B4759" i="1"/>
  <c r="A4759" i="1"/>
  <c r="C4758" i="1"/>
  <c r="B4758" i="1"/>
  <c r="A4758" i="1"/>
  <c r="C4757" i="1"/>
  <c r="B4757" i="1"/>
  <c r="A4757" i="1"/>
  <c r="C4756" i="1"/>
  <c r="B4756" i="1"/>
  <c r="A4756" i="1"/>
  <c r="C4755" i="1"/>
  <c r="B4755" i="1"/>
  <c r="A4755" i="1"/>
  <c r="C4754" i="1"/>
  <c r="B4754" i="1"/>
  <c r="A4754" i="1"/>
  <c r="C4753" i="1"/>
  <c r="B4753" i="1"/>
  <c r="A4753" i="1"/>
  <c r="C4752" i="1"/>
  <c r="B4752" i="1"/>
  <c r="A4752" i="1"/>
  <c r="C4751" i="1"/>
  <c r="B4751" i="1"/>
  <c r="A4751" i="1"/>
  <c r="C4750" i="1"/>
  <c r="B4750" i="1"/>
  <c r="A4750" i="1"/>
  <c r="C4749" i="1"/>
  <c r="B4749" i="1"/>
  <c r="A4749" i="1"/>
  <c r="C4748" i="1"/>
  <c r="B4748" i="1"/>
  <c r="A4748" i="1"/>
  <c r="C4747" i="1"/>
  <c r="B4747" i="1"/>
  <c r="A4747" i="1"/>
  <c r="C4746" i="1"/>
  <c r="B4746" i="1"/>
  <c r="A4746" i="1"/>
  <c r="C4745" i="1"/>
  <c r="B4745" i="1"/>
  <c r="A4745" i="1"/>
  <c r="C4744" i="1"/>
  <c r="B4744" i="1"/>
  <c r="A4744" i="1"/>
  <c r="C4743" i="1"/>
  <c r="B4743" i="1"/>
  <c r="A4743" i="1"/>
  <c r="C4742" i="1"/>
  <c r="B4742" i="1"/>
  <c r="A4742" i="1"/>
  <c r="C4741" i="1"/>
  <c r="B4741" i="1"/>
  <c r="A4741" i="1"/>
  <c r="C4740" i="1"/>
  <c r="B4740" i="1"/>
  <c r="A4740" i="1"/>
  <c r="C4739" i="1"/>
  <c r="B4739" i="1"/>
  <c r="A4739" i="1"/>
  <c r="C4738" i="1"/>
  <c r="B4738" i="1"/>
  <c r="A4738" i="1"/>
  <c r="C4737" i="1"/>
  <c r="B4737" i="1"/>
  <c r="A4737" i="1"/>
  <c r="C4736" i="1"/>
  <c r="B4736" i="1"/>
  <c r="A4736" i="1"/>
  <c r="C4735" i="1"/>
  <c r="B4735" i="1"/>
  <c r="A4735" i="1"/>
  <c r="C4734" i="1"/>
  <c r="B4734" i="1"/>
  <c r="A4734" i="1"/>
  <c r="C4733" i="1"/>
  <c r="B4733" i="1"/>
  <c r="A4733" i="1"/>
  <c r="C4732" i="1"/>
  <c r="B4732" i="1"/>
  <c r="A4732" i="1"/>
  <c r="C4731" i="1"/>
  <c r="B4731" i="1"/>
  <c r="A4731" i="1"/>
  <c r="C4730" i="1"/>
  <c r="B4730" i="1"/>
  <c r="A4730" i="1"/>
  <c r="C4729" i="1"/>
  <c r="B4729" i="1"/>
  <c r="A4729" i="1"/>
  <c r="C4728" i="1"/>
  <c r="B4728" i="1"/>
  <c r="A4728" i="1"/>
  <c r="C4727" i="1"/>
  <c r="B4727" i="1"/>
  <c r="A4727" i="1"/>
  <c r="C4726" i="1"/>
  <c r="B4726" i="1"/>
  <c r="A4726" i="1"/>
  <c r="C4725" i="1"/>
  <c r="B4725" i="1"/>
  <c r="A4725" i="1"/>
  <c r="C4724" i="1"/>
  <c r="B4724" i="1"/>
  <c r="A4724" i="1"/>
  <c r="C4723" i="1"/>
  <c r="B4723" i="1"/>
  <c r="A4723" i="1"/>
  <c r="C4722" i="1"/>
  <c r="B4722" i="1"/>
  <c r="A4722" i="1"/>
  <c r="C4721" i="1"/>
  <c r="B4721" i="1"/>
  <c r="A4721" i="1"/>
  <c r="C4720" i="1"/>
  <c r="B4720" i="1"/>
  <c r="A4720" i="1"/>
  <c r="C4719" i="1"/>
  <c r="B4719" i="1"/>
  <c r="A4719" i="1"/>
  <c r="C4718" i="1"/>
  <c r="B4718" i="1"/>
  <c r="A4718" i="1"/>
  <c r="C4717" i="1"/>
  <c r="B4717" i="1"/>
  <c r="A4717" i="1"/>
  <c r="C4716" i="1"/>
  <c r="B4716" i="1"/>
  <c r="A4716" i="1"/>
  <c r="C4715" i="1"/>
  <c r="B4715" i="1"/>
  <c r="A4715" i="1"/>
  <c r="C4714" i="1"/>
  <c r="B4714" i="1"/>
  <c r="A4714" i="1"/>
  <c r="C4713" i="1"/>
  <c r="B4713" i="1"/>
  <c r="A4713" i="1"/>
  <c r="C4712" i="1"/>
  <c r="B4712" i="1"/>
  <c r="A4712" i="1"/>
  <c r="C4711" i="1"/>
  <c r="B4711" i="1"/>
  <c r="A4711" i="1"/>
  <c r="C4710" i="1"/>
  <c r="B4710" i="1"/>
  <c r="A4710" i="1"/>
  <c r="C4709" i="1"/>
  <c r="B4709" i="1"/>
  <c r="A4709" i="1"/>
  <c r="C4708" i="1"/>
  <c r="B4708" i="1"/>
  <c r="A4708" i="1"/>
  <c r="C4707" i="1"/>
  <c r="B4707" i="1"/>
  <c r="A4707" i="1"/>
  <c r="C4706" i="1"/>
  <c r="B4706" i="1"/>
  <c r="A4706" i="1"/>
  <c r="C4705" i="1"/>
  <c r="B4705" i="1"/>
  <c r="A4705" i="1"/>
  <c r="C4704" i="1"/>
  <c r="B4704" i="1"/>
  <c r="A4704" i="1"/>
  <c r="C4703" i="1"/>
  <c r="B4703" i="1"/>
  <c r="A4703" i="1"/>
  <c r="C4702" i="1"/>
  <c r="B4702" i="1"/>
  <c r="A4702" i="1"/>
  <c r="C4701" i="1"/>
  <c r="B4701" i="1"/>
  <c r="A4701" i="1"/>
  <c r="C4700" i="1"/>
  <c r="B4700" i="1"/>
  <c r="A4700" i="1"/>
  <c r="C4699" i="1"/>
  <c r="B4699" i="1"/>
  <c r="A4699" i="1"/>
  <c r="C4698" i="1"/>
  <c r="B4698" i="1"/>
  <c r="A4698" i="1"/>
  <c r="C4697" i="1"/>
  <c r="B4697" i="1"/>
  <c r="A4697" i="1"/>
  <c r="C4696" i="1"/>
  <c r="B4696" i="1"/>
  <c r="A4696" i="1"/>
  <c r="C4695" i="1"/>
  <c r="B4695" i="1"/>
  <c r="A4695" i="1"/>
  <c r="C4694" i="1"/>
  <c r="B4694" i="1"/>
  <c r="A4694" i="1"/>
  <c r="C4693" i="1"/>
  <c r="B4693" i="1"/>
  <c r="A4693" i="1"/>
  <c r="C4692" i="1"/>
  <c r="B4692" i="1"/>
  <c r="A4692" i="1"/>
  <c r="C4691" i="1"/>
  <c r="B4691" i="1"/>
  <c r="A4691" i="1"/>
  <c r="C4690" i="1"/>
  <c r="B4690" i="1"/>
  <c r="A4690" i="1"/>
  <c r="C4689" i="1"/>
  <c r="B4689" i="1"/>
  <c r="A4689" i="1"/>
  <c r="C4688" i="1"/>
  <c r="B4688" i="1"/>
  <c r="A4688" i="1"/>
  <c r="C4687" i="1"/>
  <c r="B4687" i="1"/>
  <c r="A4687" i="1"/>
  <c r="C4686" i="1"/>
  <c r="B4686" i="1"/>
  <c r="A4686" i="1"/>
  <c r="C4685" i="1"/>
  <c r="B4685" i="1"/>
  <c r="A4685" i="1"/>
  <c r="C4684" i="1"/>
  <c r="B4684" i="1"/>
  <c r="A4684" i="1"/>
  <c r="C4683" i="1"/>
  <c r="B4683" i="1"/>
  <c r="A4683" i="1"/>
  <c r="C4682" i="1"/>
  <c r="B4682" i="1"/>
  <c r="A4682" i="1"/>
  <c r="C4681" i="1"/>
  <c r="B4681" i="1"/>
  <c r="A4681" i="1"/>
  <c r="C4680" i="1"/>
  <c r="B4680" i="1"/>
  <c r="A4680" i="1"/>
  <c r="C4679" i="1"/>
  <c r="B4679" i="1"/>
  <c r="A4679" i="1"/>
  <c r="C4678" i="1"/>
  <c r="B4678" i="1"/>
  <c r="A4678" i="1"/>
  <c r="C4677" i="1"/>
  <c r="B4677" i="1"/>
  <c r="A4677" i="1"/>
  <c r="C4676" i="1"/>
  <c r="B4676" i="1"/>
  <c r="A4676" i="1"/>
  <c r="C4675" i="1"/>
  <c r="B4675" i="1"/>
  <c r="A4675" i="1"/>
  <c r="C4674" i="1"/>
  <c r="B4674" i="1"/>
  <c r="A4674" i="1"/>
  <c r="C4673" i="1"/>
  <c r="B4673" i="1"/>
  <c r="A4673" i="1"/>
  <c r="C4672" i="1"/>
  <c r="B4672" i="1"/>
  <c r="A4672" i="1"/>
  <c r="C4671" i="1"/>
  <c r="B4671" i="1"/>
  <c r="A4671" i="1"/>
  <c r="C4670" i="1"/>
  <c r="B4670" i="1"/>
  <c r="A4670" i="1"/>
  <c r="C4669" i="1"/>
  <c r="B4669" i="1"/>
  <c r="A4669" i="1"/>
  <c r="C4668" i="1"/>
  <c r="B4668" i="1"/>
  <c r="A4668" i="1"/>
  <c r="C4667" i="1"/>
  <c r="B4667" i="1"/>
  <c r="A4667" i="1"/>
  <c r="C4666" i="1"/>
  <c r="B4666" i="1"/>
  <c r="A4666" i="1"/>
  <c r="C4665" i="1"/>
  <c r="B4665" i="1"/>
  <c r="A4665" i="1"/>
  <c r="C4664" i="1"/>
  <c r="B4664" i="1"/>
  <c r="A4664" i="1"/>
  <c r="C4663" i="1"/>
  <c r="B4663" i="1"/>
  <c r="A4663" i="1"/>
  <c r="C4662" i="1"/>
  <c r="B4662" i="1"/>
  <c r="A4662" i="1"/>
  <c r="C4661" i="1"/>
  <c r="B4661" i="1"/>
  <c r="A4661" i="1"/>
  <c r="C4660" i="1"/>
  <c r="B4660" i="1"/>
  <c r="A4660" i="1"/>
  <c r="C4659" i="1"/>
  <c r="B4659" i="1"/>
  <c r="A4659" i="1"/>
  <c r="C4658" i="1"/>
  <c r="B4658" i="1"/>
  <c r="A4658" i="1"/>
  <c r="C4657" i="1"/>
  <c r="B4657" i="1"/>
  <c r="A4657" i="1"/>
  <c r="C4656" i="1"/>
  <c r="B4656" i="1"/>
  <c r="A4656" i="1"/>
  <c r="C4655" i="1"/>
  <c r="B4655" i="1"/>
  <c r="A4655" i="1"/>
  <c r="C4654" i="1"/>
  <c r="B4654" i="1"/>
  <c r="A4654" i="1"/>
  <c r="C4653" i="1"/>
  <c r="B4653" i="1"/>
  <c r="A4653" i="1"/>
  <c r="C4652" i="1"/>
  <c r="B4652" i="1"/>
  <c r="A4652" i="1"/>
  <c r="C4651" i="1"/>
  <c r="B4651" i="1"/>
  <c r="A4651" i="1"/>
  <c r="C4650" i="1"/>
  <c r="B4650" i="1"/>
  <c r="A4650" i="1"/>
  <c r="C4649" i="1"/>
  <c r="B4649" i="1"/>
  <c r="A4649" i="1"/>
  <c r="C4648" i="1"/>
  <c r="B4648" i="1"/>
  <c r="A4648" i="1"/>
  <c r="C4647" i="1"/>
  <c r="B4647" i="1"/>
  <c r="A4647" i="1"/>
  <c r="C4646" i="1"/>
  <c r="B4646" i="1"/>
  <c r="A4646" i="1"/>
  <c r="C4645" i="1"/>
  <c r="B4645" i="1"/>
  <c r="A4645" i="1"/>
  <c r="C4644" i="1"/>
  <c r="B4644" i="1"/>
  <c r="A4644" i="1"/>
  <c r="C4643" i="1"/>
  <c r="B4643" i="1"/>
  <c r="A4643" i="1"/>
  <c r="C4642" i="1"/>
  <c r="B4642" i="1"/>
  <c r="A4642" i="1"/>
  <c r="C4641" i="1"/>
  <c r="B4641" i="1"/>
  <c r="A4641" i="1"/>
  <c r="C4640" i="1"/>
  <c r="B4640" i="1"/>
  <c r="A4640" i="1"/>
  <c r="C4639" i="1"/>
  <c r="B4639" i="1"/>
  <c r="A4639" i="1"/>
  <c r="C4638" i="1"/>
  <c r="B4638" i="1"/>
  <c r="A4638" i="1"/>
  <c r="C4637" i="1"/>
  <c r="B4637" i="1"/>
  <c r="A4637" i="1"/>
  <c r="C4636" i="1"/>
  <c r="B4636" i="1"/>
  <c r="A4636" i="1"/>
  <c r="C4635" i="1"/>
  <c r="B4635" i="1"/>
  <c r="A4635" i="1"/>
  <c r="C4634" i="1"/>
  <c r="B4634" i="1"/>
  <c r="A4634" i="1"/>
  <c r="C4633" i="1"/>
  <c r="B4633" i="1"/>
  <c r="A4633" i="1"/>
  <c r="C4632" i="1"/>
  <c r="B4632" i="1"/>
  <c r="A4632" i="1"/>
  <c r="C4631" i="1"/>
  <c r="B4631" i="1"/>
  <c r="A4631" i="1"/>
  <c r="C4630" i="1"/>
  <c r="B4630" i="1"/>
  <c r="A4630" i="1"/>
  <c r="C4629" i="1"/>
  <c r="B4629" i="1"/>
  <c r="A4629" i="1"/>
  <c r="C4628" i="1"/>
  <c r="B4628" i="1"/>
  <c r="A4628" i="1"/>
  <c r="C4627" i="1"/>
  <c r="B4627" i="1"/>
  <c r="A4627" i="1"/>
  <c r="C4626" i="1"/>
  <c r="B4626" i="1"/>
  <c r="A4626" i="1"/>
  <c r="C4625" i="1"/>
  <c r="B4625" i="1"/>
  <c r="A4625" i="1"/>
  <c r="C4624" i="1"/>
  <c r="B4624" i="1"/>
  <c r="A4624" i="1"/>
  <c r="C4623" i="1"/>
  <c r="B4623" i="1"/>
  <c r="A4623" i="1"/>
  <c r="C4622" i="1"/>
  <c r="B4622" i="1"/>
  <c r="A4622" i="1"/>
  <c r="C4621" i="1"/>
  <c r="B4621" i="1"/>
  <c r="A4621" i="1"/>
  <c r="C4620" i="1"/>
  <c r="B4620" i="1"/>
  <c r="A4620" i="1"/>
  <c r="C4619" i="1"/>
  <c r="B4619" i="1"/>
  <c r="A4619" i="1"/>
  <c r="C4618" i="1"/>
  <c r="B4618" i="1"/>
  <c r="A4618" i="1"/>
  <c r="C4617" i="1"/>
  <c r="B4617" i="1"/>
  <c r="A4617" i="1"/>
  <c r="C4616" i="1"/>
  <c r="B4616" i="1"/>
  <c r="A4616" i="1"/>
  <c r="C4615" i="1"/>
  <c r="B4615" i="1"/>
  <c r="A4615" i="1"/>
  <c r="C4614" i="1"/>
  <c r="B4614" i="1"/>
  <c r="A4614" i="1"/>
  <c r="C4613" i="1"/>
  <c r="B4613" i="1"/>
  <c r="A4613" i="1"/>
  <c r="C4612" i="1"/>
  <c r="B4612" i="1"/>
  <c r="A4612" i="1"/>
  <c r="C4611" i="1"/>
  <c r="B4611" i="1"/>
  <c r="A4611" i="1"/>
  <c r="C4610" i="1"/>
  <c r="B4610" i="1"/>
  <c r="A4610" i="1"/>
  <c r="C4609" i="1"/>
  <c r="B4609" i="1"/>
  <c r="A4609" i="1"/>
  <c r="C4608" i="1"/>
  <c r="B4608" i="1"/>
  <c r="A4608" i="1"/>
  <c r="C4607" i="1"/>
  <c r="B4607" i="1"/>
  <c r="A4607" i="1"/>
  <c r="C4606" i="1"/>
  <c r="B4606" i="1"/>
  <c r="A4606" i="1"/>
  <c r="C4605" i="1"/>
  <c r="B4605" i="1"/>
  <c r="A4605" i="1"/>
  <c r="C4604" i="1"/>
  <c r="B4604" i="1"/>
  <c r="A4604" i="1"/>
  <c r="C4603" i="1"/>
  <c r="B4603" i="1"/>
  <c r="A4603" i="1"/>
  <c r="C4602" i="1"/>
  <c r="B4602" i="1"/>
  <c r="A4602" i="1"/>
  <c r="C4601" i="1"/>
  <c r="B4601" i="1"/>
  <c r="A4601" i="1"/>
  <c r="C4600" i="1"/>
  <c r="B4600" i="1"/>
  <c r="A4600" i="1"/>
  <c r="C4599" i="1"/>
  <c r="B4599" i="1"/>
  <c r="A4599" i="1"/>
  <c r="C4598" i="1"/>
  <c r="B4598" i="1"/>
  <c r="A4598" i="1"/>
  <c r="C4597" i="1"/>
  <c r="B4597" i="1"/>
  <c r="A4597" i="1"/>
  <c r="C4596" i="1"/>
  <c r="B4596" i="1"/>
  <c r="A4596" i="1"/>
  <c r="C4595" i="1"/>
  <c r="B4595" i="1"/>
  <c r="A4595" i="1"/>
  <c r="C4594" i="1"/>
  <c r="B4594" i="1"/>
  <c r="A4594" i="1"/>
  <c r="C4593" i="1"/>
  <c r="B4593" i="1"/>
  <c r="A4593" i="1"/>
  <c r="C4592" i="1"/>
  <c r="B4592" i="1"/>
  <c r="A4592" i="1"/>
  <c r="C4591" i="1"/>
  <c r="B4591" i="1"/>
  <c r="A4591" i="1"/>
  <c r="C4590" i="1"/>
  <c r="B4590" i="1"/>
  <c r="A4590" i="1"/>
  <c r="C4589" i="1"/>
  <c r="B4589" i="1"/>
  <c r="A4589" i="1"/>
  <c r="C4588" i="1"/>
  <c r="B4588" i="1"/>
  <c r="A4588" i="1"/>
  <c r="C4587" i="1"/>
  <c r="B4587" i="1"/>
  <c r="A4587" i="1"/>
  <c r="C4586" i="1"/>
  <c r="B4586" i="1"/>
  <c r="A4586" i="1"/>
  <c r="C4585" i="1"/>
  <c r="B4585" i="1"/>
  <c r="A4585" i="1"/>
  <c r="C4584" i="1"/>
  <c r="B4584" i="1"/>
  <c r="A4584" i="1"/>
  <c r="C4583" i="1"/>
  <c r="B4583" i="1"/>
  <c r="A4583" i="1"/>
  <c r="C4582" i="1"/>
  <c r="B4582" i="1"/>
  <c r="A4582" i="1"/>
  <c r="C4581" i="1"/>
  <c r="B4581" i="1"/>
  <c r="A4581" i="1"/>
  <c r="C4580" i="1"/>
  <c r="B4580" i="1"/>
  <c r="A4580" i="1"/>
  <c r="C4579" i="1"/>
  <c r="B4579" i="1"/>
  <c r="A4579" i="1"/>
  <c r="C4578" i="1"/>
  <c r="B4578" i="1"/>
  <c r="A4578" i="1"/>
  <c r="C4577" i="1"/>
  <c r="B4577" i="1"/>
  <c r="A4577" i="1"/>
  <c r="C4576" i="1"/>
  <c r="B4576" i="1"/>
  <c r="A4576" i="1"/>
  <c r="C4575" i="1"/>
  <c r="B4575" i="1"/>
  <c r="A4575" i="1"/>
  <c r="C4574" i="1"/>
  <c r="B4574" i="1"/>
  <c r="A4574" i="1"/>
  <c r="C4573" i="1"/>
  <c r="B4573" i="1"/>
  <c r="A4573" i="1"/>
  <c r="C4572" i="1"/>
  <c r="B4572" i="1"/>
  <c r="A4572" i="1"/>
  <c r="C4571" i="1"/>
  <c r="B4571" i="1"/>
  <c r="A4571" i="1"/>
  <c r="C4570" i="1"/>
  <c r="B4570" i="1"/>
  <c r="A4570" i="1"/>
  <c r="C4569" i="1"/>
  <c r="B4569" i="1"/>
  <c r="A4569" i="1"/>
  <c r="C4568" i="1"/>
  <c r="B4568" i="1"/>
  <c r="A4568" i="1"/>
  <c r="C4567" i="1"/>
  <c r="B4567" i="1"/>
  <c r="A4567" i="1"/>
  <c r="C4566" i="1"/>
  <c r="B4566" i="1"/>
  <c r="A4566" i="1"/>
  <c r="C4565" i="1"/>
  <c r="B4565" i="1"/>
  <c r="A4565" i="1"/>
  <c r="C4564" i="1"/>
  <c r="B4564" i="1"/>
  <c r="A4564" i="1"/>
  <c r="C4563" i="1"/>
  <c r="B4563" i="1"/>
  <c r="A4563" i="1"/>
  <c r="C4562" i="1"/>
  <c r="B4562" i="1"/>
  <c r="A4562" i="1"/>
  <c r="C4561" i="1"/>
  <c r="B4561" i="1"/>
  <c r="A4561" i="1"/>
  <c r="C4560" i="1"/>
  <c r="B4560" i="1"/>
  <c r="A4560" i="1"/>
  <c r="C4559" i="1"/>
  <c r="B4559" i="1"/>
  <c r="A4559" i="1"/>
  <c r="C4558" i="1"/>
  <c r="B4558" i="1"/>
  <c r="A4558" i="1"/>
  <c r="C4557" i="1"/>
  <c r="B4557" i="1"/>
  <c r="A4557" i="1"/>
  <c r="C4556" i="1"/>
  <c r="B4556" i="1"/>
  <c r="A4556" i="1"/>
  <c r="C4555" i="1"/>
  <c r="B4555" i="1"/>
  <c r="A4555" i="1"/>
  <c r="C4554" i="1"/>
  <c r="B4554" i="1"/>
  <c r="A4554" i="1"/>
  <c r="C4553" i="1"/>
  <c r="B4553" i="1"/>
  <c r="A4553" i="1"/>
  <c r="C4552" i="1"/>
  <c r="B4552" i="1"/>
  <c r="A4552" i="1"/>
  <c r="C4551" i="1"/>
  <c r="B4551" i="1"/>
  <c r="A4551" i="1"/>
  <c r="C4550" i="1"/>
  <c r="B4550" i="1"/>
  <c r="A4550" i="1"/>
  <c r="C4549" i="1"/>
  <c r="B4549" i="1"/>
  <c r="A4549" i="1"/>
  <c r="C4548" i="1"/>
  <c r="B4548" i="1"/>
  <c r="A4548" i="1"/>
  <c r="C4547" i="1"/>
  <c r="B4547" i="1"/>
  <c r="A4547" i="1"/>
  <c r="C4546" i="1"/>
  <c r="B4546" i="1"/>
  <c r="A4546" i="1"/>
  <c r="C4545" i="1"/>
  <c r="B4545" i="1"/>
  <c r="A4545" i="1"/>
  <c r="C4544" i="1"/>
  <c r="B4544" i="1"/>
  <c r="A4544" i="1"/>
  <c r="C4543" i="1"/>
  <c r="B4543" i="1"/>
  <c r="A4543" i="1"/>
  <c r="C4542" i="1"/>
  <c r="B4542" i="1"/>
  <c r="A4542" i="1"/>
  <c r="C4541" i="1"/>
  <c r="B4541" i="1"/>
  <c r="A4541" i="1"/>
  <c r="C4540" i="1"/>
  <c r="B4540" i="1"/>
  <c r="A4540" i="1"/>
  <c r="C4539" i="1"/>
  <c r="B4539" i="1"/>
  <c r="A4539" i="1"/>
  <c r="C4538" i="1"/>
  <c r="B4538" i="1"/>
  <c r="A4538" i="1"/>
  <c r="C4537" i="1"/>
  <c r="B4537" i="1"/>
  <c r="A4537" i="1"/>
  <c r="C4536" i="1"/>
  <c r="B4536" i="1"/>
  <c r="A4536" i="1"/>
  <c r="C4535" i="1"/>
  <c r="B4535" i="1"/>
  <c r="A4535" i="1"/>
  <c r="C4534" i="1"/>
  <c r="B4534" i="1"/>
  <c r="A4534" i="1"/>
  <c r="C4533" i="1"/>
  <c r="B4533" i="1"/>
  <c r="A4533" i="1"/>
  <c r="C4532" i="1"/>
  <c r="B4532" i="1"/>
  <c r="A4532" i="1"/>
  <c r="C4531" i="1"/>
  <c r="B4531" i="1"/>
  <c r="A4531" i="1"/>
  <c r="C4530" i="1"/>
  <c r="B4530" i="1"/>
  <c r="A4530" i="1"/>
  <c r="C4529" i="1"/>
  <c r="B4529" i="1"/>
  <c r="A4529" i="1"/>
  <c r="C4528" i="1"/>
  <c r="B4528" i="1"/>
  <c r="A4528" i="1"/>
  <c r="C4527" i="1"/>
  <c r="B4527" i="1"/>
  <c r="A4527" i="1"/>
  <c r="C4526" i="1"/>
  <c r="B4526" i="1"/>
  <c r="A4526" i="1"/>
  <c r="C4525" i="1"/>
  <c r="B4525" i="1"/>
  <c r="A4525" i="1"/>
  <c r="C4524" i="1"/>
  <c r="B4524" i="1"/>
  <c r="A4524" i="1"/>
  <c r="C4523" i="1"/>
  <c r="B4523" i="1"/>
  <c r="A4523" i="1"/>
  <c r="C4522" i="1"/>
  <c r="B4522" i="1"/>
  <c r="A4522" i="1"/>
  <c r="C4521" i="1"/>
  <c r="B4521" i="1"/>
  <c r="A4521" i="1"/>
  <c r="C4520" i="1"/>
  <c r="B4520" i="1"/>
  <c r="A4520" i="1"/>
  <c r="C4519" i="1"/>
  <c r="B4519" i="1"/>
  <c r="A4519" i="1"/>
  <c r="C4518" i="1"/>
  <c r="B4518" i="1"/>
  <c r="A4518" i="1"/>
  <c r="C4517" i="1"/>
  <c r="B4517" i="1"/>
  <c r="A4517" i="1"/>
  <c r="C4516" i="1"/>
  <c r="B4516" i="1"/>
  <c r="A4516" i="1"/>
  <c r="C4515" i="1"/>
  <c r="B4515" i="1"/>
  <c r="A4515" i="1"/>
  <c r="C4514" i="1"/>
  <c r="B4514" i="1"/>
  <c r="A4514" i="1"/>
  <c r="C4513" i="1"/>
  <c r="B4513" i="1"/>
  <c r="A4513" i="1"/>
  <c r="C4512" i="1"/>
  <c r="B4512" i="1"/>
  <c r="A4512" i="1"/>
  <c r="C4511" i="1"/>
  <c r="B4511" i="1"/>
  <c r="A4511" i="1"/>
  <c r="C4510" i="1"/>
  <c r="B4510" i="1"/>
  <c r="A4510" i="1"/>
  <c r="C4509" i="1"/>
  <c r="B4509" i="1"/>
  <c r="A4509" i="1"/>
  <c r="C4508" i="1"/>
  <c r="B4508" i="1"/>
  <c r="A4508" i="1"/>
  <c r="C4507" i="1"/>
  <c r="B4507" i="1"/>
  <c r="A4507" i="1"/>
  <c r="C4506" i="1"/>
  <c r="B4506" i="1"/>
  <c r="A4506" i="1"/>
  <c r="C4505" i="1"/>
  <c r="B4505" i="1"/>
  <c r="A4505" i="1"/>
  <c r="C4504" i="1"/>
  <c r="B4504" i="1"/>
  <c r="A4504" i="1"/>
  <c r="C4503" i="1"/>
  <c r="B4503" i="1"/>
  <c r="A4503" i="1"/>
  <c r="C4502" i="1"/>
  <c r="B4502" i="1"/>
  <c r="A4502" i="1"/>
  <c r="C4501" i="1"/>
  <c r="B4501" i="1"/>
  <c r="A4501" i="1"/>
  <c r="C4500" i="1"/>
  <c r="B4500" i="1"/>
  <c r="A4500" i="1"/>
  <c r="C4499" i="1"/>
  <c r="B4499" i="1"/>
  <c r="A4499" i="1"/>
  <c r="C4498" i="1"/>
  <c r="B4498" i="1"/>
  <c r="A4498" i="1"/>
  <c r="C4497" i="1"/>
  <c r="B4497" i="1"/>
  <c r="A4497" i="1"/>
  <c r="C4496" i="1"/>
  <c r="B4496" i="1"/>
  <c r="A4496" i="1"/>
  <c r="C4495" i="1"/>
  <c r="B4495" i="1"/>
  <c r="A4495" i="1"/>
  <c r="C4494" i="1"/>
  <c r="B4494" i="1"/>
  <c r="A4494" i="1"/>
  <c r="C4493" i="1"/>
  <c r="B4493" i="1"/>
  <c r="A4493" i="1"/>
  <c r="C4492" i="1"/>
  <c r="B4492" i="1"/>
  <c r="A4492" i="1"/>
  <c r="C4491" i="1"/>
  <c r="B4491" i="1"/>
  <c r="A4491" i="1"/>
  <c r="C4490" i="1"/>
  <c r="B4490" i="1"/>
  <c r="A4490" i="1"/>
  <c r="C4489" i="1"/>
  <c r="B4489" i="1"/>
  <c r="A4489" i="1"/>
  <c r="C4488" i="1"/>
  <c r="B4488" i="1"/>
  <c r="A4488" i="1"/>
  <c r="C4487" i="1"/>
  <c r="B4487" i="1"/>
  <c r="A4487" i="1"/>
  <c r="C4486" i="1"/>
  <c r="B4486" i="1"/>
  <c r="A4486" i="1"/>
  <c r="C4485" i="1"/>
  <c r="B4485" i="1"/>
  <c r="A4485" i="1"/>
  <c r="C4484" i="1"/>
  <c r="B4484" i="1"/>
  <c r="A4484" i="1"/>
  <c r="C4483" i="1"/>
  <c r="B4483" i="1"/>
  <c r="A4483" i="1"/>
  <c r="C4482" i="1"/>
  <c r="B4482" i="1"/>
  <c r="A4482" i="1"/>
  <c r="C4481" i="1"/>
  <c r="B4481" i="1"/>
  <c r="A4481" i="1"/>
  <c r="C4480" i="1"/>
  <c r="B4480" i="1"/>
  <c r="A4480" i="1"/>
  <c r="C4479" i="1"/>
  <c r="B4479" i="1"/>
  <c r="A4479" i="1"/>
  <c r="C4478" i="1"/>
  <c r="B4478" i="1"/>
  <c r="A4478" i="1"/>
  <c r="C4477" i="1"/>
  <c r="B4477" i="1"/>
  <c r="A4477" i="1"/>
  <c r="C4476" i="1"/>
  <c r="B4476" i="1"/>
  <c r="A4476" i="1"/>
  <c r="C4475" i="1"/>
  <c r="B4475" i="1"/>
  <c r="A4475" i="1"/>
  <c r="C4474" i="1"/>
  <c r="B4474" i="1"/>
  <c r="A4474" i="1"/>
  <c r="C4473" i="1"/>
  <c r="B4473" i="1"/>
  <c r="A4473" i="1"/>
  <c r="C4472" i="1"/>
  <c r="B4472" i="1"/>
  <c r="A4472" i="1"/>
  <c r="C4471" i="1"/>
  <c r="B4471" i="1"/>
  <c r="A4471" i="1"/>
  <c r="C4470" i="1"/>
  <c r="B4470" i="1"/>
  <c r="A4470" i="1"/>
  <c r="C4469" i="1"/>
  <c r="B4469" i="1"/>
  <c r="A4469" i="1"/>
  <c r="C4468" i="1"/>
  <c r="B4468" i="1"/>
  <c r="A4468" i="1"/>
  <c r="C4467" i="1"/>
  <c r="B4467" i="1"/>
  <c r="A4467" i="1"/>
  <c r="C4466" i="1"/>
  <c r="B4466" i="1"/>
  <c r="A4466" i="1"/>
  <c r="C4465" i="1"/>
  <c r="B4465" i="1"/>
  <c r="A4465" i="1"/>
  <c r="C4464" i="1"/>
  <c r="B4464" i="1"/>
  <c r="A4464" i="1"/>
  <c r="C4463" i="1"/>
  <c r="B4463" i="1"/>
  <c r="A4463" i="1"/>
  <c r="C4462" i="1"/>
  <c r="B4462" i="1"/>
  <c r="A4462" i="1"/>
  <c r="C4461" i="1"/>
  <c r="B4461" i="1"/>
  <c r="A4461" i="1"/>
  <c r="C4460" i="1"/>
  <c r="B4460" i="1"/>
  <c r="A4460" i="1"/>
  <c r="C4459" i="1"/>
  <c r="B4459" i="1"/>
  <c r="A4459" i="1"/>
  <c r="C4458" i="1"/>
  <c r="B4458" i="1"/>
  <c r="A4458" i="1"/>
  <c r="C4457" i="1"/>
  <c r="B4457" i="1"/>
  <c r="A4457" i="1"/>
  <c r="C4456" i="1"/>
  <c r="B4456" i="1"/>
  <c r="A4456" i="1"/>
  <c r="C4455" i="1"/>
  <c r="B4455" i="1"/>
  <c r="A4455" i="1"/>
  <c r="C4454" i="1"/>
  <c r="B4454" i="1"/>
  <c r="A4454" i="1"/>
  <c r="C4453" i="1"/>
  <c r="B4453" i="1"/>
  <c r="A4453" i="1"/>
  <c r="C4452" i="1"/>
  <c r="B4452" i="1"/>
  <c r="A4452" i="1"/>
  <c r="C4451" i="1"/>
  <c r="B4451" i="1"/>
  <c r="A4451" i="1"/>
  <c r="C4450" i="1"/>
  <c r="B4450" i="1"/>
  <c r="A4450" i="1"/>
  <c r="C4449" i="1"/>
  <c r="B4449" i="1"/>
  <c r="A4449" i="1"/>
  <c r="C4448" i="1"/>
  <c r="B4448" i="1"/>
  <c r="A4448" i="1"/>
  <c r="C4447" i="1"/>
  <c r="B4447" i="1"/>
  <c r="A4447" i="1"/>
  <c r="C4446" i="1"/>
  <c r="B4446" i="1"/>
  <c r="A4446" i="1"/>
  <c r="C4445" i="1"/>
  <c r="B4445" i="1"/>
  <c r="A4445" i="1"/>
  <c r="C4444" i="1"/>
  <c r="B4444" i="1"/>
  <c r="A4444" i="1"/>
  <c r="C4443" i="1"/>
  <c r="B4443" i="1"/>
  <c r="A4443" i="1"/>
  <c r="C4442" i="1"/>
  <c r="B4442" i="1"/>
  <c r="A4442" i="1"/>
  <c r="C4441" i="1"/>
  <c r="B4441" i="1"/>
  <c r="A4441" i="1"/>
  <c r="C4440" i="1"/>
  <c r="B4440" i="1"/>
  <c r="A4440" i="1"/>
  <c r="C4439" i="1"/>
  <c r="B4439" i="1"/>
  <c r="A4439" i="1"/>
  <c r="C4438" i="1"/>
  <c r="B4438" i="1"/>
  <c r="A4438" i="1"/>
  <c r="C4437" i="1"/>
  <c r="B4437" i="1"/>
  <c r="A4437" i="1"/>
  <c r="C4436" i="1"/>
  <c r="B4436" i="1"/>
  <c r="A4436" i="1"/>
  <c r="C4435" i="1"/>
  <c r="B4435" i="1"/>
  <c r="A4435" i="1"/>
  <c r="C4434" i="1"/>
  <c r="B4434" i="1"/>
  <c r="A4434" i="1"/>
  <c r="C4433" i="1"/>
  <c r="B4433" i="1"/>
  <c r="A4433" i="1"/>
  <c r="C4432" i="1"/>
  <c r="B4432" i="1"/>
  <c r="A4432" i="1"/>
  <c r="C4431" i="1"/>
  <c r="B4431" i="1"/>
  <c r="A4431" i="1"/>
  <c r="C4430" i="1"/>
  <c r="B4430" i="1"/>
  <c r="A4430" i="1"/>
  <c r="C4429" i="1"/>
  <c r="B4429" i="1"/>
  <c r="A4429" i="1"/>
  <c r="C4428" i="1"/>
  <c r="B4428" i="1"/>
  <c r="A4428" i="1"/>
  <c r="C4427" i="1"/>
  <c r="B4427" i="1"/>
  <c r="A4427" i="1"/>
  <c r="C4426" i="1"/>
  <c r="B4426" i="1"/>
  <c r="A4426" i="1"/>
  <c r="C4425" i="1"/>
  <c r="B4425" i="1"/>
  <c r="A4425" i="1"/>
  <c r="C4424" i="1"/>
  <c r="B4424" i="1"/>
  <c r="A4424" i="1"/>
  <c r="C4423" i="1"/>
  <c r="B4423" i="1"/>
  <c r="A4423" i="1"/>
  <c r="C4422" i="1"/>
  <c r="B4422" i="1"/>
  <c r="A4422" i="1"/>
  <c r="C4421" i="1"/>
  <c r="B4421" i="1"/>
  <c r="A4421" i="1"/>
  <c r="C4420" i="1"/>
  <c r="B4420" i="1"/>
  <c r="A4420" i="1"/>
  <c r="C4419" i="1"/>
  <c r="B4419" i="1"/>
  <c r="A4419" i="1"/>
  <c r="C4418" i="1"/>
  <c r="B4418" i="1"/>
  <c r="A4418" i="1"/>
  <c r="C4417" i="1"/>
  <c r="B4417" i="1"/>
  <c r="A4417" i="1"/>
  <c r="C4416" i="1"/>
  <c r="B4416" i="1"/>
  <c r="A4416" i="1"/>
  <c r="C4415" i="1"/>
  <c r="B4415" i="1"/>
  <c r="A4415" i="1"/>
  <c r="C4414" i="1"/>
  <c r="B4414" i="1"/>
  <c r="A4414" i="1"/>
  <c r="C4413" i="1"/>
  <c r="B4413" i="1"/>
  <c r="A4413" i="1"/>
  <c r="C4412" i="1"/>
  <c r="B4412" i="1"/>
  <c r="A4412" i="1"/>
  <c r="C4411" i="1"/>
  <c r="B4411" i="1"/>
  <c r="A4411" i="1"/>
  <c r="C4410" i="1"/>
  <c r="B4410" i="1"/>
  <c r="A4410" i="1"/>
  <c r="C4409" i="1"/>
  <c r="B4409" i="1"/>
  <c r="A4409" i="1"/>
  <c r="C4408" i="1"/>
  <c r="B4408" i="1"/>
  <c r="A4408" i="1"/>
  <c r="C4407" i="1"/>
  <c r="B4407" i="1"/>
  <c r="A4407" i="1"/>
  <c r="C4406" i="1"/>
  <c r="B4406" i="1"/>
  <c r="A4406" i="1"/>
  <c r="C4405" i="1"/>
  <c r="B4405" i="1"/>
  <c r="A4405" i="1"/>
  <c r="C4404" i="1"/>
  <c r="B4404" i="1"/>
  <c r="A4404" i="1"/>
  <c r="C4403" i="1"/>
  <c r="B4403" i="1"/>
  <c r="A4403" i="1"/>
  <c r="C4402" i="1"/>
  <c r="B4402" i="1"/>
  <c r="A4402" i="1"/>
  <c r="C4401" i="1"/>
  <c r="B4401" i="1"/>
  <c r="A4401" i="1"/>
  <c r="C4400" i="1"/>
  <c r="B4400" i="1"/>
  <c r="A4400" i="1"/>
  <c r="C4399" i="1"/>
  <c r="B4399" i="1"/>
  <c r="A4399" i="1"/>
  <c r="C4398" i="1"/>
  <c r="B4398" i="1"/>
  <c r="A4398" i="1"/>
  <c r="C4397" i="1"/>
  <c r="B4397" i="1"/>
  <c r="A4397" i="1"/>
  <c r="C4396" i="1"/>
  <c r="B4396" i="1"/>
  <c r="A4396" i="1"/>
  <c r="C4395" i="1"/>
  <c r="B4395" i="1"/>
  <c r="A4395" i="1"/>
  <c r="C4394" i="1"/>
  <c r="B4394" i="1"/>
  <c r="A4394" i="1"/>
  <c r="C4393" i="1"/>
  <c r="B4393" i="1"/>
  <c r="A4393" i="1"/>
  <c r="C4392" i="1"/>
  <c r="B4392" i="1"/>
  <c r="A4392" i="1"/>
  <c r="C4391" i="1"/>
  <c r="B4391" i="1"/>
  <c r="A4391" i="1"/>
  <c r="C4390" i="1"/>
  <c r="B4390" i="1"/>
  <c r="A4390" i="1"/>
  <c r="C4389" i="1"/>
  <c r="B4389" i="1"/>
  <c r="A4389" i="1"/>
  <c r="C4388" i="1"/>
  <c r="B4388" i="1"/>
  <c r="A4388" i="1"/>
  <c r="C4387" i="1"/>
  <c r="B4387" i="1"/>
  <c r="A4387" i="1"/>
  <c r="C4386" i="1"/>
  <c r="B4386" i="1"/>
  <c r="A4386" i="1"/>
  <c r="C4385" i="1"/>
  <c r="B4385" i="1"/>
  <c r="A4385" i="1"/>
  <c r="C4384" i="1"/>
  <c r="B4384" i="1"/>
  <c r="A4384" i="1"/>
  <c r="C4383" i="1"/>
  <c r="B4383" i="1"/>
  <c r="A4383" i="1"/>
  <c r="C4382" i="1"/>
  <c r="B4382" i="1"/>
  <c r="A4382" i="1"/>
  <c r="C4381" i="1"/>
  <c r="B4381" i="1"/>
  <c r="A4381" i="1"/>
  <c r="C4380" i="1"/>
  <c r="B4380" i="1"/>
  <c r="A4380" i="1"/>
  <c r="C4379" i="1"/>
  <c r="B4379" i="1"/>
  <c r="A4379" i="1"/>
  <c r="C4378" i="1"/>
  <c r="B4378" i="1"/>
  <c r="A4378" i="1"/>
  <c r="C4377" i="1"/>
  <c r="B4377" i="1"/>
  <c r="A4377" i="1"/>
  <c r="C4376" i="1"/>
  <c r="B4376" i="1"/>
  <c r="A4376" i="1"/>
  <c r="C4375" i="1"/>
  <c r="B4375" i="1"/>
  <c r="A4375" i="1"/>
  <c r="C4374" i="1"/>
  <c r="B4374" i="1"/>
  <c r="A4374" i="1"/>
  <c r="C4373" i="1"/>
  <c r="B4373" i="1"/>
  <c r="A4373" i="1"/>
  <c r="C4372" i="1"/>
  <c r="B4372" i="1"/>
  <c r="A4372" i="1"/>
  <c r="C4371" i="1"/>
  <c r="B4371" i="1"/>
  <c r="A4371" i="1"/>
  <c r="C4370" i="1"/>
  <c r="B4370" i="1"/>
  <c r="A4370" i="1"/>
  <c r="C4369" i="1"/>
  <c r="B4369" i="1"/>
  <c r="A4369" i="1"/>
  <c r="C4368" i="1"/>
  <c r="B4368" i="1"/>
  <c r="A4368" i="1"/>
  <c r="C4367" i="1"/>
  <c r="B4367" i="1"/>
  <c r="A4367" i="1"/>
  <c r="C4366" i="1"/>
  <c r="B4366" i="1"/>
  <c r="A4366" i="1"/>
  <c r="C4365" i="1"/>
  <c r="B4365" i="1"/>
  <c r="A4365" i="1"/>
  <c r="C4364" i="1"/>
  <c r="B4364" i="1"/>
  <c r="A4364" i="1"/>
  <c r="C4363" i="1"/>
  <c r="B4363" i="1"/>
  <c r="A4363" i="1"/>
  <c r="C4362" i="1"/>
  <c r="B4362" i="1"/>
  <c r="A4362" i="1"/>
  <c r="C4361" i="1"/>
  <c r="B4361" i="1"/>
  <c r="A4361" i="1"/>
  <c r="C4360" i="1"/>
  <c r="B4360" i="1"/>
  <c r="A4360" i="1"/>
  <c r="C4359" i="1"/>
  <c r="B4359" i="1"/>
  <c r="A4359" i="1"/>
  <c r="C4358" i="1"/>
  <c r="B4358" i="1"/>
  <c r="A4358" i="1"/>
  <c r="C4357" i="1"/>
  <c r="B4357" i="1"/>
  <c r="A4357" i="1"/>
  <c r="C4356" i="1"/>
  <c r="B4356" i="1"/>
  <c r="A4356" i="1"/>
  <c r="C4355" i="1"/>
  <c r="B4355" i="1"/>
  <c r="A4355" i="1"/>
  <c r="C4354" i="1"/>
  <c r="B4354" i="1"/>
  <c r="A4354" i="1"/>
  <c r="C4353" i="1"/>
  <c r="B4353" i="1"/>
  <c r="A4353" i="1"/>
  <c r="C4352" i="1"/>
  <c r="B4352" i="1"/>
  <c r="A4352" i="1"/>
  <c r="C4351" i="1"/>
  <c r="B4351" i="1"/>
  <c r="A4351" i="1"/>
  <c r="C4350" i="1"/>
  <c r="B4350" i="1"/>
  <c r="A4350" i="1"/>
  <c r="C4349" i="1"/>
  <c r="B4349" i="1"/>
  <c r="A4349" i="1"/>
  <c r="C4348" i="1"/>
  <c r="B4348" i="1"/>
  <c r="A4348" i="1"/>
  <c r="C4347" i="1"/>
  <c r="B4347" i="1"/>
  <c r="A4347" i="1"/>
  <c r="C4346" i="1"/>
  <c r="B4346" i="1"/>
  <c r="A4346" i="1"/>
  <c r="C4345" i="1"/>
  <c r="B4345" i="1"/>
  <c r="A4345" i="1"/>
  <c r="C4344" i="1"/>
  <c r="B4344" i="1"/>
  <c r="A4344" i="1"/>
  <c r="C4343" i="1"/>
  <c r="B4343" i="1"/>
  <c r="A4343" i="1"/>
  <c r="C4342" i="1"/>
  <c r="B4342" i="1"/>
  <c r="A4342" i="1"/>
  <c r="C4341" i="1"/>
  <c r="B4341" i="1"/>
  <c r="A4341" i="1"/>
  <c r="C4340" i="1"/>
  <c r="B4340" i="1"/>
  <c r="A4340" i="1"/>
  <c r="C4339" i="1"/>
  <c r="B4339" i="1"/>
  <c r="A4339" i="1"/>
  <c r="C4338" i="1"/>
  <c r="B4338" i="1"/>
  <c r="A4338" i="1"/>
  <c r="C4337" i="1"/>
  <c r="B4337" i="1"/>
  <c r="A4337" i="1"/>
  <c r="C4336" i="1"/>
  <c r="B4336" i="1"/>
  <c r="A4336" i="1"/>
  <c r="C4335" i="1"/>
  <c r="B4335" i="1"/>
  <c r="A4335" i="1"/>
  <c r="C4334" i="1"/>
  <c r="B4334" i="1"/>
  <c r="A4334" i="1"/>
  <c r="C4333" i="1"/>
  <c r="B4333" i="1"/>
  <c r="A4333" i="1"/>
  <c r="C4332" i="1"/>
  <c r="B4332" i="1"/>
  <c r="A4332" i="1"/>
  <c r="C4331" i="1"/>
  <c r="B4331" i="1"/>
  <c r="A4331" i="1"/>
  <c r="C4330" i="1"/>
  <c r="B4330" i="1"/>
  <c r="A4330" i="1"/>
  <c r="C4329" i="1"/>
  <c r="B4329" i="1"/>
  <c r="A4329" i="1"/>
  <c r="C4328" i="1"/>
  <c r="B4328" i="1"/>
  <c r="A4328" i="1"/>
  <c r="C4327" i="1"/>
  <c r="B4327" i="1"/>
  <c r="A4327" i="1"/>
  <c r="C4326" i="1"/>
  <c r="B4326" i="1"/>
  <c r="A4326" i="1"/>
  <c r="C4325" i="1"/>
  <c r="B4325" i="1"/>
  <c r="A4325" i="1"/>
  <c r="C4324" i="1"/>
  <c r="B4324" i="1"/>
  <c r="A4324" i="1"/>
  <c r="C4323" i="1"/>
  <c r="B4323" i="1"/>
  <c r="A4323" i="1"/>
  <c r="C4322" i="1"/>
  <c r="B4322" i="1"/>
  <c r="A4322" i="1"/>
  <c r="C4321" i="1"/>
  <c r="B4321" i="1"/>
  <c r="A4321" i="1"/>
  <c r="C4320" i="1"/>
  <c r="B4320" i="1"/>
  <c r="A4320" i="1"/>
  <c r="C4319" i="1"/>
  <c r="B4319" i="1"/>
  <c r="A4319" i="1"/>
  <c r="C4318" i="1"/>
  <c r="B4318" i="1"/>
  <c r="A4318" i="1"/>
  <c r="C4317" i="1"/>
  <c r="B4317" i="1"/>
  <c r="A4317" i="1"/>
  <c r="C4316" i="1"/>
  <c r="B4316" i="1"/>
  <c r="A4316" i="1"/>
  <c r="C4315" i="1"/>
  <c r="B4315" i="1"/>
  <c r="A4315" i="1"/>
  <c r="C4314" i="1"/>
  <c r="B4314" i="1"/>
  <c r="A4314" i="1"/>
  <c r="C4313" i="1"/>
  <c r="B4313" i="1"/>
  <c r="A4313" i="1"/>
  <c r="C4312" i="1"/>
  <c r="B4312" i="1"/>
  <c r="A4312" i="1"/>
  <c r="C4311" i="1"/>
  <c r="B4311" i="1"/>
  <c r="A4311" i="1"/>
  <c r="C4310" i="1"/>
  <c r="B4310" i="1"/>
  <c r="A4310" i="1"/>
  <c r="C4309" i="1"/>
  <c r="B4309" i="1"/>
  <c r="A4309" i="1"/>
  <c r="C4308" i="1"/>
  <c r="B4308" i="1"/>
  <c r="A4308" i="1"/>
  <c r="C4307" i="1"/>
  <c r="B4307" i="1"/>
  <c r="A4307" i="1"/>
  <c r="C4306" i="1"/>
  <c r="B4306" i="1"/>
  <c r="A4306" i="1"/>
  <c r="C4305" i="1"/>
  <c r="B4305" i="1"/>
  <c r="A4305" i="1"/>
  <c r="C4304" i="1"/>
  <c r="B4304" i="1"/>
  <c r="A4304" i="1"/>
  <c r="C4303" i="1"/>
  <c r="B4303" i="1"/>
  <c r="A4303" i="1"/>
  <c r="C4302" i="1"/>
  <c r="B4302" i="1"/>
  <c r="A4302" i="1"/>
  <c r="C4301" i="1"/>
  <c r="B4301" i="1"/>
  <c r="A4301" i="1"/>
  <c r="C4300" i="1"/>
  <c r="B4300" i="1"/>
  <c r="A4300" i="1"/>
  <c r="C4299" i="1"/>
  <c r="B4299" i="1"/>
  <c r="A4299" i="1"/>
  <c r="C4298" i="1"/>
  <c r="B4298" i="1"/>
  <c r="A4298" i="1"/>
  <c r="C4297" i="1"/>
  <c r="B4297" i="1"/>
  <c r="A4297" i="1"/>
  <c r="C4296" i="1"/>
  <c r="B4296" i="1"/>
  <c r="A4296" i="1"/>
  <c r="C4295" i="1"/>
  <c r="B4295" i="1"/>
  <c r="A4295" i="1"/>
  <c r="C4294" i="1"/>
  <c r="B4294" i="1"/>
  <c r="A4294" i="1"/>
  <c r="C4293" i="1"/>
  <c r="B4293" i="1"/>
  <c r="A4293" i="1"/>
  <c r="C4292" i="1"/>
  <c r="B4292" i="1"/>
  <c r="A4292" i="1"/>
  <c r="C4291" i="1"/>
  <c r="B4291" i="1"/>
  <c r="A4291" i="1"/>
  <c r="C4290" i="1"/>
  <c r="B4290" i="1"/>
  <c r="A4290" i="1"/>
  <c r="C4289" i="1"/>
  <c r="B4289" i="1"/>
  <c r="A4289" i="1"/>
  <c r="C4288" i="1"/>
  <c r="B4288" i="1"/>
  <c r="A4288" i="1"/>
  <c r="C4287" i="1"/>
  <c r="B4287" i="1"/>
  <c r="A4287" i="1"/>
  <c r="C4286" i="1"/>
  <c r="B4286" i="1"/>
  <c r="A4286" i="1"/>
  <c r="C4285" i="1"/>
  <c r="B4285" i="1"/>
  <c r="A4285" i="1"/>
  <c r="C4284" i="1"/>
  <c r="B4284" i="1"/>
  <c r="A4284" i="1"/>
  <c r="C4283" i="1"/>
  <c r="B4283" i="1"/>
  <c r="A4283" i="1"/>
  <c r="C4282" i="1"/>
  <c r="B4282" i="1"/>
  <c r="A4282" i="1"/>
  <c r="C4281" i="1"/>
  <c r="B4281" i="1"/>
  <c r="A4281" i="1"/>
  <c r="C4280" i="1"/>
  <c r="B4280" i="1"/>
  <c r="A4280" i="1"/>
  <c r="C4279" i="1"/>
  <c r="B4279" i="1"/>
  <c r="A4279" i="1"/>
  <c r="C4278" i="1"/>
  <c r="B4278" i="1"/>
  <c r="A4278" i="1"/>
  <c r="C4277" i="1"/>
  <c r="B4277" i="1"/>
  <c r="A4277" i="1"/>
  <c r="C4276" i="1"/>
  <c r="B4276" i="1"/>
  <c r="A4276" i="1"/>
  <c r="C4275" i="1"/>
  <c r="B4275" i="1"/>
  <c r="A4275" i="1"/>
  <c r="C4274" i="1"/>
  <c r="B4274" i="1"/>
  <c r="A4274" i="1"/>
  <c r="C4273" i="1"/>
  <c r="B4273" i="1"/>
  <c r="A4273" i="1"/>
  <c r="C4272" i="1"/>
  <c r="B4272" i="1"/>
  <c r="A4272" i="1"/>
  <c r="C4271" i="1"/>
  <c r="B4271" i="1"/>
  <c r="A4271" i="1"/>
  <c r="C4270" i="1"/>
  <c r="B4270" i="1"/>
  <c r="A4270" i="1"/>
  <c r="C4269" i="1"/>
  <c r="B4269" i="1"/>
  <c r="A4269" i="1"/>
  <c r="C4268" i="1"/>
  <c r="B4268" i="1"/>
  <c r="A4268" i="1"/>
  <c r="C4267" i="1"/>
  <c r="B4267" i="1"/>
  <c r="A4267" i="1"/>
  <c r="C4266" i="1"/>
  <c r="B4266" i="1"/>
  <c r="A4266" i="1"/>
  <c r="C4265" i="1"/>
  <c r="B4265" i="1"/>
  <c r="A4265" i="1"/>
  <c r="C4264" i="1"/>
  <c r="B4264" i="1"/>
  <c r="A4264" i="1"/>
  <c r="C4263" i="1"/>
  <c r="B4263" i="1"/>
  <c r="A4263" i="1"/>
  <c r="C4262" i="1"/>
  <c r="B4262" i="1"/>
  <c r="A4262" i="1"/>
  <c r="C4261" i="1"/>
  <c r="B4261" i="1"/>
  <c r="A4261" i="1"/>
  <c r="C4260" i="1"/>
  <c r="B4260" i="1"/>
  <c r="A4260" i="1"/>
  <c r="C4259" i="1"/>
  <c r="B4259" i="1"/>
  <c r="A4259" i="1"/>
  <c r="C4258" i="1"/>
  <c r="B4258" i="1"/>
  <c r="A4258" i="1"/>
  <c r="C4257" i="1"/>
  <c r="B4257" i="1"/>
  <c r="A4257" i="1"/>
  <c r="C4256" i="1"/>
  <c r="B4256" i="1"/>
  <c r="A4256" i="1"/>
  <c r="C4255" i="1"/>
  <c r="B4255" i="1"/>
  <c r="A4255" i="1"/>
  <c r="C4254" i="1"/>
  <c r="B4254" i="1"/>
  <c r="A4254" i="1"/>
  <c r="C4253" i="1"/>
  <c r="B4253" i="1"/>
  <c r="A4253" i="1"/>
  <c r="C4252" i="1"/>
  <c r="B4252" i="1"/>
  <c r="A4252" i="1"/>
  <c r="C4251" i="1"/>
  <c r="B4251" i="1"/>
  <c r="A4251" i="1"/>
  <c r="C4250" i="1"/>
  <c r="B4250" i="1"/>
  <c r="A4250" i="1"/>
  <c r="C4249" i="1"/>
  <c r="B4249" i="1"/>
  <c r="A4249" i="1"/>
  <c r="C4248" i="1"/>
  <c r="B4248" i="1"/>
  <c r="A4248" i="1"/>
  <c r="C4247" i="1"/>
  <c r="B4247" i="1"/>
  <c r="A4247" i="1"/>
  <c r="C4246" i="1"/>
  <c r="B4246" i="1"/>
  <c r="A4246" i="1"/>
  <c r="C4245" i="1"/>
  <c r="B4245" i="1"/>
  <c r="A4245" i="1"/>
  <c r="C4244" i="1"/>
  <c r="B4244" i="1"/>
  <c r="A4244" i="1"/>
  <c r="C4243" i="1"/>
  <c r="B4243" i="1"/>
  <c r="A4243" i="1"/>
  <c r="C4242" i="1"/>
  <c r="B4242" i="1"/>
  <c r="A4242" i="1"/>
  <c r="C4241" i="1"/>
  <c r="B4241" i="1"/>
  <c r="A4241" i="1"/>
  <c r="C4240" i="1"/>
  <c r="B4240" i="1"/>
  <c r="A4240" i="1"/>
  <c r="C4239" i="1"/>
  <c r="B4239" i="1"/>
  <c r="A4239" i="1"/>
  <c r="C4238" i="1"/>
  <c r="B4238" i="1"/>
  <c r="A4238" i="1"/>
  <c r="C4237" i="1"/>
  <c r="B4237" i="1"/>
  <c r="A4237" i="1"/>
  <c r="C4236" i="1"/>
  <c r="B4236" i="1"/>
  <c r="A4236" i="1"/>
  <c r="C4235" i="1"/>
  <c r="B4235" i="1"/>
  <c r="A4235" i="1"/>
  <c r="C4234" i="1"/>
  <c r="B4234" i="1"/>
  <c r="A4234" i="1"/>
  <c r="C4233" i="1"/>
  <c r="B4233" i="1"/>
  <c r="A4233" i="1"/>
  <c r="C4232" i="1"/>
  <c r="B4232" i="1"/>
  <c r="A4232" i="1"/>
  <c r="C4231" i="1"/>
  <c r="B4231" i="1"/>
  <c r="A4231" i="1"/>
  <c r="C4230" i="1"/>
  <c r="B4230" i="1"/>
  <c r="A4230" i="1"/>
  <c r="C4229" i="1"/>
  <c r="B4229" i="1"/>
  <c r="A4229" i="1"/>
  <c r="C4228" i="1"/>
  <c r="B4228" i="1"/>
  <c r="A4228" i="1"/>
  <c r="C4227" i="1"/>
  <c r="B4227" i="1"/>
  <c r="A4227" i="1"/>
  <c r="C4226" i="1"/>
  <c r="B4226" i="1"/>
  <c r="A4226" i="1"/>
  <c r="C4225" i="1"/>
  <c r="B4225" i="1"/>
  <c r="A4225" i="1"/>
  <c r="C4224" i="1"/>
  <c r="B4224" i="1"/>
  <c r="A4224" i="1"/>
  <c r="C4223" i="1"/>
  <c r="B4223" i="1"/>
  <c r="A4223" i="1"/>
  <c r="C4222" i="1"/>
  <c r="B4222" i="1"/>
  <c r="A4222" i="1"/>
  <c r="C4221" i="1"/>
  <c r="B4221" i="1"/>
  <c r="A4221" i="1"/>
  <c r="C4220" i="1"/>
  <c r="B4220" i="1"/>
  <c r="A4220" i="1"/>
  <c r="C4219" i="1"/>
  <c r="B4219" i="1"/>
  <c r="A4219" i="1"/>
  <c r="C4218" i="1"/>
  <c r="B4218" i="1"/>
  <c r="A4218" i="1"/>
  <c r="C4217" i="1"/>
  <c r="B4217" i="1"/>
  <c r="A4217" i="1"/>
  <c r="C4216" i="1"/>
  <c r="B4216" i="1"/>
  <c r="A4216" i="1"/>
  <c r="C4215" i="1"/>
  <c r="B4215" i="1"/>
  <c r="A4215" i="1"/>
  <c r="C4214" i="1"/>
  <c r="B4214" i="1"/>
  <c r="A4214" i="1"/>
  <c r="C4213" i="1"/>
  <c r="B4213" i="1"/>
  <c r="A4213" i="1"/>
  <c r="C4212" i="1"/>
  <c r="B4212" i="1"/>
  <c r="A4212" i="1"/>
  <c r="C4211" i="1"/>
  <c r="B4211" i="1"/>
  <c r="A4211" i="1"/>
  <c r="C4210" i="1"/>
  <c r="B4210" i="1"/>
  <c r="A4210" i="1"/>
  <c r="C4209" i="1"/>
  <c r="B4209" i="1"/>
  <c r="A4209" i="1"/>
  <c r="C4208" i="1"/>
  <c r="B4208" i="1"/>
  <c r="A4208" i="1"/>
  <c r="C4207" i="1"/>
  <c r="B4207" i="1"/>
  <c r="A4207" i="1"/>
  <c r="C4206" i="1"/>
  <c r="B4206" i="1"/>
  <c r="A4206" i="1"/>
  <c r="C4205" i="1"/>
  <c r="B4205" i="1"/>
  <c r="A4205" i="1"/>
  <c r="C4204" i="1"/>
  <c r="B4204" i="1"/>
  <c r="A4204" i="1"/>
  <c r="C4203" i="1"/>
  <c r="B4203" i="1"/>
  <c r="A4203" i="1"/>
  <c r="C4202" i="1"/>
  <c r="B4202" i="1"/>
  <c r="A4202" i="1"/>
  <c r="C4201" i="1"/>
  <c r="B4201" i="1"/>
  <c r="A4201" i="1"/>
  <c r="C4200" i="1"/>
  <c r="B4200" i="1"/>
  <c r="A4200" i="1"/>
  <c r="C4199" i="1"/>
  <c r="B4199" i="1"/>
  <c r="A4199" i="1"/>
  <c r="C4198" i="1"/>
  <c r="B4198" i="1"/>
  <c r="A4198" i="1"/>
  <c r="C4197" i="1"/>
  <c r="B4197" i="1"/>
  <c r="A4197" i="1"/>
  <c r="C4196" i="1"/>
  <c r="B4196" i="1"/>
  <c r="A4196" i="1"/>
  <c r="C4195" i="1"/>
  <c r="B4195" i="1"/>
  <c r="A4195" i="1"/>
  <c r="C4194" i="1"/>
  <c r="B4194" i="1"/>
  <c r="A4194" i="1"/>
  <c r="C4193" i="1"/>
  <c r="B4193" i="1"/>
  <c r="A4193" i="1"/>
  <c r="C4192" i="1"/>
  <c r="B4192" i="1"/>
  <c r="A4192" i="1"/>
  <c r="C4191" i="1"/>
  <c r="B4191" i="1"/>
  <c r="A4191" i="1"/>
  <c r="C4190" i="1"/>
  <c r="B4190" i="1"/>
  <c r="A4190" i="1"/>
  <c r="C4189" i="1"/>
  <c r="B4189" i="1"/>
  <c r="A4189" i="1"/>
  <c r="C4188" i="1"/>
  <c r="B4188" i="1"/>
  <c r="A4188" i="1"/>
  <c r="C4187" i="1"/>
  <c r="B4187" i="1"/>
  <c r="A4187" i="1"/>
  <c r="C4186" i="1"/>
  <c r="B4186" i="1"/>
  <c r="A4186" i="1"/>
  <c r="C4185" i="1"/>
  <c r="B4185" i="1"/>
  <c r="A4185" i="1"/>
  <c r="C4184" i="1"/>
  <c r="B4184" i="1"/>
  <c r="A4184" i="1"/>
  <c r="C4183" i="1"/>
  <c r="B4183" i="1"/>
  <c r="A4183" i="1"/>
  <c r="C4182" i="1"/>
  <c r="B4182" i="1"/>
  <c r="A4182" i="1"/>
  <c r="C4181" i="1"/>
  <c r="B4181" i="1"/>
  <c r="A4181" i="1"/>
  <c r="C4180" i="1"/>
  <c r="B4180" i="1"/>
  <c r="A4180" i="1"/>
  <c r="C4179" i="1"/>
  <c r="B4179" i="1"/>
  <c r="A4179" i="1"/>
  <c r="C4178" i="1"/>
  <c r="B4178" i="1"/>
  <c r="A4178" i="1"/>
  <c r="C4177" i="1"/>
  <c r="B4177" i="1"/>
  <c r="A4177" i="1"/>
  <c r="C4176" i="1"/>
  <c r="B4176" i="1"/>
  <c r="A4176" i="1"/>
  <c r="C4175" i="1"/>
  <c r="B4175" i="1"/>
  <c r="A4175" i="1"/>
  <c r="C4174" i="1"/>
  <c r="B4174" i="1"/>
  <c r="A4174" i="1"/>
  <c r="C4173" i="1"/>
  <c r="B4173" i="1"/>
  <c r="A4173" i="1"/>
  <c r="C4172" i="1"/>
  <c r="B4172" i="1"/>
  <c r="A4172" i="1"/>
  <c r="C4171" i="1"/>
  <c r="B4171" i="1"/>
  <c r="A4171" i="1"/>
  <c r="C4170" i="1"/>
  <c r="B4170" i="1"/>
  <c r="A4170" i="1"/>
  <c r="C4169" i="1"/>
  <c r="B4169" i="1"/>
  <c r="A4169" i="1"/>
  <c r="C4168" i="1"/>
  <c r="B4168" i="1"/>
  <c r="A4168" i="1"/>
  <c r="C4167" i="1"/>
  <c r="B4167" i="1"/>
  <c r="A4167" i="1"/>
  <c r="C4166" i="1"/>
  <c r="B4166" i="1"/>
  <c r="A4166" i="1"/>
  <c r="C4165" i="1"/>
  <c r="B4165" i="1"/>
  <c r="A4165" i="1"/>
  <c r="C4164" i="1"/>
  <c r="B4164" i="1"/>
  <c r="A4164" i="1"/>
  <c r="C4163" i="1"/>
  <c r="B4163" i="1"/>
  <c r="A4163" i="1"/>
  <c r="C4162" i="1"/>
  <c r="B4162" i="1"/>
  <c r="A4162" i="1"/>
  <c r="C4161" i="1"/>
  <c r="B4161" i="1"/>
  <c r="A4161" i="1"/>
  <c r="C4160" i="1"/>
  <c r="B4160" i="1"/>
  <c r="A4160" i="1"/>
  <c r="C4159" i="1"/>
  <c r="B4159" i="1"/>
  <c r="A4159" i="1"/>
  <c r="C4158" i="1"/>
  <c r="B4158" i="1"/>
  <c r="A4158" i="1"/>
  <c r="C4157" i="1"/>
  <c r="B4157" i="1"/>
  <c r="A4157" i="1"/>
  <c r="C4156" i="1"/>
  <c r="B4156" i="1"/>
  <c r="A4156" i="1"/>
  <c r="C4155" i="1"/>
  <c r="B4155" i="1"/>
  <c r="A4155" i="1"/>
  <c r="C4154" i="1"/>
  <c r="B4154" i="1"/>
  <c r="A4154" i="1"/>
  <c r="C4153" i="1"/>
  <c r="B4153" i="1"/>
  <c r="A4153" i="1"/>
  <c r="C4152" i="1"/>
  <c r="B4152" i="1"/>
  <c r="A4152" i="1"/>
  <c r="C4151" i="1"/>
  <c r="B4151" i="1"/>
  <c r="A4151" i="1"/>
  <c r="C4150" i="1"/>
  <c r="B4150" i="1"/>
  <c r="A4150" i="1"/>
  <c r="C4149" i="1"/>
  <c r="B4149" i="1"/>
  <c r="A4149" i="1"/>
  <c r="C4148" i="1"/>
  <c r="B4148" i="1"/>
  <c r="A4148" i="1"/>
  <c r="C4147" i="1"/>
  <c r="B4147" i="1"/>
  <c r="A4147" i="1"/>
  <c r="C4146" i="1"/>
  <c r="B4146" i="1"/>
  <c r="A4146" i="1"/>
  <c r="C4145" i="1"/>
  <c r="B4145" i="1"/>
  <c r="A4145" i="1"/>
  <c r="C4144" i="1"/>
  <c r="B4144" i="1"/>
  <c r="A4144" i="1"/>
  <c r="C4143" i="1"/>
  <c r="B4143" i="1"/>
  <c r="A4143" i="1"/>
  <c r="C4142" i="1"/>
  <c r="B4142" i="1"/>
  <c r="A4142" i="1"/>
  <c r="C4141" i="1"/>
  <c r="B4141" i="1"/>
  <c r="A4141" i="1"/>
  <c r="C4140" i="1"/>
  <c r="B4140" i="1"/>
  <c r="A4140" i="1"/>
  <c r="C4139" i="1"/>
  <c r="B4139" i="1"/>
  <c r="A4139" i="1"/>
  <c r="C4138" i="1"/>
  <c r="B4138" i="1"/>
  <c r="A4138" i="1"/>
  <c r="C4137" i="1"/>
  <c r="B4137" i="1"/>
  <c r="A4137" i="1"/>
  <c r="C4136" i="1"/>
  <c r="B4136" i="1"/>
  <c r="A4136" i="1"/>
  <c r="C4135" i="1"/>
  <c r="B4135" i="1"/>
  <c r="A4135" i="1"/>
  <c r="C4134" i="1"/>
  <c r="B4134" i="1"/>
  <c r="A4134" i="1"/>
  <c r="C4133" i="1"/>
  <c r="B4133" i="1"/>
  <c r="A4133" i="1"/>
  <c r="C4132" i="1"/>
  <c r="B4132" i="1"/>
  <c r="A4132" i="1"/>
  <c r="C4131" i="1"/>
  <c r="B4131" i="1"/>
  <c r="A4131" i="1"/>
  <c r="C4130" i="1"/>
  <c r="B4130" i="1"/>
  <c r="A4130" i="1"/>
  <c r="C4129" i="1"/>
  <c r="B4129" i="1"/>
  <c r="A4129" i="1"/>
  <c r="C4128" i="1"/>
  <c r="B4128" i="1"/>
  <c r="A4128" i="1"/>
  <c r="C4127" i="1"/>
  <c r="B4127" i="1"/>
  <c r="A4127" i="1"/>
  <c r="C4126" i="1"/>
  <c r="B4126" i="1"/>
  <c r="A4126" i="1"/>
  <c r="C4125" i="1"/>
  <c r="B4125" i="1"/>
  <c r="A4125" i="1"/>
  <c r="C4124" i="1"/>
  <c r="B4124" i="1"/>
  <c r="A4124" i="1"/>
  <c r="C4123" i="1"/>
  <c r="B4123" i="1"/>
  <c r="A4123" i="1"/>
  <c r="C4122" i="1"/>
  <c r="B4122" i="1"/>
  <c r="A4122" i="1"/>
  <c r="C4121" i="1"/>
  <c r="B4121" i="1"/>
  <c r="A4121" i="1"/>
  <c r="C4120" i="1"/>
  <c r="B4120" i="1"/>
  <c r="A4120" i="1"/>
  <c r="C4119" i="1"/>
  <c r="B4119" i="1"/>
  <c r="A4119" i="1"/>
  <c r="C4118" i="1"/>
  <c r="B4118" i="1"/>
  <c r="A4118" i="1"/>
  <c r="C4117" i="1"/>
  <c r="B4117" i="1"/>
  <c r="A4117" i="1"/>
  <c r="C4116" i="1"/>
  <c r="B4116" i="1"/>
  <c r="A4116" i="1"/>
  <c r="C4115" i="1"/>
  <c r="B4115" i="1"/>
  <c r="A4115" i="1"/>
  <c r="C4114" i="1"/>
  <c r="B4114" i="1"/>
  <c r="A4114" i="1"/>
  <c r="C4113" i="1"/>
  <c r="B4113" i="1"/>
  <c r="A4113" i="1"/>
  <c r="C4112" i="1"/>
  <c r="B4112" i="1"/>
  <c r="A4112" i="1"/>
  <c r="C4111" i="1"/>
  <c r="B4111" i="1"/>
  <c r="A4111" i="1"/>
  <c r="C4110" i="1"/>
  <c r="B4110" i="1"/>
  <c r="A4110" i="1"/>
  <c r="C4109" i="1"/>
  <c r="B4109" i="1"/>
  <c r="A4109" i="1"/>
  <c r="C4108" i="1"/>
  <c r="B4108" i="1"/>
  <c r="A4108" i="1"/>
  <c r="C4107" i="1"/>
  <c r="B4107" i="1"/>
  <c r="A4107" i="1"/>
  <c r="C4106" i="1"/>
  <c r="B4106" i="1"/>
  <c r="A4106" i="1"/>
  <c r="C4105" i="1"/>
  <c r="B4105" i="1"/>
  <c r="A4105" i="1"/>
  <c r="C4104" i="1"/>
  <c r="B4104" i="1"/>
  <c r="A4104" i="1"/>
  <c r="C4103" i="1"/>
  <c r="B4103" i="1"/>
  <c r="A4103" i="1"/>
  <c r="C4102" i="1"/>
  <c r="B4102" i="1"/>
  <c r="A4102" i="1"/>
  <c r="C4101" i="1"/>
  <c r="B4101" i="1"/>
  <c r="A4101" i="1"/>
  <c r="C4100" i="1"/>
  <c r="B4100" i="1"/>
  <c r="A4100" i="1"/>
  <c r="C4099" i="1"/>
  <c r="B4099" i="1"/>
  <c r="A4099" i="1"/>
  <c r="C4098" i="1"/>
  <c r="B4098" i="1"/>
  <c r="A4098" i="1"/>
  <c r="C4097" i="1"/>
  <c r="B4097" i="1"/>
  <c r="A4097" i="1"/>
  <c r="C4096" i="1"/>
  <c r="B4096" i="1"/>
  <c r="A4096" i="1"/>
  <c r="C4095" i="1"/>
  <c r="B4095" i="1"/>
  <c r="A4095" i="1"/>
  <c r="C4094" i="1"/>
  <c r="B4094" i="1"/>
  <c r="A4094" i="1"/>
  <c r="C4093" i="1"/>
  <c r="B4093" i="1"/>
  <c r="A4093" i="1"/>
  <c r="C4092" i="1"/>
  <c r="B4092" i="1"/>
  <c r="A4092" i="1"/>
  <c r="C4091" i="1"/>
  <c r="B4091" i="1"/>
  <c r="A4091" i="1"/>
  <c r="C4090" i="1"/>
  <c r="B4090" i="1"/>
  <c r="A4090" i="1"/>
  <c r="C4089" i="1"/>
  <c r="B4089" i="1"/>
  <c r="A4089" i="1"/>
  <c r="C4088" i="1"/>
  <c r="B4088" i="1"/>
  <c r="A4088" i="1"/>
  <c r="C4087" i="1"/>
  <c r="B4087" i="1"/>
  <c r="A4087" i="1"/>
  <c r="C4086" i="1"/>
  <c r="B4086" i="1"/>
  <c r="A4086" i="1"/>
  <c r="C4085" i="1"/>
  <c r="B4085" i="1"/>
  <c r="A4085" i="1"/>
  <c r="C4084" i="1"/>
  <c r="B4084" i="1"/>
  <c r="A4084" i="1"/>
  <c r="C4083" i="1"/>
  <c r="B4083" i="1"/>
  <c r="A4083" i="1"/>
  <c r="C4082" i="1"/>
  <c r="B4082" i="1"/>
  <c r="A4082" i="1"/>
  <c r="C4081" i="1"/>
  <c r="B4081" i="1"/>
  <c r="A4081" i="1"/>
  <c r="C4080" i="1"/>
  <c r="B4080" i="1"/>
  <c r="A4080" i="1"/>
  <c r="C4079" i="1"/>
  <c r="B4079" i="1"/>
  <c r="A4079" i="1"/>
  <c r="C4078" i="1"/>
  <c r="B4078" i="1"/>
  <c r="A4078" i="1"/>
  <c r="C4077" i="1"/>
  <c r="B4077" i="1"/>
  <c r="A4077" i="1"/>
  <c r="C4076" i="1"/>
  <c r="B4076" i="1"/>
  <c r="A4076" i="1"/>
  <c r="C4075" i="1"/>
  <c r="B4075" i="1"/>
  <c r="A4075" i="1"/>
  <c r="C4074" i="1"/>
  <c r="B4074" i="1"/>
  <c r="A4074" i="1"/>
  <c r="C4073" i="1"/>
  <c r="B4073" i="1"/>
  <c r="A4073" i="1"/>
  <c r="C4072" i="1"/>
  <c r="B4072" i="1"/>
  <c r="A4072" i="1"/>
  <c r="C4071" i="1"/>
  <c r="B4071" i="1"/>
  <c r="A4071" i="1"/>
  <c r="C4070" i="1"/>
  <c r="B4070" i="1"/>
  <c r="A4070" i="1"/>
  <c r="C4069" i="1"/>
  <c r="B4069" i="1"/>
  <c r="A4069" i="1"/>
  <c r="C4068" i="1"/>
  <c r="B4068" i="1"/>
  <c r="A4068" i="1"/>
  <c r="C4067" i="1"/>
  <c r="B4067" i="1"/>
  <c r="A4067" i="1"/>
  <c r="C4066" i="1"/>
  <c r="B4066" i="1"/>
  <c r="A4066" i="1"/>
  <c r="C4065" i="1"/>
  <c r="B4065" i="1"/>
  <c r="A4065" i="1"/>
  <c r="C4064" i="1"/>
  <c r="B4064" i="1"/>
  <c r="A4064" i="1"/>
  <c r="C4063" i="1"/>
  <c r="B4063" i="1"/>
  <c r="A4063" i="1"/>
  <c r="C4062" i="1"/>
  <c r="B4062" i="1"/>
  <c r="A4062" i="1"/>
  <c r="C4061" i="1"/>
  <c r="B4061" i="1"/>
  <c r="A4061" i="1"/>
  <c r="C4060" i="1"/>
  <c r="B4060" i="1"/>
  <c r="A4060" i="1"/>
  <c r="C4059" i="1"/>
  <c r="B4059" i="1"/>
  <c r="A4059" i="1"/>
  <c r="C4058" i="1"/>
  <c r="B4058" i="1"/>
  <c r="A4058" i="1"/>
  <c r="C4057" i="1"/>
  <c r="B4057" i="1"/>
  <c r="A4057" i="1"/>
  <c r="C4056" i="1"/>
  <c r="B4056" i="1"/>
  <c r="A4056" i="1"/>
  <c r="C4055" i="1"/>
  <c r="B4055" i="1"/>
  <c r="A4055" i="1"/>
  <c r="C4054" i="1"/>
  <c r="B4054" i="1"/>
  <c r="A4054" i="1"/>
  <c r="C4053" i="1"/>
  <c r="B4053" i="1"/>
  <c r="A4053" i="1"/>
  <c r="C4052" i="1"/>
  <c r="B4052" i="1"/>
  <c r="A4052" i="1"/>
  <c r="C4051" i="1"/>
  <c r="B4051" i="1"/>
  <c r="A4051" i="1"/>
  <c r="C4050" i="1"/>
  <c r="B4050" i="1"/>
  <c r="A4050" i="1"/>
  <c r="C4049" i="1"/>
  <c r="B4049" i="1"/>
  <c r="A4049" i="1"/>
  <c r="C4048" i="1"/>
  <c r="B4048" i="1"/>
  <c r="A4048" i="1"/>
  <c r="C4047" i="1"/>
  <c r="B4047" i="1"/>
  <c r="A4047" i="1"/>
  <c r="C4046" i="1"/>
  <c r="B4046" i="1"/>
  <c r="A4046" i="1"/>
  <c r="C4045" i="1"/>
  <c r="B4045" i="1"/>
  <c r="A4045" i="1"/>
  <c r="C4044" i="1"/>
  <c r="B4044" i="1"/>
  <c r="A4044" i="1"/>
  <c r="C4043" i="1"/>
  <c r="B4043" i="1"/>
  <c r="A4043" i="1"/>
  <c r="C4042" i="1"/>
  <c r="B4042" i="1"/>
  <c r="A4042" i="1"/>
  <c r="C4041" i="1"/>
  <c r="B4041" i="1"/>
  <c r="A4041" i="1"/>
  <c r="C4040" i="1"/>
  <c r="B4040" i="1"/>
  <c r="A4040" i="1"/>
  <c r="C4039" i="1"/>
  <c r="B4039" i="1"/>
  <c r="A4039" i="1"/>
  <c r="C4038" i="1"/>
  <c r="B4038" i="1"/>
  <c r="A4038" i="1"/>
  <c r="C4037" i="1"/>
  <c r="B4037" i="1"/>
  <c r="A4037" i="1"/>
  <c r="C4036" i="1"/>
  <c r="B4036" i="1"/>
  <c r="A4036" i="1"/>
  <c r="C4035" i="1"/>
  <c r="B4035" i="1"/>
  <c r="A4035" i="1"/>
  <c r="C4034" i="1"/>
  <c r="B4034" i="1"/>
  <c r="A4034" i="1"/>
  <c r="C4033" i="1"/>
  <c r="B4033" i="1"/>
  <c r="A4033" i="1"/>
  <c r="C4032" i="1"/>
  <c r="B4032" i="1"/>
  <c r="A4032" i="1"/>
  <c r="C4031" i="1"/>
  <c r="B4031" i="1"/>
  <c r="A4031" i="1"/>
  <c r="C4030" i="1"/>
  <c r="B4030" i="1"/>
  <c r="A4030" i="1"/>
  <c r="C4029" i="1"/>
  <c r="B4029" i="1"/>
  <c r="A4029" i="1"/>
  <c r="C4028" i="1"/>
  <c r="B4028" i="1"/>
  <c r="A4028" i="1"/>
  <c r="C4027" i="1"/>
  <c r="B4027" i="1"/>
  <c r="A4027" i="1"/>
  <c r="C4026" i="1"/>
  <c r="B4026" i="1"/>
  <c r="A4026" i="1"/>
  <c r="C4025" i="1"/>
  <c r="B4025" i="1"/>
  <c r="A4025" i="1"/>
  <c r="C4024" i="1"/>
  <c r="B4024" i="1"/>
  <c r="A4024" i="1"/>
  <c r="C4023" i="1"/>
  <c r="B4023" i="1"/>
  <c r="A4023" i="1"/>
  <c r="C4022" i="1"/>
  <c r="B4022" i="1"/>
  <c r="A4022" i="1"/>
  <c r="C4021" i="1"/>
  <c r="B4021" i="1"/>
  <c r="A4021" i="1"/>
  <c r="C4020" i="1"/>
  <c r="B4020" i="1"/>
  <c r="A4020" i="1"/>
  <c r="C4019" i="1"/>
  <c r="B4019" i="1"/>
  <c r="A4019" i="1"/>
  <c r="C4018" i="1"/>
  <c r="B4018" i="1"/>
  <c r="A4018" i="1"/>
  <c r="C4017" i="1"/>
  <c r="B4017" i="1"/>
  <c r="A4017" i="1"/>
  <c r="C4016" i="1"/>
  <c r="B4016" i="1"/>
  <c r="A4016" i="1"/>
  <c r="C4015" i="1"/>
  <c r="B4015" i="1"/>
  <c r="A4015" i="1"/>
  <c r="C4014" i="1"/>
  <c r="B4014" i="1"/>
  <c r="A4014" i="1"/>
  <c r="C4013" i="1"/>
  <c r="B4013" i="1"/>
  <c r="A4013" i="1"/>
  <c r="C4012" i="1"/>
  <c r="B4012" i="1"/>
  <c r="A4012" i="1"/>
  <c r="C4011" i="1"/>
  <c r="B4011" i="1"/>
  <c r="A4011" i="1"/>
  <c r="C4010" i="1"/>
  <c r="B4010" i="1"/>
  <c r="A4010" i="1"/>
  <c r="C4009" i="1"/>
  <c r="B4009" i="1"/>
  <c r="A4009" i="1"/>
  <c r="C4008" i="1"/>
  <c r="B4008" i="1"/>
  <c r="A4008" i="1"/>
  <c r="C4007" i="1"/>
  <c r="B4007" i="1"/>
  <c r="A4007" i="1"/>
  <c r="C4006" i="1"/>
  <c r="B4006" i="1"/>
  <c r="A4006" i="1"/>
  <c r="C4005" i="1"/>
  <c r="B4005" i="1"/>
  <c r="A4005" i="1"/>
  <c r="C4004" i="1"/>
  <c r="B4004" i="1"/>
  <c r="A4004" i="1"/>
  <c r="C4003" i="1"/>
  <c r="B4003" i="1"/>
  <c r="A4003" i="1"/>
  <c r="C4002" i="1"/>
  <c r="B4002" i="1"/>
  <c r="A4002" i="1"/>
  <c r="C4001" i="1"/>
  <c r="B4001" i="1"/>
  <c r="A4001" i="1"/>
  <c r="C4000" i="1"/>
  <c r="B4000" i="1"/>
  <c r="A4000" i="1"/>
  <c r="C3999" i="1"/>
  <c r="B3999" i="1"/>
  <c r="A3999" i="1"/>
  <c r="C3998" i="1"/>
  <c r="B3998" i="1"/>
  <c r="A3998" i="1"/>
  <c r="C3997" i="1"/>
  <c r="B3997" i="1"/>
  <c r="A3997" i="1"/>
  <c r="C3996" i="1"/>
  <c r="B3996" i="1"/>
  <c r="A3996" i="1"/>
  <c r="C3995" i="1"/>
  <c r="B3995" i="1"/>
  <c r="A3995" i="1"/>
  <c r="C3994" i="1"/>
  <c r="B3994" i="1"/>
  <c r="A3994" i="1"/>
  <c r="C3993" i="1"/>
  <c r="B3993" i="1"/>
  <c r="A3993" i="1"/>
  <c r="C3992" i="1"/>
  <c r="B3992" i="1"/>
  <c r="A3992" i="1"/>
  <c r="C3991" i="1"/>
  <c r="B3991" i="1"/>
  <c r="A3991" i="1"/>
  <c r="C3990" i="1"/>
  <c r="B3990" i="1"/>
  <c r="A3990" i="1"/>
  <c r="C3989" i="1"/>
  <c r="B3989" i="1"/>
  <c r="A3989" i="1"/>
  <c r="C3988" i="1"/>
  <c r="B3988" i="1"/>
  <c r="A3988" i="1"/>
  <c r="C3987" i="1"/>
  <c r="B3987" i="1"/>
  <c r="A3987" i="1"/>
  <c r="C3986" i="1"/>
  <c r="B3986" i="1"/>
  <c r="A3986" i="1"/>
  <c r="C3985" i="1"/>
  <c r="B3985" i="1"/>
  <c r="A3985" i="1"/>
  <c r="C3984" i="1"/>
  <c r="B3984" i="1"/>
  <c r="A3984" i="1"/>
  <c r="C3983" i="1"/>
  <c r="B3983" i="1"/>
  <c r="A3983" i="1"/>
  <c r="C3982" i="1"/>
  <c r="B3982" i="1"/>
  <c r="A3982" i="1"/>
  <c r="C3981" i="1"/>
  <c r="B3981" i="1"/>
  <c r="A3981" i="1"/>
  <c r="C3980" i="1"/>
  <c r="B3980" i="1"/>
  <c r="A3980" i="1"/>
  <c r="C3979" i="1"/>
  <c r="B3979" i="1"/>
  <c r="A3979" i="1"/>
  <c r="C3978" i="1"/>
  <c r="B3978" i="1"/>
  <c r="A3978" i="1"/>
  <c r="C3977" i="1"/>
  <c r="B3977" i="1"/>
  <c r="A3977" i="1"/>
  <c r="C3976" i="1"/>
  <c r="B3976" i="1"/>
  <c r="A3976" i="1"/>
  <c r="C3975" i="1"/>
  <c r="B3975" i="1"/>
  <c r="A3975" i="1"/>
  <c r="C3974" i="1"/>
  <c r="B3974" i="1"/>
  <c r="A3974" i="1"/>
  <c r="C3973" i="1"/>
  <c r="B3973" i="1"/>
  <c r="A3973" i="1"/>
  <c r="C3972" i="1"/>
  <c r="B3972" i="1"/>
  <c r="A3972" i="1"/>
  <c r="C3971" i="1"/>
  <c r="B3971" i="1"/>
  <c r="A3971" i="1"/>
  <c r="C3970" i="1"/>
  <c r="B3970" i="1"/>
  <c r="A3970" i="1"/>
  <c r="C3969" i="1"/>
  <c r="B3969" i="1"/>
  <c r="A3969" i="1"/>
  <c r="C3968" i="1"/>
  <c r="B3968" i="1"/>
  <c r="A3968" i="1"/>
  <c r="C3967" i="1"/>
  <c r="B3967" i="1"/>
  <c r="A3967" i="1"/>
  <c r="C3966" i="1"/>
  <c r="B3966" i="1"/>
  <c r="A3966" i="1"/>
  <c r="C3965" i="1"/>
  <c r="B3965" i="1"/>
  <c r="A3965" i="1"/>
  <c r="C3964" i="1"/>
  <c r="B3964" i="1"/>
  <c r="A3964" i="1"/>
  <c r="C3963" i="1"/>
  <c r="B3963" i="1"/>
  <c r="A3963" i="1"/>
  <c r="C3962" i="1"/>
  <c r="B3962" i="1"/>
  <c r="A3962" i="1"/>
  <c r="C3961" i="1"/>
  <c r="B3961" i="1"/>
  <c r="A3961" i="1"/>
  <c r="C3960" i="1"/>
  <c r="B3960" i="1"/>
  <c r="A3960" i="1"/>
  <c r="C3959" i="1"/>
  <c r="B3959" i="1"/>
  <c r="A3959" i="1"/>
  <c r="C3958" i="1"/>
  <c r="B3958" i="1"/>
  <c r="A3958" i="1"/>
  <c r="C3957" i="1"/>
  <c r="B3957" i="1"/>
  <c r="A3957" i="1"/>
  <c r="C3956" i="1"/>
  <c r="B3956" i="1"/>
  <c r="A3956" i="1"/>
  <c r="C3955" i="1"/>
  <c r="B3955" i="1"/>
  <c r="A3955" i="1"/>
  <c r="C3954" i="1"/>
  <c r="B3954" i="1"/>
  <c r="A3954" i="1"/>
  <c r="C3953" i="1"/>
  <c r="B3953" i="1"/>
  <c r="A3953" i="1"/>
  <c r="C3952" i="1"/>
  <c r="B3952" i="1"/>
  <c r="A3952" i="1"/>
  <c r="C3951" i="1"/>
  <c r="B3951" i="1"/>
  <c r="A3951" i="1"/>
  <c r="C3950" i="1"/>
  <c r="B3950" i="1"/>
  <c r="A3950" i="1"/>
  <c r="C3949" i="1"/>
  <c r="B3949" i="1"/>
  <c r="A3949" i="1"/>
  <c r="C3948" i="1"/>
  <c r="B3948" i="1"/>
  <c r="A3948" i="1"/>
  <c r="C3947" i="1"/>
  <c r="B3947" i="1"/>
  <c r="A3947" i="1"/>
  <c r="C3946" i="1"/>
  <c r="B3946" i="1"/>
  <c r="A3946" i="1"/>
  <c r="C3945" i="1"/>
  <c r="B3945" i="1"/>
  <c r="A3945" i="1"/>
  <c r="C3944" i="1"/>
  <c r="B3944" i="1"/>
  <c r="A3944" i="1"/>
  <c r="C3943" i="1"/>
  <c r="B3943" i="1"/>
  <c r="A3943" i="1"/>
  <c r="C3942" i="1"/>
  <c r="B3942" i="1"/>
  <c r="A3942" i="1"/>
  <c r="C3941" i="1"/>
  <c r="B3941" i="1"/>
  <c r="A3941" i="1"/>
  <c r="C3940" i="1"/>
  <c r="B3940" i="1"/>
  <c r="A3940" i="1"/>
  <c r="C3939" i="1"/>
  <c r="B3939" i="1"/>
  <c r="A3939" i="1"/>
  <c r="C3938" i="1"/>
  <c r="B3938" i="1"/>
  <c r="A3938" i="1"/>
  <c r="C3937" i="1"/>
  <c r="B3937" i="1"/>
  <c r="A3937" i="1"/>
  <c r="C3936" i="1"/>
  <c r="B3936" i="1"/>
  <c r="A3936" i="1"/>
  <c r="C3935" i="1"/>
  <c r="B3935" i="1"/>
  <c r="A3935" i="1"/>
  <c r="C3934" i="1"/>
  <c r="B3934" i="1"/>
  <c r="A3934" i="1"/>
  <c r="C3933" i="1"/>
  <c r="B3933" i="1"/>
  <c r="A3933" i="1"/>
  <c r="C3932" i="1"/>
  <c r="B3932" i="1"/>
  <c r="A3932" i="1"/>
  <c r="C3931" i="1"/>
  <c r="B3931" i="1"/>
  <c r="A3931" i="1"/>
  <c r="C3930" i="1"/>
  <c r="B3930" i="1"/>
  <c r="A3930" i="1"/>
  <c r="C3929" i="1"/>
  <c r="B3929" i="1"/>
  <c r="A3929" i="1"/>
  <c r="C3928" i="1"/>
  <c r="B3928" i="1"/>
  <c r="A3928" i="1"/>
  <c r="C3927" i="1"/>
  <c r="B3927" i="1"/>
  <c r="A3927" i="1"/>
  <c r="C3926" i="1"/>
  <c r="B3926" i="1"/>
  <c r="A3926" i="1"/>
  <c r="C3925" i="1"/>
  <c r="B3925" i="1"/>
  <c r="A3925" i="1"/>
  <c r="C3924" i="1"/>
  <c r="B3924" i="1"/>
  <c r="A3924" i="1"/>
  <c r="C3923" i="1"/>
  <c r="B3923" i="1"/>
  <c r="A3923" i="1"/>
  <c r="C3922" i="1"/>
  <c r="B3922" i="1"/>
  <c r="A3922" i="1"/>
  <c r="C3921" i="1"/>
  <c r="B3921" i="1"/>
  <c r="A3921" i="1"/>
  <c r="C3920" i="1"/>
  <c r="B3920" i="1"/>
  <c r="A3920" i="1"/>
  <c r="C3919" i="1"/>
  <c r="B3919" i="1"/>
  <c r="A3919" i="1"/>
  <c r="C3918" i="1"/>
  <c r="B3918" i="1"/>
  <c r="A3918" i="1"/>
  <c r="C3917" i="1"/>
  <c r="B3917" i="1"/>
  <c r="A3917" i="1"/>
  <c r="C3916" i="1"/>
  <c r="B3916" i="1"/>
  <c r="A3916" i="1"/>
  <c r="C3915" i="1"/>
  <c r="B3915" i="1"/>
  <c r="A3915" i="1"/>
  <c r="C3914" i="1"/>
  <c r="B3914" i="1"/>
  <c r="A3914" i="1"/>
  <c r="C3913" i="1"/>
  <c r="B3913" i="1"/>
  <c r="A3913" i="1"/>
  <c r="C3912" i="1"/>
  <c r="B3912" i="1"/>
  <c r="A3912" i="1"/>
  <c r="C3911" i="1"/>
  <c r="B3911" i="1"/>
  <c r="A3911" i="1"/>
  <c r="C3910" i="1"/>
  <c r="B3910" i="1"/>
  <c r="A3910" i="1"/>
  <c r="C3909" i="1"/>
  <c r="B3909" i="1"/>
  <c r="A3909" i="1"/>
  <c r="C3908" i="1"/>
  <c r="B3908" i="1"/>
  <c r="A3908" i="1"/>
  <c r="C3907" i="1"/>
  <c r="B3907" i="1"/>
  <c r="A3907" i="1"/>
  <c r="C3906" i="1"/>
  <c r="B3906" i="1"/>
  <c r="A3906" i="1"/>
  <c r="C3905" i="1"/>
  <c r="B3905" i="1"/>
  <c r="A3905" i="1"/>
  <c r="C3904" i="1"/>
  <c r="B3904" i="1"/>
  <c r="A3904" i="1"/>
  <c r="C3903" i="1"/>
  <c r="B3903" i="1"/>
  <c r="A3903" i="1"/>
  <c r="C3902" i="1"/>
  <c r="B3902" i="1"/>
  <c r="A3902" i="1"/>
  <c r="C3901" i="1"/>
  <c r="B3901" i="1"/>
  <c r="A3901" i="1"/>
  <c r="C3900" i="1"/>
  <c r="B3900" i="1"/>
  <c r="A3900" i="1"/>
  <c r="C3899" i="1"/>
  <c r="B3899" i="1"/>
  <c r="A3899" i="1"/>
  <c r="C3898" i="1"/>
  <c r="B3898" i="1"/>
  <c r="A3898" i="1"/>
  <c r="C3897" i="1"/>
  <c r="B3897" i="1"/>
  <c r="A3897" i="1"/>
  <c r="C3896" i="1"/>
  <c r="B3896" i="1"/>
  <c r="A3896" i="1"/>
  <c r="C3895" i="1"/>
  <c r="B3895" i="1"/>
  <c r="A3895" i="1"/>
  <c r="C3894" i="1"/>
  <c r="B3894" i="1"/>
  <c r="A3894" i="1"/>
  <c r="C3893" i="1"/>
  <c r="B3893" i="1"/>
  <c r="A3893" i="1"/>
  <c r="C3892" i="1"/>
  <c r="B3892" i="1"/>
  <c r="A3892" i="1"/>
  <c r="C3891" i="1"/>
  <c r="B3891" i="1"/>
  <c r="A3891" i="1"/>
  <c r="C3890" i="1"/>
  <c r="B3890" i="1"/>
  <c r="A3890" i="1"/>
  <c r="C3889" i="1"/>
  <c r="B3889" i="1"/>
  <c r="A3889" i="1"/>
  <c r="C3888" i="1"/>
  <c r="B3888" i="1"/>
  <c r="A3888" i="1"/>
  <c r="C3887" i="1"/>
  <c r="B3887" i="1"/>
  <c r="A3887" i="1"/>
  <c r="C3886" i="1"/>
  <c r="B3886" i="1"/>
  <c r="A3886" i="1"/>
  <c r="C3885" i="1"/>
  <c r="B3885" i="1"/>
  <c r="A3885" i="1"/>
  <c r="C3884" i="1"/>
  <c r="B3884" i="1"/>
  <c r="A3884" i="1"/>
  <c r="C3883" i="1"/>
  <c r="B3883" i="1"/>
  <c r="A3883" i="1"/>
  <c r="C3882" i="1"/>
  <c r="B3882" i="1"/>
  <c r="A3882" i="1"/>
  <c r="C3881" i="1"/>
  <c r="B3881" i="1"/>
  <c r="A3881" i="1"/>
  <c r="C3880" i="1"/>
  <c r="B3880" i="1"/>
  <c r="A3880" i="1"/>
  <c r="C3879" i="1"/>
  <c r="B3879" i="1"/>
  <c r="A3879" i="1"/>
  <c r="C3878" i="1"/>
  <c r="B3878" i="1"/>
  <c r="A3878" i="1"/>
  <c r="C3877" i="1"/>
  <c r="B3877" i="1"/>
  <c r="A3877" i="1"/>
  <c r="C3876" i="1"/>
  <c r="B3876" i="1"/>
  <c r="A3876" i="1"/>
  <c r="C3875" i="1"/>
  <c r="B3875" i="1"/>
  <c r="A3875" i="1"/>
  <c r="C3874" i="1"/>
  <c r="B3874" i="1"/>
  <c r="A3874" i="1"/>
  <c r="C3873" i="1"/>
  <c r="B3873" i="1"/>
  <c r="A3873" i="1"/>
  <c r="C3872" i="1"/>
  <c r="B3872" i="1"/>
  <c r="A3872" i="1"/>
  <c r="C3871" i="1"/>
  <c r="B3871" i="1"/>
  <c r="A3871" i="1"/>
  <c r="C3870" i="1"/>
  <c r="B3870" i="1"/>
  <c r="A3870" i="1"/>
  <c r="C3869" i="1"/>
  <c r="B3869" i="1"/>
  <c r="A3869" i="1"/>
  <c r="C3868" i="1"/>
  <c r="B3868" i="1"/>
  <c r="A3868" i="1"/>
  <c r="C3867" i="1"/>
  <c r="B3867" i="1"/>
  <c r="A3867" i="1"/>
  <c r="C3866" i="1"/>
  <c r="B3866" i="1"/>
  <c r="A3866" i="1"/>
  <c r="C3865" i="1"/>
  <c r="B3865" i="1"/>
  <c r="A3865" i="1"/>
  <c r="C3864" i="1"/>
  <c r="B3864" i="1"/>
  <c r="A3864" i="1"/>
  <c r="C3863" i="1"/>
  <c r="B3863" i="1"/>
  <c r="A3863" i="1"/>
  <c r="C3862" i="1"/>
  <c r="B3862" i="1"/>
  <c r="A3862" i="1"/>
  <c r="C3861" i="1"/>
  <c r="B3861" i="1"/>
  <c r="A3861" i="1"/>
  <c r="C3860" i="1"/>
  <c r="B3860" i="1"/>
  <c r="A3860" i="1"/>
  <c r="C3859" i="1"/>
  <c r="B3859" i="1"/>
  <c r="A3859" i="1"/>
  <c r="C3858" i="1"/>
  <c r="B3858" i="1"/>
  <c r="A3858" i="1"/>
  <c r="C3857" i="1"/>
  <c r="B3857" i="1"/>
  <c r="A3857" i="1"/>
  <c r="C3856" i="1"/>
  <c r="B3856" i="1"/>
  <c r="A3856" i="1"/>
  <c r="C3855" i="1"/>
  <c r="B3855" i="1"/>
  <c r="A3855" i="1"/>
  <c r="C3854" i="1"/>
  <c r="B3854" i="1"/>
  <c r="A3854" i="1"/>
  <c r="C3853" i="1"/>
  <c r="B3853" i="1"/>
  <c r="A3853" i="1"/>
  <c r="C3852" i="1"/>
  <c r="B3852" i="1"/>
  <c r="A3852" i="1"/>
  <c r="C3851" i="1"/>
  <c r="B3851" i="1"/>
  <c r="A3851" i="1"/>
  <c r="C3850" i="1"/>
  <c r="B3850" i="1"/>
  <c r="A3850" i="1"/>
  <c r="C3849" i="1"/>
  <c r="B3849" i="1"/>
  <c r="A3849" i="1"/>
  <c r="C3848" i="1"/>
  <c r="B3848" i="1"/>
  <c r="A3848" i="1"/>
  <c r="C3847" i="1"/>
  <c r="B3847" i="1"/>
  <c r="A3847" i="1"/>
  <c r="C3846" i="1"/>
  <c r="B3846" i="1"/>
  <c r="A3846" i="1"/>
  <c r="C3845" i="1"/>
  <c r="B3845" i="1"/>
  <c r="A3845" i="1"/>
  <c r="C3844" i="1"/>
  <c r="B3844" i="1"/>
  <c r="A3844" i="1"/>
  <c r="C3843" i="1"/>
  <c r="B3843" i="1"/>
  <c r="A3843" i="1"/>
  <c r="C3842" i="1"/>
  <c r="B3842" i="1"/>
  <c r="A3842" i="1"/>
  <c r="C3841" i="1"/>
  <c r="B3841" i="1"/>
  <c r="A3841" i="1"/>
  <c r="C3840" i="1"/>
  <c r="B3840" i="1"/>
  <c r="A3840" i="1"/>
  <c r="C3839" i="1"/>
  <c r="B3839" i="1"/>
  <c r="A3839" i="1"/>
  <c r="C3838" i="1"/>
  <c r="B3838" i="1"/>
  <c r="A3838" i="1"/>
  <c r="C3837" i="1"/>
  <c r="B3837" i="1"/>
  <c r="A3837" i="1"/>
  <c r="C3836" i="1"/>
  <c r="B3836" i="1"/>
  <c r="A3836" i="1"/>
  <c r="C3835" i="1"/>
  <c r="B3835" i="1"/>
  <c r="A3835" i="1"/>
  <c r="C3834" i="1"/>
  <c r="B3834" i="1"/>
  <c r="A3834" i="1"/>
  <c r="C3833" i="1"/>
  <c r="B3833" i="1"/>
  <c r="A3833" i="1"/>
  <c r="C3832" i="1"/>
  <c r="B3832" i="1"/>
  <c r="A3832" i="1"/>
  <c r="C3831" i="1"/>
  <c r="B3831" i="1"/>
  <c r="A3831" i="1"/>
  <c r="C3830" i="1"/>
  <c r="B3830" i="1"/>
  <c r="A3830" i="1"/>
  <c r="C3829" i="1"/>
  <c r="B3829" i="1"/>
  <c r="A3829" i="1"/>
  <c r="C3828" i="1"/>
  <c r="B3828" i="1"/>
  <c r="A3828" i="1"/>
  <c r="C3827" i="1"/>
  <c r="B3827" i="1"/>
  <c r="A3827" i="1"/>
  <c r="C3826" i="1"/>
  <c r="B3826" i="1"/>
  <c r="A3826" i="1"/>
  <c r="C3825" i="1"/>
  <c r="B3825" i="1"/>
  <c r="A3825" i="1"/>
  <c r="C3824" i="1"/>
  <c r="B3824" i="1"/>
  <c r="A3824" i="1"/>
  <c r="C3823" i="1"/>
  <c r="B3823" i="1"/>
  <c r="A3823" i="1"/>
  <c r="C3822" i="1"/>
  <c r="B3822" i="1"/>
  <c r="A3822" i="1"/>
  <c r="C3821" i="1"/>
  <c r="B3821" i="1"/>
  <c r="A3821" i="1"/>
  <c r="C3820" i="1"/>
  <c r="B3820" i="1"/>
  <c r="A3820" i="1"/>
  <c r="C3819" i="1"/>
  <c r="B3819" i="1"/>
  <c r="A3819" i="1"/>
  <c r="C3818" i="1"/>
  <c r="B3818" i="1"/>
  <c r="A3818" i="1"/>
  <c r="C3817" i="1"/>
  <c r="B3817" i="1"/>
  <c r="A3817" i="1"/>
  <c r="C3816" i="1"/>
  <c r="B3816" i="1"/>
  <c r="A3816" i="1"/>
  <c r="C3815" i="1"/>
  <c r="B3815" i="1"/>
  <c r="A3815" i="1"/>
  <c r="C3814" i="1"/>
  <c r="B3814" i="1"/>
  <c r="A3814" i="1"/>
  <c r="C3813" i="1"/>
  <c r="B3813" i="1"/>
  <c r="A3813" i="1"/>
  <c r="C3812" i="1"/>
  <c r="B3812" i="1"/>
  <c r="A3812" i="1"/>
  <c r="C3811" i="1"/>
  <c r="B3811" i="1"/>
  <c r="A3811" i="1"/>
  <c r="C3810" i="1"/>
  <c r="B3810" i="1"/>
  <c r="A3810" i="1"/>
  <c r="C3809" i="1"/>
  <c r="B3809" i="1"/>
  <c r="A3809" i="1"/>
  <c r="C3808" i="1"/>
  <c r="B3808" i="1"/>
  <c r="A3808" i="1"/>
  <c r="C3807" i="1"/>
  <c r="B3807" i="1"/>
  <c r="A3807" i="1"/>
  <c r="C3806" i="1"/>
  <c r="B3806" i="1"/>
  <c r="A3806" i="1"/>
  <c r="C3805" i="1"/>
  <c r="B3805" i="1"/>
  <c r="A3805" i="1"/>
  <c r="C3804" i="1"/>
  <c r="B3804" i="1"/>
  <c r="A3804" i="1"/>
  <c r="C3803" i="1"/>
  <c r="B3803" i="1"/>
  <c r="A3803" i="1"/>
  <c r="C3802" i="1"/>
  <c r="B3802" i="1"/>
  <c r="A3802" i="1"/>
  <c r="C3801" i="1"/>
  <c r="B3801" i="1"/>
  <c r="A3801" i="1"/>
  <c r="C3800" i="1"/>
  <c r="B3800" i="1"/>
  <c r="A3800" i="1"/>
  <c r="C3799" i="1"/>
  <c r="B3799" i="1"/>
  <c r="A3799" i="1"/>
  <c r="C3798" i="1"/>
  <c r="B3798" i="1"/>
  <c r="A3798" i="1"/>
  <c r="C3797" i="1"/>
  <c r="B3797" i="1"/>
  <c r="A3797" i="1"/>
  <c r="C3796" i="1"/>
  <c r="B3796" i="1"/>
  <c r="A3796" i="1"/>
  <c r="C3795" i="1"/>
  <c r="B3795" i="1"/>
  <c r="A3795" i="1"/>
  <c r="C3794" i="1"/>
  <c r="B3794" i="1"/>
  <c r="A3794" i="1"/>
  <c r="C3793" i="1"/>
  <c r="B3793" i="1"/>
  <c r="A3793" i="1"/>
  <c r="C3792" i="1"/>
  <c r="B3792" i="1"/>
  <c r="A3792" i="1"/>
  <c r="C3791" i="1"/>
  <c r="B3791" i="1"/>
  <c r="A3791" i="1"/>
  <c r="C3790" i="1"/>
  <c r="B3790" i="1"/>
  <c r="A3790" i="1"/>
  <c r="C3789" i="1"/>
  <c r="B3789" i="1"/>
  <c r="A3789" i="1"/>
  <c r="C3788" i="1"/>
  <c r="B3788" i="1"/>
  <c r="A3788" i="1"/>
  <c r="C3787" i="1"/>
  <c r="B3787" i="1"/>
  <c r="A3787" i="1"/>
  <c r="C3786" i="1"/>
  <c r="B3786" i="1"/>
  <c r="A3786" i="1"/>
  <c r="C3785" i="1"/>
  <c r="B3785" i="1"/>
  <c r="A3785" i="1"/>
  <c r="C3784" i="1"/>
  <c r="B3784" i="1"/>
  <c r="A3784" i="1"/>
  <c r="C3783" i="1"/>
  <c r="B3783" i="1"/>
  <c r="A3783" i="1"/>
  <c r="C3782" i="1"/>
  <c r="B3782" i="1"/>
  <c r="A3782" i="1"/>
  <c r="C3781" i="1"/>
  <c r="B3781" i="1"/>
  <c r="A3781" i="1"/>
  <c r="C3780" i="1"/>
  <c r="B3780" i="1"/>
  <c r="A3780" i="1"/>
  <c r="C3779" i="1"/>
  <c r="B3779" i="1"/>
  <c r="A3779" i="1"/>
  <c r="C3778" i="1"/>
  <c r="B3778" i="1"/>
  <c r="A3778" i="1"/>
  <c r="C3777" i="1"/>
  <c r="B3777" i="1"/>
  <c r="A3777" i="1"/>
  <c r="C3776" i="1"/>
  <c r="B3776" i="1"/>
  <c r="A3776" i="1"/>
  <c r="C3775" i="1"/>
  <c r="B3775" i="1"/>
  <c r="A3775" i="1"/>
  <c r="C3774" i="1"/>
  <c r="B3774" i="1"/>
  <c r="A3774" i="1"/>
  <c r="C3773" i="1"/>
  <c r="B3773" i="1"/>
  <c r="A3773" i="1"/>
  <c r="C3772" i="1"/>
  <c r="B3772" i="1"/>
  <c r="A3772" i="1"/>
  <c r="C3771" i="1"/>
  <c r="B3771" i="1"/>
  <c r="A3771" i="1"/>
  <c r="C3770" i="1"/>
  <c r="B3770" i="1"/>
  <c r="A3770" i="1"/>
  <c r="C3769" i="1"/>
  <c r="B3769" i="1"/>
  <c r="A3769" i="1"/>
  <c r="C3768" i="1"/>
  <c r="B3768" i="1"/>
  <c r="A3768" i="1"/>
  <c r="C3767" i="1"/>
  <c r="B3767" i="1"/>
  <c r="A3767" i="1"/>
  <c r="C3766" i="1"/>
  <c r="B3766" i="1"/>
  <c r="A3766" i="1"/>
  <c r="C3765" i="1"/>
  <c r="B3765" i="1"/>
  <c r="A3765" i="1"/>
  <c r="C3764" i="1"/>
  <c r="B3764" i="1"/>
  <c r="A3764" i="1"/>
  <c r="C3763" i="1"/>
  <c r="B3763" i="1"/>
  <c r="A3763" i="1"/>
  <c r="C3762" i="1"/>
  <c r="B3762" i="1"/>
  <c r="A3762" i="1"/>
  <c r="C3761" i="1"/>
  <c r="B3761" i="1"/>
  <c r="A3761" i="1"/>
  <c r="C3760" i="1"/>
  <c r="B3760" i="1"/>
  <c r="A3760" i="1"/>
  <c r="C3759" i="1"/>
  <c r="B3759" i="1"/>
  <c r="A3759" i="1"/>
  <c r="C3758" i="1"/>
  <c r="B3758" i="1"/>
  <c r="A3758" i="1"/>
  <c r="C3757" i="1"/>
  <c r="B3757" i="1"/>
  <c r="A3757" i="1"/>
  <c r="C3756" i="1"/>
  <c r="B3756" i="1"/>
  <c r="A3756" i="1"/>
  <c r="C3755" i="1"/>
  <c r="B3755" i="1"/>
  <c r="A3755" i="1"/>
  <c r="C3754" i="1"/>
  <c r="B3754" i="1"/>
  <c r="A3754" i="1"/>
  <c r="C3753" i="1"/>
  <c r="B3753" i="1"/>
  <c r="A3753" i="1"/>
  <c r="C3752" i="1"/>
  <c r="B3752" i="1"/>
  <c r="A3752" i="1"/>
  <c r="C3751" i="1"/>
  <c r="B3751" i="1"/>
  <c r="A3751" i="1"/>
  <c r="C3750" i="1"/>
  <c r="B3750" i="1"/>
  <c r="A3750" i="1"/>
  <c r="C3749" i="1"/>
  <c r="B3749" i="1"/>
  <c r="A3749" i="1"/>
  <c r="C3748" i="1"/>
  <c r="B3748" i="1"/>
  <c r="A3748" i="1"/>
  <c r="C3747" i="1"/>
  <c r="B3747" i="1"/>
  <c r="A3747" i="1"/>
  <c r="C3746" i="1"/>
  <c r="B3746" i="1"/>
  <c r="A3746" i="1"/>
  <c r="C3745" i="1"/>
  <c r="B3745" i="1"/>
  <c r="A3745" i="1"/>
  <c r="C3744" i="1"/>
  <c r="B3744" i="1"/>
  <c r="A3744" i="1"/>
  <c r="C3743" i="1"/>
  <c r="B3743" i="1"/>
  <c r="A3743" i="1"/>
  <c r="C3742" i="1"/>
  <c r="B3742" i="1"/>
  <c r="A3742" i="1"/>
  <c r="C3741" i="1"/>
  <c r="B3741" i="1"/>
  <c r="A3741" i="1"/>
  <c r="C3740" i="1"/>
  <c r="B3740" i="1"/>
  <c r="A3740" i="1"/>
  <c r="C3739" i="1"/>
  <c r="B3739" i="1"/>
  <c r="A3739" i="1"/>
  <c r="C3738" i="1"/>
  <c r="B3738" i="1"/>
  <c r="A3738" i="1"/>
  <c r="C3737" i="1"/>
  <c r="B3737" i="1"/>
  <c r="A3737" i="1"/>
  <c r="C3736" i="1"/>
  <c r="B3736" i="1"/>
  <c r="A3736" i="1"/>
  <c r="C3735" i="1"/>
  <c r="B3735" i="1"/>
  <c r="A3735" i="1"/>
  <c r="C3734" i="1"/>
  <c r="B3734" i="1"/>
  <c r="A3734" i="1"/>
  <c r="C3733" i="1"/>
  <c r="B3733" i="1"/>
  <c r="A3733" i="1"/>
  <c r="C3732" i="1"/>
  <c r="B3732" i="1"/>
  <c r="A3732" i="1"/>
  <c r="C3731" i="1"/>
  <c r="B3731" i="1"/>
  <c r="A3731" i="1"/>
  <c r="C3730" i="1"/>
  <c r="B3730" i="1"/>
  <c r="A3730" i="1"/>
  <c r="C3729" i="1"/>
  <c r="B3729" i="1"/>
  <c r="A3729" i="1"/>
  <c r="C3728" i="1"/>
  <c r="B3728" i="1"/>
  <c r="A3728" i="1"/>
  <c r="C3727" i="1"/>
  <c r="B3727" i="1"/>
  <c r="A3727" i="1"/>
  <c r="C3726" i="1"/>
  <c r="B3726" i="1"/>
  <c r="A3726" i="1"/>
  <c r="C3725" i="1"/>
  <c r="B3725" i="1"/>
  <c r="A3725" i="1"/>
  <c r="C3724" i="1"/>
  <c r="B3724" i="1"/>
  <c r="A3724" i="1"/>
  <c r="C3723" i="1"/>
  <c r="B3723" i="1"/>
  <c r="A3723" i="1"/>
  <c r="C3722" i="1"/>
  <c r="B3722" i="1"/>
  <c r="A3722" i="1"/>
  <c r="C3721" i="1"/>
  <c r="B3721" i="1"/>
  <c r="A3721" i="1"/>
  <c r="C3720" i="1"/>
  <c r="B3720" i="1"/>
  <c r="A3720" i="1"/>
  <c r="C3719" i="1"/>
  <c r="B3719" i="1"/>
  <c r="A3719" i="1"/>
  <c r="C3718" i="1"/>
  <c r="B3718" i="1"/>
  <c r="A3718" i="1"/>
  <c r="C3717" i="1"/>
  <c r="B3717" i="1"/>
  <c r="A3717" i="1"/>
  <c r="C3716" i="1"/>
  <c r="B3716" i="1"/>
  <c r="A3716" i="1"/>
  <c r="C3715" i="1"/>
  <c r="B3715" i="1"/>
  <c r="A3715" i="1"/>
  <c r="C3714" i="1"/>
  <c r="B3714" i="1"/>
  <c r="A3714" i="1"/>
  <c r="C3713" i="1"/>
  <c r="B3713" i="1"/>
  <c r="A3713" i="1"/>
  <c r="C3712" i="1"/>
  <c r="B3712" i="1"/>
  <c r="A3712" i="1"/>
  <c r="C3711" i="1"/>
  <c r="B3711" i="1"/>
  <c r="A3711" i="1"/>
  <c r="C3710" i="1"/>
  <c r="B3710" i="1"/>
  <c r="A3710" i="1"/>
  <c r="C3709" i="1"/>
  <c r="B3709" i="1"/>
  <c r="A3709" i="1"/>
  <c r="C3708" i="1"/>
  <c r="B3708" i="1"/>
  <c r="A3708" i="1"/>
  <c r="C3707" i="1"/>
  <c r="B3707" i="1"/>
  <c r="A3707" i="1"/>
  <c r="C3706" i="1"/>
  <c r="B3706" i="1"/>
  <c r="A3706" i="1"/>
  <c r="C3705" i="1"/>
  <c r="B3705" i="1"/>
  <c r="A3705" i="1"/>
  <c r="C3704" i="1"/>
  <c r="B3704" i="1"/>
  <c r="A3704" i="1"/>
  <c r="C3703" i="1"/>
  <c r="B3703" i="1"/>
  <c r="A3703" i="1"/>
  <c r="C3702" i="1"/>
  <c r="B3702" i="1"/>
  <c r="A3702" i="1"/>
  <c r="C3701" i="1"/>
  <c r="B3701" i="1"/>
  <c r="A3701" i="1"/>
  <c r="C3700" i="1"/>
  <c r="B3700" i="1"/>
  <c r="A3700" i="1"/>
  <c r="C3699" i="1"/>
  <c r="B3699" i="1"/>
  <c r="A3699" i="1"/>
  <c r="C3698" i="1"/>
  <c r="B3698" i="1"/>
  <c r="A3698" i="1"/>
  <c r="C3697" i="1"/>
  <c r="B3697" i="1"/>
  <c r="A3697" i="1"/>
  <c r="C3696" i="1"/>
  <c r="B3696" i="1"/>
  <c r="A3696" i="1"/>
  <c r="C3695" i="1"/>
  <c r="B3695" i="1"/>
  <c r="A3695" i="1"/>
  <c r="C3694" i="1"/>
  <c r="B3694" i="1"/>
  <c r="A3694" i="1"/>
  <c r="C3693" i="1"/>
  <c r="B3693" i="1"/>
  <c r="A3693" i="1"/>
  <c r="C3692" i="1"/>
  <c r="B3692" i="1"/>
  <c r="A3692" i="1"/>
  <c r="C3691" i="1"/>
  <c r="B3691" i="1"/>
  <c r="A3691" i="1"/>
  <c r="C3690" i="1"/>
  <c r="B3690" i="1"/>
  <c r="A3690" i="1"/>
  <c r="C3689" i="1"/>
  <c r="B3689" i="1"/>
  <c r="A3689" i="1"/>
  <c r="C3688" i="1"/>
  <c r="B3688" i="1"/>
  <c r="A3688" i="1"/>
  <c r="C3687" i="1"/>
  <c r="B3687" i="1"/>
  <c r="A3687" i="1"/>
  <c r="C3686" i="1"/>
  <c r="B3686" i="1"/>
  <c r="A3686" i="1"/>
  <c r="C3685" i="1"/>
  <c r="B3685" i="1"/>
  <c r="A3685" i="1"/>
  <c r="C3684" i="1"/>
  <c r="B3684" i="1"/>
  <c r="A3684" i="1"/>
  <c r="C3683" i="1"/>
  <c r="B3683" i="1"/>
  <c r="A3683" i="1"/>
  <c r="C3682" i="1"/>
  <c r="B3682" i="1"/>
  <c r="A3682" i="1"/>
  <c r="C3681" i="1"/>
  <c r="B3681" i="1"/>
  <c r="A3681" i="1"/>
  <c r="C3680" i="1"/>
  <c r="B3680" i="1"/>
  <c r="A3680" i="1"/>
  <c r="C3679" i="1"/>
  <c r="B3679" i="1"/>
  <c r="A3679" i="1"/>
  <c r="C3678" i="1"/>
  <c r="B3678" i="1"/>
  <c r="A3678" i="1"/>
  <c r="C3677" i="1"/>
  <c r="B3677" i="1"/>
  <c r="A3677" i="1"/>
  <c r="C3676" i="1"/>
  <c r="B3676" i="1"/>
  <c r="A3676" i="1"/>
  <c r="C3675" i="1"/>
  <c r="B3675" i="1"/>
  <c r="A3675" i="1"/>
  <c r="C3674" i="1"/>
  <c r="B3674" i="1"/>
  <c r="A3674" i="1"/>
  <c r="C3673" i="1"/>
  <c r="B3673" i="1"/>
  <c r="A3673" i="1"/>
  <c r="C3672" i="1"/>
  <c r="B3672" i="1"/>
  <c r="A3672" i="1"/>
  <c r="C3671" i="1"/>
  <c r="B3671" i="1"/>
  <c r="A3671" i="1"/>
  <c r="C3670" i="1"/>
  <c r="B3670" i="1"/>
  <c r="A3670" i="1"/>
  <c r="C3669" i="1"/>
  <c r="B3669" i="1"/>
  <c r="A3669" i="1"/>
  <c r="C3668" i="1"/>
  <c r="B3668" i="1"/>
  <c r="A3668" i="1"/>
  <c r="C3667" i="1"/>
  <c r="B3667" i="1"/>
  <c r="A3667" i="1"/>
  <c r="C3666" i="1"/>
  <c r="B3666" i="1"/>
  <c r="A3666" i="1"/>
  <c r="C3665" i="1"/>
  <c r="B3665" i="1"/>
  <c r="A3665" i="1"/>
  <c r="C3664" i="1"/>
  <c r="B3664" i="1"/>
  <c r="A3664" i="1"/>
  <c r="C3663" i="1"/>
  <c r="B3663" i="1"/>
  <c r="A3663" i="1"/>
  <c r="C3662" i="1"/>
  <c r="B3662" i="1"/>
  <c r="A3662" i="1"/>
  <c r="C3661" i="1"/>
  <c r="B3661" i="1"/>
  <c r="A3661" i="1"/>
  <c r="C3660" i="1"/>
  <c r="B3660" i="1"/>
  <c r="A3660" i="1"/>
  <c r="C3659" i="1"/>
  <c r="B3659" i="1"/>
  <c r="A3659" i="1"/>
  <c r="C3658" i="1"/>
  <c r="B3658" i="1"/>
  <c r="A3658" i="1"/>
  <c r="C3657" i="1"/>
  <c r="B3657" i="1"/>
  <c r="A3657" i="1"/>
  <c r="C3656" i="1"/>
  <c r="B3656" i="1"/>
  <c r="A3656" i="1"/>
  <c r="C3655" i="1"/>
  <c r="B3655" i="1"/>
  <c r="A3655" i="1"/>
  <c r="C3654" i="1"/>
  <c r="B3654" i="1"/>
  <c r="A3654" i="1"/>
  <c r="C3653" i="1"/>
  <c r="B3653" i="1"/>
  <c r="A3653" i="1"/>
  <c r="C3652" i="1"/>
  <c r="B3652" i="1"/>
  <c r="A3652" i="1"/>
  <c r="C3651" i="1"/>
  <c r="B3651" i="1"/>
  <c r="A3651" i="1"/>
  <c r="C3650" i="1"/>
  <c r="B3650" i="1"/>
  <c r="A3650" i="1"/>
  <c r="C3649" i="1"/>
  <c r="B3649" i="1"/>
  <c r="A3649" i="1"/>
  <c r="C3648" i="1"/>
  <c r="B3648" i="1"/>
  <c r="A3648" i="1"/>
  <c r="C3647" i="1"/>
  <c r="B3647" i="1"/>
  <c r="A3647" i="1"/>
  <c r="C3646" i="1"/>
  <c r="B3646" i="1"/>
  <c r="A3646" i="1"/>
  <c r="C3645" i="1"/>
  <c r="B3645" i="1"/>
  <c r="A3645" i="1"/>
  <c r="C3644" i="1"/>
  <c r="B3644" i="1"/>
  <c r="A3644" i="1"/>
  <c r="C3643" i="1"/>
  <c r="B3643" i="1"/>
  <c r="A3643" i="1"/>
  <c r="C3642" i="1"/>
  <c r="B3642" i="1"/>
  <c r="A3642" i="1"/>
  <c r="C3641" i="1"/>
  <c r="B3641" i="1"/>
  <c r="A3641" i="1"/>
  <c r="C3640" i="1"/>
  <c r="B3640" i="1"/>
  <c r="A3640" i="1"/>
  <c r="C3639" i="1"/>
  <c r="B3639" i="1"/>
  <c r="A3639" i="1"/>
  <c r="C3638" i="1"/>
  <c r="B3638" i="1"/>
  <c r="A3638" i="1"/>
  <c r="C3637" i="1"/>
  <c r="B3637" i="1"/>
  <c r="A3637" i="1"/>
  <c r="C3636" i="1"/>
  <c r="B3636" i="1"/>
  <c r="A3636" i="1"/>
  <c r="C3635" i="1"/>
  <c r="B3635" i="1"/>
  <c r="A3635" i="1"/>
  <c r="C3634" i="1"/>
  <c r="B3634" i="1"/>
  <c r="A3634" i="1"/>
  <c r="C3633" i="1"/>
  <c r="B3633" i="1"/>
  <c r="A3633" i="1"/>
  <c r="C3632" i="1"/>
  <c r="B3632" i="1"/>
  <c r="A3632" i="1"/>
  <c r="C3631" i="1"/>
  <c r="B3631" i="1"/>
  <c r="A3631" i="1"/>
  <c r="C3630" i="1"/>
  <c r="B3630" i="1"/>
  <c r="A3630" i="1"/>
  <c r="C3629" i="1"/>
  <c r="B3629" i="1"/>
  <c r="A3629" i="1"/>
  <c r="C3628" i="1"/>
  <c r="B3628" i="1"/>
  <c r="A3628" i="1"/>
  <c r="C3627" i="1"/>
  <c r="B3627" i="1"/>
  <c r="A3627" i="1"/>
  <c r="C3626" i="1"/>
  <c r="B3626" i="1"/>
  <c r="A3626" i="1"/>
  <c r="C3625" i="1"/>
  <c r="B3625" i="1"/>
  <c r="A3625" i="1"/>
  <c r="C3624" i="1"/>
  <c r="B3624" i="1"/>
  <c r="A3624" i="1"/>
  <c r="C3623" i="1"/>
  <c r="B3623" i="1"/>
  <c r="A3623" i="1"/>
  <c r="C3622" i="1"/>
  <c r="B3622" i="1"/>
  <c r="A3622" i="1"/>
  <c r="C3621" i="1"/>
  <c r="B3621" i="1"/>
  <c r="A3621" i="1"/>
  <c r="C3620" i="1"/>
  <c r="B3620" i="1"/>
  <c r="A3620" i="1"/>
  <c r="C3619" i="1"/>
  <c r="B3619" i="1"/>
  <c r="A3619" i="1"/>
  <c r="C3618" i="1"/>
  <c r="B3618" i="1"/>
  <c r="A3618" i="1"/>
  <c r="C3617" i="1"/>
  <c r="B3617" i="1"/>
  <c r="A3617" i="1"/>
  <c r="C3616" i="1"/>
  <c r="B3616" i="1"/>
  <c r="A3616" i="1"/>
  <c r="C3615" i="1"/>
  <c r="B3615" i="1"/>
  <c r="A3615" i="1"/>
  <c r="C3614" i="1"/>
  <c r="B3614" i="1"/>
  <c r="A3614" i="1"/>
  <c r="C3613" i="1"/>
  <c r="B3613" i="1"/>
  <c r="A3613" i="1"/>
  <c r="C3612" i="1"/>
  <c r="B3612" i="1"/>
  <c r="A3612" i="1"/>
  <c r="C3611" i="1"/>
  <c r="B3611" i="1"/>
  <c r="A3611" i="1"/>
  <c r="C3610" i="1"/>
  <c r="B3610" i="1"/>
  <c r="A3610" i="1"/>
  <c r="C3609" i="1"/>
  <c r="B3609" i="1"/>
  <c r="A3609" i="1"/>
  <c r="C3608" i="1"/>
  <c r="B3608" i="1"/>
  <c r="A3608" i="1"/>
  <c r="C3607" i="1"/>
  <c r="B3607" i="1"/>
  <c r="A3607" i="1"/>
  <c r="C3606" i="1"/>
  <c r="B3606" i="1"/>
  <c r="A3606" i="1"/>
  <c r="C3605" i="1"/>
  <c r="B3605" i="1"/>
  <c r="A3605" i="1"/>
  <c r="C3604" i="1"/>
  <c r="B3604" i="1"/>
  <c r="A3604" i="1"/>
  <c r="C3603" i="1"/>
  <c r="B3603" i="1"/>
  <c r="A3603" i="1"/>
  <c r="C3602" i="1"/>
  <c r="B3602" i="1"/>
  <c r="A3602" i="1"/>
  <c r="C3601" i="1"/>
  <c r="B3601" i="1"/>
  <c r="A3601" i="1"/>
  <c r="C3600" i="1"/>
  <c r="B3600" i="1"/>
  <c r="A3600" i="1"/>
  <c r="C3599" i="1"/>
  <c r="B3599" i="1"/>
  <c r="A3599" i="1"/>
  <c r="C3598" i="1"/>
  <c r="B3598" i="1"/>
  <c r="A3598" i="1"/>
  <c r="C3597" i="1"/>
  <c r="B3597" i="1"/>
  <c r="A3597" i="1"/>
  <c r="C3596" i="1"/>
  <c r="B3596" i="1"/>
  <c r="A3596" i="1"/>
  <c r="C3595" i="1"/>
  <c r="B3595" i="1"/>
  <c r="A3595" i="1"/>
  <c r="C3594" i="1"/>
  <c r="B3594" i="1"/>
  <c r="A3594" i="1"/>
  <c r="C3593" i="1"/>
  <c r="B3593" i="1"/>
  <c r="A3593" i="1"/>
  <c r="C3592" i="1"/>
  <c r="B3592" i="1"/>
  <c r="A3592" i="1"/>
  <c r="C3591" i="1"/>
  <c r="B3591" i="1"/>
  <c r="A3591" i="1"/>
  <c r="C3590" i="1"/>
  <c r="B3590" i="1"/>
  <c r="A3590" i="1"/>
  <c r="C3589" i="1"/>
  <c r="B3589" i="1"/>
  <c r="A3589" i="1"/>
  <c r="C3588" i="1"/>
  <c r="B3588" i="1"/>
  <c r="A3588" i="1"/>
  <c r="C3587" i="1"/>
  <c r="B3587" i="1"/>
  <c r="A3587" i="1"/>
  <c r="C3586" i="1"/>
  <c r="B3586" i="1"/>
  <c r="A3586" i="1"/>
  <c r="C3585" i="1"/>
  <c r="B3585" i="1"/>
  <c r="A3585" i="1"/>
  <c r="C3584" i="1"/>
  <c r="B3584" i="1"/>
  <c r="A3584" i="1"/>
  <c r="C3583" i="1"/>
  <c r="B3583" i="1"/>
  <c r="A3583" i="1"/>
  <c r="C3582" i="1"/>
  <c r="B3582" i="1"/>
  <c r="A3582" i="1"/>
  <c r="C3581" i="1"/>
  <c r="B3581" i="1"/>
  <c r="A3581" i="1"/>
  <c r="C3580" i="1"/>
  <c r="B3580" i="1"/>
  <c r="A3580" i="1"/>
  <c r="C3579" i="1"/>
  <c r="B3579" i="1"/>
  <c r="A3579" i="1"/>
  <c r="C3578" i="1"/>
  <c r="B3578" i="1"/>
  <c r="A3578" i="1"/>
  <c r="C3577" i="1"/>
  <c r="B3577" i="1"/>
  <c r="A3577" i="1"/>
  <c r="C3576" i="1"/>
  <c r="B3576" i="1"/>
  <c r="A3576" i="1"/>
  <c r="C3575" i="1"/>
  <c r="B3575" i="1"/>
  <c r="A3575" i="1"/>
  <c r="C3574" i="1"/>
  <c r="B3574" i="1"/>
  <c r="A3574" i="1"/>
  <c r="C3573" i="1"/>
  <c r="B3573" i="1"/>
  <c r="A3573" i="1"/>
  <c r="C3572" i="1"/>
  <c r="B3572" i="1"/>
  <c r="A3572" i="1"/>
  <c r="C3571" i="1"/>
  <c r="B3571" i="1"/>
  <c r="A3571" i="1"/>
  <c r="C3570" i="1"/>
  <c r="B3570" i="1"/>
  <c r="A3570" i="1"/>
  <c r="C3569" i="1"/>
  <c r="B3569" i="1"/>
  <c r="A3569" i="1"/>
  <c r="C3568" i="1"/>
  <c r="B3568" i="1"/>
  <c r="A3568" i="1"/>
  <c r="C3567" i="1"/>
  <c r="B3567" i="1"/>
  <c r="A3567" i="1"/>
  <c r="C3566" i="1"/>
  <c r="B3566" i="1"/>
  <c r="A3566" i="1"/>
  <c r="C3565" i="1"/>
  <c r="B3565" i="1"/>
  <c r="A3565" i="1"/>
  <c r="C3564" i="1"/>
  <c r="B3564" i="1"/>
  <c r="A3564" i="1"/>
  <c r="C3563" i="1"/>
  <c r="B3563" i="1"/>
  <c r="A3563" i="1"/>
  <c r="C3562" i="1"/>
  <c r="B3562" i="1"/>
  <c r="A3562" i="1"/>
  <c r="C3561" i="1"/>
  <c r="B3561" i="1"/>
  <c r="A3561" i="1"/>
  <c r="C3560" i="1"/>
  <c r="B3560" i="1"/>
  <c r="A3560" i="1"/>
  <c r="C3559" i="1"/>
  <c r="B3559" i="1"/>
  <c r="A3559" i="1"/>
  <c r="C3558" i="1"/>
  <c r="B3558" i="1"/>
  <c r="A3558" i="1"/>
  <c r="C3557" i="1"/>
  <c r="B3557" i="1"/>
  <c r="A3557" i="1"/>
  <c r="C3556" i="1"/>
  <c r="B3556" i="1"/>
  <c r="A3556" i="1"/>
  <c r="C3555" i="1"/>
  <c r="B3555" i="1"/>
  <c r="A3555" i="1"/>
  <c r="C3554" i="1"/>
  <c r="B3554" i="1"/>
  <c r="A3554" i="1"/>
  <c r="C3553" i="1"/>
  <c r="B3553" i="1"/>
  <c r="A3553" i="1"/>
  <c r="C3552" i="1"/>
  <c r="B3552" i="1"/>
  <c r="A3552" i="1"/>
  <c r="C3551" i="1"/>
  <c r="B3551" i="1"/>
  <c r="A3551" i="1"/>
  <c r="C3550" i="1"/>
  <c r="B3550" i="1"/>
  <c r="A3550" i="1"/>
  <c r="C3549" i="1"/>
  <c r="B3549" i="1"/>
  <c r="A3549" i="1"/>
  <c r="C3548" i="1"/>
  <c r="B3548" i="1"/>
  <c r="A3548" i="1"/>
  <c r="C3547" i="1"/>
  <c r="B3547" i="1"/>
  <c r="A3547" i="1"/>
  <c r="C3546" i="1"/>
  <c r="B3546" i="1"/>
  <c r="A3546" i="1"/>
  <c r="C3545" i="1"/>
  <c r="B3545" i="1"/>
  <c r="A3545" i="1"/>
  <c r="C3544" i="1"/>
  <c r="B3544" i="1"/>
  <c r="A3544" i="1"/>
  <c r="C3543" i="1"/>
  <c r="B3543" i="1"/>
  <c r="A3543" i="1"/>
  <c r="C3542" i="1"/>
  <c r="B3542" i="1"/>
  <c r="A3542" i="1"/>
  <c r="C3541" i="1"/>
  <c r="B3541" i="1"/>
  <c r="A3541" i="1"/>
  <c r="C3540" i="1"/>
  <c r="B3540" i="1"/>
  <c r="A3540" i="1"/>
  <c r="C3539" i="1"/>
  <c r="B3539" i="1"/>
  <c r="A3539" i="1"/>
  <c r="C3538" i="1"/>
  <c r="B3538" i="1"/>
  <c r="A3538" i="1"/>
  <c r="C3537" i="1"/>
  <c r="B3537" i="1"/>
  <c r="A3537" i="1"/>
  <c r="C3536" i="1"/>
  <c r="B3536" i="1"/>
  <c r="A3536" i="1"/>
  <c r="C3535" i="1"/>
  <c r="B3535" i="1"/>
  <c r="A3535" i="1"/>
  <c r="C3534" i="1"/>
  <c r="B3534" i="1"/>
  <c r="A3534" i="1"/>
  <c r="C3533" i="1"/>
  <c r="B3533" i="1"/>
  <c r="A3533" i="1"/>
  <c r="C3532" i="1"/>
  <c r="B3532" i="1"/>
  <c r="A3532" i="1"/>
  <c r="C3531" i="1"/>
  <c r="B3531" i="1"/>
  <c r="A3531" i="1"/>
  <c r="C3530" i="1"/>
  <c r="B3530" i="1"/>
  <c r="A3530" i="1"/>
  <c r="C3529" i="1"/>
  <c r="B3529" i="1"/>
  <c r="A3529" i="1"/>
  <c r="C3528" i="1"/>
  <c r="B3528" i="1"/>
  <c r="A3528" i="1"/>
  <c r="C3527" i="1"/>
  <c r="B3527" i="1"/>
  <c r="A3527" i="1"/>
  <c r="C3526" i="1"/>
  <c r="B3526" i="1"/>
  <c r="A3526" i="1"/>
  <c r="C3525" i="1"/>
  <c r="B3525" i="1"/>
  <c r="A3525" i="1"/>
  <c r="C3524" i="1"/>
  <c r="B3524" i="1"/>
  <c r="A3524" i="1"/>
  <c r="C3523" i="1"/>
  <c r="B3523" i="1"/>
  <c r="A3523" i="1"/>
  <c r="C3522" i="1"/>
  <c r="B3522" i="1"/>
  <c r="A3522" i="1"/>
  <c r="C3521" i="1"/>
  <c r="B3521" i="1"/>
  <c r="A3521" i="1"/>
  <c r="C3520" i="1"/>
  <c r="B3520" i="1"/>
  <c r="A3520" i="1"/>
  <c r="C3519" i="1"/>
  <c r="B3519" i="1"/>
  <c r="A3519" i="1"/>
  <c r="C3518" i="1"/>
  <c r="B3518" i="1"/>
  <c r="A3518" i="1"/>
  <c r="C3517" i="1"/>
  <c r="B3517" i="1"/>
  <c r="A3517" i="1"/>
  <c r="C3516" i="1"/>
  <c r="B3516" i="1"/>
  <c r="A3516" i="1"/>
  <c r="C3515" i="1"/>
  <c r="B3515" i="1"/>
  <c r="A3515" i="1"/>
  <c r="C3514" i="1"/>
  <c r="B3514" i="1"/>
  <c r="A3514" i="1"/>
  <c r="C3513" i="1"/>
  <c r="B3513" i="1"/>
  <c r="A3513" i="1"/>
  <c r="C3512" i="1"/>
  <c r="B3512" i="1"/>
  <c r="A3512" i="1"/>
  <c r="C3511" i="1"/>
  <c r="B3511" i="1"/>
  <c r="A3511" i="1"/>
  <c r="C3510" i="1"/>
  <c r="B3510" i="1"/>
  <c r="A3510" i="1"/>
  <c r="C3509" i="1"/>
  <c r="B3509" i="1"/>
  <c r="A3509" i="1"/>
  <c r="C3508" i="1"/>
  <c r="B3508" i="1"/>
  <c r="A3508" i="1"/>
  <c r="C3507" i="1"/>
  <c r="B3507" i="1"/>
  <c r="A3507" i="1"/>
  <c r="C3506" i="1"/>
  <c r="B3506" i="1"/>
  <c r="A3506" i="1"/>
  <c r="C3505" i="1"/>
  <c r="B3505" i="1"/>
  <c r="A3505" i="1"/>
  <c r="C3504" i="1"/>
  <c r="B3504" i="1"/>
  <c r="A3504" i="1"/>
  <c r="C3503" i="1"/>
  <c r="B3503" i="1"/>
  <c r="A3503" i="1"/>
  <c r="C3502" i="1"/>
  <c r="B3502" i="1"/>
  <c r="A3502" i="1"/>
  <c r="C3501" i="1"/>
  <c r="B3501" i="1"/>
  <c r="A3501" i="1"/>
  <c r="C3500" i="1"/>
  <c r="B3500" i="1"/>
  <c r="A3500" i="1"/>
  <c r="C3499" i="1"/>
  <c r="B3499" i="1"/>
  <c r="A3499" i="1"/>
  <c r="C3498" i="1"/>
  <c r="B3498" i="1"/>
  <c r="A3498" i="1"/>
  <c r="C3497" i="1"/>
  <c r="B3497" i="1"/>
  <c r="A3497" i="1"/>
  <c r="C3496" i="1"/>
  <c r="B3496" i="1"/>
  <c r="A3496" i="1"/>
  <c r="C3495" i="1"/>
  <c r="B3495" i="1"/>
  <c r="A3495" i="1"/>
  <c r="C3494" i="1"/>
  <c r="B3494" i="1"/>
  <c r="A3494" i="1"/>
  <c r="C3493" i="1"/>
  <c r="B3493" i="1"/>
  <c r="A3493" i="1"/>
  <c r="C3492" i="1"/>
  <c r="B3492" i="1"/>
  <c r="A3492" i="1"/>
  <c r="C3491" i="1"/>
  <c r="B3491" i="1"/>
  <c r="A3491" i="1"/>
  <c r="C3490" i="1"/>
  <c r="B3490" i="1"/>
  <c r="A3490" i="1"/>
  <c r="C3489" i="1"/>
  <c r="B3489" i="1"/>
  <c r="A3489" i="1"/>
  <c r="C3488" i="1"/>
  <c r="B3488" i="1"/>
  <c r="A3488" i="1"/>
  <c r="C3487" i="1"/>
  <c r="B3487" i="1"/>
  <c r="A3487" i="1"/>
  <c r="C3486" i="1"/>
  <c r="B3486" i="1"/>
  <c r="A3486" i="1"/>
  <c r="C3485" i="1"/>
  <c r="B3485" i="1"/>
  <c r="A3485" i="1"/>
  <c r="C3484" i="1"/>
  <c r="B3484" i="1"/>
  <c r="A3484" i="1"/>
  <c r="C3483" i="1"/>
  <c r="B3483" i="1"/>
  <c r="A3483" i="1"/>
  <c r="C3482" i="1"/>
  <c r="B3482" i="1"/>
  <c r="A3482" i="1"/>
  <c r="C3481" i="1"/>
  <c r="B3481" i="1"/>
  <c r="A3481" i="1"/>
  <c r="C3480" i="1"/>
  <c r="B3480" i="1"/>
  <c r="A3480" i="1"/>
  <c r="C3479" i="1"/>
  <c r="B3479" i="1"/>
  <c r="A3479" i="1"/>
  <c r="C3478" i="1"/>
  <c r="B3478" i="1"/>
  <c r="A3478" i="1"/>
  <c r="C3477" i="1"/>
  <c r="B3477" i="1"/>
  <c r="A3477" i="1"/>
  <c r="C3476" i="1"/>
  <c r="B3476" i="1"/>
  <c r="A3476" i="1"/>
  <c r="C3475" i="1"/>
  <c r="B3475" i="1"/>
  <c r="A3475" i="1"/>
  <c r="C3474" i="1"/>
  <c r="B3474" i="1"/>
  <c r="A3474" i="1"/>
  <c r="C3473" i="1"/>
  <c r="B3473" i="1"/>
  <c r="A3473" i="1"/>
  <c r="C3472" i="1"/>
  <c r="B3472" i="1"/>
  <c r="A3472" i="1"/>
  <c r="C3471" i="1"/>
  <c r="B3471" i="1"/>
  <c r="A3471" i="1"/>
  <c r="C3470" i="1"/>
  <c r="B3470" i="1"/>
  <c r="A3470" i="1"/>
  <c r="C3469" i="1"/>
  <c r="B3469" i="1"/>
  <c r="A3469" i="1"/>
  <c r="C3468" i="1"/>
  <c r="B3468" i="1"/>
  <c r="A3468" i="1"/>
  <c r="C3467" i="1"/>
  <c r="B3467" i="1"/>
  <c r="A3467" i="1"/>
  <c r="C3466" i="1"/>
  <c r="B3466" i="1"/>
  <c r="A3466" i="1"/>
  <c r="C3465" i="1"/>
  <c r="B3465" i="1"/>
  <c r="A3465" i="1"/>
  <c r="C3464" i="1"/>
  <c r="B3464" i="1"/>
  <c r="A3464" i="1"/>
  <c r="C3463" i="1"/>
  <c r="B3463" i="1"/>
  <c r="A3463" i="1"/>
  <c r="C3462" i="1"/>
  <c r="B3462" i="1"/>
  <c r="A3462" i="1"/>
  <c r="C3461" i="1"/>
  <c r="B3461" i="1"/>
  <c r="A3461" i="1"/>
  <c r="C3460" i="1"/>
  <c r="B3460" i="1"/>
  <c r="A3460" i="1"/>
  <c r="C3459" i="1"/>
  <c r="B3459" i="1"/>
  <c r="A3459" i="1"/>
  <c r="C3458" i="1"/>
  <c r="B3458" i="1"/>
  <c r="A3458" i="1"/>
  <c r="C3457" i="1"/>
  <c r="B3457" i="1"/>
  <c r="A3457" i="1"/>
  <c r="C3456" i="1"/>
  <c r="B3456" i="1"/>
  <c r="A3456" i="1"/>
  <c r="C3455" i="1"/>
  <c r="B3455" i="1"/>
  <c r="A3455" i="1"/>
  <c r="C3454" i="1"/>
  <c r="B3454" i="1"/>
  <c r="A3454" i="1"/>
  <c r="C3453" i="1"/>
  <c r="B3453" i="1"/>
  <c r="A3453" i="1"/>
  <c r="C3452" i="1"/>
  <c r="B3452" i="1"/>
  <c r="A3452" i="1"/>
  <c r="C3451" i="1"/>
  <c r="B3451" i="1"/>
  <c r="A3451" i="1"/>
  <c r="C3450" i="1"/>
  <c r="B3450" i="1"/>
  <c r="A3450" i="1"/>
  <c r="C3449" i="1"/>
  <c r="B3449" i="1"/>
  <c r="A3449" i="1"/>
  <c r="C3448" i="1"/>
  <c r="B3448" i="1"/>
  <c r="A3448" i="1"/>
  <c r="C3447" i="1"/>
  <c r="B3447" i="1"/>
  <c r="A3447" i="1"/>
  <c r="C3446" i="1"/>
  <c r="B3446" i="1"/>
  <c r="A3446" i="1"/>
  <c r="C3445" i="1"/>
  <c r="B3445" i="1"/>
  <c r="A3445" i="1"/>
  <c r="C3444" i="1"/>
  <c r="B3444" i="1"/>
  <c r="A3444" i="1"/>
  <c r="C3443" i="1"/>
  <c r="B3443" i="1"/>
  <c r="A3443" i="1"/>
  <c r="C3442" i="1"/>
  <c r="B3442" i="1"/>
  <c r="A3442" i="1"/>
  <c r="C3441" i="1"/>
  <c r="B3441" i="1"/>
  <c r="A3441" i="1"/>
  <c r="C3440" i="1"/>
  <c r="B3440" i="1"/>
  <c r="A3440" i="1"/>
  <c r="C3439" i="1"/>
  <c r="B3439" i="1"/>
  <c r="A3439" i="1"/>
  <c r="C3438" i="1"/>
  <c r="B3438" i="1"/>
  <c r="A3438" i="1"/>
  <c r="C3437" i="1"/>
  <c r="B3437" i="1"/>
  <c r="A3437" i="1"/>
  <c r="C3436" i="1"/>
  <c r="B3436" i="1"/>
  <c r="A3436" i="1"/>
  <c r="C3435" i="1"/>
  <c r="B3435" i="1"/>
  <c r="A3435" i="1"/>
  <c r="C3434" i="1"/>
  <c r="B3434" i="1"/>
  <c r="A3434" i="1"/>
  <c r="C3433" i="1"/>
  <c r="B3433" i="1"/>
  <c r="A3433" i="1"/>
  <c r="C3432" i="1"/>
  <c r="B3432" i="1"/>
  <c r="A3432" i="1"/>
  <c r="C3431" i="1"/>
  <c r="B3431" i="1"/>
  <c r="A3431" i="1"/>
  <c r="C3430" i="1"/>
  <c r="B3430" i="1"/>
  <c r="A3430" i="1"/>
  <c r="C3429" i="1"/>
  <c r="B3429" i="1"/>
  <c r="A3429" i="1"/>
  <c r="C3428" i="1"/>
  <c r="B3428" i="1"/>
  <c r="A3428" i="1"/>
  <c r="C3427" i="1"/>
  <c r="B3427" i="1"/>
  <c r="A3427" i="1"/>
  <c r="C3426" i="1"/>
  <c r="B3426" i="1"/>
  <c r="A3426" i="1"/>
  <c r="C3425" i="1"/>
  <c r="B3425" i="1"/>
  <c r="A3425" i="1"/>
  <c r="C3424" i="1"/>
  <c r="B3424" i="1"/>
  <c r="A3424" i="1"/>
  <c r="C3423" i="1"/>
  <c r="B3423" i="1"/>
  <c r="A3423" i="1"/>
  <c r="C3422" i="1"/>
  <c r="B3422" i="1"/>
  <c r="A3422" i="1"/>
  <c r="C3421" i="1"/>
  <c r="B3421" i="1"/>
  <c r="A3421" i="1"/>
  <c r="C3420" i="1"/>
  <c r="B3420" i="1"/>
  <c r="A3420" i="1"/>
  <c r="C3419" i="1"/>
  <c r="B3419" i="1"/>
  <c r="A3419" i="1"/>
  <c r="C3418" i="1"/>
  <c r="B3418" i="1"/>
  <c r="A3418" i="1"/>
  <c r="C3417" i="1"/>
  <c r="B3417" i="1"/>
  <c r="A3417" i="1"/>
  <c r="C3416" i="1"/>
  <c r="B3416" i="1"/>
  <c r="A3416" i="1"/>
  <c r="C3415" i="1"/>
  <c r="B3415" i="1"/>
  <c r="A3415" i="1"/>
  <c r="C3414" i="1"/>
  <c r="B3414" i="1"/>
  <c r="A3414" i="1"/>
  <c r="C3413" i="1"/>
  <c r="B3413" i="1"/>
  <c r="A3413" i="1"/>
  <c r="C3412" i="1"/>
  <c r="B3412" i="1"/>
  <c r="A3412" i="1"/>
  <c r="C3411" i="1"/>
  <c r="B3411" i="1"/>
  <c r="A3411" i="1"/>
  <c r="C3410" i="1"/>
  <c r="B3410" i="1"/>
  <c r="A3410" i="1"/>
  <c r="C3409" i="1"/>
  <c r="B3409" i="1"/>
  <c r="A3409" i="1"/>
  <c r="C3408" i="1"/>
  <c r="B3408" i="1"/>
  <c r="A3408" i="1"/>
  <c r="C3407" i="1"/>
  <c r="B3407" i="1"/>
  <c r="A3407" i="1"/>
  <c r="C3406" i="1"/>
  <c r="B3406" i="1"/>
  <c r="A3406" i="1"/>
  <c r="C3405" i="1"/>
  <c r="B3405" i="1"/>
  <c r="A3405" i="1"/>
  <c r="C3404" i="1"/>
  <c r="B3404" i="1"/>
  <c r="A3404" i="1"/>
  <c r="C3403" i="1"/>
  <c r="B3403" i="1"/>
  <c r="A3403" i="1"/>
  <c r="C3402" i="1"/>
  <c r="B3402" i="1"/>
  <c r="A3402" i="1"/>
  <c r="C3401" i="1"/>
  <c r="B3401" i="1"/>
  <c r="A3401" i="1"/>
  <c r="C3400" i="1"/>
  <c r="B3400" i="1"/>
  <c r="A3400" i="1"/>
  <c r="C3399" i="1"/>
  <c r="B3399" i="1"/>
  <c r="A3399" i="1"/>
  <c r="C3398" i="1"/>
  <c r="B3398" i="1"/>
  <c r="A3398" i="1"/>
  <c r="C3397" i="1"/>
  <c r="B3397" i="1"/>
  <c r="A3397" i="1"/>
  <c r="C3396" i="1"/>
  <c r="B3396" i="1"/>
  <c r="A3396" i="1"/>
  <c r="C3395" i="1"/>
  <c r="B3395" i="1"/>
  <c r="A3395" i="1"/>
  <c r="C3394" i="1"/>
  <c r="B3394" i="1"/>
  <c r="A3394" i="1"/>
  <c r="C3393" i="1"/>
  <c r="B3393" i="1"/>
  <c r="A3393" i="1"/>
  <c r="C3392" i="1"/>
  <c r="B3392" i="1"/>
  <c r="A3392" i="1"/>
  <c r="C3391" i="1"/>
  <c r="B3391" i="1"/>
  <c r="A3391" i="1"/>
  <c r="C3390" i="1"/>
  <c r="B3390" i="1"/>
  <c r="A3390" i="1"/>
  <c r="C3389" i="1"/>
  <c r="B3389" i="1"/>
  <c r="A3389" i="1"/>
  <c r="C3388" i="1"/>
  <c r="B3388" i="1"/>
  <c r="A3388" i="1"/>
  <c r="C3387" i="1"/>
  <c r="B3387" i="1"/>
  <c r="A3387" i="1"/>
  <c r="C3386" i="1"/>
  <c r="B3386" i="1"/>
  <c r="A3386" i="1"/>
  <c r="C3385" i="1"/>
  <c r="B3385" i="1"/>
  <c r="A3385" i="1"/>
  <c r="C3384" i="1"/>
  <c r="B3384" i="1"/>
  <c r="A3384" i="1"/>
  <c r="C3383" i="1"/>
  <c r="B3383" i="1"/>
  <c r="A3383" i="1"/>
  <c r="C3382" i="1"/>
  <c r="B3382" i="1"/>
  <c r="A3382" i="1"/>
  <c r="C3381" i="1"/>
  <c r="B3381" i="1"/>
  <c r="A3381" i="1"/>
  <c r="C3380" i="1"/>
  <c r="B3380" i="1"/>
  <c r="A3380" i="1"/>
  <c r="C3379" i="1"/>
  <c r="B3379" i="1"/>
  <c r="A3379" i="1"/>
  <c r="C3378" i="1"/>
  <c r="B3378" i="1"/>
  <c r="A3378" i="1"/>
  <c r="C3377" i="1"/>
  <c r="B3377" i="1"/>
  <c r="A3377" i="1"/>
  <c r="C3376" i="1"/>
  <c r="B3376" i="1"/>
  <c r="A3376" i="1"/>
  <c r="C3375" i="1"/>
  <c r="B3375" i="1"/>
  <c r="A3375" i="1"/>
  <c r="C3374" i="1"/>
  <c r="B3374" i="1"/>
  <c r="A3374" i="1"/>
  <c r="C3373" i="1"/>
  <c r="B3373" i="1"/>
  <c r="A3373" i="1"/>
  <c r="C3372" i="1"/>
  <c r="B3372" i="1"/>
  <c r="A3372" i="1"/>
  <c r="C3371" i="1"/>
  <c r="B3371" i="1"/>
  <c r="A3371" i="1"/>
  <c r="C3370" i="1"/>
  <c r="B3370" i="1"/>
  <c r="A3370" i="1"/>
  <c r="C3369" i="1"/>
  <c r="B3369" i="1"/>
  <c r="A3369" i="1"/>
  <c r="C3368" i="1"/>
  <c r="B3368" i="1"/>
  <c r="A3368" i="1"/>
  <c r="C3367" i="1"/>
  <c r="B3367" i="1"/>
  <c r="A3367" i="1"/>
  <c r="C3366" i="1"/>
  <c r="B3366" i="1"/>
  <c r="A3366" i="1"/>
  <c r="C3365" i="1"/>
  <c r="B3365" i="1"/>
  <c r="A3365" i="1"/>
  <c r="C3364" i="1"/>
  <c r="B3364" i="1"/>
  <c r="A3364" i="1"/>
  <c r="C3363" i="1"/>
  <c r="B3363" i="1"/>
  <c r="A3363" i="1"/>
  <c r="C3362" i="1"/>
  <c r="B3362" i="1"/>
  <c r="A3362" i="1"/>
  <c r="C3361" i="1"/>
  <c r="B3361" i="1"/>
  <c r="A3361" i="1"/>
  <c r="C3360" i="1"/>
  <c r="B3360" i="1"/>
  <c r="A3360" i="1"/>
  <c r="C3359" i="1"/>
  <c r="B3359" i="1"/>
  <c r="A3359" i="1"/>
  <c r="C3358" i="1"/>
  <c r="B3358" i="1"/>
  <c r="A3358" i="1"/>
  <c r="C3357" i="1"/>
  <c r="B3357" i="1"/>
  <c r="A3357" i="1"/>
  <c r="C3356" i="1"/>
  <c r="B3356" i="1"/>
  <c r="A3356" i="1"/>
  <c r="C3355" i="1"/>
  <c r="B3355" i="1"/>
  <c r="A3355" i="1"/>
  <c r="C3354" i="1"/>
  <c r="B3354" i="1"/>
  <c r="A3354" i="1"/>
  <c r="C3353" i="1"/>
  <c r="B3353" i="1"/>
  <c r="A3353" i="1"/>
  <c r="C3352" i="1"/>
  <c r="B3352" i="1"/>
  <c r="A3352" i="1"/>
  <c r="C3351" i="1"/>
  <c r="B3351" i="1"/>
  <c r="A3351" i="1"/>
  <c r="C3350" i="1"/>
  <c r="B3350" i="1"/>
  <c r="A3350" i="1"/>
  <c r="C3349" i="1"/>
  <c r="B3349" i="1"/>
  <c r="A3349" i="1"/>
  <c r="C3348" i="1"/>
  <c r="B3348" i="1"/>
  <c r="A3348" i="1"/>
  <c r="C3347" i="1"/>
  <c r="B3347" i="1"/>
  <c r="A3347" i="1"/>
  <c r="C3346" i="1"/>
  <c r="B3346" i="1"/>
  <c r="A3346" i="1"/>
  <c r="C3345" i="1"/>
  <c r="B3345" i="1"/>
  <c r="A3345" i="1"/>
  <c r="C3344" i="1"/>
  <c r="B3344" i="1"/>
  <c r="A3344" i="1"/>
  <c r="C3343" i="1"/>
  <c r="B3343" i="1"/>
  <c r="A3343" i="1"/>
  <c r="C3342" i="1"/>
  <c r="B3342" i="1"/>
  <c r="A3342" i="1"/>
  <c r="C3341" i="1"/>
  <c r="B3341" i="1"/>
  <c r="A3341" i="1"/>
  <c r="C3340" i="1"/>
  <c r="B3340" i="1"/>
  <c r="A3340" i="1"/>
  <c r="C3339" i="1"/>
  <c r="B3339" i="1"/>
  <c r="A3339" i="1"/>
  <c r="C3338" i="1"/>
  <c r="B3338" i="1"/>
  <c r="A3338" i="1"/>
  <c r="C3337" i="1"/>
  <c r="B3337" i="1"/>
  <c r="A3337" i="1"/>
  <c r="C3336" i="1"/>
  <c r="B3336" i="1"/>
  <c r="A3336" i="1"/>
  <c r="C3335" i="1"/>
  <c r="B3335" i="1"/>
  <c r="A3335" i="1"/>
  <c r="C3334" i="1"/>
  <c r="B3334" i="1"/>
  <c r="A3334" i="1"/>
  <c r="C3333" i="1"/>
  <c r="B3333" i="1"/>
  <c r="A3333" i="1"/>
  <c r="C3332" i="1"/>
  <c r="B3332" i="1"/>
  <c r="A3332" i="1"/>
  <c r="C3331" i="1"/>
  <c r="B3331" i="1"/>
  <c r="A3331" i="1"/>
  <c r="C3330" i="1"/>
  <c r="B3330" i="1"/>
  <c r="A3330" i="1"/>
  <c r="C3329" i="1"/>
  <c r="B3329" i="1"/>
  <c r="A3329" i="1"/>
  <c r="C3328" i="1"/>
  <c r="B3328" i="1"/>
  <c r="A3328" i="1"/>
  <c r="C3327" i="1"/>
  <c r="B3327" i="1"/>
  <c r="A3327" i="1"/>
  <c r="C3326" i="1"/>
  <c r="B3326" i="1"/>
  <c r="A3326" i="1"/>
  <c r="C3325" i="1"/>
  <c r="B3325" i="1"/>
  <c r="A3325" i="1"/>
  <c r="C3324" i="1"/>
  <c r="B3324" i="1"/>
  <c r="A3324" i="1"/>
  <c r="C3323" i="1"/>
  <c r="B3323" i="1"/>
  <c r="A3323" i="1"/>
  <c r="C3322" i="1"/>
  <c r="B3322" i="1"/>
  <c r="A3322" i="1"/>
  <c r="C3321" i="1"/>
  <c r="B3321" i="1"/>
  <c r="A3321" i="1"/>
  <c r="C3320" i="1"/>
  <c r="B3320" i="1"/>
  <c r="A3320" i="1"/>
  <c r="C3319" i="1"/>
  <c r="B3319" i="1"/>
  <c r="A3319" i="1"/>
  <c r="C3318" i="1"/>
  <c r="B3318" i="1"/>
  <c r="A3318" i="1"/>
  <c r="C3317" i="1"/>
  <c r="B3317" i="1"/>
  <c r="A3317" i="1"/>
  <c r="C3316" i="1"/>
  <c r="B3316" i="1"/>
  <c r="A3316" i="1"/>
  <c r="C3315" i="1"/>
  <c r="B3315" i="1"/>
  <c r="A3315" i="1"/>
  <c r="C3314" i="1"/>
  <c r="B3314" i="1"/>
  <c r="A3314" i="1"/>
  <c r="C3313" i="1"/>
  <c r="B3313" i="1"/>
  <c r="A3313" i="1"/>
  <c r="C3312" i="1"/>
  <c r="B3312" i="1"/>
  <c r="A3312" i="1"/>
  <c r="C3311" i="1"/>
  <c r="B3311" i="1"/>
  <c r="A3311" i="1"/>
  <c r="C3310" i="1"/>
  <c r="B3310" i="1"/>
  <c r="A3310" i="1"/>
  <c r="C3309" i="1"/>
  <c r="B3309" i="1"/>
  <c r="A3309" i="1"/>
  <c r="C3308" i="1"/>
  <c r="B3308" i="1"/>
  <c r="A3308" i="1"/>
  <c r="C3307" i="1"/>
  <c r="B3307" i="1"/>
  <c r="A3307" i="1"/>
  <c r="C3306" i="1"/>
  <c r="B3306" i="1"/>
  <c r="A3306" i="1"/>
  <c r="C3305" i="1"/>
  <c r="B3305" i="1"/>
  <c r="A3305" i="1"/>
  <c r="C3304" i="1"/>
  <c r="B3304" i="1"/>
  <c r="A3304" i="1"/>
  <c r="C3303" i="1"/>
  <c r="B3303" i="1"/>
  <c r="A3303" i="1"/>
  <c r="C3302" i="1"/>
  <c r="B3302" i="1"/>
  <c r="A3302" i="1"/>
  <c r="C3301" i="1"/>
  <c r="B3301" i="1"/>
  <c r="A3301" i="1"/>
  <c r="C3300" i="1"/>
  <c r="B3300" i="1"/>
  <c r="A3300" i="1"/>
  <c r="C3299" i="1"/>
  <c r="B3299" i="1"/>
  <c r="A3299" i="1"/>
  <c r="C3298" i="1"/>
  <c r="B3298" i="1"/>
  <c r="A3298" i="1"/>
  <c r="C3297" i="1"/>
  <c r="B3297" i="1"/>
  <c r="A3297" i="1"/>
  <c r="C3296" i="1"/>
  <c r="B3296" i="1"/>
  <c r="A3296" i="1"/>
  <c r="C3295" i="1"/>
  <c r="B3295" i="1"/>
  <c r="A3295" i="1"/>
  <c r="C3294" i="1"/>
  <c r="B3294" i="1"/>
  <c r="A3294" i="1"/>
  <c r="C3293" i="1"/>
  <c r="B3293" i="1"/>
  <c r="A3293" i="1"/>
  <c r="C3292" i="1"/>
  <c r="B3292" i="1"/>
  <c r="A3292" i="1"/>
  <c r="C3291" i="1"/>
  <c r="B3291" i="1"/>
  <c r="A3291" i="1"/>
  <c r="C3290" i="1"/>
  <c r="B3290" i="1"/>
  <c r="A3290" i="1"/>
  <c r="C3289" i="1"/>
  <c r="B3289" i="1"/>
  <c r="A3289" i="1"/>
  <c r="C3288" i="1"/>
  <c r="B3288" i="1"/>
  <c r="A3288" i="1"/>
  <c r="C3287" i="1"/>
  <c r="B3287" i="1"/>
  <c r="A3287" i="1"/>
  <c r="C3286" i="1"/>
  <c r="B3286" i="1"/>
  <c r="A3286" i="1"/>
  <c r="C3285" i="1"/>
  <c r="B3285" i="1"/>
  <c r="A3285" i="1"/>
  <c r="C3284" i="1"/>
  <c r="B3284" i="1"/>
  <c r="A3284" i="1"/>
  <c r="C3283" i="1"/>
  <c r="B3283" i="1"/>
  <c r="A3283" i="1"/>
  <c r="C3282" i="1"/>
  <c r="B3282" i="1"/>
  <c r="A3282" i="1"/>
  <c r="C3281" i="1"/>
  <c r="B3281" i="1"/>
  <c r="A3281" i="1"/>
  <c r="C3280" i="1"/>
  <c r="B3280" i="1"/>
  <c r="A3280" i="1"/>
  <c r="C3279" i="1"/>
  <c r="B3279" i="1"/>
  <c r="A3279" i="1"/>
  <c r="C3278" i="1"/>
  <c r="B3278" i="1"/>
  <c r="A3278" i="1"/>
  <c r="C3277" i="1"/>
  <c r="B3277" i="1"/>
  <c r="A3277" i="1"/>
  <c r="C3276" i="1"/>
  <c r="B3276" i="1"/>
  <c r="A3276" i="1"/>
  <c r="C3275" i="1"/>
  <c r="B3275" i="1"/>
  <c r="A3275" i="1"/>
  <c r="C3274" i="1"/>
  <c r="B3274" i="1"/>
  <c r="A3274" i="1"/>
  <c r="C3273" i="1"/>
  <c r="B3273" i="1"/>
  <c r="A3273" i="1"/>
  <c r="C3272" i="1"/>
  <c r="B3272" i="1"/>
  <c r="A3272" i="1"/>
  <c r="C3271" i="1"/>
  <c r="B3271" i="1"/>
  <c r="A3271" i="1"/>
  <c r="C3270" i="1"/>
  <c r="B3270" i="1"/>
  <c r="A3270" i="1"/>
  <c r="C3269" i="1"/>
  <c r="B3269" i="1"/>
  <c r="A3269" i="1"/>
  <c r="C3268" i="1"/>
  <c r="B3268" i="1"/>
  <c r="A3268" i="1"/>
  <c r="C3267" i="1"/>
  <c r="B3267" i="1"/>
  <c r="A3267" i="1"/>
  <c r="C3266" i="1"/>
  <c r="B3266" i="1"/>
  <c r="A3266" i="1"/>
  <c r="C3265" i="1"/>
  <c r="B3265" i="1"/>
  <c r="A3265" i="1"/>
  <c r="C3264" i="1"/>
  <c r="B3264" i="1"/>
  <c r="A3264" i="1"/>
  <c r="C3263" i="1"/>
  <c r="B3263" i="1"/>
  <c r="A3263" i="1"/>
  <c r="C3262" i="1"/>
  <c r="B3262" i="1"/>
  <c r="A3262" i="1"/>
  <c r="C3261" i="1"/>
  <c r="B3261" i="1"/>
  <c r="A3261" i="1"/>
  <c r="C3260" i="1"/>
  <c r="B3260" i="1"/>
  <c r="A3260" i="1"/>
  <c r="C3259" i="1"/>
  <c r="B3259" i="1"/>
  <c r="A3259" i="1"/>
  <c r="C3258" i="1"/>
  <c r="B3258" i="1"/>
  <c r="A3258" i="1"/>
  <c r="C3257" i="1"/>
  <c r="B3257" i="1"/>
  <c r="A3257" i="1"/>
  <c r="C3256" i="1"/>
  <c r="B3256" i="1"/>
  <c r="A3256" i="1"/>
  <c r="C3255" i="1"/>
  <c r="B3255" i="1"/>
  <c r="A3255" i="1"/>
  <c r="C3254" i="1"/>
  <c r="B3254" i="1"/>
  <c r="A3254" i="1"/>
  <c r="C3253" i="1"/>
  <c r="B3253" i="1"/>
  <c r="A3253" i="1"/>
  <c r="C3252" i="1"/>
  <c r="B3252" i="1"/>
  <c r="A3252" i="1"/>
  <c r="C3251" i="1"/>
  <c r="B3251" i="1"/>
  <c r="A3251" i="1"/>
  <c r="C3250" i="1"/>
  <c r="B3250" i="1"/>
  <c r="A3250" i="1"/>
  <c r="C3249" i="1"/>
  <c r="B3249" i="1"/>
  <c r="A3249" i="1"/>
  <c r="C3248" i="1"/>
  <c r="B3248" i="1"/>
  <c r="A3248" i="1"/>
  <c r="C3247" i="1"/>
  <c r="B3247" i="1"/>
  <c r="A3247" i="1"/>
  <c r="C3246" i="1"/>
  <c r="B3246" i="1"/>
  <c r="A3246" i="1"/>
  <c r="C3245" i="1"/>
  <c r="B3245" i="1"/>
  <c r="A3245" i="1"/>
  <c r="C3244" i="1"/>
  <c r="B3244" i="1"/>
  <c r="A3244" i="1"/>
  <c r="C3243" i="1"/>
  <c r="B3243" i="1"/>
  <c r="A3243" i="1"/>
  <c r="C3242" i="1"/>
  <c r="B3242" i="1"/>
  <c r="A3242" i="1"/>
  <c r="C3241" i="1"/>
  <c r="B3241" i="1"/>
  <c r="A3241" i="1"/>
  <c r="C3240" i="1"/>
  <c r="B3240" i="1"/>
  <c r="A3240" i="1"/>
  <c r="C3239" i="1"/>
  <c r="B3239" i="1"/>
  <c r="A3239" i="1"/>
  <c r="C3238" i="1"/>
  <c r="B3238" i="1"/>
  <c r="A3238" i="1"/>
  <c r="C3237" i="1"/>
  <c r="B3237" i="1"/>
  <c r="A3237" i="1"/>
  <c r="C3236" i="1"/>
  <c r="B3236" i="1"/>
  <c r="A3236" i="1"/>
  <c r="C3235" i="1"/>
  <c r="B3235" i="1"/>
  <c r="A3235" i="1"/>
  <c r="C3234" i="1"/>
  <c r="B3234" i="1"/>
  <c r="A3234" i="1"/>
  <c r="C3233" i="1"/>
  <c r="B3233" i="1"/>
  <c r="A3233" i="1"/>
  <c r="C3232" i="1"/>
  <c r="B3232" i="1"/>
  <c r="A3232" i="1"/>
  <c r="C3231" i="1"/>
  <c r="B3231" i="1"/>
  <c r="A3231" i="1"/>
  <c r="C3230" i="1"/>
  <c r="B3230" i="1"/>
  <c r="A3230" i="1"/>
  <c r="C3229" i="1"/>
  <c r="B3229" i="1"/>
  <c r="A3229" i="1"/>
  <c r="C3228" i="1"/>
  <c r="B3228" i="1"/>
  <c r="A3228" i="1"/>
  <c r="C3227" i="1"/>
  <c r="B3227" i="1"/>
  <c r="A3227" i="1"/>
  <c r="C3226" i="1"/>
  <c r="B3226" i="1"/>
  <c r="A3226" i="1"/>
  <c r="C3225" i="1"/>
  <c r="B3225" i="1"/>
  <c r="A3225" i="1"/>
  <c r="C3224" i="1"/>
  <c r="B3224" i="1"/>
  <c r="A3224" i="1"/>
  <c r="C3223" i="1"/>
  <c r="B3223" i="1"/>
  <c r="A3223" i="1"/>
  <c r="C3222" i="1"/>
  <c r="B3222" i="1"/>
  <c r="A3222" i="1"/>
  <c r="C3221" i="1"/>
  <c r="B3221" i="1"/>
  <c r="A3221" i="1"/>
  <c r="C3220" i="1"/>
  <c r="B3220" i="1"/>
  <c r="A3220" i="1"/>
  <c r="C3219" i="1"/>
  <c r="B3219" i="1"/>
  <c r="A3219" i="1"/>
  <c r="C3218" i="1"/>
  <c r="B3218" i="1"/>
  <c r="A3218" i="1"/>
  <c r="C3217" i="1"/>
  <c r="B3217" i="1"/>
  <c r="A3217" i="1"/>
  <c r="C3216" i="1"/>
  <c r="B3216" i="1"/>
  <c r="A3216" i="1"/>
  <c r="C3215" i="1"/>
  <c r="B3215" i="1"/>
  <c r="A3215" i="1"/>
  <c r="C3214" i="1"/>
  <c r="B3214" i="1"/>
  <c r="A3214" i="1"/>
  <c r="C3213" i="1"/>
  <c r="B3213" i="1"/>
  <c r="A3213" i="1"/>
  <c r="C3212" i="1"/>
  <c r="B3212" i="1"/>
  <c r="A3212" i="1"/>
  <c r="C3211" i="1"/>
  <c r="B3211" i="1"/>
  <c r="A3211" i="1"/>
  <c r="C3210" i="1"/>
  <c r="B3210" i="1"/>
  <c r="A3210" i="1"/>
  <c r="C3209" i="1"/>
  <c r="B3209" i="1"/>
  <c r="A3209" i="1"/>
  <c r="C3208" i="1"/>
  <c r="B3208" i="1"/>
  <c r="A3208" i="1"/>
  <c r="C3207" i="1"/>
  <c r="B3207" i="1"/>
  <c r="A3207" i="1"/>
  <c r="C3206" i="1"/>
  <c r="B3206" i="1"/>
  <c r="A3206" i="1"/>
  <c r="C3205" i="1"/>
  <c r="B3205" i="1"/>
  <c r="A3205" i="1"/>
  <c r="C3204" i="1"/>
  <c r="B3204" i="1"/>
  <c r="A3204" i="1"/>
  <c r="C3203" i="1"/>
  <c r="B3203" i="1"/>
  <c r="A3203" i="1"/>
  <c r="C3202" i="1"/>
  <c r="B3202" i="1"/>
  <c r="A3202" i="1"/>
  <c r="C3201" i="1"/>
  <c r="B3201" i="1"/>
  <c r="A3201" i="1"/>
  <c r="C3200" i="1"/>
  <c r="B3200" i="1"/>
  <c r="A3200" i="1"/>
  <c r="C3199" i="1"/>
  <c r="B3199" i="1"/>
  <c r="A3199" i="1"/>
  <c r="C3198" i="1"/>
  <c r="B3198" i="1"/>
  <c r="A3198" i="1"/>
  <c r="C3197" i="1"/>
  <c r="B3197" i="1"/>
  <c r="A3197" i="1"/>
  <c r="C3196" i="1"/>
  <c r="B3196" i="1"/>
  <c r="A3196" i="1"/>
  <c r="C3195" i="1"/>
  <c r="B3195" i="1"/>
  <c r="A3195" i="1"/>
  <c r="C3194" i="1"/>
  <c r="B3194" i="1"/>
  <c r="A3194" i="1"/>
  <c r="C3193" i="1"/>
  <c r="B3193" i="1"/>
  <c r="A3193" i="1"/>
  <c r="C3192" i="1"/>
  <c r="B3192" i="1"/>
  <c r="A3192" i="1"/>
  <c r="C3191" i="1"/>
  <c r="B3191" i="1"/>
  <c r="A3191" i="1"/>
  <c r="C3190" i="1"/>
  <c r="B3190" i="1"/>
  <c r="A3190" i="1"/>
  <c r="C3189" i="1"/>
  <c r="B3189" i="1"/>
  <c r="A3189" i="1"/>
  <c r="C3188" i="1"/>
  <c r="B3188" i="1"/>
  <c r="A3188" i="1"/>
  <c r="C3187" i="1"/>
  <c r="B3187" i="1"/>
  <c r="A3187" i="1"/>
  <c r="C3186" i="1"/>
  <c r="B3186" i="1"/>
  <c r="A3186" i="1"/>
  <c r="C3185" i="1"/>
  <c r="B3185" i="1"/>
  <c r="A3185" i="1"/>
  <c r="C3184" i="1"/>
  <c r="B3184" i="1"/>
  <c r="A3184" i="1"/>
  <c r="C3183" i="1"/>
  <c r="B3183" i="1"/>
  <c r="A3183" i="1"/>
  <c r="C3182" i="1"/>
  <c r="B3182" i="1"/>
  <c r="A3182" i="1"/>
  <c r="C3181" i="1"/>
  <c r="B3181" i="1"/>
  <c r="A3181" i="1"/>
  <c r="C3180" i="1"/>
  <c r="B3180" i="1"/>
  <c r="A3180" i="1"/>
  <c r="C3179" i="1"/>
  <c r="B3179" i="1"/>
  <c r="A3179" i="1"/>
  <c r="C3178" i="1"/>
  <c r="B3178" i="1"/>
  <c r="A3178" i="1"/>
  <c r="C3177" i="1"/>
  <c r="B3177" i="1"/>
  <c r="A3177" i="1"/>
  <c r="C3176" i="1"/>
  <c r="B3176" i="1"/>
  <c r="A3176" i="1"/>
  <c r="C3175" i="1"/>
  <c r="B3175" i="1"/>
  <c r="A3175" i="1"/>
  <c r="C3174" i="1"/>
  <c r="B3174" i="1"/>
  <c r="A3174" i="1"/>
  <c r="C3173" i="1"/>
  <c r="B3173" i="1"/>
  <c r="A3173" i="1"/>
  <c r="C3172" i="1"/>
  <c r="B3172" i="1"/>
  <c r="A3172" i="1"/>
  <c r="C3171" i="1"/>
  <c r="B3171" i="1"/>
  <c r="A3171" i="1"/>
  <c r="C3170" i="1"/>
  <c r="B3170" i="1"/>
  <c r="A3170" i="1"/>
  <c r="C3169" i="1"/>
  <c r="B3169" i="1"/>
  <c r="A3169" i="1"/>
  <c r="C3168" i="1"/>
  <c r="B3168" i="1"/>
  <c r="A3168" i="1"/>
  <c r="C3167" i="1"/>
  <c r="B3167" i="1"/>
  <c r="A3167" i="1"/>
  <c r="C3166" i="1"/>
  <c r="B3166" i="1"/>
  <c r="A3166" i="1"/>
  <c r="C3165" i="1"/>
  <c r="B3165" i="1"/>
  <c r="A3165" i="1"/>
  <c r="C3164" i="1"/>
  <c r="B3164" i="1"/>
  <c r="A3164" i="1"/>
  <c r="C3163" i="1"/>
  <c r="B3163" i="1"/>
  <c r="A3163" i="1"/>
  <c r="C3162" i="1"/>
  <c r="B3162" i="1"/>
  <c r="A3162" i="1"/>
  <c r="C3161" i="1"/>
  <c r="B3161" i="1"/>
  <c r="A3161" i="1"/>
  <c r="C3160" i="1"/>
  <c r="B3160" i="1"/>
  <c r="A3160" i="1"/>
  <c r="C3159" i="1"/>
  <c r="B3159" i="1"/>
  <c r="A3159" i="1"/>
  <c r="C3158" i="1"/>
  <c r="B3158" i="1"/>
  <c r="A3158" i="1"/>
  <c r="C3157" i="1"/>
  <c r="B3157" i="1"/>
  <c r="A3157" i="1"/>
  <c r="C3156" i="1"/>
  <c r="B3156" i="1"/>
  <c r="A3156" i="1"/>
  <c r="C3155" i="1"/>
  <c r="B3155" i="1"/>
  <c r="A3155" i="1"/>
  <c r="C3154" i="1"/>
  <c r="B3154" i="1"/>
  <c r="A3154" i="1"/>
  <c r="C3153" i="1"/>
  <c r="B3153" i="1"/>
  <c r="A3153" i="1"/>
  <c r="C3152" i="1"/>
  <c r="B3152" i="1"/>
  <c r="A3152" i="1"/>
  <c r="C3151" i="1"/>
  <c r="B3151" i="1"/>
  <c r="A3151" i="1"/>
  <c r="C3150" i="1"/>
  <c r="B3150" i="1"/>
  <c r="A3150" i="1"/>
  <c r="C3149" i="1"/>
  <c r="B3149" i="1"/>
  <c r="A3149" i="1"/>
  <c r="C3148" i="1"/>
  <c r="B3148" i="1"/>
  <c r="A3148" i="1"/>
  <c r="C3147" i="1"/>
  <c r="B3147" i="1"/>
  <c r="A3147" i="1"/>
  <c r="C3146" i="1"/>
  <c r="B3146" i="1"/>
  <c r="A3146" i="1"/>
  <c r="C3145" i="1"/>
  <c r="B3145" i="1"/>
  <c r="A3145" i="1"/>
  <c r="C3144" i="1"/>
  <c r="B3144" i="1"/>
  <c r="A3144" i="1"/>
  <c r="C3143" i="1"/>
  <c r="B3143" i="1"/>
  <c r="A3143" i="1"/>
  <c r="C3142" i="1"/>
  <c r="B3142" i="1"/>
  <c r="A3142" i="1"/>
  <c r="C3141" i="1"/>
  <c r="B3141" i="1"/>
  <c r="A3141" i="1"/>
  <c r="C3140" i="1"/>
  <c r="B3140" i="1"/>
  <c r="A3140" i="1"/>
  <c r="C3139" i="1"/>
  <c r="B3139" i="1"/>
  <c r="A3139" i="1"/>
  <c r="C3138" i="1"/>
  <c r="B3138" i="1"/>
  <c r="A3138" i="1"/>
  <c r="C3137" i="1"/>
  <c r="B3137" i="1"/>
  <c r="A3137" i="1"/>
  <c r="C3136" i="1"/>
  <c r="B3136" i="1"/>
  <c r="A3136" i="1"/>
  <c r="C3135" i="1"/>
  <c r="B3135" i="1"/>
  <c r="A3135" i="1"/>
  <c r="C3134" i="1"/>
  <c r="B3134" i="1"/>
  <c r="A3134" i="1"/>
  <c r="C3133" i="1"/>
  <c r="B3133" i="1"/>
  <c r="A3133" i="1"/>
  <c r="C3132" i="1"/>
  <c r="B3132" i="1"/>
  <c r="A3132" i="1"/>
  <c r="C3131" i="1"/>
  <c r="B3131" i="1"/>
  <c r="A3131" i="1"/>
  <c r="C3130" i="1"/>
  <c r="B3130" i="1"/>
  <c r="A3130" i="1"/>
  <c r="C3129" i="1"/>
  <c r="B3129" i="1"/>
  <c r="A3129" i="1"/>
  <c r="C3128" i="1"/>
  <c r="B3128" i="1"/>
  <c r="A3128" i="1"/>
  <c r="C3127" i="1"/>
  <c r="B3127" i="1"/>
  <c r="A3127" i="1"/>
  <c r="C3126" i="1"/>
  <c r="B3126" i="1"/>
  <c r="A3126" i="1"/>
  <c r="C3125" i="1"/>
  <c r="B3125" i="1"/>
  <c r="A3125" i="1"/>
  <c r="C3124" i="1"/>
  <c r="B3124" i="1"/>
  <c r="A3124" i="1"/>
  <c r="C3123" i="1"/>
  <c r="B3123" i="1"/>
  <c r="A3123" i="1"/>
  <c r="C3122" i="1"/>
  <c r="B3122" i="1"/>
  <c r="A3122" i="1"/>
  <c r="C3121" i="1"/>
  <c r="B3121" i="1"/>
  <c r="A3121" i="1"/>
  <c r="C3120" i="1"/>
  <c r="B3120" i="1"/>
  <c r="A3120" i="1"/>
  <c r="C3119" i="1"/>
  <c r="B3119" i="1"/>
  <c r="A3119" i="1"/>
  <c r="C3118" i="1"/>
  <c r="B3118" i="1"/>
  <c r="A3118" i="1"/>
  <c r="C3117" i="1"/>
  <c r="B3117" i="1"/>
  <c r="A3117" i="1"/>
  <c r="C3116" i="1"/>
  <c r="B3116" i="1"/>
  <c r="A3116" i="1"/>
  <c r="C3115" i="1"/>
  <c r="B3115" i="1"/>
  <c r="A3115" i="1"/>
  <c r="C3114" i="1"/>
  <c r="B3114" i="1"/>
  <c r="A3114" i="1"/>
  <c r="C3113" i="1"/>
  <c r="B3113" i="1"/>
  <c r="A3113" i="1"/>
  <c r="C3112" i="1"/>
  <c r="B3112" i="1"/>
  <c r="A3112" i="1"/>
  <c r="C3111" i="1"/>
  <c r="B3111" i="1"/>
  <c r="A3111" i="1"/>
  <c r="C3110" i="1"/>
  <c r="B3110" i="1"/>
  <c r="A3110" i="1"/>
  <c r="C3109" i="1"/>
  <c r="B3109" i="1"/>
  <c r="A3109" i="1"/>
  <c r="C3108" i="1"/>
  <c r="B3108" i="1"/>
  <c r="A3108" i="1"/>
  <c r="C3107" i="1"/>
  <c r="B3107" i="1"/>
  <c r="A3107" i="1"/>
  <c r="C3106" i="1"/>
  <c r="B3106" i="1"/>
  <c r="A3106" i="1"/>
  <c r="C3105" i="1"/>
  <c r="B3105" i="1"/>
  <c r="A3105" i="1"/>
  <c r="C3104" i="1"/>
  <c r="B3104" i="1"/>
  <c r="A3104" i="1"/>
  <c r="C3103" i="1"/>
  <c r="B3103" i="1"/>
  <c r="A3103" i="1"/>
  <c r="C3102" i="1"/>
  <c r="B3102" i="1"/>
  <c r="A3102" i="1"/>
  <c r="C3101" i="1"/>
  <c r="B3101" i="1"/>
  <c r="A3101" i="1"/>
  <c r="C3100" i="1"/>
  <c r="B3100" i="1"/>
  <c r="A3100" i="1"/>
  <c r="C3099" i="1"/>
  <c r="B3099" i="1"/>
  <c r="A3099" i="1"/>
  <c r="C3098" i="1"/>
  <c r="B3098" i="1"/>
  <c r="A3098" i="1"/>
  <c r="C3097" i="1"/>
  <c r="B3097" i="1"/>
  <c r="A3097" i="1"/>
  <c r="C3096" i="1"/>
  <c r="B3096" i="1"/>
  <c r="A3096" i="1"/>
  <c r="C3095" i="1"/>
  <c r="B3095" i="1"/>
  <c r="A3095" i="1"/>
  <c r="C3094" i="1"/>
  <c r="B3094" i="1"/>
  <c r="A3094" i="1"/>
  <c r="C3093" i="1"/>
  <c r="B3093" i="1"/>
  <c r="A3093" i="1"/>
  <c r="C3092" i="1"/>
  <c r="B3092" i="1"/>
  <c r="A3092" i="1"/>
  <c r="C3091" i="1"/>
  <c r="B3091" i="1"/>
  <c r="A3091" i="1"/>
  <c r="C3090" i="1"/>
  <c r="B3090" i="1"/>
  <c r="A3090" i="1"/>
  <c r="C3089" i="1"/>
  <c r="B3089" i="1"/>
  <c r="A3089" i="1"/>
  <c r="C3088" i="1"/>
  <c r="B3088" i="1"/>
  <c r="A3088" i="1"/>
  <c r="C3087" i="1"/>
  <c r="B3087" i="1"/>
  <c r="A3087" i="1"/>
  <c r="C3086" i="1"/>
  <c r="B3086" i="1"/>
  <c r="A3086" i="1"/>
  <c r="C3085" i="1"/>
  <c r="B3085" i="1"/>
  <c r="A3085" i="1"/>
  <c r="C3084" i="1"/>
  <c r="B3084" i="1"/>
  <c r="A3084" i="1"/>
  <c r="C3083" i="1"/>
  <c r="B3083" i="1"/>
  <c r="A3083" i="1"/>
  <c r="C3082" i="1"/>
  <c r="B3082" i="1"/>
  <c r="A3082" i="1"/>
  <c r="C3081" i="1"/>
  <c r="B3081" i="1"/>
  <c r="A3081" i="1"/>
  <c r="C3080" i="1"/>
  <c r="B3080" i="1"/>
  <c r="A3080" i="1"/>
  <c r="C3079" i="1"/>
  <c r="B3079" i="1"/>
  <c r="A3079" i="1"/>
  <c r="C3078" i="1"/>
  <c r="B3078" i="1"/>
  <c r="A3078" i="1"/>
  <c r="C3077" i="1"/>
  <c r="B3077" i="1"/>
  <c r="A3077" i="1"/>
  <c r="C3076" i="1"/>
  <c r="B3076" i="1"/>
  <c r="A3076" i="1"/>
  <c r="C3075" i="1"/>
  <c r="B3075" i="1"/>
  <c r="A3075" i="1"/>
  <c r="C3074" i="1"/>
  <c r="B3074" i="1"/>
  <c r="A3074" i="1"/>
  <c r="C3073" i="1"/>
  <c r="B3073" i="1"/>
  <c r="A3073" i="1"/>
  <c r="C3072" i="1"/>
  <c r="B3072" i="1"/>
  <c r="A3072" i="1"/>
  <c r="C3071" i="1"/>
  <c r="B3071" i="1"/>
  <c r="A3071" i="1"/>
  <c r="C3070" i="1"/>
  <c r="B3070" i="1"/>
  <c r="A3070" i="1"/>
  <c r="C3069" i="1"/>
  <c r="B3069" i="1"/>
  <c r="A3069" i="1"/>
  <c r="C3068" i="1"/>
  <c r="B3068" i="1"/>
  <c r="A3068" i="1"/>
  <c r="C3067" i="1"/>
  <c r="B3067" i="1"/>
  <c r="A3067" i="1"/>
  <c r="C3066" i="1"/>
  <c r="B3066" i="1"/>
  <c r="A3066" i="1"/>
  <c r="C3065" i="1"/>
  <c r="B3065" i="1"/>
  <c r="A3065" i="1"/>
  <c r="C3064" i="1"/>
  <c r="B3064" i="1"/>
  <c r="A3064" i="1"/>
  <c r="C3063" i="1"/>
  <c r="B3063" i="1"/>
  <c r="A3063" i="1"/>
  <c r="C3062" i="1"/>
  <c r="B3062" i="1"/>
  <c r="A3062" i="1"/>
  <c r="C3061" i="1"/>
  <c r="B3061" i="1"/>
  <c r="A3061" i="1"/>
  <c r="C3060" i="1"/>
  <c r="B3060" i="1"/>
  <c r="A3060" i="1"/>
  <c r="C3059" i="1"/>
  <c r="B3059" i="1"/>
  <c r="A3059" i="1"/>
  <c r="C3058" i="1"/>
  <c r="B3058" i="1"/>
  <c r="A3058" i="1"/>
  <c r="C3057" i="1"/>
  <c r="B3057" i="1"/>
  <c r="A3057" i="1"/>
  <c r="C3056" i="1"/>
  <c r="B3056" i="1"/>
  <c r="A3056" i="1"/>
  <c r="C3055" i="1"/>
  <c r="B3055" i="1"/>
  <c r="A3055" i="1"/>
  <c r="C3054" i="1"/>
  <c r="B3054" i="1"/>
  <c r="A3054" i="1"/>
  <c r="C3053" i="1"/>
  <c r="B3053" i="1"/>
  <c r="A3053" i="1"/>
  <c r="C3052" i="1"/>
  <c r="B3052" i="1"/>
  <c r="A3052" i="1"/>
  <c r="C3051" i="1"/>
  <c r="B3051" i="1"/>
  <c r="A3051" i="1"/>
  <c r="C3050" i="1"/>
  <c r="B3050" i="1"/>
  <c r="A3050" i="1"/>
  <c r="C3049" i="1"/>
  <c r="B3049" i="1"/>
  <c r="A3049" i="1"/>
  <c r="C3048" i="1"/>
  <c r="B3048" i="1"/>
  <c r="A3048" i="1"/>
  <c r="C3047" i="1"/>
  <c r="B3047" i="1"/>
  <c r="A3047" i="1"/>
  <c r="C3046" i="1"/>
  <c r="B3046" i="1"/>
  <c r="A3046" i="1"/>
  <c r="C3045" i="1"/>
  <c r="B3045" i="1"/>
  <c r="A3045" i="1"/>
  <c r="C3044" i="1"/>
  <c r="B3044" i="1"/>
  <c r="A3044" i="1"/>
  <c r="C3043" i="1"/>
  <c r="B3043" i="1"/>
  <c r="A3043" i="1"/>
  <c r="C3042" i="1"/>
  <c r="B3042" i="1"/>
  <c r="A3042" i="1"/>
  <c r="C3041" i="1"/>
  <c r="B3041" i="1"/>
  <c r="A3041" i="1"/>
  <c r="C3040" i="1"/>
  <c r="B3040" i="1"/>
  <c r="A3040" i="1"/>
  <c r="C3039" i="1"/>
  <c r="B3039" i="1"/>
  <c r="A3039" i="1"/>
  <c r="C3038" i="1"/>
  <c r="B3038" i="1"/>
  <c r="A3038" i="1"/>
  <c r="C3037" i="1"/>
  <c r="B3037" i="1"/>
  <c r="A3037" i="1"/>
  <c r="C3036" i="1"/>
  <c r="B3036" i="1"/>
  <c r="A3036" i="1"/>
  <c r="C3035" i="1"/>
  <c r="B3035" i="1"/>
  <c r="A3035" i="1"/>
  <c r="C3034" i="1"/>
  <c r="B3034" i="1"/>
  <c r="A3034" i="1"/>
  <c r="C3033" i="1"/>
  <c r="B3033" i="1"/>
  <c r="A3033" i="1"/>
  <c r="C3032" i="1"/>
  <c r="B3032" i="1"/>
  <c r="A3032" i="1"/>
  <c r="C3031" i="1"/>
  <c r="B3031" i="1"/>
  <c r="A3031" i="1"/>
  <c r="C3030" i="1"/>
  <c r="B3030" i="1"/>
  <c r="A3030" i="1"/>
  <c r="C3029" i="1"/>
  <c r="B3029" i="1"/>
  <c r="A3029" i="1"/>
  <c r="C3028" i="1"/>
  <c r="B3028" i="1"/>
  <c r="A3028" i="1"/>
  <c r="C3027" i="1"/>
  <c r="B3027" i="1"/>
  <c r="A3027" i="1"/>
  <c r="C3026" i="1"/>
  <c r="B3026" i="1"/>
  <c r="A3026" i="1"/>
  <c r="C3025" i="1"/>
  <c r="B3025" i="1"/>
  <c r="A3025" i="1"/>
  <c r="C3024" i="1"/>
  <c r="B3024" i="1"/>
  <c r="A3024" i="1"/>
  <c r="C3023" i="1"/>
  <c r="B3023" i="1"/>
  <c r="A3023" i="1"/>
  <c r="C3022" i="1"/>
  <c r="B3022" i="1"/>
  <c r="A3022" i="1"/>
  <c r="C3021" i="1"/>
  <c r="B3021" i="1"/>
  <c r="A3021" i="1"/>
  <c r="C3020" i="1"/>
  <c r="B3020" i="1"/>
  <c r="A3020" i="1"/>
  <c r="C3019" i="1"/>
  <c r="B3019" i="1"/>
  <c r="A3019" i="1"/>
  <c r="C3018" i="1"/>
  <c r="B3018" i="1"/>
  <c r="A3018" i="1"/>
  <c r="C3017" i="1"/>
  <c r="B3017" i="1"/>
  <c r="A3017" i="1"/>
  <c r="C3016" i="1"/>
  <c r="B3016" i="1"/>
  <c r="A3016" i="1"/>
  <c r="C3015" i="1"/>
  <c r="B3015" i="1"/>
  <c r="A3015" i="1"/>
  <c r="C3014" i="1"/>
  <c r="B3014" i="1"/>
  <c r="A3014" i="1"/>
  <c r="C3013" i="1"/>
  <c r="B3013" i="1"/>
  <c r="A3013" i="1"/>
  <c r="C3012" i="1"/>
  <c r="B3012" i="1"/>
  <c r="A3012" i="1"/>
  <c r="C3011" i="1"/>
  <c r="B3011" i="1"/>
  <c r="A3011" i="1"/>
  <c r="C3010" i="1"/>
  <c r="B3010" i="1"/>
  <c r="A3010" i="1"/>
  <c r="C3009" i="1"/>
  <c r="B3009" i="1"/>
  <c r="A3009" i="1"/>
  <c r="C3008" i="1"/>
  <c r="B3008" i="1"/>
  <c r="A3008" i="1"/>
  <c r="C3007" i="1"/>
  <c r="B3007" i="1"/>
  <c r="A3007" i="1"/>
  <c r="C3006" i="1"/>
  <c r="B3006" i="1"/>
  <c r="A3006" i="1"/>
  <c r="C3005" i="1"/>
  <c r="B3005" i="1"/>
  <c r="A3005" i="1"/>
  <c r="C3004" i="1"/>
  <c r="B3004" i="1"/>
  <c r="A3004" i="1"/>
  <c r="C3003" i="1"/>
  <c r="B3003" i="1"/>
  <c r="A3003" i="1"/>
  <c r="C3002" i="1"/>
  <c r="B3002" i="1"/>
  <c r="A3002" i="1"/>
  <c r="C3001" i="1"/>
  <c r="B3001" i="1"/>
  <c r="A3001" i="1"/>
  <c r="C3000" i="1"/>
  <c r="B3000" i="1"/>
  <c r="A3000" i="1"/>
  <c r="C2999" i="1"/>
  <c r="B2999" i="1"/>
  <c r="A2999" i="1"/>
  <c r="C2998" i="1"/>
  <c r="B2998" i="1"/>
  <c r="A2998" i="1"/>
  <c r="C2997" i="1"/>
  <c r="B2997" i="1"/>
  <c r="A2997" i="1"/>
  <c r="C2996" i="1"/>
  <c r="B2996" i="1"/>
  <c r="A2996" i="1"/>
  <c r="C2995" i="1"/>
  <c r="B2995" i="1"/>
  <c r="A2995" i="1"/>
  <c r="C2994" i="1"/>
  <c r="B2994" i="1"/>
  <c r="A2994" i="1"/>
  <c r="C2993" i="1"/>
  <c r="B2993" i="1"/>
  <c r="A2993" i="1"/>
  <c r="C2992" i="1"/>
  <c r="B2992" i="1"/>
  <c r="A2992" i="1"/>
  <c r="C2991" i="1"/>
  <c r="B2991" i="1"/>
  <c r="A2991" i="1"/>
  <c r="C2990" i="1"/>
  <c r="B2990" i="1"/>
  <c r="A2990" i="1"/>
  <c r="C2989" i="1"/>
  <c r="B2989" i="1"/>
  <c r="A2989" i="1"/>
  <c r="C2988" i="1"/>
  <c r="B2988" i="1"/>
  <c r="A2988" i="1"/>
  <c r="C2987" i="1"/>
  <c r="B2987" i="1"/>
  <c r="A2987" i="1"/>
  <c r="C2986" i="1"/>
  <c r="B2986" i="1"/>
  <c r="A2986" i="1"/>
  <c r="C2985" i="1"/>
  <c r="B2985" i="1"/>
  <c r="A2985" i="1"/>
  <c r="C2984" i="1"/>
  <c r="B2984" i="1"/>
  <c r="A2984" i="1"/>
  <c r="C2983" i="1"/>
  <c r="B2983" i="1"/>
  <c r="A2983" i="1"/>
  <c r="C2982" i="1"/>
  <c r="B2982" i="1"/>
  <c r="A2982" i="1"/>
  <c r="C2981" i="1"/>
  <c r="B2981" i="1"/>
  <c r="A2981" i="1"/>
  <c r="C2980" i="1"/>
  <c r="B2980" i="1"/>
  <c r="A2980" i="1"/>
  <c r="C2979" i="1"/>
  <c r="B2979" i="1"/>
  <c r="A2979" i="1"/>
  <c r="C2978" i="1"/>
  <c r="B2978" i="1"/>
  <c r="A2978" i="1"/>
  <c r="C2977" i="1"/>
  <c r="B2977" i="1"/>
  <c r="A2977" i="1"/>
  <c r="C2976" i="1"/>
  <c r="B2976" i="1"/>
  <c r="A2976" i="1"/>
  <c r="C2975" i="1"/>
  <c r="B2975" i="1"/>
  <c r="A2975" i="1"/>
  <c r="C2974" i="1"/>
  <c r="B2974" i="1"/>
  <c r="A2974" i="1"/>
  <c r="C2973" i="1"/>
  <c r="B2973" i="1"/>
  <c r="A2973" i="1"/>
  <c r="C2972" i="1"/>
  <c r="B2972" i="1"/>
  <c r="A2972" i="1"/>
  <c r="C2971" i="1"/>
  <c r="B2971" i="1"/>
  <c r="A2971" i="1"/>
  <c r="C2970" i="1"/>
  <c r="B2970" i="1"/>
  <c r="A2970" i="1"/>
  <c r="C2969" i="1"/>
  <c r="B2969" i="1"/>
  <c r="A2969" i="1"/>
  <c r="C2968" i="1"/>
  <c r="B2968" i="1"/>
  <c r="A2968" i="1"/>
  <c r="C2967" i="1"/>
  <c r="B2967" i="1"/>
  <c r="A2967" i="1"/>
  <c r="C2966" i="1"/>
  <c r="B2966" i="1"/>
  <c r="A2966" i="1"/>
  <c r="C2965" i="1"/>
  <c r="B2965" i="1"/>
  <c r="A2965" i="1"/>
  <c r="C2964" i="1"/>
  <c r="B2964" i="1"/>
  <c r="A2964" i="1"/>
  <c r="C2963" i="1"/>
  <c r="B2963" i="1"/>
  <c r="A2963" i="1"/>
  <c r="C2962" i="1"/>
  <c r="B2962" i="1"/>
  <c r="A2962" i="1"/>
  <c r="C2961" i="1"/>
  <c r="B2961" i="1"/>
  <c r="A2961" i="1"/>
  <c r="C2960" i="1"/>
  <c r="B2960" i="1"/>
  <c r="A2960" i="1"/>
  <c r="C2959" i="1"/>
  <c r="B2959" i="1"/>
  <c r="A2959" i="1"/>
  <c r="C2958" i="1"/>
  <c r="B2958" i="1"/>
  <c r="A2958" i="1"/>
  <c r="C2957" i="1"/>
  <c r="B2957" i="1"/>
  <c r="A2957" i="1"/>
  <c r="C2956" i="1"/>
  <c r="B2956" i="1"/>
  <c r="A2956" i="1"/>
  <c r="C2955" i="1"/>
  <c r="B2955" i="1"/>
  <c r="A2955" i="1"/>
  <c r="C2954" i="1"/>
  <c r="B2954" i="1"/>
  <c r="A2954" i="1"/>
  <c r="C2953" i="1"/>
  <c r="B2953" i="1"/>
  <c r="A2953" i="1"/>
  <c r="C2952" i="1"/>
  <c r="B2952" i="1"/>
  <c r="A2952" i="1"/>
  <c r="C2951" i="1"/>
  <c r="B2951" i="1"/>
  <c r="A2951" i="1"/>
  <c r="C2950" i="1"/>
  <c r="B2950" i="1"/>
  <c r="A2950" i="1"/>
  <c r="C2949" i="1"/>
  <c r="B2949" i="1"/>
  <c r="A2949" i="1"/>
  <c r="C2948" i="1"/>
  <c r="B2948" i="1"/>
  <c r="A2948" i="1"/>
  <c r="C2947" i="1"/>
  <c r="B2947" i="1"/>
  <c r="A2947" i="1"/>
  <c r="C2946" i="1"/>
  <c r="B2946" i="1"/>
  <c r="A2946" i="1"/>
  <c r="C2945" i="1"/>
  <c r="B2945" i="1"/>
  <c r="A2945" i="1"/>
  <c r="C2944" i="1"/>
  <c r="B2944" i="1"/>
  <c r="A2944" i="1"/>
  <c r="C2943" i="1"/>
  <c r="B2943" i="1"/>
  <c r="A2943" i="1"/>
  <c r="C2942" i="1"/>
  <c r="B2942" i="1"/>
  <c r="A2942" i="1"/>
  <c r="C2941" i="1"/>
  <c r="B2941" i="1"/>
  <c r="A2941" i="1"/>
  <c r="C2940" i="1"/>
  <c r="B2940" i="1"/>
  <c r="A2940" i="1"/>
  <c r="C2939" i="1"/>
  <c r="B2939" i="1"/>
  <c r="A2939" i="1"/>
  <c r="C2938" i="1"/>
  <c r="B2938" i="1"/>
  <c r="A2938" i="1"/>
  <c r="C2937" i="1"/>
  <c r="B2937" i="1"/>
  <c r="A2937" i="1"/>
  <c r="C2936" i="1"/>
  <c r="B2936" i="1"/>
  <c r="A2936" i="1"/>
  <c r="C2935" i="1"/>
  <c r="B2935" i="1"/>
  <c r="A2935" i="1"/>
  <c r="C2934" i="1"/>
  <c r="B2934" i="1"/>
  <c r="A2934" i="1"/>
  <c r="C2933" i="1"/>
  <c r="B2933" i="1"/>
  <c r="A2933" i="1"/>
  <c r="C2932" i="1"/>
  <c r="B2932" i="1"/>
  <c r="A2932" i="1"/>
  <c r="C2931" i="1"/>
  <c r="B2931" i="1"/>
  <c r="A2931" i="1"/>
  <c r="C2930" i="1"/>
  <c r="B2930" i="1"/>
  <c r="A2930" i="1"/>
  <c r="C2929" i="1"/>
  <c r="B2929" i="1"/>
  <c r="A2929" i="1"/>
  <c r="C2928" i="1"/>
  <c r="B2928" i="1"/>
  <c r="A2928" i="1"/>
  <c r="C2927" i="1"/>
  <c r="B2927" i="1"/>
  <c r="A2927" i="1"/>
  <c r="C2926" i="1"/>
  <c r="B2926" i="1"/>
  <c r="A2926" i="1"/>
  <c r="C2925" i="1"/>
  <c r="B2925" i="1"/>
  <c r="A2925" i="1"/>
  <c r="C2924" i="1"/>
  <c r="B2924" i="1"/>
  <c r="A2924" i="1"/>
  <c r="C2923" i="1"/>
  <c r="B2923" i="1"/>
  <c r="A2923" i="1"/>
  <c r="C2922" i="1"/>
  <c r="B2922" i="1"/>
  <c r="A2922" i="1"/>
  <c r="C2921" i="1"/>
  <c r="B2921" i="1"/>
  <c r="A2921" i="1"/>
  <c r="C2920" i="1"/>
  <c r="B2920" i="1"/>
  <c r="A2920" i="1"/>
  <c r="C2919" i="1"/>
  <c r="B2919" i="1"/>
  <c r="A2919" i="1"/>
  <c r="C2918" i="1"/>
  <c r="B2918" i="1"/>
  <c r="A2918" i="1"/>
  <c r="C2917" i="1"/>
  <c r="B2917" i="1"/>
  <c r="A2917" i="1"/>
  <c r="C2916" i="1"/>
  <c r="B2916" i="1"/>
  <c r="A2916" i="1"/>
  <c r="C2915" i="1"/>
  <c r="B2915" i="1"/>
  <c r="A2915" i="1"/>
  <c r="C2914" i="1"/>
  <c r="B2914" i="1"/>
  <c r="A2914" i="1"/>
  <c r="C2913" i="1"/>
  <c r="B2913" i="1"/>
  <c r="A2913" i="1"/>
  <c r="C2912" i="1"/>
  <c r="B2912" i="1"/>
  <c r="A2912" i="1"/>
  <c r="C2911" i="1"/>
  <c r="B2911" i="1"/>
  <c r="A2911" i="1"/>
  <c r="C2910" i="1"/>
  <c r="B2910" i="1"/>
  <c r="A2910" i="1"/>
  <c r="C2909" i="1"/>
  <c r="B2909" i="1"/>
  <c r="A2909" i="1"/>
  <c r="C2908" i="1"/>
  <c r="B2908" i="1"/>
  <c r="A2908" i="1"/>
  <c r="C2907" i="1"/>
  <c r="B2907" i="1"/>
  <c r="A2907" i="1"/>
  <c r="C2906" i="1"/>
  <c r="B2906" i="1"/>
  <c r="A2906" i="1"/>
  <c r="C2905" i="1"/>
  <c r="B2905" i="1"/>
  <c r="A2905" i="1"/>
  <c r="C2904" i="1"/>
  <c r="B2904" i="1"/>
  <c r="A2904" i="1"/>
  <c r="C2903" i="1"/>
  <c r="B2903" i="1"/>
  <c r="A2903" i="1"/>
  <c r="C2902" i="1"/>
  <c r="B2902" i="1"/>
  <c r="A2902" i="1"/>
  <c r="C2901" i="1"/>
  <c r="B2901" i="1"/>
  <c r="A2901" i="1"/>
  <c r="C2900" i="1"/>
  <c r="B2900" i="1"/>
  <c r="A2900" i="1"/>
  <c r="C2899" i="1"/>
  <c r="B2899" i="1"/>
  <c r="A2899" i="1"/>
  <c r="C2898" i="1"/>
  <c r="B2898" i="1"/>
  <c r="A2898" i="1"/>
  <c r="C2897" i="1"/>
  <c r="B2897" i="1"/>
  <c r="A2897" i="1"/>
  <c r="C2896" i="1"/>
  <c r="B2896" i="1"/>
  <c r="A2896" i="1"/>
  <c r="C2895" i="1"/>
  <c r="B2895" i="1"/>
  <c r="A2895" i="1"/>
  <c r="C2894" i="1"/>
  <c r="B2894" i="1"/>
  <c r="A2894" i="1"/>
  <c r="C2893" i="1"/>
  <c r="B2893" i="1"/>
  <c r="A2893" i="1"/>
  <c r="C2892" i="1"/>
  <c r="B2892" i="1"/>
  <c r="A2892" i="1"/>
  <c r="C2891" i="1"/>
  <c r="B2891" i="1"/>
  <c r="A2891" i="1"/>
  <c r="C2890" i="1"/>
  <c r="B2890" i="1"/>
  <c r="A2890" i="1"/>
  <c r="C2889" i="1"/>
  <c r="B2889" i="1"/>
  <c r="A2889" i="1"/>
  <c r="C2888" i="1"/>
  <c r="B2888" i="1"/>
  <c r="A2888" i="1"/>
  <c r="C2887" i="1"/>
  <c r="B2887" i="1"/>
  <c r="A2887" i="1"/>
  <c r="C2886" i="1"/>
  <c r="B2886" i="1"/>
  <c r="A2886" i="1"/>
  <c r="C2885" i="1"/>
  <c r="B2885" i="1"/>
  <c r="A2885" i="1"/>
  <c r="C2884" i="1"/>
  <c r="B2884" i="1"/>
  <c r="A2884" i="1"/>
  <c r="C2883" i="1"/>
  <c r="B2883" i="1"/>
  <c r="A2883" i="1"/>
  <c r="C2882" i="1"/>
  <c r="B2882" i="1"/>
  <c r="A2882" i="1"/>
  <c r="C2881" i="1"/>
  <c r="B2881" i="1"/>
  <c r="A2881" i="1"/>
  <c r="C2880" i="1"/>
  <c r="B2880" i="1"/>
  <c r="A2880" i="1"/>
  <c r="C2879" i="1"/>
  <c r="B2879" i="1"/>
  <c r="A2879" i="1"/>
  <c r="C2878" i="1"/>
  <c r="B2878" i="1"/>
  <c r="A2878" i="1"/>
  <c r="C2877" i="1"/>
  <c r="B2877" i="1"/>
  <c r="A2877" i="1"/>
  <c r="C2876" i="1"/>
  <c r="B2876" i="1"/>
  <c r="A2876" i="1"/>
  <c r="C2875" i="1"/>
  <c r="B2875" i="1"/>
  <c r="A2875" i="1"/>
  <c r="C2874" i="1"/>
  <c r="B2874" i="1"/>
  <c r="A2874" i="1"/>
  <c r="C2873" i="1"/>
  <c r="B2873" i="1"/>
  <c r="A2873" i="1"/>
  <c r="C2872" i="1"/>
  <c r="B2872" i="1"/>
  <c r="A2872" i="1"/>
  <c r="C2871" i="1"/>
  <c r="B2871" i="1"/>
  <c r="A2871" i="1"/>
  <c r="C2870" i="1"/>
  <c r="B2870" i="1"/>
  <c r="A2870" i="1"/>
  <c r="C2869" i="1"/>
  <c r="B2869" i="1"/>
  <c r="A2869" i="1"/>
  <c r="C2868" i="1"/>
  <c r="B2868" i="1"/>
  <c r="A2868" i="1"/>
  <c r="C2867" i="1"/>
  <c r="B2867" i="1"/>
  <c r="A2867" i="1"/>
  <c r="C2866" i="1"/>
  <c r="B2866" i="1"/>
  <c r="A2866" i="1"/>
  <c r="C2865" i="1"/>
  <c r="B2865" i="1"/>
  <c r="A2865" i="1"/>
  <c r="C2864" i="1"/>
  <c r="B2864" i="1"/>
  <c r="A2864" i="1"/>
  <c r="C2863" i="1"/>
  <c r="B2863" i="1"/>
  <c r="A2863" i="1"/>
  <c r="C2862" i="1"/>
  <c r="B2862" i="1"/>
  <c r="A2862" i="1"/>
  <c r="C2861" i="1"/>
  <c r="B2861" i="1"/>
  <c r="A2861" i="1"/>
  <c r="C2860" i="1"/>
  <c r="B2860" i="1"/>
  <c r="A2860" i="1"/>
  <c r="C2859" i="1"/>
  <c r="B2859" i="1"/>
  <c r="A2859" i="1"/>
  <c r="C2858" i="1"/>
  <c r="B2858" i="1"/>
  <c r="A2858" i="1"/>
  <c r="C2857" i="1"/>
  <c r="B2857" i="1"/>
  <c r="A2857" i="1"/>
  <c r="C2856" i="1"/>
  <c r="B2856" i="1"/>
  <c r="A2856" i="1"/>
  <c r="C2855" i="1"/>
  <c r="B2855" i="1"/>
  <c r="A2855" i="1"/>
  <c r="C2854" i="1"/>
  <c r="B2854" i="1"/>
  <c r="A2854" i="1"/>
  <c r="C2853" i="1"/>
  <c r="B2853" i="1"/>
  <c r="A2853" i="1"/>
  <c r="C2852" i="1"/>
  <c r="B2852" i="1"/>
  <c r="A2852" i="1"/>
  <c r="C2851" i="1"/>
  <c r="B2851" i="1"/>
  <c r="A2851" i="1"/>
  <c r="C2850" i="1"/>
  <c r="B2850" i="1"/>
  <c r="A2850" i="1"/>
  <c r="C2849" i="1"/>
  <c r="B2849" i="1"/>
  <c r="A2849" i="1"/>
  <c r="C2848" i="1"/>
  <c r="B2848" i="1"/>
  <c r="A2848" i="1"/>
  <c r="C2847" i="1"/>
  <c r="B2847" i="1"/>
  <c r="A2847" i="1"/>
  <c r="C2846" i="1"/>
  <c r="B2846" i="1"/>
  <c r="A2846" i="1"/>
  <c r="C2845" i="1"/>
  <c r="B2845" i="1"/>
  <c r="A2845" i="1"/>
  <c r="C2844" i="1"/>
  <c r="B2844" i="1"/>
  <c r="A2844" i="1"/>
  <c r="C2843" i="1"/>
  <c r="B2843" i="1"/>
  <c r="A2843" i="1"/>
  <c r="C2842" i="1"/>
  <c r="B2842" i="1"/>
  <c r="A2842" i="1"/>
  <c r="C2841" i="1"/>
  <c r="B2841" i="1"/>
  <c r="A2841" i="1"/>
  <c r="C2840" i="1"/>
  <c r="B2840" i="1"/>
  <c r="A2840" i="1"/>
  <c r="C2839" i="1"/>
  <c r="B2839" i="1"/>
  <c r="A2839" i="1"/>
  <c r="C2838" i="1"/>
  <c r="B2838" i="1"/>
  <c r="A2838" i="1"/>
  <c r="C2837" i="1"/>
  <c r="B2837" i="1"/>
  <c r="A2837" i="1"/>
  <c r="C2836" i="1"/>
  <c r="B2836" i="1"/>
  <c r="A2836" i="1"/>
  <c r="C2835" i="1"/>
  <c r="B2835" i="1"/>
  <c r="A2835" i="1"/>
  <c r="C2834" i="1"/>
  <c r="B2834" i="1"/>
  <c r="A2834" i="1"/>
  <c r="C2833" i="1"/>
  <c r="B2833" i="1"/>
  <c r="A2833" i="1"/>
  <c r="C2832" i="1"/>
  <c r="B2832" i="1"/>
  <c r="A2832" i="1"/>
  <c r="C2831" i="1"/>
  <c r="B2831" i="1"/>
  <c r="A2831" i="1"/>
  <c r="C2830" i="1"/>
  <c r="B2830" i="1"/>
  <c r="A2830" i="1"/>
  <c r="C2829" i="1"/>
  <c r="B2829" i="1"/>
  <c r="A2829" i="1"/>
  <c r="C2828" i="1"/>
  <c r="B2828" i="1"/>
  <c r="A2828" i="1"/>
  <c r="C2827" i="1"/>
  <c r="B2827" i="1"/>
  <c r="A2827" i="1"/>
  <c r="C2826" i="1"/>
  <c r="B2826" i="1"/>
  <c r="A2826" i="1"/>
  <c r="C2825" i="1"/>
  <c r="B2825" i="1"/>
  <c r="A2825" i="1"/>
  <c r="C2824" i="1"/>
  <c r="B2824" i="1"/>
  <c r="A2824" i="1"/>
  <c r="C2823" i="1"/>
  <c r="B2823" i="1"/>
  <c r="A2823" i="1"/>
  <c r="C2822" i="1"/>
  <c r="B2822" i="1"/>
  <c r="A2822" i="1"/>
  <c r="C2821" i="1"/>
  <c r="B2821" i="1"/>
  <c r="A2821" i="1"/>
  <c r="C2820" i="1"/>
  <c r="B2820" i="1"/>
  <c r="A2820" i="1"/>
  <c r="C2819" i="1"/>
  <c r="B2819" i="1"/>
  <c r="A2819" i="1"/>
  <c r="C2818" i="1"/>
  <c r="B2818" i="1"/>
  <c r="A2818" i="1"/>
  <c r="C2817" i="1"/>
  <c r="B2817" i="1"/>
  <c r="A2817" i="1"/>
  <c r="C2816" i="1"/>
  <c r="B2816" i="1"/>
  <c r="A2816" i="1"/>
  <c r="C2815" i="1"/>
  <c r="B2815" i="1"/>
  <c r="A2815" i="1"/>
  <c r="C2814" i="1"/>
  <c r="B2814" i="1"/>
  <c r="A2814" i="1"/>
  <c r="C2813" i="1"/>
  <c r="B2813" i="1"/>
  <c r="A2813" i="1"/>
  <c r="C2812" i="1"/>
  <c r="B2812" i="1"/>
  <c r="A2812" i="1"/>
  <c r="C2811" i="1"/>
  <c r="B2811" i="1"/>
  <c r="A2811" i="1"/>
  <c r="C2810" i="1"/>
  <c r="B2810" i="1"/>
  <c r="A2810" i="1"/>
  <c r="C2809" i="1"/>
  <c r="B2809" i="1"/>
  <c r="A2809" i="1"/>
  <c r="C2808" i="1"/>
  <c r="B2808" i="1"/>
  <c r="A2808" i="1"/>
  <c r="C2807" i="1"/>
  <c r="B2807" i="1"/>
  <c r="A2807" i="1"/>
  <c r="C2806" i="1"/>
  <c r="B2806" i="1"/>
  <c r="A2806" i="1"/>
  <c r="C2805" i="1"/>
  <c r="B2805" i="1"/>
  <c r="A2805" i="1"/>
  <c r="C2804" i="1"/>
  <c r="B2804" i="1"/>
  <c r="A2804" i="1"/>
  <c r="C2803" i="1"/>
  <c r="B2803" i="1"/>
  <c r="A2803" i="1"/>
  <c r="C2802" i="1"/>
  <c r="B2802" i="1"/>
  <c r="A2802" i="1"/>
  <c r="C2801" i="1"/>
  <c r="B2801" i="1"/>
  <c r="A2801" i="1"/>
  <c r="C2800" i="1"/>
  <c r="B2800" i="1"/>
  <c r="A2800" i="1"/>
  <c r="C2799" i="1"/>
  <c r="B2799" i="1"/>
  <c r="A2799" i="1"/>
  <c r="C2798" i="1"/>
  <c r="B2798" i="1"/>
  <c r="A2798" i="1"/>
  <c r="C2797" i="1"/>
  <c r="B2797" i="1"/>
  <c r="A2797" i="1"/>
  <c r="C2796" i="1"/>
  <c r="B2796" i="1"/>
  <c r="A2796" i="1"/>
  <c r="C2795" i="1"/>
  <c r="B2795" i="1"/>
  <c r="A2795" i="1"/>
  <c r="C2794" i="1"/>
  <c r="B2794" i="1"/>
  <c r="A2794" i="1"/>
  <c r="C2793" i="1"/>
  <c r="B2793" i="1"/>
  <c r="A2793" i="1"/>
  <c r="C2792" i="1"/>
  <c r="B2792" i="1"/>
  <c r="A2792" i="1"/>
  <c r="C2791" i="1"/>
  <c r="B2791" i="1"/>
  <c r="A2791" i="1"/>
  <c r="C2790" i="1"/>
  <c r="B2790" i="1"/>
  <c r="A2790" i="1"/>
  <c r="C2789" i="1"/>
  <c r="B2789" i="1"/>
  <c r="A2789" i="1"/>
  <c r="C2788" i="1"/>
  <c r="B2788" i="1"/>
  <c r="A2788" i="1"/>
  <c r="C2787" i="1"/>
  <c r="B2787" i="1"/>
  <c r="A2787" i="1"/>
  <c r="C2786" i="1"/>
  <c r="B2786" i="1"/>
  <c r="A2786" i="1"/>
  <c r="C2785" i="1"/>
  <c r="B2785" i="1"/>
  <c r="A2785" i="1"/>
  <c r="C2784" i="1"/>
  <c r="B2784" i="1"/>
  <c r="A2784" i="1"/>
  <c r="C2783" i="1"/>
  <c r="B2783" i="1"/>
  <c r="A2783" i="1"/>
  <c r="C2782" i="1"/>
  <c r="B2782" i="1"/>
  <c r="A2782" i="1"/>
  <c r="C2781" i="1"/>
  <c r="B2781" i="1"/>
  <c r="A2781" i="1"/>
  <c r="C2780" i="1"/>
  <c r="B2780" i="1"/>
  <c r="A2780" i="1"/>
  <c r="C2779" i="1"/>
  <c r="B2779" i="1"/>
  <c r="A2779" i="1"/>
  <c r="C2778" i="1"/>
  <c r="B2778" i="1"/>
  <c r="A2778" i="1"/>
  <c r="C2777" i="1"/>
  <c r="B2777" i="1"/>
  <c r="A2777" i="1"/>
  <c r="C2776" i="1"/>
  <c r="B2776" i="1"/>
  <c r="A2776" i="1"/>
  <c r="C2775" i="1"/>
  <c r="B2775" i="1"/>
  <c r="A2775" i="1"/>
  <c r="C2774" i="1"/>
  <c r="B2774" i="1"/>
  <c r="A2774" i="1"/>
  <c r="C2773" i="1"/>
  <c r="B2773" i="1"/>
  <c r="A2773" i="1"/>
  <c r="C2772" i="1"/>
  <c r="B2772" i="1"/>
  <c r="A2772" i="1"/>
  <c r="C2771" i="1"/>
  <c r="B2771" i="1"/>
  <c r="A2771" i="1"/>
  <c r="C2770" i="1"/>
  <c r="B2770" i="1"/>
  <c r="A2770" i="1"/>
  <c r="C2769" i="1"/>
  <c r="B2769" i="1"/>
  <c r="A2769" i="1"/>
  <c r="C2768" i="1"/>
  <c r="B2768" i="1"/>
  <c r="A2768" i="1"/>
  <c r="C2767" i="1"/>
  <c r="B2767" i="1"/>
  <c r="A2767" i="1"/>
  <c r="C2766" i="1"/>
  <c r="B2766" i="1"/>
  <c r="A2766" i="1"/>
  <c r="C2765" i="1"/>
  <c r="B2765" i="1"/>
  <c r="A2765" i="1"/>
  <c r="C2764" i="1"/>
  <c r="B2764" i="1"/>
  <c r="A2764" i="1"/>
  <c r="C2763" i="1"/>
  <c r="B2763" i="1"/>
  <c r="A2763" i="1"/>
  <c r="C2762" i="1"/>
  <c r="B2762" i="1"/>
  <c r="A2762" i="1"/>
  <c r="C2761" i="1"/>
  <c r="B2761" i="1"/>
  <c r="A2761" i="1"/>
  <c r="C2760" i="1"/>
  <c r="B2760" i="1"/>
  <c r="A2760" i="1"/>
  <c r="C2759" i="1"/>
  <c r="B2759" i="1"/>
  <c r="A2759" i="1"/>
  <c r="C2758" i="1"/>
  <c r="B2758" i="1"/>
  <c r="A2758" i="1"/>
  <c r="C2757" i="1"/>
  <c r="B2757" i="1"/>
  <c r="A2757" i="1"/>
  <c r="C2756" i="1"/>
  <c r="B2756" i="1"/>
  <c r="A2756" i="1"/>
  <c r="C2755" i="1"/>
  <c r="B2755" i="1"/>
  <c r="A2755" i="1"/>
  <c r="C2754" i="1"/>
  <c r="B2754" i="1"/>
  <c r="A2754" i="1"/>
  <c r="C2753" i="1"/>
  <c r="B2753" i="1"/>
  <c r="A2753" i="1"/>
  <c r="C2752" i="1"/>
  <c r="B2752" i="1"/>
  <c r="A2752" i="1"/>
  <c r="C2751" i="1"/>
  <c r="B2751" i="1"/>
  <c r="A2751" i="1"/>
  <c r="C2750" i="1"/>
  <c r="B2750" i="1"/>
  <c r="A2750" i="1"/>
  <c r="C2749" i="1"/>
  <c r="B2749" i="1"/>
  <c r="A2749" i="1"/>
  <c r="C2748" i="1"/>
  <c r="B2748" i="1"/>
  <c r="A2748" i="1"/>
  <c r="C2747" i="1"/>
  <c r="B2747" i="1"/>
  <c r="A2747" i="1"/>
  <c r="C2746" i="1"/>
  <c r="B2746" i="1"/>
  <c r="A2746" i="1"/>
  <c r="C2745" i="1"/>
  <c r="B2745" i="1"/>
  <c r="A2745" i="1"/>
  <c r="C2744" i="1"/>
  <c r="B2744" i="1"/>
  <c r="A2744" i="1"/>
  <c r="C2743" i="1"/>
  <c r="B2743" i="1"/>
  <c r="A2743" i="1"/>
  <c r="C2742" i="1"/>
  <c r="B2742" i="1"/>
  <c r="A2742" i="1"/>
  <c r="C2741" i="1"/>
  <c r="B2741" i="1"/>
  <c r="A2741" i="1"/>
  <c r="C2740" i="1"/>
  <c r="B2740" i="1"/>
  <c r="A2740" i="1"/>
  <c r="C2739" i="1"/>
  <c r="B2739" i="1"/>
  <c r="A2739" i="1"/>
  <c r="C2738" i="1"/>
  <c r="B2738" i="1"/>
  <c r="A2738" i="1"/>
  <c r="C2737" i="1"/>
  <c r="B2737" i="1"/>
  <c r="A2737" i="1"/>
  <c r="C2736" i="1"/>
  <c r="B2736" i="1"/>
  <c r="A2736" i="1"/>
  <c r="C2735" i="1"/>
  <c r="B2735" i="1"/>
  <c r="A2735" i="1"/>
  <c r="C2734" i="1"/>
  <c r="B2734" i="1"/>
  <c r="A2734" i="1"/>
  <c r="C2733" i="1"/>
  <c r="B2733" i="1"/>
  <c r="A2733" i="1"/>
  <c r="C2732" i="1"/>
  <c r="B2732" i="1"/>
  <c r="A2732" i="1"/>
  <c r="C2731" i="1"/>
  <c r="B2731" i="1"/>
  <c r="A2731" i="1"/>
  <c r="C2730" i="1"/>
  <c r="B2730" i="1"/>
  <c r="A2730" i="1"/>
  <c r="C2729" i="1"/>
  <c r="B2729" i="1"/>
  <c r="A2729" i="1"/>
  <c r="C2728" i="1"/>
  <c r="B2728" i="1"/>
  <c r="A2728" i="1"/>
  <c r="C2727" i="1"/>
  <c r="B2727" i="1"/>
  <c r="A2727" i="1"/>
  <c r="C2726" i="1"/>
  <c r="B2726" i="1"/>
  <c r="A2726" i="1"/>
  <c r="C2725" i="1"/>
  <c r="B2725" i="1"/>
  <c r="A2725" i="1"/>
  <c r="C2724" i="1"/>
  <c r="B2724" i="1"/>
  <c r="A2724" i="1"/>
  <c r="C2723" i="1"/>
  <c r="B2723" i="1"/>
  <c r="A2723" i="1"/>
  <c r="C2722" i="1"/>
  <c r="B2722" i="1"/>
  <c r="A2722" i="1"/>
  <c r="C2721" i="1"/>
  <c r="B2721" i="1"/>
  <c r="A2721" i="1"/>
  <c r="C2720" i="1"/>
  <c r="B2720" i="1"/>
  <c r="A2720" i="1"/>
  <c r="C2719" i="1"/>
  <c r="B2719" i="1"/>
  <c r="A2719" i="1"/>
  <c r="C2718" i="1"/>
  <c r="B2718" i="1"/>
  <c r="A2718" i="1"/>
  <c r="C2717" i="1"/>
  <c r="B2717" i="1"/>
  <c r="A2717" i="1"/>
  <c r="C2716" i="1"/>
  <c r="B2716" i="1"/>
  <c r="A2716" i="1"/>
  <c r="C2715" i="1"/>
  <c r="B2715" i="1"/>
  <c r="A2715" i="1"/>
  <c r="C2714" i="1"/>
  <c r="B2714" i="1"/>
  <c r="A2714" i="1"/>
  <c r="C2713" i="1"/>
  <c r="B2713" i="1"/>
  <c r="A2713" i="1"/>
  <c r="C2712" i="1"/>
  <c r="B2712" i="1"/>
  <c r="A2712" i="1"/>
  <c r="C2711" i="1"/>
  <c r="B2711" i="1"/>
  <c r="A2711" i="1"/>
  <c r="C2710" i="1"/>
  <c r="B2710" i="1"/>
  <c r="A2710" i="1"/>
  <c r="C2709" i="1"/>
  <c r="B2709" i="1"/>
  <c r="A2709" i="1"/>
  <c r="C2708" i="1"/>
  <c r="B2708" i="1"/>
  <c r="A2708" i="1"/>
  <c r="C2707" i="1"/>
  <c r="B2707" i="1"/>
  <c r="A2707" i="1"/>
  <c r="C2706" i="1"/>
  <c r="B2706" i="1"/>
  <c r="A2706" i="1"/>
  <c r="C2705" i="1"/>
  <c r="B2705" i="1"/>
  <c r="A2705" i="1"/>
  <c r="C2704" i="1"/>
  <c r="B2704" i="1"/>
  <c r="A2704" i="1"/>
  <c r="C2703" i="1"/>
  <c r="B2703" i="1"/>
  <c r="A2703" i="1"/>
  <c r="C2702" i="1"/>
  <c r="B2702" i="1"/>
  <c r="A2702" i="1"/>
  <c r="C2701" i="1"/>
  <c r="B2701" i="1"/>
  <c r="A2701" i="1"/>
  <c r="C2700" i="1"/>
  <c r="B2700" i="1"/>
  <c r="A2700" i="1"/>
  <c r="C2699" i="1"/>
  <c r="B2699" i="1"/>
  <c r="A2699" i="1"/>
  <c r="C2698" i="1"/>
  <c r="B2698" i="1"/>
  <c r="A2698" i="1"/>
  <c r="C2697" i="1"/>
  <c r="B2697" i="1"/>
  <c r="A2697" i="1"/>
  <c r="C2696" i="1"/>
  <c r="B2696" i="1"/>
  <c r="A2696" i="1"/>
  <c r="C2695" i="1"/>
  <c r="B2695" i="1"/>
  <c r="A2695" i="1"/>
  <c r="C2694" i="1"/>
  <c r="B2694" i="1"/>
  <c r="A2694" i="1"/>
  <c r="C2693" i="1"/>
  <c r="B2693" i="1"/>
  <c r="A2693" i="1"/>
  <c r="C2692" i="1"/>
  <c r="B2692" i="1"/>
  <c r="A2692" i="1"/>
  <c r="C2691" i="1"/>
  <c r="B2691" i="1"/>
  <c r="A2691" i="1"/>
  <c r="C2690" i="1"/>
  <c r="B2690" i="1"/>
  <c r="A2690" i="1"/>
  <c r="C2689" i="1"/>
  <c r="B2689" i="1"/>
  <c r="A2689" i="1"/>
  <c r="C2688" i="1"/>
  <c r="B2688" i="1"/>
  <c r="A2688" i="1"/>
  <c r="C2687" i="1"/>
  <c r="B2687" i="1"/>
  <c r="A2687" i="1"/>
  <c r="C2686" i="1"/>
  <c r="B2686" i="1"/>
  <c r="A2686" i="1"/>
  <c r="C2685" i="1"/>
  <c r="B2685" i="1"/>
  <c r="A2685" i="1"/>
  <c r="C2684" i="1"/>
  <c r="B2684" i="1"/>
  <c r="A2684" i="1"/>
  <c r="C2683" i="1"/>
  <c r="B2683" i="1"/>
  <c r="A2683" i="1"/>
  <c r="C2682" i="1"/>
  <c r="B2682" i="1"/>
  <c r="A2682" i="1"/>
  <c r="C2681" i="1"/>
  <c r="B2681" i="1"/>
  <c r="A2681" i="1"/>
  <c r="C2680" i="1"/>
  <c r="B2680" i="1"/>
  <c r="A2680" i="1"/>
  <c r="C2679" i="1"/>
  <c r="B2679" i="1"/>
  <c r="A2679" i="1"/>
  <c r="C2678" i="1"/>
  <c r="B2678" i="1"/>
  <c r="A2678" i="1"/>
  <c r="C2677" i="1"/>
  <c r="B2677" i="1"/>
  <c r="A2677" i="1"/>
  <c r="C2676" i="1"/>
  <c r="B2676" i="1"/>
  <c r="A2676" i="1"/>
  <c r="C2675" i="1"/>
  <c r="B2675" i="1"/>
  <c r="A2675" i="1"/>
  <c r="C2674" i="1"/>
  <c r="B2674" i="1"/>
  <c r="A2674" i="1"/>
  <c r="C2673" i="1"/>
  <c r="B2673" i="1"/>
  <c r="A2673" i="1"/>
  <c r="C2672" i="1"/>
  <c r="B2672" i="1"/>
  <c r="A2672" i="1"/>
  <c r="C2671" i="1"/>
  <c r="B2671" i="1"/>
  <c r="A2671" i="1"/>
  <c r="C2670" i="1"/>
  <c r="B2670" i="1"/>
  <c r="A2670" i="1"/>
  <c r="C2669" i="1"/>
  <c r="B2669" i="1"/>
  <c r="A2669" i="1"/>
  <c r="C2668" i="1"/>
  <c r="B2668" i="1"/>
  <c r="A2668" i="1"/>
  <c r="C2667" i="1"/>
  <c r="B2667" i="1"/>
  <c r="A2667" i="1"/>
  <c r="C2666" i="1"/>
  <c r="B2666" i="1"/>
  <c r="A2666" i="1"/>
  <c r="C2665" i="1"/>
  <c r="B2665" i="1"/>
  <c r="A2665" i="1"/>
  <c r="C2664" i="1"/>
  <c r="B2664" i="1"/>
  <c r="A2664" i="1"/>
  <c r="C2663" i="1"/>
  <c r="B2663" i="1"/>
  <c r="A2663" i="1"/>
  <c r="C2662" i="1"/>
  <c r="B2662" i="1"/>
  <c r="A2662" i="1"/>
  <c r="C2661" i="1"/>
  <c r="B2661" i="1"/>
  <c r="A2661" i="1"/>
  <c r="C2660" i="1"/>
  <c r="B2660" i="1"/>
  <c r="A2660" i="1"/>
  <c r="C2659" i="1"/>
  <c r="B2659" i="1"/>
  <c r="A2659" i="1"/>
  <c r="C2658" i="1"/>
  <c r="B2658" i="1"/>
  <c r="A2658" i="1"/>
  <c r="C2657" i="1"/>
  <c r="B2657" i="1"/>
  <c r="A2657" i="1"/>
  <c r="C2656" i="1"/>
  <c r="B2656" i="1"/>
  <c r="A2656" i="1"/>
  <c r="C2655" i="1"/>
  <c r="B2655" i="1"/>
  <c r="A2655" i="1"/>
  <c r="C2654" i="1"/>
  <c r="B2654" i="1"/>
  <c r="A2654" i="1"/>
  <c r="C2653" i="1"/>
  <c r="B2653" i="1"/>
  <c r="A2653" i="1"/>
  <c r="C2652" i="1"/>
  <c r="B2652" i="1"/>
  <c r="A2652" i="1"/>
  <c r="C2651" i="1"/>
  <c r="B2651" i="1"/>
  <c r="A2651" i="1"/>
  <c r="C2650" i="1"/>
  <c r="B2650" i="1"/>
  <c r="A2650" i="1"/>
  <c r="C2649" i="1"/>
  <c r="B2649" i="1"/>
  <c r="A2649" i="1"/>
  <c r="C2648" i="1"/>
  <c r="B2648" i="1"/>
  <c r="A2648" i="1"/>
  <c r="C2647" i="1"/>
  <c r="B2647" i="1"/>
  <c r="A2647" i="1"/>
  <c r="C2646" i="1"/>
  <c r="B2646" i="1"/>
  <c r="A2646" i="1"/>
  <c r="C2645" i="1"/>
  <c r="B2645" i="1"/>
  <c r="A2645" i="1"/>
  <c r="C2644" i="1"/>
  <c r="B2644" i="1"/>
  <c r="A2644" i="1"/>
  <c r="C2643" i="1"/>
  <c r="B2643" i="1"/>
  <c r="A2643" i="1"/>
  <c r="C2642" i="1"/>
  <c r="B2642" i="1"/>
  <c r="A2642" i="1"/>
  <c r="C2641" i="1"/>
  <c r="B2641" i="1"/>
  <c r="A2641" i="1"/>
  <c r="C2640" i="1"/>
  <c r="B2640" i="1"/>
  <c r="A2640" i="1"/>
  <c r="C2639" i="1"/>
  <c r="B2639" i="1"/>
  <c r="A2639" i="1"/>
  <c r="C2638" i="1"/>
  <c r="B2638" i="1"/>
  <c r="A2638" i="1"/>
  <c r="C2637" i="1"/>
  <c r="B2637" i="1"/>
  <c r="A2637" i="1"/>
  <c r="C2636" i="1"/>
  <c r="B2636" i="1"/>
  <c r="A2636" i="1"/>
  <c r="C2635" i="1"/>
  <c r="B2635" i="1"/>
  <c r="A2635" i="1"/>
  <c r="C2634" i="1"/>
  <c r="B2634" i="1"/>
  <c r="A2634" i="1"/>
  <c r="C2633" i="1"/>
  <c r="B2633" i="1"/>
  <c r="A2633" i="1"/>
  <c r="C2632" i="1"/>
  <c r="B2632" i="1"/>
  <c r="A2632" i="1"/>
  <c r="C2631" i="1"/>
  <c r="B2631" i="1"/>
  <c r="A2631" i="1"/>
  <c r="C2630" i="1"/>
  <c r="B2630" i="1"/>
  <c r="A2630" i="1"/>
  <c r="C2629" i="1"/>
  <c r="B2629" i="1"/>
  <c r="A2629" i="1"/>
  <c r="C2628" i="1"/>
  <c r="B2628" i="1"/>
  <c r="A2628" i="1"/>
  <c r="C2627" i="1"/>
  <c r="B2627" i="1"/>
  <c r="A2627" i="1"/>
  <c r="C2626" i="1"/>
  <c r="B2626" i="1"/>
  <c r="A2626" i="1"/>
  <c r="C2625" i="1"/>
  <c r="B2625" i="1"/>
  <c r="A2625" i="1"/>
  <c r="C2624" i="1"/>
  <c r="B2624" i="1"/>
  <c r="A2624" i="1"/>
  <c r="C2623" i="1"/>
  <c r="B2623" i="1"/>
  <c r="A2623" i="1"/>
  <c r="C2622" i="1"/>
  <c r="B2622" i="1"/>
  <c r="A2622" i="1"/>
  <c r="C2621" i="1"/>
  <c r="B2621" i="1"/>
  <c r="A2621" i="1"/>
  <c r="C2620" i="1"/>
  <c r="B2620" i="1"/>
  <c r="A2620" i="1"/>
  <c r="C2619" i="1"/>
  <c r="B2619" i="1"/>
  <c r="A2619" i="1"/>
  <c r="C2618" i="1"/>
  <c r="B2618" i="1"/>
  <c r="A2618" i="1"/>
  <c r="C2617" i="1"/>
  <c r="B2617" i="1"/>
  <c r="A2617" i="1"/>
  <c r="C2616" i="1"/>
  <c r="B2616" i="1"/>
  <c r="A2616" i="1"/>
  <c r="C2615" i="1"/>
  <c r="B2615" i="1"/>
  <c r="A2615" i="1"/>
  <c r="C2614" i="1"/>
  <c r="B2614" i="1"/>
  <c r="A2614" i="1"/>
  <c r="C2613" i="1"/>
  <c r="B2613" i="1"/>
  <c r="A2613" i="1"/>
  <c r="C2612" i="1"/>
  <c r="B2612" i="1"/>
  <c r="A2612" i="1"/>
  <c r="C2611" i="1"/>
  <c r="B2611" i="1"/>
  <c r="A2611" i="1"/>
  <c r="C2610" i="1"/>
  <c r="B2610" i="1"/>
  <c r="A2610" i="1"/>
  <c r="C2609" i="1"/>
  <c r="B2609" i="1"/>
  <c r="A2609" i="1"/>
  <c r="C2608" i="1"/>
  <c r="B2608" i="1"/>
  <c r="A2608" i="1"/>
  <c r="C2607" i="1"/>
  <c r="B2607" i="1"/>
  <c r="A2607" i="1"/>
  <c r="C2606" i="1"/>
  <c r="B2606" i="1"/>
  <c r="A2606" i="1"/>
  <c r="C2605" i="1"/>
  <c r="B2605" i="1"/>
  <c r="A2605" i="1"/>
  <c r="C2604" i="1"/>
  <c r="B2604" i="1"/>
  <c r="A2604" i="1"/>
  <c r="C2603" i="1"/>
  <c r="B2603" i="1"/>
  <c r="A2603" i="1"/>
  <c r="C2602" i="1"/>
  <c r="B2602" i="1"/>
  <c r="A2602" i="1"/>
  <c r="C2601" i="1"/>
  <c r="B2601" i="1"/>
  <c r="A2601" i="1"/>
  <c r="C2600" i="1"/>
  <c r="B2600" i="1"/>
  <c r="A2600" i="1"/>
  <c r="C2599" i="1"/>
  <c r="B2599" i="1"/>
  <c r="A2599" i="1"/>
  <c r="C2598" i="1"/>
  <c r="B2598" i="1"/>
  <c r="A2598" i="1"/>
  <c r="C2597" i="1"/>
  <c r="B2597" i="1"/>
  <c r="A2597" i="1"/>
  <c r="C2596" i="1"/>
  <c r="B2596" i="1"/>
  <c r="A2596" i="1"/>
  <c r="C2595" i="1"/>
  <c r="B2595" i="1"/>
  <c r="A2595" i="1"/>
  <c r="C2594" i="1"/>
  <c r="B2594" i="1"/>
  <c r="A2594" i="1"/>
  <c r="C2593" i="1"/>
  <c r="B2593" i="1"/>
  <c r="A2593" i="1"/>
  <c r="C2592" i="1"/>
  <c r="B2592" i="1"/>
  <c r="A2592" i="1"/>
  <c r="C2591" i="1"/>
  <c r="B2591" i="1"/>
  <c r="A2591" i="1"/>
  <c r="C2590" i="1"/>
  <c r="B2590" i="1"/>
  <c r="A2590" i="1"/>
  <c r="C2589" i="1"/>
  <c r="B2589" i="1"/>
  <c r="A2589" i="1"/>
  <c r="C2588" i="1"/>
  <c r="B2588" i="1"/>
  <c r="A2588" i="1"/>
  <c r="C2587" i="1"/>
  <c r="B2587" i="1"/>
  <c r="A2587" i="1"/>
  <c r="C2586" i="1"/>
  <c r="B2586" i="1"/>
  <c r="A2586" i="1"/>
  <c r="C2585" i="1"/>
  <c r="B2585" i="1"/>
  <c r="A2585" i="1"/>
  <c r="C2584" i="1"/>
  <c r="B2584" i="1"/>
  <c r="A2584" i="1"/>
  <c r="C2583" i="1"/>
  <c r="B2583" i="1"/>
  <c r="A2583" i="1"/>
  <c r="C2582" i="1"/>
  <c r="B2582" i="1"/>
  <c r="A2582" i="1"/>
  <c r="C2581" i="1"/>
  <c r="B2581" i="1"/>
  <c r="A2581" i="1"/>
  <c r="C2580" i="1"/>
  <c r="B2580" i="1"/>
  <c r="A2580" i="1"/>
  <c r="C2579" i="1"/>
  <c r="B2579" i="1"/>
  <c r="A2579" i="1"/>
  <c r="C2578" i="1"/>
  <c r="B2578" i="1"/>
  <c r="A2578" i="1"/>
  <c r="C2577" i="1"/>
  <c r="B2577" i="1"/>
  <c r="A2577" i="1"/>
  <c r="C2576" i="1"/>
  <c r="B2576" i="1"/>
  <c r="A2576" i="1"/>
  <c r="C2575" i="1"/>
  <c r="B2575" i="1"/>
  <c r="A2575" i="1"/>
  <c r="C2574" i="1"/>
  <c r="B2574" i="1"/>
  <c r="A2574" i="1"/>
  <c r="C2573" i="1"/>
  <c r="B2573" i="1"/>
  <c r="A2573" i="1"/>
  <c r="C2572" i="1"/>
  <c r="B2572" i="1"/>
  <c r="A2572" i="1"/>
  <c r="C2571" i="1"/>
  <c r="B2571" i="1"/>
  <c r="A2571" i="1"/>
  <c r="C2570" i="1"/>
  <c r="B2570" i="1"/>
  <c r="A2570" i="1"/>
  <c r="C2569" i="1"/>
  <c r="B2569" i="1"/>
  <c r="A2569" i="1"/>
  <c r="C2568" i="1"/>
  <c r="B2568" i="1"/>
  <c r="A2568" i="1"/>
  <c r="C2567" i="1"/>
  <c r="B2567" i="1"/>
  <c r="A2567" i="1"/>
  <c r="C2566" i="1"/>
  <c r="B2566" i="1"/>
  <c r="A2566" i="1"/>
  <c r="C2565" i="1"/>
  <c r="B2565" i="1"/>
  <c r="A2565" i="1"/>
  <c r="C2564" i="1"/>
  <c r="B2564" i="1"/>
  <c r="A2564" i="1"/>
  <c r="C2563" i="1"/>
  <c r="B2563" i="1"/>
  <c r="A2563" i="1"/>
  <c r="C2562" i="1"/>
  <c r="B2562" i="1"/>
  <c r="A2562" i="1"/>
  <c r="C2561" i="1"/>
  <c r="B2561" i="1"/>
  <c r="A2561" i="1"/>
  <c r="C2560" i="1"/>
  <c r="B2560" i="1"/>
  <c r="A2560" i="1"/>
  <c r="C2559" i="1"/>
  <c r="B2559" i="1"/>
  <c r="A2559" i="1"/>
  <c r="C2558" i="1"/>
  <c r="B2558" i="1"/>
  <c r="A2558" i="1"/>
  <c r="C2557" i="1"/>
  <c r="B2557" i="1"/>
  <c r="A2557" i="1"/>
  <c r="C2556" i="1"/>
  <c r="B2556" i="1"/>
  <c r="A2556" i="1"/>
  <c r="C2555" i="1"/>
  <c r="B2555" i="1"/>
  <c r="A2555" i="1"/>
  <c r="C2554" i="1"/>
  <c r="B2554" i="1"/>
  <c r="A2554" i="1"/>
  <c r="C2553" i="1"/>
  <c r="B2553" i="1"/>
  <c r="A2553" i="1"/>
  <c r="C2552" i="1"/>
  <c r="B2552" i="1"/>
  <c r="A2552" i="1"/>
  <c r="C2551" i="1"/>
  <c r="B2551" i="1"/>
  <c r="A2551" i="1"/>
  <c r="C2550" i="1"/>
  <c r="B2550" i="1"/>
  <c r="A2550" i="1"/>
  <c r="C2549" i="1"/>
  <c r="B2549" i="1"/>
  <c r="A2549" i="1"/>
  <c r="C2548" i="1"/>
  <c r="B2548" i="1"/>
  <c r="A2548" i="1"/>
  <c r="C2547" i="1"/>
  <c r="B2547" i="1"/>
  <c r="A2547" i="1"/>
  <c r="C2546" i="1"/>
  <c r="B2546" i="1"/>
  <c r="A2546" i="1"/>
  <c r="C2545" i="1"/>
  <c r="B2545" i="1"/>
  <c r="A2545" i="1"/>
  <c r="C2544" i="1"/>
  <c r="B2544" i="1"/>
  <c r="A2544" i="1"/>
  <c r="C2543" i="1"/>
  <c r="B2543" i="1"/>
  <c r="A2543" i="1"/>
  <c r="C2542" i="1"/>
  <c r="B2542" i="1"/>
  <c r="A2542" i="1"/>
  <c r="C2541" i="1"/>
  <c r="B2541" i="1"/>
  <c r="A2541" i="1"/>
  <c r="C2540" i="1"/>
  <c r="B2540" i="1"/>
  <c r="A2540" i="1"/>
  <c r="C2539" i="1"/>
  <c r="B2539" i="1"/>
  <c r="A2539" i="1"/>
  <c r="C2538" i="1"/>
  <c r="B2538" i="1"/>
  <c r="A2538" i="1"/>
  <c r="C2537" i="1"/>
  <c r="B2537" i="1"/>
  <c r="A2537" i="1"/>
  <c r="C2536" i="1"/>
  <c r="B2536" i="1"/>
  <c r="A2536" i="1"/>
  <c r="C2535" i="1"/>
  <c r="B2535" i="1"/>
  <c r="A2535" i="1"/>
  <c r="C2534" i="1"/>
  <c r="B2534" i="1"/>
  <c r="A2534" i="1"/>
  <c r="C2533" i="1"/>
  <c r="B2533" i="1"/>
  <c r="A2533" i="1"/>
  <c r="C2532" i="1"/>
  <c r="B2532" i="1"/>
  <c r="A2532" i="1"/>
  <c r="C2531" i="1"/>
  <c r="B2531" i="1"/>
  <c r="A2531" i="1"/>
  <c r="C2530" i="1"/>
  <c r="B2530" i="1"/>
  <c r="A2530" i="1"/>
  <c r="C2529" i="1"/>
  <c r="B2529" i="1"/>
  <c r="A2529" i="1"/>
  <c r="C2528" i="1"/>
  <c r="B2528" i="1"/>
  <c r="A2528" i="1"/>
  <c r="C2527" i="1"/>
  <c r="B2527" i="1"/>
  <c r="A2527" i="1"/>
  <c r="C2526" i="1"/>
  <c r="B2526" i="1"/>
  <c r="A2526" i="1"/>
  <c r="C2525" i="1"/>
  <c r="B2525" i="1"/>
  <c r="A2525" i="1"/>
  <c r="C2524" i="1"/>
  <c r="B2524" i="1"/>
  <c r="A2524" i="1"/>
  <c r="C2523" i="1"/>
  <c r="B2523" i="1"/>
  <c r="A2523" i="1"/>
  <c r="C2522" i="1"/>
  <c r="B2522" i="1"/>
  <c r="A2522" i="1"/>
  <c r="C2521" i="1"/>
  <c r="B2521" i="1"/>
  <c r="A2521" i="1"/>
  <c r="C2520" i="1"/>
  <c r="B2520" i="1"/>
  <c r="A2520" i="1"/>
  <c r="C2519" i="1"/>
  <c r="B2519" i="1"/>
  <c r="A2519" i="1"/>
  <c r="C2518" i="1"/>
  <c r="B2518" i="1"/>
  <c r="A2518" i="1"/>
  <c r="C2517" i="1"/>
  <c r="B2517" i="1"/>
  <c r="A2517" i="1"/>
  <c r="C2516" i="1"/>
  <c r="B2516" i="1"/>
  <c r="A2516" i="1"/>
  <c r="C2515" i="1"/>
  <c r="B2515" i="1"/>
  <c r="A2515" i="1"/>
  <c r="C2514" i="1"/>
  <c r="B2514" i="1"/>
  <c r="A2514" i="1"/>
  <c r="C2513" i="1"/>
  <c r="B2513" i="1"/>
  <c r="A2513" i="1"/>
  <c r="C2512" i="1"/>
  <c r="B2512" i="1"/>
  <c r="A2512" i="1"/>
  <c r="C2511" i="1"/>
  <c r="B2511" i="1"/>
  <c r="A2511" i="1"/>
  <c r="C2510" i="1"/>
  <c r="B2510" i="1"/>
  <c r="A2510" i="1"/>
  <c r="C2509" i="1"/>
  <c r="B2509" i="1"/>
  <c r="A2509" i="1"/>
  <c r="C2508" i="1"/>
  <c r="B2508" i="1"/>
  <c r="A2508" i="1"/>
  <c r="C2507" i="1"/>
  <c r="B2507" i="1"/>
  <c r="A2507" i="1"/>
  <c r="C2506" i="1"/>
  <c r="B2506" i="1"/>
  <c r="A2506" i="1"/>
  <c r="C2505" i="1"/>
  <c r="B2505" i="1"/>
  <c r="A2505" i="1"/>
  <c r="C2504" i="1"/>
  <c r="B2504" i="1"/>
  <c r="A2504" i="1"/>
  <c r="C2503" i="1"/>
  <c r="B2503" i="1"/>
  <c r="A2503" i="1"/>
  <c r="C2502" i="1"/>
  <c r="B2502" i="1"/>
  <c r="A2502" i="1"/>
  <c r="C2501" i="1"/>
  <c r="B2501" i="1"/>
  <c r="A2501" i="1"/>
  <c r="C2500" i="1"/>
  <c r="B2500" i="1"/>
  <c r="A2500" i="1"/>
  <c r="C2499" i="1"/>
  <c r="B2499" i="1"/>
  <c r="A2499" i="1"/>
  <c r="C2498" i="1"/>
  <c r="B2498" i="1"/>
  <c r="A2498" i="1"/>
  <c r="C2497" i="1"/>
  <c r="B2497" i="1"/>
  <c r="A2497" i="1"/>
  <c r="C2496" i="1"/>
  <c r="B2496" i="1"/>
  <c r="A2496" i="1"/>
  <c r="C2495" i="1"/>
  <c r="B2495" i="1"/>
  <c r="A2495" i="1"/>
  <c r="C2494" i="1"/>
  <c r="B2494" i="1"/>
  <c r="A2494" i="1"/>
  <c r="C2493" i="1"/>
  <c r="B2493" i="1"/>
  <c r="A2493" i="1"/>
  <c r="C2492" i="1"/>
  <c r="B2492" i="1"/>
  <c r="A2492" i="1"/>
  <c r="C2491" i="1"/>
  <c r="B2491" i="1"/>
  <c r="A2491" i="1"/>
  <c r="C2490" i="1"/>
  <c r="B2490" i="1"/>
  <c r="A2490" i="1"/>
  <c r="C2489" i="1"/>
  <c r="B2489" i="1"/>
  <c r="A2489" i="1"/>
  <c r="C2488" i="1"/>
  <c r="B2488" i="1"/>
  <c r="A2488" i="1"/>
  <c r="C2487" i="1"/>
  <c r="B2487" i="1"/>
  <c r="A2487" i="1"/>
  <c r="C2486" i="1"/>
  <c r="B2486" i="1"/>
  <c r="A2486" i="1"/>
  <c r="C2485" i="1"/>
  <c r="B2485" i="1"/>
  <c r="A2485" i="1"/>
  <c r="C2484" i="1"/>
  <c r="B2484" i="1"/>
  <c r="A2484" i="1"/>
  <c r="C2483" i="1"/>
  <c r="B2483" i="1"/>
  <c r="A2483" i="1"/>
  <c r="C2482" i="1"/>
  <c r="B2482" i="1"/>
  <c r="A2482" i="1"/>
  <c r="C2481" i="1"/>
  <c r="B2481" i="1"/>
  <c r="A2481" i="1"/>
  <c r="C2480" i="1"/>
  <c r="B2480" i="1"/>
  <c r="A2480" i="1"/>
  <c r="C2479" i="1"/>
  <c r="B2479" i="1"/>
  <c r="A2479" i="1"/>
  <c r="C2478" i="1"/>
  <c r="B2478" i="1"/>
  <c r="A2478" i="1"/>
  <c r="C2477" i="1"/>
  <c r="B2477" i="1"/>
  <c r="A2477" i="1"/>
  <c r="C2476" i="1"/>
  <c r="B2476" i="1"/>
  <c r="A2476" i="1"/>
  <c r="C2475" i="1"/>
  <c r="B2475" i="1"/>
  <c r="A2475" i="1"/>
  <c r="C2474" i="1"/>
  <c r="B2474" i="1"/>
  <c r="A2474" i="1"/>
  <c r="C2473" i="1"/>
  <c r="B2473" i="1"/>
  <c r="A2473" i="1"/>
  <c r="C2472" i="1"/>
  <c r="B2472" i="1"/>
  <c r="A2472" i="1"/>
  <c r="C2471" i="1"/>
  <c r="B2471" i="1"/>
  <c r="A2471" i="1"/>
  <c r="C2470" i="1"/>
  <c r="B2470" i="1"/>
  <c r="A2470" i="1"/>
  <c r="C2469" i="1"/>
  <c r="B2469" i="1"/>
  <c r="A2469" i="1"/>
  <c r="C2468" i="1"/>
  <c r="B2468" i="1"/>
  <c r="A2468" i="1"/>
  <c r="C2467" i="1"/>
  <c r="B2467" i="1"/>
  <c r="A2467" i="1"/>
  <c r="C2466" i="1"/>
  <c r="B2466" i="1"/>
  <c r="A2466" i="1"/>
  <c r="C2465" i="1"/>
  <c r="B2465" i="1"/>
  <c r="A2465" i="1"/>
  <c r="C2464" i="1"/>
  <c r="B2464" i="1"/>
  <c r="A2464" i="1"/>
  <c r="C2463" i="1"/>
  <c r="B2463" i="1"/>
  <c r="A2463" i="1"/>
  <c r="C2462" i="1"/>
  <c r="B2462" i="1"/>
  <c r="A2462" i="1"/>
  <c r="C2461" i="1"/>
  <c r="B2461" i="1"/>
  <c r="A2461" i="1"/>
  <c r="C2460" i="1"/>
  <c r="B2460" i="1"/>
  <c r="A2460" i="1"/>
  <c r="C2459" i="1"/>
  <c r="B2459" i="1"/>
  <c r="A2459" i="1"/>
  <c r="C2458" i="1"/>
  <c r="B2458" i="1"/>
  <c r="A2458" i="1"/>
  <c r="C2457" i="1"/>
  <c r="B2457" i="1"/>
  <c r="A2457" i="1"/>
  <c r="C2456" i="1"/>
  <c r="B2456" i="1"/>
  <c r="A2456" i="1"/>
  <c r="C2455" i="1"/>
  <c r="B2455" i="1"/>
  <c r="A2455" i="1"/>
  <c r="C2454" i="1"/>
  <c r="B2454" i="1"/>
  <c r="A2454" i="1"/>
  <c r="C2453" i="1"/>
  <c r="B2453" i="1"/>
  <c r="A2453" i="1"/>
  <c r="C2452" i="1"/>
  <c r="B2452" i="1"/>
  <c r="A2452" i="1"/>
  <c r="C2451" i="1"/>
  <c r="B2451" i="1"/>
  <c r="A2451" i="1"/>
  <c r="C2450" i="1"/>
  <c r="B2450" i="1"/>
  <c r="A2450" i="1"/>
  <c r="C2449" i="1"/>
  <c r="B2449" i="1"/>
  <c r="A2449" i="1"/>
  <c r="C2448" i="1"/>
  <c r="B2448" i="1"/>
  <c r="A2448" i="1"/>
  <c r="C2447" i="1"/>
  <c r="B2447" i="1"/>
  <c r="A2447" i="1"/>
  <c r="C2446" i="1"/>
  <c r="B2446" i="1"/>
  <c r="A2446" i="1"/>
  <c r="C2445" i="1"/>
  <c r="B2445" i="1"/>
  <c r="A2445" i="1"/>
  <c r="C2444" i="1"/>
  <c r="B2444" i="1"/>
  <c r="A2444" i="1"/>
  <c r="C2443" i="1"/>
  <c r="B2443" i="1"/>
  <c r="A2443" i="1"/>
  <c r="C2442" i="1"/>
  <c r="B2442" i="1"/>
  <c r="A2442" i="1"/>
  <c r="C2441" i="1"/>
  <c r="B2441" i="1"/>
  <c r="A2441" i="1"/>
  <c r="C2440" i="1"/>
  <c r="B2440" i="1"/>
  <c r="A2440" i="1"/>
  <c r="C2439" i="1"/>
  <c r="B2439" i="1"/>
  <c r="A2439" i="1"/>
  <c r="C2438" i="1"/>
  <c r="B2438" i="1"/>
  <c r="A2438" i="1"/>
  <c r="C2437" i="1"/>
  <c r="B2437" i="1"/>
  <c r="A2437" i="1"/>
  <c r="C2436" i="1"/>
  <c r="B2436" i="1"/>
  <c r="A2436" i="1"/>
  <c r="C2435" i="1"/>
  <c r="B2435" i="1"/>
  <c r="A2435" i="1"/>
  <c r="C2434" i="1"/>
  <c r="B2434" i="1"/>
  <c r="A2434" i="1"/>
  <c r="C2433" i="1"/>
  <c r="B2433" i="1"/>
  <c r="A2433" i="1"/>
  <c r="C2432" i="1"/>
  <c r="B2432" i="1"/>
  <c r="A2432" i="1"/>
  <c r="C2431" i="1"/>
  <c r="B2431" i="1"/>
  <c r="A2431" i="1"/>
  <c r="C2430" i="1"/>
  <c r="B2430" i="1"/>
  <c r="A2430" i="1"/>
  <c r="C2429" i="1"/>
  <c r="B2429" i="1"/>
  <c r="A2429" i="1"/>
  <c r="C2428" i="1"/>
  <c r="B2428" i="1"/>
  <c r="A2428" i="1"/>
  <c r="C2427" i="1"/>
  <c r="B2427" i="1"/>
  <c r="A2427" i="1"/>
  <c r="C2426" i="1"/>
  <c r="B2426" i="1"/>
  <c r="A2426" i="1"/>
  <c r="C2425" i="1"/>
  <c r="B2425" i="1"/>
  <c r="A2425" i="1"/>
  <c r="C2424" i="1"/>
  <c r="B2424" i="1"/>
  <c r="A2424" i="1"/>
  <c r="C2423" i="1"/>
  <c r="B2423" i="1"/>
  <c r="A2423" i="1"/>
  <c r="C2422" i="1"/>
  <c r="B2422" i="1"/>
  <c r="A2422" i="1"/>
  <c r="C2421" i="1"/>
  <c r="B2421" i="1"/>
  <c r="A2421" i="1"/>
  <c r="C2420" i="1"/>
  <c r="B2420" i="1"/>
  <c r="A2420" i="1"/>
  <c r="C2419" i="1"/>
  <c r="B2419" i="1"/>
  <c r="A2419" i="1"/>
  <c r="C2418" i="1"/>
  <c r="B2418" i="1"/>
  <c r="A2418" i="1"/>
  <c r="C2417" i="1"/>
  <c r="B2417" i="1"/>
  <c r="A2417" i="1"/>
  <c r="C2416" i="1"/>
  <c r="B2416" i="1"/>
  <c r="A2416" i="1"/>
  <c r="C2415" i="1"/>
  <c r="B2415" i="1"/>
  <c r="A2415" i="1"/>
  <c r="C2414" i="1"/>
  <c r="B2414" i="1"/>
  <c r="A2414" i="1"/>
  <c r="C2413" i="1"/>
  <c r="B2413" i="1"/>
  <c r="A2413" i="1"/>
  <c r="C2412" i="1"/>
  <c r="B2412" i="1"/>
  <c r="A2412" i="1"/>
  <c r="C2411" i="1"/>
  <c r="B2411" i="1"/>
  <c r="A2411" i="1"/>
  <c r="C2410" i="1"/>
  <c r="B2410" i="1"/>
  <c r="A2410" i="1"/>
  <c r="C2409" i="1"/>
  <c r="B2409" i="1"/>
  <c r="A2409" i="1"/>
  <c r="C2408" i="1"/>
  <c r="B2408" i="1"/>
  <c r="A2408" i="1"/>
  <c r="C2407" i="1"/>
  <c r="B2407" i="1"/>
  <c r="A2407" i="1"/>
  <c r="C2406" i="1"/>
  <c r="B2406" i="1"/>
  <c r="A2406" i="1"/>
  <c r="C2405" i="1"/>
  <c r="B2405" i="1"/>
  <c r="A2405" i="1"/>
  <c r="C2404" i="1"/>
  <c r="B2404" i="1"/>
  <c r="A2404" i="1"/>
  <c r="C2403" i="1"/>
  <c r="B2403" i="1"/>
  <c r="A2403" i="1"/>
  <c r="C2402" i="1"/>
  <c r="B2402" i="1"/>
  <c r="A2402" i="1"/>
  <c r="C2401" i="1"/>
  <c r="B2401" i="1"/>
  <c r="A2401" i="1"/>
  <c r="C2400" i="1"/>
  <c r="B2400" i="1"/>
  <c r="A2400" i="1"/>
  <c r="C2399" i="1"/>
  <c r="B2399" i="1"/>
  <c r="A2399" i="1"/>
  <c r="C2398" i="1"/>
  <c r="B2398" i="1"/>
  <c r="A2398" i="1"/>
  <c r="C2397" i="1"/>
  <c r="B2397" i="1"/>
  <c r="A2397" i="1"/>
  <c r="C2396" i="1"/>
  <c r="B2396" i="1"/>
  <c r="A2396" i="1"/>
  <c r="C2395" i="1"/>
  <c r="B2395" i="1"/>
  <c r="A2395" i="1"/>
  <c r="C2394" i="1"/>
  <c r="B2394" i="1"/>
  <c r="A2394" i="1"/>
  <c r="C2393" i="1"/>
  <c r="B2393" i="1"/>
  <c r="A2393" i="1"/>
  <c r="C2392" i="1"/>
  <c r="B2392" i="1"/>
  <c r="A2392" i="1"/>
  <c r="C2391" i="1"/>
  <c r="B2391" i="1"/>
  <c r="A2391" i="1"/>
  <c r="C2390" i="1"/>
  <c r="B2390" i="1"/>
  <c r="A2390" i="1"/>
  <c r="C2389" i="1"/>
  <c r="B2389" i="1"/>
  <c r="A2389" i="1"/>
  <c r="C2388" i="1"/>
  <c r="B2388" i="1"/>
  <c r="A2388" i="1"/>
  <c r="C2387" i="1"/>
  <c r="B2387" i="1"/>
  <c r="A2387" i="1"/>
  <c r="C2386" i="1"/>
  <c r="B2386" i="1"/>
  <c r="A2386" i="1"/>
  <c r="C2385" i="1"/>
  <c r="B2385" i="1"/>
  <c r="A2385" i="1"/>
  <c r="C2384" i="1"/>
  <c r="B2384" i="1"/>
  <c r="A2384" i="1"/>
  <c r="C2383" i="1"/>
  <c r="B2383" i="1"/>
  <c r="A2383" i="1"/>
  <c r="C2382" i="1"/>
  <c r="B2382" i="1"/>
  <c r="A2382" i="1"/>
  <c r="C2381" i="1"/>
  <c r="B2381" i="1"/>
  <c r="A2381" i="1"/>
  <c r="C2380" i="1"/>
  <c r="B2380" i="1"/>
  <c r="A2380" i="1"/>
  <c r="C2379" i="1"/>
  <c r="B2379" i="1"/>
  <c r="A2379" i="1"/>
  <c r="C2378" i="1"/>
  <c r="B2378" i="1"/>
  <c r="A2378" i="1"/>
  <c r="C2377" i="1"/>
  <c r="B2377" i="1"/>
  <c r="A2377" i="1"/>
  <c r="C2376" i="1"/>
  <c r="B2376" i="1"/>
  <c r="A2376" i="1"/>
  <c r="C2375" i="1"/>
  <c r="B2375" i="1"/>
  <c r="A2375" i="1"/>
  <c r="C2374" i="1"/>
  <c r="B2374" i="1"/>
  <c r="A2374" i="1"/>
  <c r="C2373" i="1"/>
  <c r="B2373" i="1"/>
  <c r="A2373" i="1"/>
  <c r="C2372" i="1"/>
  <c r="B2372" i="1"/>
  <c r="A2372" i="1"/>
  <c r="C2371" i="1"/>
  <c r="B2371" i="1"/>
  <c r="A2371" i="1"/>
  <c r="C2370" i="1"/>
  <c r="B2370" i="1"/>
  <c r="A2370" i="1"/>
  <c r="C2369" i="1"/>
  <c r="B2369" i="1"/>
  <c r="A2369" i="1"/>
  <c r="C2368" i="1"/>
  <c r="B2368" i="1"/>
  <c r="A2368" i="1"/>
  <c r="C2367" i="1"/>
  <c r="B2367" i="1"/>
  <c r="A2367" i="1"/>
  <c r="C2366" i="1"/>
  <c r="B2366" i="1"/>
  <c r="A2366" i="1"/>
  <c r="C2365" i="1"/>
  <c r="B2365" i="1"/>
  <c r="A2365" i="1"/>
  <c r="C2364" i="1"/>
  <c r="B2364" i="1"/>
  <c r="A2364" i="1"/>
  <c r="C2363" i="1"/>
  <c r="B2363" i="1"/>
  <c r="A2363" i="1"/>
  <c r="C2362" i="1"/>
  <c r="B2362" i="1"/>
  <c r="A2362" i="1"/>
  <c r="C2361" i="1"/>
  <c r="B2361" i="1"/>
  <c r="A2361" i="1"/>
  <c r="C2360" i="1"/>
  <c r="B2360" i="1"/>
  <c r="A2360" i="1"/>
  <c r="C2359" i="1"/>
  <c r="B2359" i="1"/>
  <c r="A2359" i="1"/>
  <c r="C2358" i="1"/>
  <c r="B2358" i="1"/>
  <c r="A2358" i="1"/>
  <c r="C2357" i="1"/>
  <c r="B2357" i="1"/>
  <c r="A2357" i="1"/>
  <c r="C2356" i="1"/>
  <c r="B2356" i="1"/>
  <c r="A2356" i="1"/>
  <c r="C2355" i="1"/>
  <c r="B2355" i="1"/>
  <c r="A2355" i="1"/>
  <c r="C2354" i="1"/>
  <c r="B2354" i="1"/>
  <c r="A2354" i="1"/>
  <c r="C2353" i="1"/>
  <c r="B2353" i="1"/>
  <c r="A2353" i="1"/>
  <c r="C2352" i="1"/>
  <c r="B2352" i="1"/>
  <c r="A2352" i="1"/>
  <c r="C2351" i="1"/>
  <c r="B2351" i="1"/>
  <c r="A2351" i="1"/>
  <c r="C2350" i="1"/>
  <c r="B2350" i="1"/>
  <c r="A2350" i="1"/>
  <c r="C2349" i="1"/>
  <c r="B2349" i="1"/>
  <c r="A2349" i="1"/>
  <c r="C2348" i="1"/>
  <c r="B2348" i="1"/>
  <c r="A2348" i="1"/>
  <c r="C2347" i="1"/>
  <c r="B2347" i="1"/>
  <c r="A2347" i="1"/>
  <c r="C2346" i="1"/>
  <c r="B2346" i="1"/>
  <c r="A2346" i="1"/>
  <c r="C2345" i="1"/>
  <c r="B2345" i="1"/>
  <c r="A2345" i="1"/>
  <c r="C2344" i="1"/>
  <c r="B2344" i="1"/>
  <c r="A2344" i="1"/>
  <c r="C2343" i="1"/>
  <c r="B2343" i="1"/>
  <c r="A2343" i="1"/>
  <c r="C2342" i="1"/>
  <c r="B2342" i="1"/>
  <c r="A2342" i="1"/>
  <c r="C2341" i="1"/>
  <c r="B2341" i="1"/>
  <c r="A2341" i="1"/>
  <c r="C2340" i="1"/>
  <c r="B2340" i="1"/>
  <c r="A2340" i="1"/>
  <c r="C2339" i="1"/>
  <c r="B2339" i="1"/>
  <c r="A2339" i="1"/>
  <c r="C2338" i="1"/>
  <c r="B2338" i="1"/>
  <c r="A2338" i="1"/>
  <c r="C2337" i="1"/>
  <c r="B2337" i="1"/>
  <c r="A2337" i="1"/>
  <c r="C2336" i="1"/>
  <c r="B2336" i="1"/>
  <c r="A2336" i="1"/>
  <c r="C2335" i="1"/>
  <c r="B2335" i="1"/>
  <c r="A2335" i="1"/>
  <c r="C2334" i="1"/>
  <c r="B2334" i="1"/>
  <c r="A2334" i="1"/>
  <c r="C2333" i="1"/>
  <c r="B2333" i="1"/>
  <c r="A2333" i="1"/>
  <c r="C2332" i="1"/>
  <c r="B2332" i="1"/>
  <c r="A2332" i="1"/>
  <c r="C2331" i="1"/>
  <c r="B2331" i="1"/>
  <c r="A2331" i="1"/>
  <c r="C2330" i="1"/>
  <c r="B2330" i="1"/>
  <c r="A2330" i="1"/>
  <c r="C2329" i="1"/>
  <c r="B2329" i="1"/>
  <c r="A2329" i="1"/>
  <c r="C2328" i="1"/>
  <c r="B2328" i="1"/>
  <c r="A2328" i="1"/>
  <c r="C2327" i="1"/>
  <c r="B2327" i="1"/>
  <c r="A2327" i="1"/>
  <c r="C2326" i="1"/>
  <c r="B2326" i="1"/>
  <c r="A2326" i="1"/>
  <c r="C2325" i="1"/>
  <c r="B2325" i="1"/>
  <c r="A2325" i="1"/>
  <c r="C2324" i="1"/>
  <c r="B2324" i="1"/>
  <c r="A2324" i="1"/>
  <c r="C2323" i="1"/>
  <c r="B2323" i="1"/>
  <c r="A2323" i="1"/>
  <c r="C2322" i="1"/>
  <c r="B2322" i="1"/>
  <c r="A2322" i="1"/>
  <c r="C2321" i="1"/>
  <c r="B2321" i="1"/>
  <c r="A2321" i="1"/>
  <c r="C2320" i="1"/>
  <c r="B2320" i="1"/>
  <c r="A2320" i="1"/>
  <c r="C2319" i="1"/>
  <c r="B2319" i="1"/>
  <c r="A2319" i="1"/>
  <c r="C2318" i="1"/>
  <c r="B2318" i="1"/>
  <c r="A2318" i="1"/>
  <c r="C2317" i="1"/>
  <c r="B2317" i="1"/>
  <c r="A2317" i="1"/>
  <c r="C2316" i="1"/>
  <c r="B2316" i="1"/>
  <c r="A2316" i="1"/>
  <c r="C2315" i="1"/>
  <c r="B2315" i="1"/>
  <c r="A2315" i="1"/>
  <c r="C2314" i="1"/>
  <c r="B2314" i="1"/>
  <c r="A2314" i="1"/>
  <c r="C2313" i="1"/>
  <c r="B2313" i="1"/>
  <c r="A2313" i="1"/>
  <c r="C2312" i="1"/>
  <c r="B2312" i="1"/>
  <c r="A2312" i="1"/>
  <c r="C2311" i="1"/>
  <c r="B2311" i="1"/>
  <c r="A2311" i="1"/>
  <c r="C2310" i="1"/>
  <c r="B2310" i="1"/>
  <c r="A2310" i="1"/>
  <c r="C2309" i="1"/>
  <c r="B2309" i="1"/>
  <c r="A2309" i="1"/>
  <c r="C2308" i="1"/>
  <c r="B2308" i="1"/>
  <c r="A2308" i="1"/>
  <c r="C2307" i="1"/>
  <c r="B2307" i="1"/>
  <c r="A2307" i="1"/>
  <c r="C2306" i="1"/>
  <c r="B2306" i="1"/>
  <c r="A2306" i="1"/>
  <c r="C2305" i="1"/>
  <c r="B2305" i="1"/>
  <c r="A2305" i="1"/>
  <c r="C2304" i="1"/>
  <c r="B2304" i="1"/>
  <c r="A2304" i="1"/>
  <c r="C2303" i="1"/>
  <c r="B2303" i="1"/>
  <c r="A2303" i="1"/>
  <c r="C2302" i="1"/>
  <c r="B2302" i="1"/>
  <c r="A2302" i="1"/>
  <c r="C2301" i="1"/>
  <c r="B2301" i="1"/>
  <c r="A2301" i="1"/>
  <c r="C2300" i="1"/>
  <c r="B2300" i="1"/>
  <c r="A2300" i="1"/>
  <c r="C2299" i="1"/>
  <c r="B2299" i="1"/>
  <c r="A2299" i="1"/>
  <c r="C2298" i="1"/>
  <c r="B2298" i="1"/>
  <c r="A2298" i="1"/>
  <c r="C2297" i="1"/>
  <c r="B2297" i="1"/>
  <c r="A2297" i="1"/>
  <c r="C2296" i="1"/>
  <c r="B2296" i="1"/>
  <c r="A2296" i="1"/>
  <c r="C2295" i="1"/>
  <c r="B2295" i="1"/>
  <c r="A2295" i="1"/>
  <c r="C2294" i="1"/>
  <c r="B2294" i="1"/>
  <c r="A2294" i="1"/>
  <c r="C2293" i="1"/>
  <c r="B2293" i="1"/>
  <c r="A2293" i="1"/>
  <c r="C2292" i="1"/>
  <c r="B2292" i="1"/>
  <c r="A2292" i="1"/>
  <c r="C2291" i="1"/>
  <c r="B2291" i="1"/>
  <c r="A2291" i="1"/>
  <c r="C2290" i="1"/>
  <c r="B2290" i="1"/>
  <c r="A2290" i="1"/>
  <c r="C2289" i="1"/>
  <c r="B2289" i="1"/>
  <c r="A2289" i="1"/>
  <c r="C2288" i="1"/>
  <c r="B2288" i="1"/>
  <c r="A2288" i="1"/>
  <c r="C2287" i="1"/>
  <c r="B2287" i="1"/>
  <c r="A2287" i="1"/>
  <c r="C2286" i="1"/>
  <c r="B2286" i="1"/>
  <c r="A2286" i="1"/>
  <c r="C2285" i="1"/>
  <c r="B2285" i="1"/>
  <c r="A2285" i="1"/>
  <c r="C2284" i="1"/>
  <c r="B2284" i="1"/>
  <c r="A2284" i="1"/>
  <c r="C2283" i="1"/>
  <c r="B2283" i="1"/>
  <c r="A2283" i="1"/>
  <c r="C2282" i="1"/>
  <c r="B2282" i="1"/>
  <c r="A2282" i="1"/>
  <c r="C2281" i="1"/>
  <c r="B2281" i="1"/>
  <c r="A2281" i="1"/>
  <c r="C2280" i="1"/>
  <c r="B2280" i="1"/>
  <c r="A2280" i="1"/>
  <c r="C2279" i="1"/>
  <c r="B2279" i="1"/>
  <c r="A2279" i="1"/>
  <c r="C2278" i="1"/>
  <c r="B2278" i="1"/>
  <c r="A2278" i="1"/>
  <c r="C2277" i="1"/>
  <c r="B2277" i="1"/>
  <c r="A2277" i="1"/>
  <c r="C2276" i="1"/>
  <c r="B2276" i="1"/>
  <c r="A2276" i="1"/>
  <c r="C2275" i="1"/>
  <c r="B2275" i="1"/>
  <c r="A2275" i="1"/>
  <c r="C2274" i="1"/>
  <c r="B2274" i="1"/>
  <c r="A2274" i="1"/>
  <c r="C2273" i="1"/>
  <c r="B2273" i="1"/>
  <c r="A2273" i="1"/>
  <c r="C2272" i="1"/>
  <c r="B2272" i="1"/>
  <c r="A2272" i="1"/>
  <c r="C2271" i="1"/>
  <c r="B2271" i="1"/>
  <c r="A2271" i="1"/>
  <c r="C2270" i="1"/>
  <c r="B2270" i="1"/>
  <c r="A2270" i="1"/>
  <c r="C2269" i="1"/>
  <c r="B2269" i="1"/>
  <c r="A2269" i="1"/>
  <c r="C2268" i="1"/>
  <c r="B2268" i="1"/>
  <c r="A2268" i="1"/>
  <c r="C2267" i="1"/>
  <c r="B2267" i="1"/>
  <c r="A2267" i="1"/>
  <c r="C2266" i="1"/>
  <c r="B2266" i="1"/>
  <c r="A2266" i="1"/>
  <c r="C2265" i="1"/>
  <c r="B2265" i="1"/>
  <c r="A2265" i="1"/>
  <c r="C2264" i="1"/>
  <c r="B2264" i="1"/>
  <c r="A2264" i="1"/>
  <c r="C2263" i="1"/>
  <c r="B2263" i="1"/>
  <c r="A2263" i="1"/>
  <c r="C2262" i="1"/>
  <c r="B2262" i="1"/>
  <c r="A2262" i="1"/>
  <c r="C2261" i="1"/>
  <c r="B2261" i="1"/>
  <c r="A2261" i="1"/>
  <c r="C2260" i="1"/>
  <c r="B2260" i="1"/>
  <c r="A2260" i="1"/>
  <c r="C2259" i="1"/>
  <c r="B2259" i="1"/>
  <c r="A2259" i="1"/>
  <c r="C2258" i="1"/>
  <c r="B2258" i="1"/>
  <c r="A2258" i="1"/>
  <c r="C2257" i="1"/>
  <c r="B2257" i="1"/>
  <c r="A2257" i="1"/>
  <c r="C2256" i="1"/>
  <c r="B2256" i="1"/>
  <c r="A2256" i="1"/>
  <c r="C2255" i="1"/>
  <c r="B2255" i="1"/>
  <c r="A2255" i="1"/>
  <c r="C2254" i="1"/>
  <c r="B2254" i="1"/>
  <c r="A2254" i="1"/>
  <c r="C2253" i="1"/>
  <c r="B2253" i="1"/>
  <c r="A2253" i="1"/>
  <c r="C2252" i="1"/>
  <c r="B2252" i="1"/>
  <c r="A2252" i="1"/>
  <c r="C2251" i="1"/>
  <c r="B2251" i="1"/>
  <c r="A2251" i="1"/>
  <c r="C2250" i="1"/>
  <c r="B2250" i="1"/>
  <c r="A2250" i="1"/>
  <c r="C2249" i="1"/>
  <c r="B2249" i="1"/>
  <c r="A2249" i="1"/>
  <c r="C2248" i="1"/>
  <c r="B2248" i="1"/>
  <c r="A2248" i="1"/>
  <c r="C2247" i="1"/>
  <c r="B2247" i="1"/>
  <c r="A2247" i="1"/>
  <c r="C2246" i="1"/>
  <c r="B2246" i="1"/>
  <c r="A2246" i="1"/>
  <c r="C2245" i="1"/>
  <c r="B2245" i="1"/>
  <c r="A2245" i="1"/>
  <c r="C2244" i="1"/>
  <c r="B2244" i="1"/>
  <c r="A2244" i="1"/>
  <c r="C2243" i="1"/>
  <c r="B2243" i="1"/>
  <c r="A2243" i="1"/>
  <c r="C2242" i="1"/>
  <c r="B2242" i="1"/>
  <c r="A2242" i="1"/>
  <c r="C2241" i="1"/>
  <c r="B2241" i="1"/>
  <c r="A2241" i="1"/>
  <c r="C2240" i="1"/>
  <c r="B2240" i="1"/>
  <c r="A2240" i="1"/>
  <c r="C2239" i="1"/>
  <c r="B2239" i="1"/>
  <c r="A2239" i="1"/>
  <c r="C2238" i="1"/>
  <c r="B2238" i="1"/>
  <c r="A2238" i="1"/>
  <c r="C2237" i="1"/>
  <c r="B2237" i="1"/>
  <c r="A2237" i="1"/>
  <c r="C2236" i="1"/>
  <c r="B2236" i="1"/>
  <c r="A2236" i="1"/>
  <c r="C2235" i="1"/>
  <c r="B2235" i="1"/>
  <c r="A2235" i="1"/>
  <c r="C2234" i="1"/>
  <c r="B2234" i="1"/>
  <c r="A2234" i="1"/>
  <c r="C2233" i="1"/>
  <c r="B2233" i="1"/>
  <c r="A2233" i="1"/>
  <c r="C2232" i="1"/>
  <c r="B2232" i="1"/>
  <c r="A2232" i="1"/>
  <c r="C2231" i="1"/>
  <c r="B2231" i="1"/>
  <c r="A2231" i="1"/>
  <c r="C2230" i="1"/>
  <c r="B2230" i="1"/>
  <c r="A2230" i="1"/>
  <c r="C2229" i="1"/>
  <c r="B2229" i="1"/>
  <c r="A2229" i="1"/>
  <c r="C2228" i="1"/>
  <c r="B2228" i="1"/>
  <c r="A2228" i="1"/>
  <c r="C2227" i="1"/>
  <c r="B2227" i="1"/>
  <c r="A2227" i="1"/>
  <c r="C2226" i="1"/>
  <c r="B2226" i="1"/>
  <c r="A2226" i="1"/>
  <c r="C2225" i="1"/>
  <c r="B2225" i="1"/>
  <c r="A2225" i="1"/>
  <c r="C2224" i="1"/>
  <c r="B2224" i="1"/>
  <c r="A2224" i="1"/>
  <c r="C2223" i="1"/>
  <c r="B2223" i="1"/>
  <c r="A2223" i="1"/>
  <c r="C2222" i="1"/>
  <c r="B2222" i="1"/>
  <c r="A2222" i="1"/>
  <c r="C2221" i="1"/>
  <c r="B2221" i="1"/>
  <c r="A2221" i="1"/>
  <c r="C2220" i="1"/>
  <c r="B2220" i="1"/>
  <c r="A2220" i="1"/>
  <c r="C2219" i="1"/>
  <c r="B2219" i="1"/>
  <c r="A2219" i="1"/>
  <c r="C2218" i="1"/>
  <c r="B2218" i="1"/>
  <c r="A2218" i="1"/>
  <c r="C2217" i="1"/>
  <c r="B2217" i="1"/>
  <c r="A2217" i="1"/>
  <c r="C2216" i="1"/>
  <c r="B2216" i="1"/>
  <c r="A2216" i="1"/>
  <c r="C2215" i="1"/>
  <c r="B2215" i="1"/>
  <c r="A2215" i="1"/>
  <c r="C2214" i="1"/>
  <c r="B2214" i="1"/>
  <c r="A2214" i="1"/>
  <c r="C2213" i="1"/>
  <c r="B2213" i="1"/>
  <c r="A2213" i="1"/>
  <c r="C2212" i="1"/>
  <c r="B2212" i="1"/>
  <c r="A2212" i="1"/>
  <c r="C2211" i="1"/>
  <c r="B2211" i="1"/>
  <c r="A2211" i="1"/>
  <c r="C2210" i="1"/>
  <c r="B2210" i="1"/>
  <c r="A2210" i="1"/>
  <c r="C2209" i="1"/>
  <c r="B2209" i="1"/>
  <c r="A2209" i="1"/>
  <c r="C2208" i="1"/>
  <c r="B2208" i="1"/>
  <c r="A2208" i="1"/>
  <c r="C2207" i="1"/>
  <c r="B2207" i="1"/>
  <c r="A2207" i="1"/>
  <c r="C2206" i="1"/>
  <c r="B2206" i="1"/>
  <c r="A2206" i="1"/>
  <c r="C2205" i="1"/>
  <c r="B2205" i="1"/>
  <c r="A2205" i="1"/>
  <c r="C2204" i="1"/>
  <c r="B2204" i="1"/>
  <c r="A2204" i="1"/>
  <c r="C2203" i="1"/>
  <c r="B2203" i="1"/>
  <c r="A2203" i="1"/>
  <c r="C2202" i="1"/>
  <c r="B2202" i="1"/>
  <c r="A2202" i="1"/>
  <c r="C2201" i="1"/>
  <c r="B2201" i="1"/>
  <c r="A2201" i="1"/>
  <c r="C2200" i="1"/>
  <c r="B2200" i="1"/>
  <c r="A2200" i="1"/>
  <c r="C2199" i="1"/>
  <c r="B2199" i="1"/>
  <c r="A2199" i="1"/>
  <c r="C2198" i="1"/>
  <c r="B2198" i="1"/>
  <c r="A2198" i="1"/>
  <c r="C2197" i="1"/>
  <c r="B2197" i="1"/>
  <c r="A2197" i="1"/>
  <c r="C2196" i="1"/>
  <c r="B2196" i="1"/>
  <c r="A2196" i="1"/>
  <c r="C2195" i="1"/>
  <c r="B2195" i="1"/>
  <c r="A2195" i="1"/>
  <c r="C2194" i="1"/>
  <c r="B2194" i="1"/>
  <c r="A2194" i="1"/>
  <c r="C2193" i="1"/>
  <c r="B2193" i="1"/>
  <c r="A2193" i="1"/>
  <c r="C2192" i="1"/>
  <c r="B2192" i="1"/>
  <c r="A2192" i="1"/>
  <c r="C2191" i="1"/>
  <c r="B2191" i="1"/>
  <c r="A2191" i="1"/>
  <c r="C2190" i="1"/>
  <c r="B2190" i="1"/>
  <c r="A2190" i="1"/>
  <c r="C2189" i="1"/>
  <c r="B2189" i="1"/>
  <c r="A2189" i="1"/>
  <c r="C2188" i="1"/>
  <c r="B2188" i="1"/>
  <c r="A2188" i="1"/>
  <c r="C2187" i="1"/>
  <c r="B2187" i="1"/>
  <c r="A2187" i="1"/>
  <c r="C2186" i="1"/>
  <c r="B2186" i="1"/>
  <c r="A2186" i="1"/>
  <c r="C2185" i="1"/>
  <c r="B2185" i="1"/>
  <c r="A2185" i="1"/>
  <c r="C2184" i="1"/>
  <c r="B2184" i="1"/>
  <c r="A2184" i="1"/>
  <c r="C2183" i="1"/>
  <c r="B2183" i="1"/>
  <c r="A2183" i="1"/>
  <c r="C2182" i="1"/>
  <c r="B2182" i="1"/>
  <c r="A2182" i="1"/>
  <c r="C2181" i="1"/>
  <c r="B2181" i="1"/>
  <c r="A2181" i="1"/>
  <c r="C2180" i="1"/>
  <c r="B2180" i="1"/>
  <c r="A2180" i="1"/>
  <c r="C2179" i="1"/>
  <c r="B2179" i="1"/>
  <c r="A2179" i="1"/>
  <c r="C2178" i="1"/>
  <c r="B2178" i="1"/>
  <c r="A2178" i="1"/>
  <c r="C2177" i="1"/>
  <c r="B2177" i="1"/>
  <c r="A2177" i="1"/>
  <c r="C2176" i="1"/>
  <c r="B2176" i="1"/>
  <c r="A2176" i="1"/>
  <c r="C2175" i="1"/>
  <c r="B2175" i="1"/>
  <c r="A2175" i="1"/>
  <c r="C2174" i="1"/>
  <c r="B2174" i="1"/>
  <c r="A2174" i="1"/>
  <c r="C2173" i="1"/>
  <c r="B2173" i="1"/>
  <c r="A2173" i="1"/>
  <c r="C2172" i="1"/>
  <c r="B2172" i="1"/>
  <c r="A2172" i="1"/>
  <c r="C2171" i="1"/>
  <c r="B2171" i="1"/>
  <c r="A2171" i="1"/>
  <c r="C2170" i="1"/>
  <c r="B2170" i="1"/>
  <c r="A2170" i="1"/>
  <c r="C2169" i="1"/>
  <c r="B2169" i="1"/>
  <c r="A2169" i="1"/>
  <c r="C2168" i="1"/>
  <c r="B2168" i="1"/>
  <c r="A2168" i="1"/>
  <c r="C2167" i="1"/>
  <c r="B2167" i="1"/>
  <c r="A2167" i="1"/>
  <c r="C2166" i="1"/>
  <c r="B2166" i="1"/>
  <c r="A2166" i="1"/>
  <c r="C2165" i="1"/>
  <c r="B2165" i="1"/>
  <c r="A2165" i="1"/>
  <c r="C2164" i="1"/>
  <c r="B2164" i="1"/>
  <c r="A2164" i="1"/>
  <c r="C2163" i="1"/>
  <c r="B2163" i="1"/>
  <c r="A2163" i="1"/>
  <c r="C2162" i="1"/>
  <c r="B2162" i="1"/>
  <c r="A2162" i="1"/>
  <c r="C2161" i="1"/>
  <c r="B2161" i="1"/>
  <c r="A2161" i="1"/>
  <c r="C2160" i="1"/>
  <c r="B2160" i="1"/>
  <c r="A2160" i="1"/>
  <c r="C2159" i="1"/>
  <c r="B2159" i="1"/>
  <c r="A2159" i="1"/>
  <c r="C2158" i="1"/>
  <c r="B2158" i="1"/>
  <c r="A2158" i="1"/>
  <c r="C2157" i="1"/>
  <c r="B2157" i="1"/>
  <c r="A2157" i="1"/>
  <c r="C2156" i="1"/>
  <c r="B2156" i="1"/>
  <c r="A2156" i="1"/>
  <c r="C2155" i="1"/>
  <c r="B2155" i="1"/>
  <c r="A2155" i="1"/>
  <c r="C2154" i="1"/>
  <c r="B2154" i="1"/>
  <c r="A2154" i="1"/>
  <c r="C2153" i="1"/>
  <c r="B2153" i="1"/>
  <c r="A2153" i="1"/>
  <c r="C2152" i="1"/>
  <c r="B2152" i="1"/>
  <c r="A2152" i="1"/>
  <c r="C2151" i="1"/>
  <c r="B2151" i="1"/>
  <c r="A2151" i="1"/>
  <c r="C2150" i="1"/>
  <c r="B2150" i="1"/>
  <c r="A2150" i="1"/>
  <c r="C2149" i="1"/>
  <c r="B2149" i="1"/>
  <c r="A2149" i="1"/>
  <c r="C2148" i="1"/>
  <c r="B2148" i="1"/>
  <c r="A2148" i="1"/>
  <c r="C2147" i="1"/>
  <c r="B2147" i="1"/>
  <c r="A2147" i="1"/>
  <c r="C2146" i="1"/>
  <c r="B2146" i="1"/>
  <c r="A2146" i="1"/>
  <c r="C2145" i="1"/>
  <c r="B2145" i="1"/>
  <c r="A2145" i="1"/>
  <c r="C2144" i="1"/>
  <c r="B2144" i="1"/>
  <c r="A2144" i="1"/>
  <c r="C2143" i="1"/>
  <c r="B2143" i="1"/>
  <c r="A2143" i="1"/>
  <c r="C2142" i="1"/>
  <c r="B2142" i="1"/>
  <c r="A2142" i="1"/>
  <c r="C2141" i="1"/>
  <c r="B2141" i="1"/>
  <c r="A2141" i="1"/>
  <c r="C2140" i="1"/>
  <c r="B2140" i="1"/>
  <c r="A2140" i="1"/>
  <c r="C2139" i="1"/>
  <c r="B2139" i="1"/>
  <c r="A2139" i="1"/>
  <c r="C2138" i="1"/>
  <c r="B2138" i="1"/>
  <c r="A2138" i="1"/>
  <c r="C2137" i="1"/>
  <c r="B2137" i="1"/>
  <c r="A2137" i="1"/>
  <c r="C2136" i="1"/>
  <c r="B2136" i="1"/>
  <c r="A2136" i="1"/>
  <c r="C2135" i="1"/>
  <c r="B2135" i="1"/>
  <c r="A2135" i="1"/>
  <c r="C2134" i="1"/>
  <c r="B2134" i="1"/>
  <c r="A2134" i="1"/>
  <c r="C2133" i="1"/>
  <c r="B2133" i="1"/>
  <c r="A2133" i="1"/>
  <c r="C2132" i="1"/>
  <c r="B2132" i="1"/>
  <c r="A2132" i="1"/>
  <c r="C2131" i="1"/>
  <c r="B2131" i="1"/>
  <c r="A2131" i="1"/>
  <c r="C2130" i="1"/>
  <c r="B2130" i="1"/>
  <c r="A2130" i="1"/>
  <c r="C2129" i="1"/>
  <c r="B2129" i="1"/>
  <c r="A2129" i="1"/>
  <c r="C2128" i="1"/>
  <c r="B2128" i="1"/>
  <c r="A2128" i="1"/>
  <c r="C2127" i="1"/>
  <c r="B2127" i="1"/>
  <c r="A2127" i="1"/>
  <c r="C2126" i="1"/>
  <c r="B2126" i="1"/>
  <c r="A2126" i="1"/>
  <c r="C2125" i="1"/>
  <c r="B2125" i="1"/>
  <c r="A2125" i="1"/>
  <c r="C2124" i="1"/>
  <c r="B2124" i="1"/>
  <c r="A2124" i="1"/>
  <c r="C2123" i="1"/>
  <c r="B2123" i="1"/>
  <c r="A2123" i="1"/>
  <c r="C2122" i="1"/>
  <c r="B2122" i="1"/>
  <c r="A2122" i="1"/>
  <c r="C2121" i="1"/>
  <c r="B2121" i="1"/>
  <c r="A2121" i="1"/>
  <c r="C2120" i="1"/>
  <c r="B2120" i="1"/>
  <c r="A2120" i="1"/>
  <c r="C2119" i="1"/>
  <c r="B2119" i="1"/>
  <c r="A2119" i="1"/>
  <c r="C2118" i="1"/>
  <c r="B2118" i="1"/>
  <c r="A2118" i="1"/>
  <c r="C2117" i="1"/>
  <c r="B2117" i="1"/>
  <c r="A2117" i="1"/>
  <c r="C2116" i="1"/>
  <c r="B2116" i="1"/>
  <c r="A2116" i="1"/>
  <c r="C2115" i="1"/>
  <c r="B2115" i="1"/>
  <c r="A2115" i="1"/>
  <c r="C2114" i="1"/>
  <c r="B2114" i="1"/>
  <c r="A2114" i="1"/>
  <c r="C2113" i="1"/>
  <c r="B2113" i="1"/>
  <c r="A2113" i="1"/>
  <c r="C2112" i="1"/>
  <c r="B2112" i="1"/>
  <c r="A2112" i="1"/>
  <c r="C2111" i="1"/>
  <c r="B2111" i="1"/>
  <c r="A2111" i="1"/>
  <c r="C2110" i="1"/>
  <c r="B2110" i="1"/>
  <c r="A2110" i="1"/>
  <c r="C2109" i="1"/>
  <c r="B2109" i="1"/>
  <c r="A2109" i="1"/>
  <c r="C2108" i="1"/>
  <c r="B2108" i="1"/>
  <c r="A2108" i="1"/>
  <c r="C2107" i="1"/>
  <c r="B2107" i="1"/>
  <c r="A2107" i="1"/>
  <c r="C2106" i="1"/>
  <c r="B2106" i="1"/>
  <c r="A2106" i="1"/>
  <c r="C2105" i="1"/>
  <c r="B2105" i="1"/>
  <c r="A2105" i="1"/>
  <c r="C2104" i="1"/>
  <c r="B2104" i="1"/>
  <c r="A2104" i="1"/>
  <c r="C2103" i="1"/>
  <c r="B2103" i="1"/>
  <c r="A2103" i="1"/>
  <c r="C2102" i="1"/>
  <c r="B2102" i="1"/>
  <c r="A2102" i="1"/>
  <c r="C2101" i="1"/>
  <c r="B2101" i="1"/>
  <c r="A2101" i="1"/>
  <c r="C2100" i="1"/>
  <c r="B2100" i="1"/>
  <c r="A2100" i="1"/>
  <c r="C2099" i="1"/>
  <c r="B2099" i="1"/>
  <c r="A2099" i="1"/>
  <c r="C2098" i="1"/>
  <c r="B2098" i="1"/>
  <c r="A2098" i="1"/>
  <c r="C2097" i="1"/>
  <c r="B2097" i="1"/>
  <c r="A2097" i="1"/>
  <c r="C2096" i="1"/>
  <c r="B2096" i="1"/>
  <c r="A2096" i="1"/>
  <c r="C2095" i="1"/>
  <c r="B2095" i="1"/>
  <c r="A2095" i="1"/>
  <c r="C2094" i="1"/>
  <c r="B2094" i="1"/>
  <c r="A2094" i="1"/>
  <c r="C2093" i="1"/>
  <c r="B2093" i="1"/>
  <c r="A2093" i="1"/>
  <c r="C2092" i="1"/>
  <c r="B2092" i="1"/>
  <c r="A2092" i="1"/>
  <c r="C2091" i="1"/>
  <c r="B2091" i="1"/>
  <c r="A2091" i="1"/>
  <c r="C2090" i="1"/>
  <c r="B2090" i="1"/>
  <c r="A2090" i="1"/>
  <c r="C2089" i="1"/>
  <c r="B2089" i="1"/>
  <c r="A2089" i="1"/>
  <c r="C2088" i="1"/>
  <c r="B2088" i="1"/>
  <c r="A2088" i="1"/>
  <c r="C2087" i="1"/>
  <c r="B2087" i="1"/>
  <c r="A2087" i="1"/>
  <c r="C2086" i="1"/>
  <c r="B2086" i="1"/>
  <c r="A2086" i="1"/>
  <c r="C2085" i="1"/>
  <c r="B2085" i="1"/>
  <c r="A2085" i="1"/>
  <c r="C2084" i="1"/>
  <c r="B2084" i="1"/>
  <c r="A2084" i="1"/>
  <c r="C2083" i="1"/>
  <c r="B2083" i="1"/>
  <c r="A2083" i="1"/>
  <c r="C2082" i="1"/>
  <c r="B2082" i="1"/>
  <c r="A2082" i="1"/>
  <c r="C2081" i="1"/>
  <c r="B2081" i="1"/>
  <c r="A2081" i="1"/>
  <c r="C2080" i="1"/>
  <c r="B2080" i="1"/>
  <c r="A2080" i="1"/>
  <c r="C2079" i="1"/>
  <c r="B2079" i="1"/>
  <c r="A2079" i="1"/>
  <c r="C2078" i="1"/>
  <c r="B2078" i="1"/>
  <c r="A2078" i="1"/>
  <c r="C2077" i="1"/>
  <c r="B2077" i="1"/>
  <c r="A2077" i="1"/>
  <c r="C2076" i="1"/>
  <c r="B2076" i="1"/>
  <c r="A2076" i="1"/>
  <c r="C2075" i="1"/>
  <c r="B2075" i="1"/>
  <c r="A2075" i="1"/>
  <c r="C2074" i="1"/>
  <c r="B2074" i="1"/>
  <c r="A2074" i="1"/>
  <c r="C2073" i="1"/>
  <c r="B2073" i="1"/>
  <c r="A2073" i="1"/>
  <c r="C2072" i="1"/>
  <c r="B2072" i="1"/>
  <c r="A2072" i="1"/>
  <c r="C2071" i="1"/>
  <c r="B2071" i="1"/>
  <c r="A2071" i="1"/>
  <c r="C2070" i="1"/>
  <c r="B2070" i="1"/>
  <c r="A2070" i="1"/>
  <c r="C2069" i="1"/>
  <c r="B2069" i="1"/>
  <c r="A2069" i="1"/>
  <c r="C2068" i="1"/>
  <c r="B2068" i="1"/>
  <c r="A2068" i="1"/>
  <c r="C2067" i="1"/>
  <c r="B2067" i="1"/>
  <c r="A2067" i="1"/>
  <c r="C2066" i="1"/>
  <c r="B2066" i="1"/>
  <c r="A2066" i="1"/>
  <c r="C2065" i="1"/>
  <c r="B2065" i="1"/>
  <c r="A2065" i="1"/>
  <c r="C2064" i="1"/>
  <c r="B2064" i="1"/>
  <c r="A2064" i="1"/>
  <c r="C2063" i="1"/>
  <c r="B2063" i="1"/>
  <c r="A2063" i="1"/>
  <c r="C2062" i="1"/>
  <c r="B2062" i="1"/>
  <c r="A2062" i="1"/>
  <c r="C2061" i="1"/>
  <c r="B2061" i="1"/>
  <c r="A2061" i="1"/>
  <c r="C2060" i="1"/>
  <c r="B2060" i="1"/>
  <c r="A2060" i="1"/>
  <c r="C2059" i="1"/>
  <c r="B2059" i="1"/>
  <c r="A2059" i="1"/>
  <c r="C2058" i="1"/>
  <c r="B2058" i="1"/>
  <c r="A2058" i="1"/>
  <c r="C2057" i="1"/>
  <c r="B2057" i="1"/>
  <c r="A2057" i="1"/>
  <c r="C2056" i="1"/>
  <c r="B2056" i="1"/>
  <c r="A2056" i="1"/>
  <c r="C2055" i="1"/>
  <c r="B2055" i="1"/>
  <c r="A2055" i="1"/>
  <c r="C2054" i="1"/>
  <c r="B2054" i="1"/>
  <c r="A2054" i="1"/>
  <c r="C2053" i="1"/>
  <c r="B2053" i="1"/>
  <c r="A2053" i="1"/>
  <c r="C2052" i="1"/>
  <c r="B2052" i="1"/>
  <c r="A2052" i="1"/>
  <c r="C2051" i="1"/>
  <c r="B2051" i="1"/>
  <c r="A2051" i="1"/>
  <c r="C2050" i="1"/>
  <c r="B2050" i="1"/>
  <c r="A2050" i="1"/>
  <c r="C2049" i="1"/>
  <c r="B2049" i="1"/>
  <c r="A2049" i="1"/>
  <c r="C2048" i="1"/>
  <c r="B2048" i="1"/>
  <c r="A2048" i="1"/>
  <c r="C2047" i="1"/>
  <c r="B2047" i="1"/>
  <c r="A2047" i="1"/>
  <c r="C2046" i="1"/>
  <c r="B2046" i="1"/>
  <c r="A2046" i="1"/>
  <c r="C2045" i="1"/>
  <c r="B2045" i="1"/>
  <c r="A2045" i="1"/>
  <c r="C2044" i="1"/>
  <c r="B2044" i="1"/>
  <c r="A2044" i="1"/>
  <c r="C2043" i="1"/>
  <c r="B2043" i="1"/>
  <c r="A2043" i="1"/>
  <c r="C2042" i="1"/>
  <c r="B2042" i="1"/>
  <c r="A2042" i="1"/>
  <c r="C2041" i="1"/>
  <c r="B2041" i="1"/>
  <c r="A2041" i="1"/>
  <c r="C2040" i="1"/>
  <c r="B2040" i="1"/>
  <c r="A2040" i="1"/>
  <c r="C2039" i="1"/>
  <c r="B2039" i="1"/>
  <c r="A2039" i="1"/>
  <c r="C2038" i="1"/>
  <c r="B2038" i="1"/>
  <c r="A2038" i="1"/>
  <c r="C2037" i="1"/>
  <c r="B2037" i="1"/>
  <c r="A2037" i="1"/>
  <c r="C2036" i="1"/>
  <c r="B2036" i="1"/>
  <c r="A2036" i="1"/>
  <c r="C2035" i="1"/>
  <c r="B2035" i="1"/>
  <c r="A2035" i="1"/>
  <c r="C2034" i="1"/>
  <c r="B2034" i="1"/>
  <c r="A2034" i="1"/>
  <c r="C2033" i="1"/>
  <c r="B2033" i="1"/>
  <c r="A2033" i="1"/>
  <c r="C2032" i="1"/>
  <c r="B2032" i="1"/>
  <c r="A2032" i="1"/>
  <c r="C2031" i="1"/>
  <c r="B2031" i="1"/>
  <c r="A2031" i="1"/>
  <c r="C2030" i="1"/>
  <c r="B2030" i="1"/>
  <c r="A2030" i="1"/>
  <c r="C2029" i="1"/>
  <c r="B2029" i="1"/>
  <c r="A2029" i="1"/>
  <c r="C2028" i="1"/>
  <c r="B2028" i="1"/>
  <c r="A2028" i="1"/>
  <c r="C2027" i="1"/>
  <c r="B2027" i="1"/>
  <c r="A2027" i="1"/>
  <c r="C2026" i="1"/>
  <c r="B2026" i="1"/>
  <c r="A2026" i="1"/>
  <c r="C2025" i="1"/>
  <c r="B2025" i="1"/>
  <c r="A2025" i="1"/>
  <c r="C2024" i="1"/>
  <c r="B2024" i="1"/>
  <c r="A2024" i="1"/>
  <c r="C2023" i="1"/>
  <c r="B2023" i="1"/>
  <c r="A2023" i="1"/>
  <c r="C2022" i="1"/>
  <c r="B2022" i="1"/>
  <c r="A2022" i="1"/>
  <c r="C2021" i="1"/>
  <c r="B2021" i="1"/>
  <c r="A2021" i="1"/>
  <c r="C2020" i="1"/>
  <c r="B2020" i="1"/>
  <c r="A2020" i="1"/>
  <c r="C2019" i="1"/>
  <c r="B2019" i="1"/>
  <c r="A2019" i="1"/>
  <c r="C2018" i="1"/>
  <c r="B2018" i="1"/>
  <c r="A2018" i="1"/>
  <c r="C2017" i="1"/>
  <c r="B2017" i="1"/>
  <c r="A2017" i="1"/>
  <c r="C2016" i="1"/>
  <c r="B2016" i="1"/>
  <c r="A2016" i="1"/>
  <c r="C2015" i="1"/>
  <c r="B2015" i="1"/>
  <c r="A2015" i="1"/>
  <c r="C2014" i="1"/>
  <c r="B2014" i="1"/>
  <c r="A2014" i="1"/>
  <c r="C2013" i="1"/>
  <c r="B2013" i="1"/>
  <c r="A2013" i="1"/>
  <c r="C2012" i="1"/>
  <c r="B2012" i="1"/>
  <c r="A2012" i="1"/>
  <c r="C2011" i="1"/>
  <c r="B2011" i="1"/>
  <c r="A2011" i="1"/>
  <c r="C2010" i="1"/>
  <c r="B2010" i="1"/>
  <c r="A2010" i="1"/>
  <c r="C2009" i="1"/>
  <c r="B2009" i="1"/>
  <c r="A2009" i="1"/>
  <c r="C2008" i="1"/>
  <c r="B2008" i="1"/>
  <c r="A2008" i="1"/>
  <c r="C2007" i="1"/>
  <c r="B2007" i="1"/>
  <c r="A2007" i="1"/>
  <c r="C2006" i="1"/>
  <c r="B2006" i="1"/>
  <c r="A2006" i="1"/>
  <c r="C2005" i="1"/>
  <c r="B2005" i="1"/>
  <c r="A2005" i="1"/>
  <c r="C2004" i="1"/>
  <c r="B2004" i="1"/>
  <c r="A2004" i="1"/>
  <c r="C2003" i="1"/>
  <c r="B2003" i="1"/>
  <c r="A2003" i="1"/>
  <c r="C2002" i="1"/>
  <c r="B2002" i="1"/>
  <c r="A2002" i="1"/>
  <c r="C2001" i="1"/>
  <c r="B2001" i="1"/>
  <c r="A2001" i="1"/>
  <c r="C2000" i="1"/>
  <c r="B2000" i="1"/>
  <c r="A2000" i="1"/>
  <c r="C1999" i="1"/>
  <c r="B1999" i="1"/>
  <c r="A1999" i="1"/>
  <c r="C1998" i="1"/>
  <c r="B1998" i="1"/>
  <c r="A1998" i="1"/>
  <c r="C1997" i="1"/>
  <c r="B1997" i="1"/>
  <c r="A1997" i="1"/>
  <c r="C1996" i="1"/>
  <c r="B1996" i="1"/>
  <c r="A1996" i="1"/>
  <c r="C1995" i="1"/>
  <c r="B1995" i="1"/>
  <c r="A1995" i="1"/>
  <c r="C1994" i="1"/>
  <c r="B1994" i="1"/>
  <c r="A1994" i="1"/>
  <c r="C1993" i="1"/>
  <c r="B1993" i="1"/>
  <c r="A1993" i="1"/>
  <c r="C1992" i="1"/>
  <c r="B1992" i="1"/>
  <c r="A1992" i="1"/>
  <c r="C1991" i="1"/>
  <c r="B1991" i="1"/>
  <c r="A1991" i="1"/>
  <c r="C1990" i="1"/>
  <c r="B1990" i="1"/>
  <c r="A1990" i="1"/>
  <c r="C1989" i="1"/>
  <c r="B1989" i="1"/>
  <c r="A1989" i="1"/>
  <c r="C1988" i="1"/>
  <c r="B1988" i="1"/>
  <c r="A1988" i="1"/>
  <c r="C1987" i="1"/>
  <c r="B1987" i="1"/>
  <c r="A1987" i="1"/>
  <c r="C1986" i="1"/>
  <c r="B1986" i="1"/>
  <c r="A1986" i="1"/>
  <c r="C1985" i="1"/>
  <c r="B1985" i="1"/>
  <c r="A1985" i="1"/>
  <c r="C1984" i="1"/>
  <c r="B1984" i="1"/>
  <c r="A1984" i="1"/>
  <c r="C1983" i="1"/>
  <c r="B1983" i="1"/>
  <c r="A1983" i="1"/>
  <c r="C1982" i="1"/>
  <c r="B1982" i="1"/>
  <c r="A1982" i="1"/>
  <c r="C1981" i="1"/>
  <c r="B1981" i="1"/>
  <c r="A1981" i="1"/>
  <c r="C1980" i="1"/>
  <c r="B1980" i="1"/>
  <c r="A1980" i="1"/>
  <c r="C1979" i="1"/>
  <c r="B1979" i="1"/>
  <c r="A1979" i="1"/>
  <c r="C1978" i="1"/>
  <c r="B1978" i="1"/>
  <c r="A1978" i="1"/>
  <c r="C1977" i="1"/>
  <c r="B1977" i="1"/>
  <c r="A1977" i="1"/>
  <c r="C1976" i="1"/>
  <c r="B1976" i="1"/>
  <c r="A1976" i="1"/>
  <c r="C1975" i="1"/>
  <c r="B1975" i="1"/>
  <c r="A1975" i="1"/>
  <c r="C1974" i="1"/>
  <c r="B1974" i="1"/>
  <c r="A1974" i="1"/>
  <c r="C1973" i="1"/>
  <c r="B1973" i="1"/>
  <c r="A1973" i="1"/>
  <c r="C1972" i="1"/>
  <c r="B1972" i="1"/>
  <c r="A1972" i="1"/>
  <c r="C1971" i="1"/>
  <c r="B1971" i="1"/>
  <c r="A1971" i="1"/>
  <c r="C1970" i="1"/>
  <c r="B1970" i="1"/>
  <c r="A1970" i="1"/>
  <c r="C1969" i="1"/>
  <c r="B1969" i="1"/>
  <c r="A1969" i="1"/>
  <c r="C1968" i="1"/>
  <c r="B1968" i="1"/>
  <c r="A1968" i="1"/>
  <c r="C1967" i="1"/>
  <c r="B1967" i="1"/>
  <c r="A1967" i="1"/>
  <c r="C1966" i="1"/>
  <c r="B1966" i="1"/>
  <c r="A1966" i="1"/>
  <c r="C1965" i="1"/>
  <c r="B1965" i="1"/>
  <c r="A1965" i="1"/>
  <c r="C1964" i="1"/>
  <c r="B1964" i="1"/>
  <c r="A1964" i="1"/>
  <c r="C1963" i="1"/>
  <c r="B1963" i="1"/>
  <c r="A1963" i="1"/>
  <c r="C1962" i="1"/>
  <c r="B1962" i="1"/>
  <c r="A1962" i="1"/>
  <c r="C1961" i="1"/>
  <c r="B1961" i="1"/>
  <c r="A1961" i="1"/>
  <c r="C1960" i="1"/>
  <c r="B1960" i="1"/>
  <c r="A1960" i="1"/>
  <c r="C1959" i="1"/>
  <c r="B1959" i="1"/>
  <c r="A1959" i="1"/>
  <c r="C1958" i="1"/>
  <c r="B1958" i="1"/>
  <c r="A1958" i="1"/>
  <c r="C1957" i="1"/>
  <c r="B1957" i="1"/>
  <c r="A1957" i="1"/>
  <c r="C1956" i="1"/>
  <c r="B1956" i="1"/>
  <c r="A1956" i="1"/>
  <c r="C1955" i="1"/>
  <c r="B1955" i="1"/>
  <c r="A1955" i="1"/>
  <c r="C1954" i="1"/>
  <c r="B1954" i="1"/>
  <c r="A1954" i="1"/>
  <c r="C1953" i="1"/>
  <c r="B1953" i="1"/>
  <c r="A1953" i="1"/>
  <c r="C1952" i="1"/>
  <c r="B1952" i="1"/>
  <c r="A1952" i="1"/>
  <c r="C1951" i="1"/>
  <c r="B1951" i="1"/>
  <c r="A1951" i="1"/>
  <c r="C1950" i="1"/>
  <c r="B1950" i="1"/>
  <c r="A1950" i="1"/>
  <c r="C1949" i="1"/>
  <c r="B1949" i="1"/>
  <c r="A1949" i="1"/>
  <c r="C1948" i="1"/>
  <c r="B1948" i="1"/>
  <c r="A1948" i="1"/>
  <c r="C1947" i="1"/>
  <c r="B1947" i="1"/>
  <c r="A1947" i="1"/>
  <c r="C1946" i="1"/>
  <c r="B1946" i="1"/>
  <c r="A1946" i="1"/>
  <c r="C1945" i="1"/>
  <c r="B1945" i="1"/>
  <c r="A1945" i="1"/>
  <c r="C1944" i="1"/>
  <c r="B1944" i="1"/>
  <c r="A1944" i="1"/>
  <c r="C1943" i="1"/>
  <c r="B1943" i="1"/>
  <c r="A1943" i="1"/>
  <c r="C1942" i="1"/>
  <c r="B1942" i="1"/>
  <c r="A1942" i="1"/>
  <c r="C1941" i="1"/>
  <c r="B1941" i="1"/>
  <c r="A1941" i="1"/>
  <c r="C1940" i="1"/>
  <c r="B1940" i="1"/>
  <c r="A1940" i="1"/>
  <c r="C1939" i="1"/>
  <c r="B1939" i="1"/>
  <c r="A1939" i="1"/>
  <c r="C1938" i="1"/>
  <c r="B1938" i="1"/>
  <c r="A1938" i="1"/>
  <c r="C1937" i="1"/>
  <c r="B1937" i="1"/>
  <c r="A1937" i="1"/>
  <c r="C1936" i="1"/>
  <c r="B1936" i="1"/>
  <c r="A1936" i="1"/>
  <c r="C1935" i="1"/>
  <c r="B1935" i="1"/>
  <c r="A1935" i="1"/>
  <c r="C1934" i="1"/>
  <c r="B1934" i="1"/>
  <c r="A1934" i="1"/>
  <c r="C1933" i="1"/>
  <c r="B1933" i="1"/>
  <c r="A1933" i="1"/>
  <c r="C1932" i="1"/>
  <c r="B1932" i="1"/>
  <c r="A1932" i="1"/>
  <c r="C1931" i="1"/>
  <c r="B1931" i="1"/>
  <c r="A1931" i="1"/>
  <c r="C1930" i="1"/>
  <c r="B1930" i="1"/>
  <c r="A1930" i="1"/>
  <c r="C1929" i="1"/>
  <c r="B1929" i="1"/>
  <c r="A1929" i="1"/>
  <c r="C1928" i="1"/>
  <c r="B1928" i="1"/>
  <c r="A1928" i="1"/>
  <c r="C1927" i="1"/>
  <c r="B1927" i="1"/>
  <c r="A1927" i="1"/>
  <c r="C1926" i="1"/>
  <c r="B1926" i="1"/>
  <c r="A1926" i="1"/>
  <c r="C1925" i="1"/>
  <c r="B1925" i="1"/>
  <c r="A1925" i="1"/>
  <c r="C1924" i="1"/>
  <c r="B1924" i="1"/>
  <c r="A1924" i="1"/>
  <c r="C1923" i="1"/>
  <c r="B1923" i="1"/>
  <c r="A1923" i="1"/>
  <c r="C1922" i="1"/>
  <c r="B1922" i="1"/>
  <c r="A1922" i="1"/>
  <c r="C1921" i="1"/>
  <c r="B1921" i="1"/>
  <c r="A1921" i="1"/>
  <c r="C1920" i="1"/>
  <c r="B1920" i="1"/>
  <c r="A1920" i="1"/>
  <c r="C1919" i="1"/>
  <c r="B1919" i="1"/>
  <c r="A1919" i="1"/>
  <c r="C1918" i="1"/>
  <c r="B1918" i="1"/>
  <c r="A1918" i="1"/>
  <c r="C1917" i="1"/>
  <c r="B1917" i="1"/>
  <c r="A1917" i="1"/>
  <c r="C1916" i="1"/>
  <c r="B1916" i="1"/>
  <c r="A1916" i="1"/>
  <c r="C1915" i="1"/>
  <c r="B1915" i="1"/>
  <c r="A1915" i="1"/>
  <c r="C1914" i="1"/>
  <c r="B1914" i="1"/>
  <c r="A1914" i="1"/>
  <c r="C1913" i="1"/>
  <c r="B1913" i="1"/>
  <c r="A1913" i="1"/>
  <c r="C1912" i="1"/>
  <c r="B1912" i="1"/>
  <c r="A1912" i="1"/>
  <c r="C1911" i="1"/>
  <c r="B1911" i="1"/>
  <c r="A1911" i="1"/>
  <c r="C1910" i="1"/>
  <c r="B1910" i="1"/>
  <c r="A1910" i="1"/>
  <c r="C1909" i="1"/>
  <c r="B1909" i="1"/>
  <c r="A1909" i="1"/>
  <c r="C1908" i="1"/>
  <c r="B1908" i="1"/>
  <c r="A1908" i="1"/>
  <c r="C1907" i="1"/>
  <c r="B1907" i="1"/>
  <c r="A1907" i="1"/>
  <c r="C1906" i="1"/>
  <c r="B1906" i="1"/>
  <c r="A1906" i="1"/>
  <c r="C1905" i="1"/>
  <c r="B1905" i="1"/>
  <c r="A1905" i="1"/>
  <c r="C1904" i="1"/>
  <c r="B1904" i="1"/>
  <c r="A1904" i="1"/>
  <c r="C1903" i="1"/>
  <c r="B1903" i="1"/>
  <c r="A1903" i="1"/>
  <c r="C1902" i="1"/>
  <c r="B1902" i="1"/>
  <c r="A1902" i="1"/>
  <c r="C1901" i="1"/>
  <c r="B1901" i="1"/>
  <c r="A1901" i="1"/>
  <c r="C1900" i="1"/>
  <c r="B1900" i="1"/>
  <c r="A1900" i="1"/>
  <c r="C1899" i="1"/>
  <c r="B1899" i="1"/>
  <c r="A1899" i="1"/>
  <c r="C1898" i="1"/>
  <c r="B1898" i="1"/>
  <c r="A1898" i="1"/>
  <c r="C1897" i="1"/>
  <c r="B1897" i="1"/>
  <c r="A1897" i="1"/>
  <c r="C1896" i="1"/>
  <c r="B1896" i="1"/>
  <c r="A1896" i="1"/>
  <c r="C1895" i="1"/>
  <c r="B1895" i="1"/>
  <c r="A1895" i="1"/>
  <c r="C1894" i="1"/>
  <c r="B1894" i="1"/>
  <c r="A1894" i="1"/>
  <c r="C1893" i="1"/>
  <c r="B1893" i="1"/>
  <c r="A1893" i="1"/>
  <c r="C1892" i="1"/>
  <c r="B1892" i="1"/>
  <c r="A1892" i="1"/>
  <c r="C1891" i="1"/>
  <c r="B1891" i="1"/>
  <c r="A1891" i="1"/>
  <c r="C1890" i="1"/>
  <c r="B1890" i="1"/>
  <c r="A1890" i="1"/>
  <c r="C1889" i="1"/>
  <c r="B1889" i="1"/>
  <c r="A1889" i="1"/>
  <c r="C1888" i="1"/>
  <c r="B1888" i="1"/>
  <c r="A1888" i="1"/>
  <c r="C1887" i="1"/>
  <c r="B1887" i="1"/>
  <c r="A1887" i="1"/>
  <c r="C1886" i="1"/>
  <c r="B1886" i="1"/>
  <c r="A1886" i="1"/>
  <c r="C1885" i="1"/>
  <c r="B1885" i="1"/>
  <c r="A1885" i="1"/>
  <c r="C1884" i="1"/>
  <c r="B1884" i="1"/>
  <c r="A1884" i="1"/>
  <c r="C1883" i="1"/>
  <c r="B1883" i="1"/>
  <c r="A1883" i="1"/>
  <c r="C1882" i="1"/>
  <c r="B1882" i="1"/>
  <c r="A1882" i="1"/>
  <c r="C1881" i="1"/>
  <c r="B1881" i="1"/>
  <c r="A1881" i="1"/>
  <c r="C1880" i="1"/>
  <c r="B1880" i="1"/>
  <c r="A1880" i="1"/>
  <c r="C1879" i="1"/>
  <c r="B1879" i="1"/>
  <c r="A1879" i="1"/>
  <c r="C1878" i="1"/>
  <c r="B1878" i="1"/>
  <c r="A1878" i="1"/>
  <c r="C1877" i="1"/>
  <c r="B1877" i="1"/>
  <c r="A1877" i="1"/>
  <c r="C1876" i="1"/>
  <c r="B1876" i="1"/>
  <c r="A1876" i="1"/>
  <c r="C1875" i="1"/>
  <c r="B1875" i="1"/>
  <c r="A1875" i="1"/>
  <c r="C1874" i="1"/>
  <c r="B1874" i="1"/>
  <c r="A1874" i="1"/>
  <c r="C1873" i="1"/>
  <c r="B1873" i="1"/>
  <c r="A1873" i="1"/>
  <c r="C1872" i="1"/>
  <c r="B1872" i="1"/>
  <c r="A1872" i="1"/>
  <c r="C1871" i="1"/>
  <c r="B1871" i="1"/>
  <c r="A1871" i="1"/>
  <c r="C1870" i="1"/>
  <c r="B1870" i="1"/>
  <c r="A1870" i="1"/>
  <c r="C1869" i="1"/>
  <c r="B1869" i="1"/>
  <c r="A1869" i="1"/>
  <c r="C1868" i="1"/>
  <c r="B1868" i="1"/>
  <c r="A1868" i="1"/>
  <c r="C1867" i="1"/>
  <c r="B1867" i="1"/>
  <c r="A1867" i="1"/>
  <c r="C1866" i="1"/>
  <c r="B1866" i="1"/>
  <c r="A1866" i="1"/>
  <c r="C1865" i="1"/>
  <c r="B1865" i="1"/>
  <c r="A1865" i="1"/>
  <c r="C1864" i="1"/>
  <c r="B1864" i="1"/>
  <c r="A1864" i="1"/>
  <c r="C1863" i="1"/>
  <c r="B1863" i="1"/>
  <c r="A1863" i="1"/>
  <c r="C1862" i="1"/>
  <c r="B1862" i="1"/>
  <c r="A1862" i="1"/>
  <c r="C1861" i="1"/>
  <c r="B1861" i="1"/>
  <c r="A1861" i="1"/>
  <c r="C1860" i="1"/>
  <c r="B1860" i="1"/>
  <c r="A1860" i="1"/>
  <c r="C1859" i="1"/>
  <c r="B1859" i="1"/>
  <c r="A1859" i="1"/>
  <c r="C1858" i="1"/>
  <c r="B1858" i="1"/>
  <c r="A1858" i="1"/>
  <c r="C1857" i="1"/>
  <c r="B1857" i="1"/>
  <c r="A1857" i="1"/>
  <c r="C1856" i="1"/>
  <c r="B1856" i="1"/>
  <c r="A1856" i="1"/>
  <c r="C1855" i="1"/>
  <c r="B1855" i="1"/>
  <c r="A1855" i="1"/>
  <c r="C1854" i="1"/>
  <c r="B1854" i="1"/>
  <c r="A1854" i="1"/>
  <c r="C1853" i="1"/>
  <c r="B1853" i="1"/>
  <c r="A1853" i="1"/>
  <c r="C1852" i="1"/>
  <c r="B1852" i="1"/>
  <c r="A1852" i="1"/>
  <c r="C1851" i="1"/>
  <c r="B1851" i="1"/>
  <c r="A1851" i="1"/>
  <c r="C1850" i="1"/>
  <c r="B1850" i="1"/>
  <c r="A1850" i="1"/>
  <c r="C1849" i="1"/>
  <c r="B1849" i="1"/>
  <c r="A1849" i="1"/>
  <c r="C1848" i="1"/>
  <c r="B1848" i="1"/>
  <c r="A1848" i="1"/>
  <c r="C1847" i="1"/>
  <c r="B1847" i="1"/>
  <c r="A1847" i="1"/>
  <c r="C1846" i="1"/>
  <c r="B1846" i="1"/>
  <c r="A1846" i="1"/>
  <c r="C1845" i="1"/>
  <c r="B1845" i="1"/>
  <c r="A1845" i="1"/>
  <c r="C1844" i="1"/>
  <c r="B1844" i="1"/>
  <c r="A1844" i="1"/>
  <c r="C1843" i="1"/>
  <c r="B1843" i="1"/>
  <c r="A1843" i="1"/>
  <c r="C1842" i="1"/>
  <c r="B1842" i="1"/>
  <c r="A1842" i="1"/>
  <c r="C1841" i="1"/>
  <c r="B1841" i="1"/>
  <c r="A1841" i="1"/>
  <c r="C1840" i="1"/>
  <c r="B1840" i="1"/>
  <c r="A1840" i="1"/>
  <c r="C1839" i="1"/>
  <c r="B1839" i="1"/>
  <c r="A1839" i="1"/>
  <c r="C1838" i="1"/>
  <c r="B1838" i="1"/>
  <c r="A1838" i="1"/>
  <c r="C1837" i="1"/>
  <c r="B1837" i="1"/>
  <c r="A1837" i="1"/>
  <c r="C1836" i="1"/>
  <c r="B1836" i="1"/>
  <c r="A1836" i="1"/>
  <c r="C1835" i="1"/>
  <c r="B1835" i="1"/>
  <c r="A1835" i="1"/>
  <c r="C1834" i="1"/>
  <c r="B1834" i="1"/>
  <c r="A1834" i="1"/>
  <c r="C1833" i="1"/>
  <c r="B1833" i="1"/>
  <c r="A1833" i="1"/>
  <c r="C1832" i="1"/>
  <c r="B1832" i="1"/>
  <c r="A1832" i="1"/>
  <c r="C1831" i="1"/>
  <c r="B1831" i="1"/>
  <c r="A1831" i="1"/>
  <c r="C1830" i="1"/>
  <c r="B1830" i="1"/>
  <c r="A1830" i="1"/>
  <c r="C1829" i="1"/>
  <c r="B1829" i="1"/>
  <c r="A1829" i="1"/>
  <c r="C1828" i="1"/>
  <c r="B1828" i="1"/>
  <c r="A1828" i="1"/>
  <c r="C1827" i="1"/>
  <c r="B1827" i="1"/>
  <c r="A1827" i="1"/>
  <c r="C1826" i="1"/>
  <c r="B1826" i="1"/>
  <c r="A1826" i="1"/>
  <c r="C1825" i="1"/>
  <c r="B1825" i="1"/>
  <c r="A1825" i="1"/>
  <c r="C1824" i="1"/>
  <c r="B1824" i="1"/>
  <c r="A1824" i="1"/>
  <c r="C1823" i="1"/>
  <c r="B1823" i="1"/>
  <c r="A1823" i="1"/>
  <c r="C1822" i="1"/>
  <c r="B1822" i="1"/>
  <c r="A1822" i="1"/>
  <c r="C1821" i="1"/>
  <c r="B1821" i="1"/>
  <c r="A1821" i="1"/>
  <c r="C1820" i="1"/>
  <c r="B1820" i="1"/>
  <c r="A1820" i="1"/>
  <c r="C1819" i="1"/>
  <c r="B1819" i="1"/>
  <c r="A1819" i="1"/>
  <c r="C1818" i="1"/>
  <c r="B1818" i="1"/>
  <c r="A1818" i="1"/>
  <c r="C1817" i="1"/>
  <c r="B1817" i="1"/>
  <c r="A1817" i="1"/>
  <c r="C1816" i="1"/>
  <c r="B1816" i="1"/>
  <c r="A1816" i="1"/>
  <c r="C1815" i="1"/>
  <c r="B1815" i="1"/>
  <c r="A1815" i="1"/>
  <c r="C1814" i="1"/>
  <c r="B1814" i="1"/>
  <c r="A1814" i="1"/>
  <c r="C1813" i="1"/>
  <c r="B1813" i="1"/>
  <c r="A1813" i="1"/>
  <c r="C1812" i="1"/>
  <c r="B1812" i="1"/>
  <c r="A1812" i="1"/>
  <c r="C1811" i="1"/>
  <c r="B1811" i="1"/>
  <c r="A1811" i="1"/>
  <c r="C1810" i="1"/>
  <c r="B1810" i="1"/>
  <c r="A1810" i="1"/>
  <c r="C1809" i="1"/>
  <c r="B1809" i="1"/>
  <c r="A1809" i="1"/>
  <c r="C1808" i="1"/>
  <c r="B1808" i="1"/>
  <c r="A1808" i="1"/>
  <c r="C1807" i="1"/>
  <c r="B1807" i="1"/>
  <c r="A1807" i="1"/>
  <c r="C1806" i="1"/>
  <c r="B1806" i="1"/>
  <c r="A1806" i="1"/>
  <c r="C1805" i="1"/>
  <c r="B1805" i="1"/>
  <c r="A1805" i="1"/>
  <c r="C1804" i="1"/>
  <c r="B1804" i="1"/>
  <c r="A1804" i="1"/>
  <c r="C1803" i="1"/>
  <c r="B1803" i="1"/>
  <c r="A1803" i="1"/>
  <c r="C1802" i="1"/>
  <c r="B1802" i="1"/>
  <c r="A1802" i="1"/>
  <c r="C1801" i="1"/>
  <c r="B1801" i="1"/>
  <c r="A1801" i="1"/>
  <c r="C1800" i="1"/>
  <c r="B1800" i="1"/>
  <c r="A1800" i="1"/>
  <c r="C1799" i="1"/>
  <c r="B1799" i="1"/>
  <c r="A1799" i="1"/>
  <c r="C1798" i="1"/>
  <c r="B1798" i="1"/>
  <c r="A1798" i="1"/>
  <c r="C1797" i="1"/>
  <c r="B1797" i="1"/>
  <c r="A1797" i="1"/>
  <c r="C1796" i="1"/>
  <c r="B1796" i="1"/>
  <c r="A1796" i="1"/>
  <c r="C1795" i="1"/>
  <c r="B1795" i="1"/>
  <c r="A1795" i="1"/>
  <c r="C1794" i="1"/>
  <c r="B1794" i="1"/>
  <c r="A1794" i="1"/>
  <c r="C1793" i="1"/>
  <c r="B1793" i="1"/>
  <c r="A1793" i="1"/>
  <c r="C1792" i="1"/>
  <c r="B1792" i="1"/>
  <c r="A1792" i="1"/>
  <c r="C1791" i="1"/>
  <c r="B1791" i="1"/>
  <c r="A1791" i="1"/>
  <c r="C1790" i="1"/>
  <c r="B1790" i="1"/>
  <c r="A1790" i="1"/>
  <c r="C1789" i="1"/>
  <c r="B1789" i="1"/>
  <c r="A1789" i="1"/>
  <c r="C1788" i="1"/>
  <c r="B1788" i="1"/>
  <c r="A1788" i="1"/>
  <c r="C1787" i="1"/>
  <c r="B1787" i="1"/>
  <c r="A1787" i="1"/>
  <c r="C1786" i="1"/>
  <c r="B1786" i="1"/>
  <c r="A1786" i="1"/>
  <c r="C1785" i="1"/>
  <c r="B1785" i="1"/>
  <c r="A1785" i="1"/>
  <c r="C1784" i="1"/>
  <c r="B1784" i="1"/>
  <c r="A1784" i="1"/>
  <c r="C1783" i="1"/>
  <c r="B1783" i="1"/>
  <c r="A1783" i="1"/>
  <c r="C1782" i="1"/>
  <c r="B1782" i="1"/>
  <c r="A1782" i="1"/>
  <c r="C1781" i="1"/>
  <c r="B1781" i="1"/>
  <c r="A1781" i="1"/>
  <c r="C1780" i="1"/>
  <c r="B1780" i="1"/>
  <c r="A1780" i="1"/>
  <c r="C1779" i="1"/>
  <c r="B1779" i="1"/>
  <c r="A1779" i="1"/>
  <c r="C1778" i="1"/>
  <c r="B1778" i="1"/>
  <c r="A1778" i="1"/>
  <c r="C1777" i="1"/>
  <c r="B1777" i="1"/>
  <c r="A1777" i="1"/>
  <c r="C1776" i="1"/>
  <c r="B1776" i="1"/>
  <c r="A1776" i="1"/>
  <c r="C1775" i="1"/>
  <c r="B1775" i="1"/>
  <c r="A1775" i="1"/>
  <c r="C1774" i="1"/>
  <c r="B1774" i="1"/>
  <c r="A1774" i="1"/>
  <c r="C1773" i="1"/>
  <c r="B1773" i="1"/>
  <c r="A1773" i="1"/>
  <c r="C1772" i="1"/>
  <c r="B1772" i="1"/>
  <c r="A1772" i="1"/>
  <c r="C1771" i="1"/>
  <c r="B1771" i="1"/>
  <c r="A1771" i="1"/>
  <c r="C1770" i="1"/>
  <c r="B1770" i="1"/>
  <c r="A1770" i="1"/>
  <c r="C1769" i="1"/>
  <c r="B1769" i="1"/>
  <c r="A1769" i="1"/>
  <c r="C1768" i="1"/>
  <c r="B1768" i="1"/>
  <c r="A1768" i="1"/>
  <c r="C1767" i="1"/>
  <c r="B1767" i="1"/>
  <c r="A1767" i="1"/>
  <c r="C1766" i="1"/>
  <c r="B1766" i="1"/>
  <c r="A1766" i="1"/>
  <c r="C1765" i="1"/>
  <c r="B1765" i="1"/>
  <c r="A1765" i="1"/>
  <c r="C1764" i="1"/>
  <c r="B1764" i="1"/>
  <c r="A1764" i="1"/>
  <c r="C1763" i="1"/>
  <c r="B1763" i="1"/>
  <c r="A1763" i="1"/>
  <c r="C1762" i="1"/>
  <c r="B1762" i="1"/>
  <c r="A1762" i="1"/>
  <c r="C1761" i="1"/>
  <c r="B1761" i="1"/>
  <c r="A1761" i="1"/>
  <c r="C1760" i="1"/>
  <c r="B1760" i="1"/>
  <c r="A1760" i="1"/>
  <c r="C1759" i="1"/>
  <c r="B1759" i="1"/>
  <c r="A1759" i="1"/>
  <c r="C1758" i="1"/>
  <c r="B1758" i="1"/>
  <c r="A1758" i="1"/>
  <c r="C1757" i="1"/>
  <c r="B1757" i="1"/>
  <c r="A1757" i="1"/>
  <c r="C1756" i="1"/>
  <c r="B1756" i="1"/>
  <c r="A1756" i="1"/>
  <c r="C1755" i="1"/>
  <c r="B1755" i="1"/>
  <c r="A1755" i="1"/>
  <c r="C1754" i="1"/>
  <c r="B1754" i="1"/>
  <c r="A1754" i="1"/>
  <c r="C1753" i="1"/>
  <c r="B1753" i="1"/>
  <c r="A1753" i="1"/>
  <c r="C1752" i="1"/>
  <c r="B1752" i="1"/>
  <c r="A1752" i="1"/>
  <c r="C1751" i="1"/>
  <c r="B1751" i="1"/>
  <c r="A1751" i="1"/>
  <c r="C1750" i="1"/>
  <c r="B1750" i="1"/>
  <c r="A1750" i="1"/>
  <c r="C1749" i="1"/>
  <c r="B1749" i="1"/>
  <c r="A1749" i="1"/>
  <c r="C1748" i="1"/>
  <c r="B1748" i="1"/>
  <c r="A1748" i="1"/>
  <c r="C1747" i="1"/>
  <c r="B1747" i="1"/>
  <c r="A1747" i="1"/>
  <c r="C1746" i="1"/>
  <c r="B1746" i="1"/>
  <c r="A1746" i="1"/>
  <c r="C1745" i="1"/>
  <c r="B1745" i="1"/>
  <c r="A1745" i="1"/>
  <c r="C1744" i="1"/>
  <c r="B1744" i="1"/>
  <c r="A1744" i="1"/>
  <c r="C1743" i="1"/>
  <c r="B1743" i="1"/>
  <c r="A1743" i="1"/>
  <c r="C1742" i="1"/>
  <c r="B1742" i="1"/>
  <c r="A1742" i="1"/>
  <c r="C1741" i="1"/>
  <c r="B1741" i="1"/>
  <c r="A1741" i="1"/>
  <c r="C1740" i="1"/>
  <c r="B1740" i="1"/>
  <c r="A1740" i="1"/>
  <c r="C1739" i="1"/>
  <c r="B1739" i="1"/>
  <c r="A1739" i="1"/>
  <c r="C1738" i="1"/>
  <c r="B1738" i="1"/>
  <c r="A1738" i="1"/>
  <c r="C1737" i="1"/>
  <c r="B1737" i="1"/>
  <c r="A1737" i="1"/>
  <c r="C1736" i="1"/>
  <c r="B1736" i="1"/>
  <c r="A1736" i="1"/>
  <c r="C1735" i="1"/>
  <c r="B1735" i="1"/>
  <c r="A1735" i="1"/>
  <c r="C1734" i="1"/>
  <c r="B1734" i="1"/>
  <c r="A1734" i="1"/>
  <c r="C1733" i="1"/>
  <c r="B1733" i="1"/>
  <c r="A1733" i="1"/>
  <c r="C1732" i="1"/>
  <c r="B1732" i="1"/>
  <c r="A1732" i="1"/>
  <c r="C1731" i="1"/>
  <c r="B1731" i="1"/>
  <c r="A1731" i="1"/>
  <c r="C1730" i="1"/>
  <c r="B1730" i="1"/>
  <c r="A1730" i="1"/>
  <c r="C1729" i="1"/>
  <c r="B1729" i="1"/>
  <c r="A1729" i="1"/>
  <c r="C1728" i="1"/>
  <c r="B1728" i="1"/>
  <c r="A1728" i="1"/>
  <c r="C1727" i="1"/>
  <c r="B1727" i="1"/>
  <c r="A1727" i="1"/>
  <c r="C1726" i="1"/>
  <c r="B1726" i="1"/>
  <c r="A1726" i="1"/>
  <c r="C1725" i="1"/>
  <c r="B1725" i="1"/>
  <c r="A1725" i="1"/>
  <c r="C1724" i="1"/>
  <c r="B1724" i="1"/>
  <c r="A1724" i="1"/>
  <c r="C1723" i="1"/>
  <c r="B1723" i="1"/>
  <c r="A1723" i="1"/>
  <c r="C1722" i="1"/>
  <c r="B1722" i="1"/>
  <c r="A1722" i="1"/>
  <c r="C1721" i="1"/>
  <c r="B1721" i="1"/>
  <c r="A1721" i="1"/>
  <c r="C1720" i="1"/>
  <c r="B1720" i="1"/>
  <c r="A1720" i="1"/>
  <c r="C1719" i="1"/>
  <c r="B1719" i="1"/>
  <c r="A1719" i="1"/>
  <c r="C1718" i="1"/>
  <c r="B1718" i="1"/>
  <c r="A1718" i="1"/>
  <c r="C1717" i="1"/>
  <c r="B1717" i="1"/>
  <c r="A1717" i="1"/>
  <c r="C1716" i="1"/>
  <c r="B1716" i="1"/>
  <c r="A1716" i="1"/>
  <c r="C1715" i="1"/>
  <c r="B1715" i="1"/>
  <c r="A1715" i="1"/>
  <c r="C1714" i="1"/>
  <c r="B1714" i="1"/>
  <c r="A1714" i="1"/>
  <c r="C1713" i="1"/>
  <c r="B1713" i="1"/>
  <c r="A1713" i="1"/>
  <c r="C1712" i="1"/>
  <c r="B1712" i="1"/>
  <c r="A1712" i="1"/>
  <c r="C1711" i="1"/>
  <c r="B1711" i="1"/>
  <c r="A1711" i="1"/>
  <c r="C1710" i="1"/>
  <c r="B1710" i="1"/>
  <c r="A1710" i="1"/>
  <c r="C1709" i="1"/>
  <c r="B1709" i="1"/>
  <c r="A1709" i="1"/>
  <c r="C1708" i="1"/>
  <c r="B1708" i="1"/>
  <c r="A1708" i="1"/>
  <c r="C1707" i="1"/>
  <c r="B1707" i="1"/>
  <c r="A1707" i="1"/>
  <c r="C1706" i="1"/>
  <c r="B1706" i="1"/>
  <c r="A1706" i="1"/>
  <c r="C1705" i="1"/>
  <c r="B1705" i="1"/>
  <c r="A1705" i="1"/>
  <c r="C1704" i="1"/>
  <c r="B1704" i="1"/>
  <c r="A1704" i="1"/>
  <c r="C1703" i="1"/>
  <c r="B1703" i="1"/>
  <c r="A1703" i="1"/>
  <c r="C1702" i="1"/>
  <c r="B1702" i="1"/>
  <c r="A1702" i="1"/>
  <c r="C1701" i="1"/>
  <c r="B1701" i="1"/>
  <c r="A1701" i="1"/>
  <c r="C1700" i="1"/>
  <c r="B1700" i="1"/>
  <c r="A1700" i="1"/>
  <c r="C1699" i="1"/>
  <c r="B1699" i="1"/>
  <c r="A1699" i="1"/>
  <c r="C1698" i="1"/>
  <c r="B1698" i="1"/>
  <c r="A1698" i="1"/>
  <c r="C1697" i="1"/>
  <c r="B1697" i="1"/>
  <c r="A1697" i="1"/>
  <c r="C1696" i="1"/>
  <c r="B1696" i="1"/>
  <c r="A1696" i="1"/>
  <c r="C1695" i="1"/>
  <c r="B1695" i="1"/>
  <c r="A1695" i="1"/>
  <c r="C1694" i="1"/>
  <c r="B1694" i="1"/>
  <c r="A1694" i="1"/>
  <c r="C1693" i="1"/>
  <c r="B1693" i="1"/>
  <c r="A1693" i="1"/>
  <c r="C1692" i="1"/>
  <c r="B1692" i="1"/>
  <c r="A1692" i="1"/>
  <c r="C1691" i="1"/>
  <c r="B1691" i="1"/>
  <c r="A1691" i="1"/>
  <c r="C1690" i="1"/>
  <c r="B1690" i="1"/>
  <c r="A1690" i="1"/>
  <c r="C1689" i="1"/>
  <c r="B1689" i="1"/>
  <c r="A1689" i="1"/>
  <c r="C1688" i="1"/>
  <c r="B1688" i="1"/>
  <c r="A1688" i="1"/>
  <c r="C1687" i="1"/>
  <c r="B1687" i="1"/>
  <c r="A1687" i="1"/>
  <c r="C1686" i="1"/>
  <c r="B1686" i="1"/>
  <c r="A1686" i="1"/>
  <c r="C1685" i="1"/>
  <c r="B1685" i="1"/>
  <c r="A1685" i="1"/>
  <c r="C1684" i="1"/>
  <c r="B1684" i="1"/>
  <c r="A1684" i="1"/>
  <c r="C1683" i="1"/>
  <c r="B1683" i="1"/>
  <c r="A1683" i="1"/>
  <c r="C1682" i="1"/>
  <c r="B1682" i="1"/>
  <c r="A1682" i="1"/>
  <c r="C1681" i="1"/>
  <c r="B1681" i="1"/>
  <c r="A1681" i="1"/>
  <c r="C1680" i="1"/>
  <c r="B1680" i="1"/>
  <c r="A1680" i="1"/>
  <c r="C1679" i="1"/>
  <c r="B1679" i="1"/>
  <c r="A1679" i="1"/>
  <c r="C1678" i="1"/>
  <c r="B1678" i="1"/>
  <c r="A1678" i="1"/>
  <c r="C1677" i="1"/>
  <c r="B1677" i="1"/>
  <c r="A1677" i="1"/>
  <c r="C1676" i="1"/>
  <c r="B1676" i="1"/>
  <c r="A1676" i="1"/>
  <c r="C1675" i="1"/>
  <c r="B1675" i="1"/>
  <c r="A1675" i="1"/>
  <c r="C1674" i="1"/>
  <c r="B1674" i="1"/>
  <c r="A1674" i="1"/>
  <c r="C1673" i="1"/>
  <c r="B1673" i="1"/>
  <c r="A1673" i="1"/>
  <c r="C1672" i="1"/>
  <c r="B1672" i="1"/>
  <c r="A1672" i="1"/>
  <c r="C1671" i="1"/>
  <c r="B1671" i="1"/>
  <c r="A1671" i="1"/>
  <c r="C1670" i="1"/>
  <c r="B1670" i="1"/>
  <c r="A1670" i="1"/>
  <c r="C1669" i="1"/>
  <c r="B1669" i="1"/>
  <c r="A1669" i="1"/>
  <c r="C1668" i="1"/>
  <c r="B1668" i="1"/>
  <c r="A1668" i="1"/>
  <c r="C1667" i="1"/>
  <c r="B1667" i="1"/>
  <c r="A1667" i="1"/>
  <c r="C1666" i="1"/>
  <c r="B1666" i="1"/>
  <c r="A1666" i="1"/>
  <c r="C1665" i="1"/>
  <c r="B1665" i="1"/>
  <c r="A1665" i="1"/>
  <c r="C1664" i="1"/>
  <c r="B1664" i="1"/>
  <c r="A1664" i="1"/>
  <c r="C1663" i="1"/>
  <c r="B1663" i="1"/>
  <c r="A1663" i="1"/>
  <c r="C1662" i="1"/>
  <c r="B1662" i="1"/>
  <c r="A1662" i="1"/>
  <c r="C1661" i="1"/>
  <c r="B1661" i="1"/>
  <c r="A1661" i="1"/>
  <c r="C1660" i="1"/>
  <c r="B1660" i="1"/>
  <c r="A1660" i="1"/>
  <c r="C1659" i="1"/>
  <c r="B1659" i="1"/>
  <c r="A1659" i="1"/>
  <c r="C1658" i="1"/>
  <c r="B1658" i="1"/>
  <c r="A1658" i="1"/>
  <c r="C1657" i="1"/>
  <c r="B1657" i="1"/>
  <c r="A1657" i="1"/>
  <c r="C1656" i="1"/>
  <c r="B1656" i="1"/>
  <c r="A1656" i="1"/>
  <c r="C1655" i="1"/>
  <c r="B1655" i="1"/>
  <c r="A1655" i="1"/>
  <c r="C1654" i="1"/>
  <c r="B1654" i="1"/>
  <c r="A1654" i="1"/>
  <c r="C1653" i="1"/>
  <c r="B1653" i="1"/>
  <c r="A1653" i="1"/>
  <c r="C1652" i="1"/>
  <c r="B1652" i="1"/>
  <c r="A1652" i="1"/>
  <c r="C1651" i="1"/>
  <c r="B1651" i="1"/>
  <c r="A1651" i="1"/>
  <c r="C1650" i="1"/>
  <c r="B1650" i="1"/>
  <c r="A1650" i="1"/>
  <c r="C1649" i="1"/>
  <c r="B1649" i="1"/>
  <c r="A1649" i="1"/>
  <c r="C1648" i="1"/>
  <c r="B1648" i="1"/>
  <c r="A1648" i="1"/>
  <c r="C1647" i="1"/>
  <c r="B1647" i="1"/>
  <c r="A1647" i="1"/>
  <c r="C1646" i="1"/>
  <c r="B1646" i="1"/>
  <c r="A1646" i="1"/>
  <c r="C1645" i="1"/>
  <c r="B1645" i="1"/>
  <c r="A1645" i="1"/>
  <c r="C1644" i="1"/>
  <c r="B1644" i="1"/>
  <c r="A1644" i="1"/>
  <c r="C1643" i="1"/>
  <c r="B1643" i="1"/>
  <c r="A1643" i="1"/>
  <c r="C1642" i="1"/>
  <c r="B1642" i="1"/>
  <c r="A1642" i="1"/>
  <c r="C1641" i="1"/>
  <c r="B1641" i="1"/>
  <c r="A1641" i="1"/>
  <c r="C1640" i="1"/>
  <c r="B1640" i="1"/>
  <c r="A1640" i="1"/>
  <c r="C1639" i="1"/>
  <c r="B1639" i="1"/>
  <c r="A1639" i="1"/>
  <c r="C1638" i="1"/>
  <c r="B1638" i="1"/>
  <c r="A1638" i="1"/>
  <c r="C1637" i="1"/>
  <c r="B1637" i="1"/>
  <c r="A1637" i="1"/>
  <c r="C1636" i="1"/>
  <c r="B1636" i="1"/>
  <c r="A1636" i="1"/>
  <c r="C1635" i="1"/>
  <c r="B1635" i="1"/>
  <c r="A1635" i="1"/>
  <c r="C1634" i="1"/>
  <c r="B1634" i="1"/>
  <c r="A1634" i="1"/>
  <c r="C1633" i="1"/>
  <c r="B1633" i="1"/>
  <c r="A1633" i="1"/>
  <c r="C1632" i="1"/>
  <c r="B1632" i="1"/>
  <c r="A1632" i="1"/>
  <c r="C1631" i="1"/>
  <c r="B1631" i="1"/>
  <c r="A1631" i="1"/>
  <c r="C1630" i="1"/>
  <c r="B1630" i="1"/>
  <c r="A1630" i="1"/>
  <c r="C1629" i="1"/>
  <c r="B1629" i="1"/>
  <c r="A1629" i="1"/>
  <c r="C1628" i="1"/>
  <c r="B1628" i="1"/>
  <c r="A1628" i="1"/>
  <c r="C1627" i="1"/>
  <c r="B1627" i="1"/>
  <c r="A1627" i="1"/>
  <c r="C1626" i="1"/>
  <c r="B1626" i="1"/>
  <c r="A1626" i="1"/>
  <c r="C1625" i="1"/>
  <c r="B1625" i="1"/>
  <c r="A1625" i="1"/>
  <c r="C1624" i="1"/>
  <c r="B1624" i="1"/>
  <c r="A1624" i="1"/>
  <c r="C1623" i="1"/>
  <c r="B1623" i="1"/>
  <c r="A1623" i="1"/>
  <c r="C1622" i="1"/>
  <c r="B1622" i="1"/>
  <c r="A1622" i="1"/>
  <c r="C1621" i="1"/>
  <c r="B1621" i="1"/>
  <c r="A1621" i="1"/>
  <c r="C1620" i="1"/>
  <c r="B1620" i="1"/>
  <c r="A1620" i="1"/>
  <c r="C1619" i="1"/>
  <c r="B1619" i="1"/>
  <c r="A1619" i="1"/>
  <c r="C1618" i="1"/>
  <c r="B1618" i="1"/>
  <c r="A1618" i="1"/>
  <c r="C1617" i="1"/>
  <c r="B1617" i="1"/>
  <c r="A1617" i="1"/>
  <c r="C1616" i="1"/>
  <c r="B1616" i="1"/>
  <c r="A1616" i="1"/>
  <c r="C1615" i="1"/>
  <c r="B1615" i="1"/>
  <c r="A1615" i="1"/>
  <c r="C1614" i="1"/>
  <c r="B1614" i="1"/>
  <c r="A1614" i="1"/>
  <c r="C1613" i="1"/>
  <c r="B1613" i="1"/>
  <c r="A1613" i="1"/>
  <c r="C1612" i="1"/>
  <c r="B1612" i="1"/>
  <c r="A1612" i="1"/>
  <c r="C1611" i="1"/>
  <c r="B1611" i="1"/>
  <c r="A1611" i="1"/>
  <c r="C1610" i="1"/>
  <c r="B1610" i="1"/>
  <c r="A1610" i="1"/>
  <c r="C1609" i="1"/>
  <c r="B1609" i="1"/>
  <c r="A1609" i="1"/>
  <c r="C1608" i="1"/>
  <c r="B1608" i="1"/>
  <c r="A1608" i="1"/>
  <c r="C1607" i="1"/>
  <c r="B1607" i="1"/>
  <c r="A1607" i="1"/>
  <c r="C1606" i="1"/>
  <c r="B1606" i="1"/>
  <c r="A1606" i="1"/>
  <c r="C1605" i="1"/>
  <c r="B1605" i="1"/>
  <c r="A1605" i="1"/>
  <c r="C1604" i="1"/>
  <c r="B1604" i="1"/>
  <c r="A1604" i="1"/>
  <c r="C1603" i="1"/>
  <c r="B1603" i="1"/>
  <c r="A1603" i="1"/>
  <c r="C1602" i="1"/>
  <c r="B1602" i="1"/>
  <c r="A1602" i="1"/>
  <c r="C1601" i="1"/>
  <c r="B1601" i="1"/>
  <c r="A1601" i="1"/>
  <c r="C1600" i="1"/>
  <c r="B1600" i="1"/>
  <c r="A1600" i="1"/>
  <c r="C1599" i="1"/>
  <c r="B1599" i="1"/>
  <c r="A1599" i="1"/>
  <c r="C1598" i="1"/>
  <c r="B1598" i="1"/>
  <c r="A1598" i="1"/>
  <c r="C1597" i="1"/>
  <c r="B1597" i="1"/>
  <c r="A1597" i="1"/>
  <c r="C1596" i="1"/>
  <c r="B1596" i="1"/>
  <c r="A1596" i="1"/>
  <c r="C1595" i="1"/>
  <c r="B1595" i="1"/>
  <c r="A1595" i="1"/>
  <c r="C1594" i="1"/>
  <c r="B1594" i="1"/>
  <c r="A1594" i="1"/>
  <c r="C1593" i="1"/>
  <c r="B1593" i="1"/>
  <c r="A1593" i="1"/>
  <c r="C1592" i="1"/>
  <c r="B1592" i="1"/>
  <c r="A1592" i="1"/>
  <c r="C1591" i="1"/>
  <c r="B1591" i="1"/>
  <c r="A1591" i="1"/>
  <c r="C1590" i="1"/>
  <c r="B1590" i="1"/>
  <c r="A1590" i="1"/>
  <c r="C1589" i="1"/>
  <c r="B1589" i="1"/>
  <c r="A1589" i="1"/>
  <c r="C1588" i="1"/>
  <c r="B1588" i="1"/>
  <c r="A1588" i="1"/>
  <c r="C1587" i="1"/>
  <c r="B1587" i="1"/>
  <c r="A1587" i="1"/>
  <c r="C1586" i="1"/>
  <c r="B1586" i="1"/>
  <c r="A1586" i="1"/>
  <c r="C1585" i="1"/>
  <c r="B1585" i="1"/>
  <c r="A1585" i="1"/>
  <c r="C1584" i="1"/>
  <c r="B1584" i="1"/>
  <c r="A1584" i="1"/>
  <c r="C1583" i="1"/>
  <c r="B1583" i="1"/>
  <c r="A1583" i="1"/>
  <c r="C1582" i="1"/>
  <c r="B1582" i="1"/>
  <c r="A1582" i="1"/>
  <c r="C1581" i="1"/>
  <c r="B1581" i="1"/>
  <c r="A1581" i="1"/>
  <c r="C1580" i="1"/>
  <c r="B1580" i="1"/>
  <c r="A1580" i="1"/>
  <c r="C1579" i="1"/>
  <c r="B1579" i="1"/>
  <c r="A1579" i="1"/>
  <c r="C1578" i="1"/>
  <c r="B1578" i="1"/>
  <c r="A1578" i="1"/>
  <c r="C1577" i="1"/>
  <c r="B1577" i="1"/>
  <c r="A1577" i="1"/>
  <c r="C1576" i="1"/>
  <c r="B1576" i="1"/>
  <c r="A1576" i="1"/>
  <c r="C1575" i="1"/>
  <c r="B1575" i="1"/>
  <c r="A1575" i="1"/>
  <c r="C1574" i="1"/>
  <c r="B1574" i="1"/>
  <c r="A1574" i="1"/>
  <c r="C1573" i="1"/>
  <c r="B1573" i="1"/>
  <c r="A1573" i="1"/>
  <c r="C1572" i="1"/>
  <c r="B1572" i="1"/>
  <c r="A1572" i="1"/>
  <c r="C1571" i="1"/>
  <c r="B1571" i="1"/>
  <c r="A1571" i="1"/>
  <c r="C1570" i="1"/>
  <c r="B1570" i="1"/>
  <c r="A1570" i="1"/>
  <c r="C1569" i="1"/>
  <c r="B1569" i="1"/>
  <c r="A1569" i="1"/>
  <c r="C1568" i="1"/>
  <c r="B1568" i="1"/>
  <c r="A1568" i="1"/>
  <c r="C1567" i="1"/>
  <c r="B1567" i="1"/>
  <c r="A1567" i="1"/>
  <c r="C1566" i="1"/>
  <c r="B1566" i="1"/>
  <c r="A1566" i="1"/>
  <c r="C1565" i="1"/>
  <c r="B1565" i="1"/>
  <c r="A1565" i="1"/>
  <c r="C1564" i="1"/>
  <c r="B1564" i="1"/>
  <c r="A1564" i="1"/>
  <c r="C1563" i="1"/>
  <c r="B1563" i="1"/>
  <c r="A1563" i="1"/>
  <c r="C1562" i="1"/>
  <c r="B1562" i="1"/>
  <c r="A1562" i="1"/>
  <c r="C1561" i="1"/>
  <c r="B1561" i="1"/>
  <c r="A1561" i="1"/>
  <c r="C1560" i="1"/>
  <c r="B1560" i="1"/>
  <c r="A1560" i="1"/>
  <c r="C1559" i="1"/>
  <c r="B1559" i="1"/>
  <c r="A1559" i="1"/>
  <c r="C1558" i="1"/>
  <c r="B1558" i="1"/>
  <c r="A1558" i="1"/>
  <c r="C1557" i="1"/>
  <c r="B1557" i="1"/>
  <c r="A1557" i="1"/>
  <c r="C1556" i="1"/>
  <c r="B1556" i="1"/>
  <c r="A1556" i="1"/>
  <c r="C1555" i="1"/>
  <c r="B1555" i="1"/>
  <c r="A1555" i="1"/>
  <c r="C1554" i="1"/>
  <c r="B1554" i="1"/>
  <c r="A1554" i="1"/>
  <c r="C1553" i="1"/>
  <c r="B1553" i="1"/>
  <c r="A1553" i="1"/>
  <c r="C1552" i="1"/>
  <c r="B1552" i="1"/>
  <c r="A1552" i="1"/>
  <c r="C1551" i="1"/>
  <c r="B1551" i="1"/>
  <c r="A1551" i="1"/>
  <c r="C1550" i="1"/>
  <c r="B1550" i="1"/>
  <c r="A1550" i="1"/>
  <c r="C1549" i="1"/>
  <c r="B1549" i="1"/>
  <c r="A1549" i="1"/>
  <c r="C1548" i="1"/>
  <c r="B1548" i="1"/>
  <c r="A1548" i="1"/>
  <c r="C1547" i="1"/>
  <c r="B1547" i="1"/>
  <c r="A1547" i="1"/>
  <c r="C1546" i="1"/>
  <c r="B1546" i="1"/>
  <c r="A1546" i="1"/>
  <c r="C1545" i="1"/>
  <c r="B1545" i="1"/>
  <c r="A1545" i="1"/>
  <c r="C1544" i="1"/>
  <c r="B1544" i="1"/>
  <c r="A1544" i="1"/>
  <c r="C1543" i="1"/>
  <c r="B1543" i="1"/>
  <c r="A1543" i="1"/>
  <c r="C1542" i="1"/>
  <c r="B1542" i="1"/>
  <c r="A1542" i="1"/>
  <c r="C1541" i="1"/>
  <c r="B1541" i="1"/>
  <c r="A1541" i="1"/>
  <c r="C1540" i="1"/>
  <c r="B1540" i="1"/>
  <c r="A1540" i="1"/>
  <c r="C1539" i="1"/>
  <c r="B1539" i="1"/>
  <c r="A1539" i="1"/>
  <c r="C1538" i="1"/>
  <c r="B1538" i="1"/>
  <c r="A1538" i="1"/>
  <c r="C1537" i="1"/>
  <c r="B1537" i="1"/>
  <c r="A1537" i="1"/>
  <c r="C1536" i="1"/>
  <c r="B1536" i="1"/>
  <c r="A1536" i="1"/>
  <c r="C1535" i="1"/>
  <c r="B1535" i="1"/>
  <c r="A1535" i="1"/>
  <c r="C1534" i="1"/>
  <c r="B1534" i="1"/>
  <c r="A1534" i="1"/>
  <c r="C1533" i="1"/>
  <c r="B1533" i="1"/>
  <c r="A1533" i="1"/>
  <c r="C1532" i="1"/>
  <c r="B1532" i="1"/>
  <c r="A1532" i="1"/>
  <c r="C1531" i="1"/>
  <c r="B1531" i="1"/>
  <c r="A1531" i="1"/>
  <c r="C1530" i="1"/>
  <c r="B1530" i="1"/>
  <c r="A1530" i="1"/>
  <c r="C1529" i="1"/>
  <c r="B1529" i="1"/>
  <c r="A1529" i="1"/>
  <c r="C1528" i="1"/>
  <c r="B1528" i="1"/>
  <c r="A1528" i="1"/>
  <c r="C1527" i="1"/>
  <c r="B1527" i="1"/>
  <c r="A1527" i="1"/>
  <c r="C1526" i="1"/>
  <c r="B1526" i="1"/>
  <c r="A1526" i="1"/>
  <c r="C1525" i="1"/>
  <c r="B1525" i="1"/>
  <c r="A1525" i="1"/>
  <c r="C1524" i="1"/>
  <c r="B1524" i="1"/>
  <c r="A1524" i="1"/>
  <c r="C1523" i="1"/>
  <c r="B1523" i="1"/>
  <c r="A1523" i="1"/>
  <c r="C1522" i="1"/>
  <c r="B1522" i="1"/>
  <c r="A1522" i="1"/>
  <c r="C1521" i="1"/>
  <c r="B1521" i="1"/>
  <c r="A1521" i="1"/>
  <c r="C1520" i="1"/>
  <c r="B1520" i="1"/>
  <c r="A1520" i="1"/>
  <c r="C1519" i="1"/>
  <c r="B1519" i="1"/>
  <c r="A1519" i="1"/>
  <c r="C1518" i="1"/>
  <c r="B1518" i="1"/>
  <c r="A1518" i="1"/>
  <c r="C1517" i="1"/>
  <c r="B1517" i="1"/>
  <c r="A1517" i="1"/>
  <c r="C1516" i="1"/>
  <c r="B1516" i="1"/>
  <c r="A1516" i="1"/>
  <c r="C1515" i="1"/>
  <c r="B1515" i="1"/>
  <c r="A1515" i="1"/>
  <c r="C1514" i="1"/>
  <c r="B1514" i="1"/>
  <c r="A1514" i="1"/>
  <c r="C1513" i="1"/>
  <c r="B1513" i="1"/>
  <c r="A1513" i="1"/>
  <c r="C1512" i="1"/>
  <c r="B1512" i="1"/>
  <c r="A1512" i="1"/>
  <c r="C1511" i="1"/>
  <c r="B1511" i="1"/>
  <c r="A1511" i="1"/>
  <c r="C1510" i="1"/>
  <c r="B1510" i="1"/>
  <c r="A1510" i="1"/>
  <c r="C1509" i="1"/>
  <c r="B1509" i="1"/>
  <c r="A1509" i="1"/>
  <c r="C1508" i="1"/>
  <c r="B1508" i="1"/>
  <c r="A1508" i="1"/>
  <c r="C1507" i="1"/>
  <c r="B1507" i="1"/>
  <c r="A1507" i="1"/>
  <c r="C1506" i="1"/>
  <c r="B1506" i="1"/>
  <c r="A1506" i="1"/>
  <c r="C1505" i="1"/>
  <c r="B1505" i="1"/>
  <c r="A1505" i="1"/>
  <c r="C1504" i="1"/>
  <c r="B1504" i="1"/>
  <c r="A1504" i="1"/>
  <c r="C1503" i="1"/>
  <c r="B1503" i="1"/>
  <c r="A1503" i="1"/>
  <c r="C1502" i="1"/>
  <c r="B1502" i="1"/>
  <c r="A1502" i="1"/>
  <c r="C1501" i="1"/>
  <c r="B1501" i="1"/>
  <c r="A1501" i="1"/>
  <c r="C1500" i="1"/>
  <c r="B1500" i="1"/>
  <c r="A1500" i="1"/>
  <c r="C1499" i="1"/>
  <c r="B1499" i="1"/>
  <c r="A1499" i="1"/>
  <c r="C1498" i="1"/>
  <c r="B1498" i="1"/>
  <c r="A1498" i="1"/>
  <c r="C1497" i="1"/>
  <c r="B1497" i="1"/>
  <c r="A1497" i="1"/>
  <c r="C1496" i="1"/>
  <c r="B1496" i="1"/>
  <c r="A1496" i="1"/>
  <c r="C1495" i="1"/>
  <c r="B1495" i="1"/>
  <c r="A1495" i="1"/>
  <c r="C1494" i="1"/>
  <c r="B1494" i="1"/>
  <c r="A1494" i="1"/>
  <c r="C1493" i="1"/>
  <c r="B1493" i="1"/>
  <c r="A1493" i="1"/>
  <c r="C1492" i="1"/>
  <c r="B1492" i="1"/>
  <c r="A1492" i="1"/>
  <c r="C1491" i="1"/>
  <c r="B1491" i="1"/>
  <c r="A1491" i="1"/>
  <c r="C1490" i="1"/>
  <c r="B1490" i="1"/>
  <c r="A1490" i="1"/>
  <c r="C1489" i="1"/>
  <c r="B1489" i="1"/>
  <c r="A1489" i="1"/>
  <c r="C1488" i="1"/>
  <c r="B1488" i="1"/>
  <c r="A1488" i="1"/>
  <c r="C1487" i="1"/>
  <c r="B1487" i="1"/>
  <c r="A1487" i="1"/>
  <c r="C1486" i="1"/>
  <c r="B1486" i="1"/>
  <c r="A1486" i="1"/>
  <c r="C1485" i="1"/>
  <c r="B1485" i="1"/>
  <c r="A1485" i="1"/>
  <c r="C1484" i="1"/>
  <c r="B1484" i="1"/>
  <c r="A1484" i="1"/>
  <c r="C1483" i="1"/>
  <c r="B1483" i="1"/>
  <c r="A1483" i="1"/>
  <c r="C1482" i="1"/>
  <c r="B1482" i="1"/>
  <c r="A1482" i="1"/>
  <c r="C1481" i="1"/>
  <c r="B1481" i="1"/>
  <c r="A1481" i="1"/>
  <c r="C1480" i="1"/>
  <c r="B1480" i="1"/>
  <c r="A1480" i="1"/>
  <c r="C1479" i="1"/>
  <c r="B1479" i="1"/>
  <c r="A1479" i="1"/>
  <c r="C1478" i="1"/>
  <c r="B1478" i="1"/>
  <c r="A1478" i="1"/>
  <c r="C1477" i="1"/>
  <c r="B1477" i="1"/>
  <c r="A1477" i="1"/>
  <c r="C1476" i="1"/>
  <c r="B1476" i="1"/>
  <c r="A1476" i="1"/>
  <c r="C1475" i="1"/>
  <c r="B1475" i="1"/>
  <c r="A1475" i="1"/>
  <c r="C1474" i="1"/>
  <c r="B1474" i="1"/>
  <c r="A1474" i="1"/>
  <c r="C1473" i="1"/>
  <c r="B1473" i="1"/>
  <c r="A1473" i="1"/>
  <c r="C1472" i="1"/>
  <c r="B1472" i="1"/>
  <c r="A1472" i="1"/>
  <c r="C1471" i="1"/>
  <c r="B1471" i="1"/>
  <c r="A1471" i="1"/>
  <c r="C1470" i="1"/>
  <c r="B1470" i="1"/>
  <c r="A1470" i="1"/>
  <c r="C1469" i="1"/>
  <c r="B1469" i="1"/>
  <c r="A1469" i="1"/>
  <c r="C1468" i="1"/>
  <c r="B1468" i="1"/>
  <c r="A1468" i="1"/>
  <c r="C1467" i="1"/>
  <c r="B1467" i="1"/>
  <c r="A1467" i="1"/>
  <c r="C1466" i="1"/>
  <c r="B1466" i="1"/>
  <c r="A1466" i="1"/>
  <c r="C1465" i="1"/>
  <c r="B1465" i="1"/>
  <c r="A1465" i="1"/>
  <c r="C1464" i="1"/>
  <c r="B1464" i="1"/>
  <c r="A1464" i="1"/>
  <c r="C1463" i="1"/>
  <c r="B1463" i="1"/>
  <c r="A1463" i="1"/>
  <c r="C1462" i="1"/>
  <c r="B1462" i="1"/>
  <c r="A1462" i="1"/>
  <c r="C1461" i="1"/>
  <c r="B1461" i="1"/>
  <c r="A1461" i="1"/>
  <c r="C1460" i="1"/>
  <c r="B1460" i="1"/>
  <c r="A1460" i="1"/>
  <c r="C1459" i="1"/>
  <c r="B1459" i="1"/>
  <c r="A1459" i="1"/>
  <c r="C1458" i="1"/>
  <c r="B1458" i="1"/>
  <c r="A1458" i="1"/>
  <c r="C1457" i="1"/>
  <c r="B1457" i="1"/>
  <c r="A1457" i="1"/>
  <c r="C1456" i="1"/>
  <c r="B1456" i="1"/>
  <c r="A1456" i="1"/>
  <c r="C1455" i="1"/>
  <c r="B1455" i="1"/>
  <c r="A1455" i="1"/>
  <c r="C1454" i="1"/>
  <c r="B1454" i="1"/>
  <c r="A1454" i="1"/>
  <c r="C1453" i="1"/>
  <c r="B1453" i="1"/>
  <c r="A1453" i="1"/>
  <c r="C1452" i="1"/>
  <c r="B1452" i="1"/>
  <c r="A1452" i="1"/>
  <c r="C1451" i="1"/>
  <c r="B1451" i="1"/>
  <c r="A1451" i="1"/>
  <c r="C1450" i="1"/>
  <c r="B1450" i="1"/>
  <c r="A1450" i="1"/>
  <c r="C1449" i="1"/>
  <c r="B1449" i="1"/>
  <c r="A1449" i="1"/>
  <c r="C1448" i="1"/>
  <c r="B1448" i="1"/>
  <c r="A1448" i="1"/>
  <c r="C1447" i="1"/>
  <c r="B1447" i="1"/>
  <c r="A1447" i="1"/>
  <c r="C1446" i="1"/>
  <c r="B1446" i="1"/>
  <c r="A1446" i="1"/>
  <c r="C1445" i="1"/>
  <c r="B1445" i="1"/>
  <c r="A1445" i="1"/>
  <c r="C1444" i="1"/>
  <c r="B1444" i="1"/>
  <c r="A1444" i="1"/>
  <c r="C1443" i="1"/>
  <c r="B1443" i="1"/>
  <c r="A1443" i="1"/>
  <c r="C1442" i="1"/>
  <c r="B1442" i="1"/>
  <c r="A1442" i="1"/>
  <c r="C1441" i="1"/>
  <c r="B1441" i="1"/>
  <c r="A1441" i="1"/>
  <c r="C1440" i="1"/>
  <c r="B1440" i="1"/>
  <c r="A1440" i="1"/>
  <c r="C1439" i="1"/>
  <c r="B1439" i="1"/>
  <c r="A1439" i="1"/>
  <c r="C1438" i="1"/>
  <c r="B1438" i="1"/>
  <c r="A1438" i="1"/>
  <c r="C1437" i="1"/>
  <c r="B1437" i="1"/>
  <c r="A1437" i="1"/>
  <c r="C1436" i="1"/>
  <c r="B1436" i="1"/>
  <c r="A1436" i="1"/>
  <c r="C1435" i="1"/>
  <c r="B1435" i="1"/>
  <c r="A1435" i="1"/>
  <c r="C1434" i="1"/>
  <c r="B1434" i="1"/>
  <c r="A1434" i="1"/>
  <c r="C1433" i="1"/>
  <c r="B1433" i="1"/>
  <c r="A1433" i="1"/>
  <c r="C1432" i="1"/>
  <c r="B1432" i="1"/>
  <c r="A1432" i="1"/>
  <c r="C1431" i="1"/>
  <c r="B1431" i="1"/>
  <c r="A1431" i="1"/>
  <c r="C1430" i="1"/>
  <c r="B1430" i="1"/>
  <c r="A1430" i="1"/>
  <c r="C1429" i="1"/>
  <c r="B1429" i="1"/>
  <c r="A1429" i="1"/>
  <c r="C1428" i="1"/>
  <c r="B1428" i="1"/>
  <c r="A1428" i="1"/>
  <c r="C1427" i="1"/>
  <c r="B1427" i="1"/>
  <c r="A1427" i="1"/>
  <c r="C1426" i="1"/>
  <c r="B1426" i="1"/>
  <c r="A1426" i="1"/>
  <c r="C1425" i="1"/>
  <c r="B1425" i="1"/>
  <c r="A1425" i="1"/>
  <c r="C1424" i="1"/>
  <c r="B1424" i="1"/>
  <c r="A1424" i="1"/>
  <c r="C1423" i="1"/>
  <c r="B1423" i="1"/>
  <c r="A1423" i="1"/>
  <c r="C1422" i="1"/>
  <c r="B1422" i="1"/>
  <c r="A1422" i="1"/>
  <c r="C1421" i="1"/>
  <c r="B1421" i="1"/>
  <c r="A1421" i="1"/>
  <c r="C1420" i="1"/>
  <c r="B1420" i="1"/>
  <c r="A1420" i="1"/>
  <c r="C1419" i="1"/>
  <c r="B1419" i="1"/>
  <c r="A1419" i="1"/>
  <c r="C1418" i="1"/>
  <c r="B1418" i="1"/>
  <c r="A1418" i="1"/>
  <c r="C1417" i="1"/>
  <c r="B1417" i="1"/>
  <c r="A1417" i="1"/>
  <c r="C1416" i="1"/>
  <c r="B1416" i="1"/>
  <c r="A1416" i="1"/>
  <c r="C1415" i="1"/>
  <c r="B1415" i="1"/>
  <c r="A1415" i="1"/>
  <c r="C1414" i="1"/>
  <c r="B1414" i="1"/>
  <c r="A1414" i="1"/>
  <c r="C1413" i="1"/>
  <c r="B1413" i="1"/>
  <c r="A1413" i="1"/>
  <c r="C1412" i="1"/>
  <c r="B1412" i="1"/>
  <c r="A1412" i="1"/>
  <c r="C1411" i="1"/>
  <c r="B1411" i="1"/>
  <c r="A1411" i="1"/>
  <c r="C1410" i="1"/>
  <c r="B1410" i="1"/>
  <c r="A1410" i="1"/>
  <c r="C1409" i="1"/>
  <c r="B1409" i="1"/>
  <c r="A1409" i="1"/>
  <c r="C1408" i="1"/>
  <c r="B1408" i="1"/>
  <c r="A1408" i="1"/>
  <c r="C1407" i="1"/>
  <c r="B1407" i="1"/>
  <c r="A1407" i="1"/>
  <c r="C1406" i="1"/>
  <c r="B1406" i="1"/>
  <c r="A1406" i="1"/>
  <c r="C1405" i="1"/>
  <c r="B1405" i="1"/>
  <c r="A1405" i="1"/>
  <c r="C1404" i="1"/>
  <c r="B1404" i="1"/>
  <c r="A1404" i="1"/>
  <c r="C1403" i="1"/>
  <c r="B1403" i="1"/>
  <c r="A1403" i="1"/>
  <c r="C1402" i="1"/>
  <c r="B1402" i="1"/>
  <c r="A1402" i="1"/>
  <c r="C1401" i="1"/>
  <c r="B1401" i="1"/>
  <c r="A1401" i="1"/>
  <c r="C1400" i="1"/>
  <c r="B1400" i="1"/>
  <c r="A1400" i="1"/>
  <c r="C1399" i="1"/>
  <c r="B1399" i="1"/>
  <c r="A1399" i="1"/>
  <c r="C1398" i="1"/>
  <c r="B1398" i="1"/>
  <c r="A1398" i="1"/>
  <c r="C1397" i="1"/>
  <c r="B1397" i="1"/>
  <c r="A1397" i="1"/>
  <c r="C1396" i="1"/>
  <c r="B1396" i="1"/>
  <c r="A1396" i="1"/>
  <c r="C1395" i="1"/>
  <c r="B1395" i="1"/>
  <c r="A1395" i="1"/>
  <c r="C1394" i="1"/>
  <c r="B1394" i="1"/>
  <c r="A1394" i="1"/>
  <c r="C1393" i="1"/>
  <c r="B1393" i="1"/>
  <c r="A1393" i="1"/>
  <c r="C1392" i="1"/>
  <c r="B1392" i="1"/>
  <c r="A1392" i="1"/>
  <c r="C1391" i="1"/>
  <c r="B1391" i="1"/>
  <c r="A1391" i="1"/>
  <c r="C1390" i="1"/>
  <c r="B1390" i="1"/>
  <c r="A1390" i="1"/>
  <c r="C1389" i="1"/>
  <c r="B1389" i="1"/>
  <c r="A1389" i="1"/>
  <c r="C1388" i="1"/>
  <c r="B1388" i="1"/>
  <c r="A1388" i="1"/>
  <c r="C1387" i="1"/>
  <c r="B1387" i="1"/>
  <c r="A1387" i="1"/>
  <c r="C1386" i="1"/>
  <c r="B1386" i="1"/>
  <c r="A1386" i="1"/>
  <c r="C1385" i="1"/>
  <c r="B1385" i="1"/>
  <c r="A1385" i="1"/>
  <c r="C1384" i="1"/>
  <c r="B1384" i="1"/>
  <c r="A1384" i="1"/>
  <c r="C1383" i="1"/>
  <c r="B1383" i="1"/>
  <c r="A1383" i="1"/>
  <c r="C1382" i="1"/>
  <c r="B1382" i="1"/>
  <c r="A1382" i="1"/>
  <c r="C1381" i="1"/>
  <c r="B1381" i="1"/>
  <c r="A1381" i="1"/>
  <c r="C1380" i="1"/>
  <c r="B1380" i="1"/>
  <c r="A1380" i="1"/>
  <c r="C1379" i="1"/>
  <c r="B1379" i="1"/>
  <c r="A1379" i="1"/>
  <c r="C1378" i="1"/>
  <c r="B1378" i="1"/>
  <c r="A1378" i="1"/>
  <c r="C1377" i="1"/>
  <c r="B1377" i="1"/>
  <c r="A1377" i="1"/>
  <c r="C1376" i="1"/>
  <c r="B1376" i="1"/>
  <c r="A1376" i="1"/>
  <c r="C1375" i="1"/>
  <c r="B1375" i="1"/>
  <c r="A1375" i="1"/>
  <c r="C1374" i="1"/>
  <c r="B1374" i="1"/>
  <c r="A1374" i="1"/>
  <c r="C1373" i="1"/>
  <c r="B1373" i="1"/>
  <c r="A1373" i="1"/>
  <c r="C1372" i="1"/>
  <c r="B1372" i="1"/>
  <c r="A1372" i="1"/>
  <c r="C1371" i="1"/>
  <c r="B1371" i="1"/>
  <c r="A1371" i="1"/>
  <c r="C1370" i="1"/>
  <c r="B1370" i="1"/>
  <c r="A1370" i="1"/>
  <c r="C1369" i="1"/>
  <c r="B1369" i="1"/>
  <c r="A1369" i="1"/>
  <c r="C1368" i="1"/>
  <c r="B1368" i="1"/>
  <c r="A1368" i="1"/>
  <c r="C1367" i="1"/>
  <c r="B1367" i="1"/>
  <c r="A1367" i="1"/>
  <c r="C1366" i="1"/>
  <c r="B1366" i="1"/>
  <c r="A1366" i="1"/>
  <c r="C1365" i="1"/>
  <c r="B1365" i="1"/>
  <c r="A1365" i="1"/>
  <c r="C1364" i="1"/>
  <c r="B1364" i="1"/>
  <c r="A1364" i="1"/>
  <c r="C1363" i="1"/>
  <c r="B1363" i="1"/>
  <c r="A1363" i="1"/>
  <c r="C1362" i="1"/>
  <c r="B1362" i="1"/>
  <c r="A1362" i="1"/>
  <c r="C1361" i="1"/>
  <c r="B1361" i="1"/>
  <c r="A1361" i="1"/>
  <c r="C1360" i="1"/>
  <c r="B1360" i="1"/>
  <c r="A1360" i="1"/>
  <c r="C1359" i="1"/>
  <c r="B1359" i="1"/>
  <c r="A1359" i="1"/>
  <c r="C1358" i="1"/>
  <c r="B1358" i="1"/>
  <c r="A1358" i="1"/>
  <c r="C1357" i="1"/>
  <c r="B1357" i="1"/>
  <c r="A1357" i="1"/>
  <c r="C1356" i="1"/>
  <c r="B1356" i="1"/>
  <c r="A1356" i="1"/>
  <c r="C1355" i="1"/>
  <c r="B1355" i="1"/>
  <c r="A1355" i="1"/>
  <c r="C1354" i="1"/>
  <c r="B1354" i="1"/>
  <c r="A1354" i="1"/>
  <c r="C1353" i="1"/>
  <c r="B1353" i="1"/>
  <c r="A1353" i="1"/>
  <c r="C1352" i="1"/>
  <c r="B1352" i="1"/>
  <c r="A1352" i="1"/>
  <c r="C1351" i="1"/>
  <c r="B1351" i="1"/>
  <c r="A1351" i="1"/>
  <c r="C1350" i="1"/>
  <c r="B1350" i="1"/>
  <c r="A1350" i="1"/>
  <c r="C1349" i="1"/>
  <c r="B1349" i="1"/>
  <c r="A1349" i="1"/>
  <c r="C1348" i="1"/>
  <c r="B1348" i="1"/>
  <c r="A1348" i="1"/>
  <c r="C1347" i="1"/>
  <c r="B1347" i="1"/>
  <c r="A1347" i="1"/>
  <c r="C1346" i="1"/>
  <c r="B1346" i="1"/>
  <c r="A1346" i="1"/>
  <c r="C1345" i="1"/>
  <c r="B1345" i="1"/>
  <c r="A1345" i="1"/>
  <c r="C1344" i="1"/>
  <c r="B1344" i="1"/>
  <c r="A1344" i="1"/>
  <c r="C1343" i="1"/>
  <c r="B1343" i="1"/>
  <c r="A1343" i="1"/>
  <c r="C1342" i="1"/>
  <c r="B1342" i="1"/>
  <c r="A1342" i="1"/>
  <c r="C1341" i="1"/>
  <c r="B1341" i="1"/>
  <c r="A1341" i="1"/>
  <c r="C1340" i="1"/>
  <c r="B1340" i="1"/>
  <c r="A1340" i="1"/>
  <c r="C1339" i="1"/>
  <c r="B1339" i="1"/>
  <c r="A1339" i="1"/>
  <c r="C1338" i="1"/>
  <c r="B1338" i="1"/>
  <c r="A1338" i="1"/>
  <c r="C1337" i="1"/>
  <c r="B1337" i="1"/>
  <c r="A1337" i="1"/>
  <c r="C1336" i="1"/>
  <c r="B1336" i="1"/>
  <c r="A1336" i="1"/>
  <c r="C1335" i="1"/>
  <c r="B1335" i="1"/>
  <c r="A1335" i="1"/>
  <c r="C1334" i="1"/>
  <c r="B1334" i="1"/>
  <c r="A1334" i="1"/>
  <c r="C1333" i="1"/>
  <c r="B1333" i="1"/>
  <c r="A1333" i="1"/>
  <c r="C1332" i="1"/>
  <c r="B1332" i="1"/>
  <c r="A1332" i="1"/>
  <c r="C1331" i="1"/>
  <c r="B1331" i="1"/>
  <c r="A1331" i="1"/>
  <c r="C1330" i="1"/>
  <c r="B1330" i="1"/>
  <c r="A1330" i="1"/>
  <c r="C1329" i="1"/>
  <c r="B1329" i="1"/>
  <c r="A1329" i="1"/>
  <c r="C1328" i="1"/>
  <c r="B1328" i="1"/>
  <c r="A1328" i="1"/>
  <c r="C1327" i="1"/>
  <c r="B1327" i="1"/>
  <c r="A1327" i="1"/>
  <c r="C1326" i="1"/>
  <c r="B1326" i="1"/>
  <c r="A1326" i="1"/>
  <c r="C1325" i="1"/>
  <c r="B1325" i="1"/>
  <c r="A1325" i="1"/>
  <c r="C1324" i="1"/>
  <c r="B1324" i="1"/>
  <c r="A1324" i="1"/>
  <c r="C1323" i="1"/>
  <c r="B1323" i="1"/>
  <c r="A1323" i="1"/>
  <c r="C1322" i="1"/>
  <c r="B1322" i="1"/>
  <c r="A1322" i="1"/>
  <c r="C1321" i="1"/>
  <c r="B1321" i="1"/>
  <c r="A1321" i="1"/>
  <c r="C1320" i="1"/>
  <c r="B1320" i="1"/>
  <c r="A1320" i="1"/>
  <c r="C1319" i="1"/>
  <c r="B1319" i="1"/>
  <c r="A1319" i="1"/>
  <c r="C1318" i="1"/>
  <c r="B1318" i="1"/>
  <c r="A1318" i="1"/>
  <c r="C1317" i="1"/>
  <c r="B1317" i="1"/>
  <c r="A1317" i="1"/>
  <c r="C1316" i="1"/>
  <c r="B1316" i="1"/>
  <c r="A1316" i="1"/>
  <c r="C1315" i="1"/>
  <c r="B1315" i="1"/>
  <c r="A1315" i="1"/>
  <c r="C1314" i="1"/>
  <c r="B1314" i="1"/>
  <c r="A1314" i="1"/>
  <c r="C1313" i="1"/>
  <c r="B1313" i="1"/>
  <c r="A1313" i="1"/>
  <c r="C1312" i="1"/>
  <c r="B1312" i="1"/>
  <c r="A1312" i="1"/>
  <c r="C1311" i="1"/>
  <c r="B1311" i="1"/>
  <c r="A1311" i="1"/>
  <c r="C1310" i="1"/>
  <c r="B1310" i="1"/>
  <c r="A1310" i="1"/>
  <c r="C1309" i="1"/>
  <c r="B1309" i="1"/>
  <c r="A1309" i="1"/>
  <c r="C1308" i="1"/>
  <c r="B1308" i="1"/>
  <c r="A1308" i="1"/>
  <c r="C1307" i="1"/>
  <c r="B1307" i="1"/>
  <c r="A1307" i="1"/>
  <c r="C1306" i="1"/>
  <c r="B1306" i="1"/>
  <c r="A1306" i="1"/>
  <c r="C1305" i="1"/>
  <c r="B1305" i="1"/>
  <c r="A1305" i="1"/>
  <c r="C1304" i="1"/>
  <c r="B1304" i="1"/>
  <c r="A1304" i="1"/>
  <c r="C1303" i="1"/>
  <c r="B1303" i="1"/>
  <c r="A1303" i="1"/>
  <c r="C1302" i="1"/>
  <c r="B1302" i="1"/>
  <c r="A1302" i="1"/>
  <c r="C1301" i="1"/>
  <c r="B1301" i="1"/>
  <c r="A1301" i="1"/>
  <c r="C1300" i="1"/>
  <c r="B1300" i="1"/>
  <c r="A1300" i="1"/>
  <c r="C1299" i="1"/>
  <c r="B1299" i="1"/>
  <c r="A1299" i="1"/>
  <c r="C1298" i="1"/>
  <c r="B1298" i="1"/>
  <c r="A1298" i="1"/>
  <c r="C1297" i="1"/>
  <c r="B1297" i="1"/>
  <c r="A1297" i="1"/>
  <c r="C1296" i="1"/>
  <c r="B1296" i="1"/>
  <c r="A1296" i="1"/>
  <c r="C1295" i="1"/>
  <c r="B1295" i="1"/>
  <c r="A1295" i="1"/>
  <c r="C1294" i="1"/>
  <c r="B1294" i="1"/>
  <c r="A1294" i="1"/>
  <c r="C1293" i="1"/>
  <c r="B1293" i="1"/>
  <c r="A1293" i="1"/>
  <c r="C1292" i="1"/>
  <c r="B1292" i="1"/>
  <c r="A1292" i="1"/>
  <c r="C1291" i="1"/>
  <c r="B1291" i="1"/>
  <c r="A1291" i="1"/>
  <c r="C1290" i="1"/>
  <c r="B1290" i="1"/>
  <c r="A1290" i="1"/>
  <c r="C1289" i="1"/>
  <c r="B1289" i="1"/>
  <c r="A1289" i="1"/>
  <c r="C1288" i="1"/>
  <c r="B1288" i="1"/>
  <c r="A1288" i="1"/>
  <c r="C1287" i="1"/>
  <c r="B1287" i="1"/>
  <c r="A1287" i="1"/>
  <c r="C1286" i="1"/>
  <c r="B1286" i="1"/>
  <c r="A1286" i="1"/>
  <c r="C1285" i="1"/>
  <c r="B1285" i="1"/>
  <c r="A1285" i="1"/>
  <c r="C1284" i="1"/>
  <c r="B1284" i="1"/>
  <c r="A1284" i="1"/>
  <c r="C1283" i="1"/>
  <c r="B1283" i="1"/>
  <c r="A1283" i="1"/>
  <c r="C1282" i="1"/>
  <c r="B1282" i="1"/>
  <c r="A1282" i="1"/>
  <c r="C1281" i="1"/>
  <c r="B1281" i="1"/>
  <c r="A1281" i="1"/>
  <c r="C1280" i="1"/>
  <c r="B1280" i="1"/>
  <c r="A1280" i="1"/>
  <c r="C1279" i="1"/>
  <c r="B1279" i="1"/>
  <c r="A1279" i="1"/>
  <c r="C1278" i="1"/>
  <c r="B1278" i="1"/>
  <c r="A1278" i="1"/>
  <c r="C1277" i="1"/>
  <c r="B1277" i="1"/>
  <c r="A1277" i="1"/>
  <c r="C1276" i="1"/>
  <c r="B1276" i="1"/>
  <c r="A1276" i="1"/>
  <c r="C1275" i="1"/>
  <c r="B1275" i="1"/>
  <c r="A1275" i="1"/>
  <c r="C1274" i="1"/>
  <c r="B1274" i="1"/>
  <c r="A1274" i="1"/>
  <c r="C1273" i="1"/>
  <c r="B1273" i="1"/>
  <c r="A1273" i="1"/>
  <c r="C1272" i="1"/>
  <c r="B1272" i="1"/>
  <c r="A1272" i="1"/>
  <c r="C1271" i="1"/>
  <c r="B1271" i="1"/>
  <c r="A1271" i="1"/>
  <c r="C1270" i="1"/>
  <c r="B1270" i="1"/>
  <c r="A1270" i="1"/>
  <c r="C1269" i="1"/>
  <c r="B1269" i="1"/>
  <c r="A1269" i="1"/>
  <c r="C1268" i="1"/>
  <c r="B1268" i="1"/>
  <c r="A1268" i="1"/>
  <c r="C1267" i="1"/>
  <c r="B1267" i="1"/>
  <c r="A1267" i="1"/>
  <c r="C1266" i="1"/>
  <c r="B1266" i="1"/>
  <c r="A1266" i="1"/>
  <c r="C1265" i="1"/>
  <c r="B1265" i="1"/>
  <c r="A1265" i="1"/>
  <c r="C1264" i="1"/>
  <c r="B1264" i="1"/>
  <c r="A1264" i="1"/>
  <c r="C1263" i="1"/>
  <c r="B1263" i="1"/>
  <c r="A1263" i="1"/>
  <c r="C1262" i="1"/>
  <c r="B1262" i="1"/>
  <c r="A1262" i="1"/>
  <c r="C1261" i="1"/>
  <c r="B1261" i="1"/>
  <c r="A1261" i="1"/>
  <c r="C1260" i="1"/>
  <c r="B1260" i="1"/>
  <c r="A1260" i="1"/>
  <c r="C1259" i="1"/>
  <c r="B1259" i="1"/>
  <c r="A1259" i="1"/>
  <c r="C1258" i="1"/>
  <c r="B1258" i="1"/>
  <c r="A1258" i="1"/>
  <c r="C1257" i="1"/>
  <c r="B1257" i="1"/>
  <c r="A1257" i="1"/>
  <c r="C1256" i="1"/>
  <c r="B1256" i="1"/>
  <c r="A1256" i="1"/>
  <c r="C1255" i="1"/>
  <c r="B1255" i="1"/>
  <c r="A1255" i="1"/>
  <c r="C1254" i="1"/>
  <c r="B1254" i="1"/>
  <c r="A1254" i="1"/>
  <c r="C1253" i="1"/>
  <c r="B1253" i="1"/>
  <c r="A1253" i="1"/>
  <c r="C1252" i="1"/>
  <c r="B1252" i="1"/>
  <c r="A1252" i="1"/>
  <c r="C1251" i="1"/>
  <c r="B1251" i="1"/>
  <c r="A1251" i="1"/>
  <c r="C1250" i="1"/>
  <c r="B1250" i="1"/>
  <c r="A1250" i="1"/>
  <c r="C1249" i="1"/>
  <c r="B1249" i="1"/>
  <c r="A1249" i="1"/>
  <c r="C1248" i="1"/>
  <c r="B1248" i="1"/>
  <c r="A1248" i="1"/>
  <c r="C1247" i="1"/>
  <c r="B1247" i="1"/>
  <c r="A1247" i="1"/>
  <c r="C1246" i="1"/>
  <c r="B1246" i="1"/>
  <c r="A1246" i="1"/>
  <c r="C1245" i="1"/>
  <c r="B1245" i="1"/>
  <c r="A1245" i="1"/>
  <c r="C1244" i="1"/>
  <c r="B1244" i="1"/>
  <c r="A1244" i="1"/>
  <c r="C1243" i="1"/>
  <c r="B1243" i="1"/>
  <c r="A1243" i="1"/>
  <c r="C1242" i="1"/>
  <c r="B1242" i="1"/>
  <c r="A1242" i="1"/>
  <c r="C1241" i="1"/>
  <c r="B1241" i="1"/>
  <c r="A1241" i="1"/>
  <c r="C1240" i="1"/>
  <c r="B1240" i="1"/>
  <c r="A1240" i="1"/>
  <c r="C1239" i="1"/>
  <c r="B1239" i="1"/>
  <c r="A1239" i="1"/>
  <c r="C1238" i="1"/>
  <c r="B1238" i="1"/>
  <c r="A1238" i="1"/>
  <c r="C1237" i="1"/>
  <c r="B1237" i="1"/>
  <c r="A1237" i="1"/>
  <c r="C1236" i="1"/>
  <c r="B1236" i="1"/>
  <c r="A1236" i="1"/>
  <c r="C1235" i="1"/>
  <c r="B1235" i="1"/>
  <c r="A1235" i="1"/>
  <c r="C1234" i="1"/>
  <c r="B1234" i="1"/>
  <c r="A1234" i="1"/>
  <c r="C1233" i="1"/>
  <c r="B1233" i="1"/>
  <c r="A1233" i="1"/>
  <c r="C1232" i="1"/>
  <c r="B1232" i="1"/>
  <c r="A1232" i="1"/>
  <c r="C1231" i="1"/>
  <c r="B1231" i="1"/>
  <c r="A1231" i="1"/>
  <c r="C1230" i="1"/>
  <c r="B1230" i="1"/>
  <c r="A1230" i="1"/>
  <c r="C1229" i="1"/>
  <c r="B1229" i="1"/>
  <c r="A1229" i="1"/>
  <c r="C1228" i="1"/>
  <c r="B1228" i="1"/>
  <c r="A1228" i="1"/>
  <c r="C1227" i="1"/>
  <c r="B1227" i="1"/>
  <c r="A1227" i="1"/>
  <c r="C1226" i="1"/>
  <c r="B1226" i="1"/>
  <c r="A1226" i="1"/>
  <c r="C1225" i="1"/>
  <c r="B1225" i="1"/>
  <c r="A1225" i="1"/>
  <c r="C1224" i="1"/>
  <c r="B1224" i="1"/>
  <c r="A1224" i="1"/>
  <c r="C1223" i="1"/>
  <c r="B1223" i="1"/>
  <c r="A1223" i="1"/>
  <c r="C1222" i="1"/>
  <c r="B1222" i="1"/>
  <c r="A1222" i="1"/>
  <c r="C1221" i="1"/>
  <c r="B1221" i="1"/>
  <c r="A1221" i="1"/>
  <c r="C1220" i="1"/>
  <c r="B1220" i="1"/>
  <c r="A1220" i="1"/>
  <c r="C1219" i="1"/>
  <c r="B1219" i="1"/>
  <c r="A1219" i="1"/>
  <c r="C1218" i="1"/>
  <c r="B1218" i="1"/>
  <c r="A1218" i="1"/>
  <c r="C1217" i="1"/>
  <c r="B1217" i="1"/>
  <c r="A1217" i="1"/>
  <c r="C1216" i="1"/>
  <c r="B1216" i="1"/>
  <c r="A1216" i="1"/>
  <c r="C1215" i="1"/>
  <c r="B1215" i="1"/>
  <c r="A1215" i="1"/>
  <c r="C1214" i="1"/>
  <c r="B1214" i="1"/>
  <c r="A1214" i="1"/>
  <c r="C1213" i="1"/>
  <c r="B1213" i="1"/>
  <c r="A1213" i="1"/>
  <c r="C1212" i="1"/>
  <c r="B1212" i="1"/>
  <c r="A1212" i="1"/>
  <c r="C1211" i="1"/>
  <c r="B1211" i="1"/>
  <c r="A1211" i="1"/>
  <c r="C1210" i="1"/>
  <c r="B1210" i="1"/>
  <c r="A1210" i="1"/>
  <c r="C1209" i="1"/>
  <c r="B1209" i="1"/>
  <c r="A1209" i="1"/>
  <c r="C1208" i="1"/>
  <c r="B1208" i="1"/>
  <c r="A1208" i="1"/>
  <c r="C1207" i="1"/>
  <c r="B1207" i="1"/>
  <c r="A1207" i="1"/>
  <c r="C1206" i="1"/>
  <c r="B1206" i="1"/>
  <c r="A1206" i="1"/>
  <c r="C1205" i="1"/>
  <c r="B1205" i="1"/>
  <c r="A1205" i="1"/>
  <c r="C1204" i="1"/>
  <c r="B1204" i="1"/>
  <c r="A1204" i="1"/>
  <c r="C1203" i="1"/>
  <c r="B1203" i="1"/>
  <c r="A1203" i="1"/>
  <c r="C1202" i="1"/>
  <c r="B1202" i="1"/>
  <c r="A1202" i="1"/>
  <c r="C1201" i="1"/>
  <c r="B1201" i="1"/>
  <c r="A1201" i="1"/>
  <c r="C1200" i="1"/>
  <c r="B1200" i="1"/>
  <c r="A1200" i="1"/>
  <c r="C1199" i="1"/>
  <c r="B1199" i="1"/>
  <c r="A1199" i="1"/>
  <c r="C1198" i="1"/>
  <c r="B1198" i="1"/>
  <c r="A1198" i="1"/>
  <c r="C1197" i="1"/>
  <c r="B1197" i="1"/>
  <c r="A1197" i="1"/>
  <c r="C1196" i="1"/>
  <c r="B1196" i="1"/>
  <c r="A1196" i="1"/>
  <c r="C1195" i="1"/>
  <c r="B1195" i="1"/>
  <c r="A1195" i="1"/>
  <c r="C1194" i="1"/>
  <c r="B1194" i="1"/>
  <c r="A1194" i="1"/>
  <c r="C1193" i="1"/>
  <c r="B1193" i="1"/>
  <c r="A1193" i="1"/>
  <c r="C1192" i="1"/>
  <c r="B1192" i="1"/>
  <c r="A1192" i="1"/>
  <c r="C1191" i="1"/>
  <c r="B1191" i="1"/>
  <c r="A1191" i="1"/>
  <c r="C1190" i="1"/>
  <c r="B1190" i="1"/>
  <c r="A1190" i="1"/>
  <c r="C1189" i="1"/>
  <c r="B1189" i="1"/>
  <c r="A1189" i="1"/>
  <c r="C1188" i="1"/>
  <c r="B1188" i="1"/>
  <c r="A1188" i="1"/>
  <c r="C1187" i="1"/>
  <c r="B1187" i="1"/>
  <c r="A1187" i="1"/>
  <c r="C1186" i="1"/>
  <c r="B1186" i="1"/>
  <c r="A1186" i="1"/>
  <c r="C1185" i="1"/>
  <c r="B1185" i="1"/>
  <c r="A1185" i="1"/>
  <c r="C1184" i="1"/>
  <c r="B1184" i="1"/>
  <c r="A1184" i="1"/>
  <c r="C1183" i="1"/>
  <c r="B1183" i="1"/>
  <c r="A1183" i="1"/>
  <c r="C1182" i="1"/>
  <c r="B1182" i="1"/>
  <c r="A1182" i="1"/>
  <c r="C1181" i="1"/>
  <c r="B1181" i="1"/>
  <c r="A1181" i="1"/>
  <c r="C1180" i="1"/>
  <c r="B1180" i="1"/>
  <c r="A1180" i="1"/>
  <c r="C1179" i="1"/>
  <c r="B1179" i="1"/>
  <c r="A1179" i="1"/>
  <c r="C1178" i="1"/>
  <c r="B1178" i="1"/>
  <c r="A1178" i="1"/>
  <c r="C1177" i="1"/>
  <c r="B1177" i="1"/>
  <c r="A1177" i="1"/>
  <c r="C1176" i="1"/>
  <c r="B1176" i="1"/>
  <c r="A1176" i="1"/>
  <c r="C1175" i="1"/>
  <c r="B1175" i="1"/>
  <c r="A1175" i="1"/>
  <c r="C1174" i="1"/>
  <c r="B1174" i="1"/>
  <c r="A1174" i="1"/>
  <c r="C1173" i="1"/>
  <c r="B1173" i="1"/>
  <c r="A1173" i="1"/>
  <c r="C1172" i="1"/>
  <c r="B1172" i="1"/>
  <c r="A1172" i="1"/>
  <c r="C1171" i="1"/>
  <c r="B1171" i="1"/>
  <c r="A1171" i="1"/>
  <c r="C1170" i="1"/>
  <c r="B1170" i="1"/>
  <c r="A1170" i="1"/>
  <c r="C1169" i="1"/>
  <c r="B1169" i="1"/>
  <c r="A1169" i="1"/>
  <c r="C1168" i="1"/>
  <c r="B1168" i="1"/>
  <c r="A1168" i="1"/>
  <c r="C1167" i="1"/>
  <c r="B1167" i="1"/>
  <c r="A1167" i="1"/>
  <c r="C1166" i="1"/>
  <c r="B1166" i="1"/>
  <c r="A1166" i="1"/>
  <c r="C1165" i="1"/>
  <c r="B1165" i="1"/>
  <c r="A1165" i="1"/>
  <c r="C1164" i="1"/>
  <c r="B1164" i="1"/>
  <c r="A1164" i="1"/>
  <c r="C1163" i="1"/>
  <c r="B1163" i="1"/>
  <c r="A1163" i="1"/>
  <c r="C1162" i="1"/>
  <c r="B1162" i="1"/>
  <c r="A1162" i="1"/>
  <c r="C1161" i="1"/>
  <c r="B1161" i="1"/>
  <c r="A1161" i="1"/>
  <c r="C1160" i="1"/>
  <c r="B1160" i="1"/>
  <c r="A1160" i="1"/>
  <c r="C1159" i="1"/>
  <c r="B1159" i="1"/>
  <c r="A1159" i="1"/>
  <c r="C1158" i="1"/>
  <c r="B1158" i="1"/>
  <c r="A1158" i="1"/>
  <c r="C1157" i="1"/>
  <c r="B1157" i="1"/>
  <c r="A1157" i="1"/>
  <c r="C1156" i="1"/>
  <c r="B1156" i="1"/>
  <c r="A1156" i="1"/>
  <c r="C1155" i="1"/>
  <c r="B1155" i="1"/>
  <c r="A1155" i="1"/>
  <c r="C1154" i="1"/>
  <c r="B1154" i="1"/>
  <c r="A1154" i="1"/>
  <c r="C1153" i="1"/>
  <c r="B1153" i="1"/>
  <c r="A1153" i="1"/>
  <c r="C1152" i="1"/>
  <c r="B1152" i="1"/>
  <c r="A1152" i="1"/>
  <c r="C1151" i="1"/>
  <c r="B1151" i="1"/>
  <c r="A1151" i="1"/>
  <c r="C1150" i="1"/>
  <c r="B1150" i="1"/>
  <c r="A1150" i="1"/>
  <c r="C1149" i="1"/>
  <c r="B1149" i="1"/>
  <c r="A1149" i="1"/>
  <c r="C1148" i="1"/>
  <c r="B1148" i="1"/>
  <c r="A1148" i="1"/>
  <c r="C1147" i="1"/>
  <c r="B1147" i="1"/>
  <c r="A1147" i="1"/>
  <c r="C1146" i="1"/>
  <c r="B1146" i="1"/>
  <c r="A1146" i="1"/>
  <c r="C1145" i="1"/>
  <c r="B1145" i="1"/>
  <c r="A1145" i="1"/>
  <c r="C1144" i="1"/>
  <c r="B1144" i="1"/>
  <c r="A1144" i="1"/>
  <c r="C1143" i="1"/>
  <c r="B1143" i="1"/>
  <c r="A1143" i="1"/>
  <c r="C1142" i="1"/>
  <c r="B1142" i="1"/>
  <c r="A1142" i="1"/>
  <c r="C1141" i="1"/>
  <c r="B1141" i="1"/>
  <c r="A1141" i="1"/>
  <c r="C1140" i="1"/>
  <c r="B1140" i="1"/>
  <c r="A1140" i="1"/>
  <c r="C1139" i="1"/>
  <c r="B1139" i="1"/>
  <c r="A1139" i="1"/>
  <c r="C1138" i="1"/>
  <c r="B1138" i="1"/>
  <c r="A1138" i="1"/>
  <c r="C1137" i="1"/>
  <c r="B1137" i="1"/>
  <c r="A1137" i="1"/>
  <c r="C1136" i="1"/>
  <c r="B1136" i="1"/>
  <c r="A1136" i="1"/>
  <c r="C1135" i="1"/>
  <c r="B1135" i="1"/>
  <c r="A1135" i="1"/>
  <c r="C1134" i="1"/>
  <c r="B1134" i="1"/>
  <c r="A1134" i="1"/>
  <c r="C1133" i="1"/>
  <c r="B1133" i="1"/>
  <c r="A1133" i="1"/>
  <c r="C1132" i="1"/>
  <c r="B1132" i="1"/>
  <c r="A1132" i="1"/>
  <c r="C1131" i="1"/>
  <c r="B1131" i="1"/>
  <c r="A1131" i="1"/>
  <c r="C1130" i="1"/>
  <c r="B1130" i="1"/>
  <c r="A1130" i="1"/>
  <c r="C1129" i="1"/>
  <c r="B1129" i="1"/>
  <c r="A1129" i="1"/>
  <c r="C1128" i="1"/>
  <c r="B1128" i="1"/>
  <c r="A1128" i="1"/>
  <c r="C1127" i="1"/>
  <c r="B1127" i="1"/>
  <c r="A1127" i="1"/>
  <c r="C1126" i="1"/>
  <c r="B1126" i="1"/>
  <c r="A1126" i="1"/>
  <c r="C1125" i="1"/>
  <c r="B1125" i="1"/>
  <c r="A1125" i="1"/>
  <c r="C1124" i="1"/>
  <c r="B1124" i="1"/>
  <c r="A1124" i="1"/>
  <c r="C1123" i="1"/>
  <c r="B1123" i="1"/>
  <c r="A1123" i="1"/>
  <c r="C1122" i="1"/>
  <c r="B1122" i="1"/>
  <c r="A1122" i="1"/>
  <c r="C1121" i="1"/>
  <c r="B1121" i="1"/>
  <c r="A1121" i="1"/>
  <c r="C1120" i="1"/>
  <c r="B1120" i="1"/>
  <c r="A1120" i="1"/>
  <c r="C1119" i="1"/>
  <c r="B1119" i="1"/>
  <c r="A1119" i="1"/>
  <c r="C1118" i="1"/>
  <c r="B1118" i="1"/>
  <c r="A1118" i="1"/>
  <c r="C1117" i="1"/>
  <c r="B1117" i="1"/>
  <c r="A1117" i="1"/>
  <c r="C1116" i="1"/>
  <c r="B1116" i="1"/>
  <c r="A1116" i="1"/>
  <c r="C1115" i="1"/>
  <c r="B1115" i="1"/>
  <c r="A1115" i="1"/>
  <c r="C1114" i="1"/>
  <c r="B1114" i="1"/>
  <c r="A1114" i="1"/>
  <c r="C1113" i="1"/>
  <c r="B1113" i="1"/>
  <c r="A1113" i="1"/>
  <c r="C1112" i="1"/>
  <c r="B1112" i="1"/>
  <c r="A1112" i="1"/>
  <c r="C1111" i="1"/>
  <c r="B1111" i="1"/>
  <c r="A1111" i="1"/>
  <c r="C1110" i="1"/>
  <c r="B1110" i="1"/>
  <c r="A1110" i="1"/>
  <c r="C1109" i="1"/>
  <c r="B1109" i="1"/>
  <c r="A1109" i="1"/>
  <c r="C1108" i="1"/>
  <c r="B1108" i="1"/>
  <c r="A1108" i="1"/>
  <c r="C1107" i="1"/>
  <c r="B1107" i="1"/>
  <c r="A1107" i="1"/>
  <c r="C1106" i="1"/>
  <c r="B1106" i="1"/>
  <c r="A1106" i="1"/>
  <c r="C1105" i="1"/>
  <c r="B1105" i="1"/>
  <c r="A1105" i="1"/>
  <c r="C1104" i="1"/>
  <c r="B1104" i="1"/>
  <c r="A1104" i="1"/>
  <c r="C1103" i="1"/>
  <c r="B1103" i="1"/>
  <c r="A1103" i="1"/>
  <c r="C1102" i="1"/>
  <c r="B1102" i="1"/>
  <c r="A1102" i="1"/>
  <c r="C1101" i="1"/>
  <c r="B1101" i="1"/>
  <c r="A1101" i="1"/>
  <c r="C1100" i="1"/>
  <c r="B1100" i="1"/>
  <c r="A1100" i="1"/>
  <c r="C1099" i="1"/>
  <c r="B1099" i="1"/>
  <c r="A1099" i="1"/>
  <c r="C1098" i="1"/>
  <c r="B1098" i="1"/>
  <c r="A1098" i="1"/>
  <c r="C1097" i="1"/>
  <c r="B1097" i="1"/>
  <c r="A1097" i="1"/>
  <c r="C1096" i="1"/>
  <c r="B1096" i="1"/>
  <c r="A1096" i="1"/>
  <c r="C1095" i="1"/>
  <c r="B1095" i="1"/>
  <c r="A1095" i="1"/>
  <c r="C1094" i="1"/>
  <c r="B1094" i="1"/>
  <c r="A1094" i="1"/>
  <c r="C1093" i="1"/>
  <c r="B1093" i="1"/>
  <c r="A1093" i="1"/>
  <c r="C1092" i="1"/>
  <c r="B1092" i="1"/>
  <c r="A1092" i="1"/>
  <c r="C1091" i="1"/>
  <c r="B1091" i="1"/>
  <c r="A1091" i="1"/>
  <c r="C1090" i="1"/>
  <c r="B1090" i="1"/>
  <c r="A1090" i="1"/>
  <c r="C1089" i="1"/>
  <c r="B1089" i="1"/>
  <c r="A1089" i="1"/>
  <c r="C1088" i="1"/>
  <c r="B1088" i="1"/>
  <c r="A1088" i="1"/>
  <c r="C1087" i="1"/>
  <c r="B1087" i="1"/>
  <c r="A1087" i="1"/>
  <c r="C1086" i="1"/>
  <c r="B1086" i="1"/>
  <c r="A1086" i="1"/>
  <c r="C1085" i="1"/>
  <c r="B1085" i="1"/>
  <c r="A1085" i="1"/>
  <c r="C1084" i="1"/>
  <c r="B1084" i="1"/>
  <c r="A1084" i="1"/>
  <c r="C1083" i="1"/>
  <c r="B1083" i="1"/>
  <c r="A1083" i="1"/>
  <c r="C1082" i="1"/>
  <c r="B1082" i="1"/>
  <c r="A1082" i="1"/>
  <c r="C1081" i="1"/>
  <c r="B1081" i="1"/>
  <c r="A1081" i="1"/>
  <c r="C1080" i="1"/>
  <c r="B1080" i="1"/>
  <c r="A1080" i="1"/>
  <c r="C1079" i="1"/>
  <c r="B1079" i="1"/>
  <c r="A1079" i="1"/>
  <c r="C1078" i="1"/>
  <c r="B1078" i="1"/>
  <c r="A1078" i="1"/>
  <c r="C1077" i="1"/>
  <c r="B1077" i="1"/>
  <c r="A1077" i="1"/>
  <c r="C1076" i="1"/>
  <c r="B1076" i="1"/>
  <c r="A1076" i="1"/>
  <c r="C1075" i="1"/>
  <c r="B1075" i="1"/>
  <c r="A1075" i="1"/>
  <c r="C1074" i="1"/>
  <c r="B1074" i="1"/>
  <c r="A1074" i="1"/>
  <c r="C1073" i="1"/>
  <c r="B1073" i="1"/>
  <c r="A1073" i="1"/>
  <c r="C1072" i="1"/>
  <c r="B1072" i="1"/>
  <c r="A1072" i="1"/>
  <c r="C1071" i="1"/>
  <c r="B1071" i="1"/>
  <c r="A1071" i="1"/>
  <c r="C1070" i="1"/>
  <c r="B1070" i="1"/>
  <c r="A1070" i="1"/>
  <c r="C1069" i="1"/>
  <c r="B1069" i="1"/>
  <c r="A1069" i="1"/>
  <c r="C1068" i="1"/>
  <c r="B1068" i="1"/>
  <c r="A1068" i="1"/>
  <c r="C1067" i="1"/>
  <c r="B1067" i="1"/>
  <c r="A1067" i="1"/>
  <c r="C1066" i="1"/>
  <c r="B1066" i="1"/>
  <c r="A1066" i="1"/>
  <c r="C1065" i="1"/>
  <c r="B1065" i="1"/>
  <c r="A1065" i="1"/>
  <c r="C1064" i="1"/>
  <c r="B1064" i="1"/>
  <c r="A1064" i="1"/>
  <c r="C1063" i="1"/>
  <c r="B1063" i="1"/>
  <c r="A1063" i="1"/>
  <c r="C1062" i="1"/>
  <c r="B1062" i="1"/>
  <c r="A1062" i="1"/>
  <c r="C1061" i="1"/>
  <c r="B1061" i="1"/>
  <c r="A1061" i="1"/>
  <c r="C1060" i="1"/>
  <c r="B1060" i="1"/>
  <c r="A1060" i="1"/>
  <c r="C1059" i="1"/>
  <c r="B1059" i="1"/>
  <c r="A1059" i="1"/>
  <c r="C1058" i="1"/>
  <c r="B1058" i="1"/>
  <c r="A1058" i="1"/>
  <c r="C1057" i="1"/>
  <c r="B1057" i="1"/>
  <c r="A1057" i="1"/>
  <c r="C1056" i="1"/>
  <c r="B1056" i="1"/>
  <c r="A1056" i="1"/>
  <c r="C1055" i="1"/>
  <c r="B1055" i="1"/>
  <c r="A1055" i="1"/>
  <c r="C1054" i="1"/>
  <c r="B1054" i="1"/>
  <c r="A1054" i="1"/>
  <c r="C1053" i="1"/>
  <c r="B1053" i="1"/>
  <c r="A1053" i="1"/>
  <c r="C1052" i="1"/>
  <c r="B1052" i="1"/>
  <c r="A1052" i="1"/>
  <c r="C1051" i="1"/>
  <c r="B1051" i="1"/>
  <c r="A1051" i="1"/>
  <c r="C1050" i="1"/>
  <c r="B1050" i="1"/>
  <c r="A1050" i="1"/>
  <c r="C1049" i="1"/>
  <c r="B1049" i="1"/>
  <c r="A1049" i="1"/>
  <c r="C1048" i="1"/>
  <c r="B1048" i="1"/>
  <c r="A1048" i="1"/>
  <c r="C1047" i="1"/>
  <c r="B1047" i="1"/>
  <c r="A1047" i="1"/>
  <c r="C1046" i="1"/>
  <c r="B1046" i="1"/>
  <c r="A1046" i="1"/>
  <c r="C1045" i="1"/>
  <c r="B1045" i="1"/>
  <c r="A1045" i="1"/>
  <c r="C1044" i="1"/>
  <c r="B1044" i="1"/>
  <c r="A1044" i="1"/>
  <c r="C1043" i="1"/>
  <c r="B1043" i="1"/>
  <c r="A1043" i="1"/>
  <c r="C1042" i="1"/>
  <c r="B1042" i="1"/>
  <c r="A1042" i="1"/>
  <c r="C1041" i="1"/>
  <c r="B1041" i="1"/>
  <c r="A1041" i="1"/>
  <c r="C1040" i="1"/>
  <c r="B1040" i="1"/>
  <c r="A1040" i="1"/>
  <c r="C1039" i="1"/>
  <c r="B1039" i="1"/>
  <c r="A1039" i="1"/>
  <c r="C1038" i="1"/>
  <c r="B1038" i="1"/>
  <c r="A1038" i="1"/>
  <c r="C1037" i="1"/>
  <c r="B1037" i="1"/>
  <c r="A1037" i="1"/>
  <c r="C1036" i="1"/>
  <c r="B1036" i="1"/>
  <c r="A1036" i="1"/>
  <c r="C1035" i="1"/>
  <c r="B1035" i="1"/>
  <c r="A1035" i="1"/>
  <c r="C1034" i="1"/>
  <c r="B1034" i="1"/>
  <c r="A1034" i="1"/>
  <c r="C1033" i="1"/>
  <c r="B1033" i="1"/>
  <c r="A1033" i="1"/>
  <c r="C1032" i="1"/>
  <c r="B1032" i="1"/>
  <c r="A1032" i="1"/>
  <c r="C1031" i="1"/>
  <c r="B1031" i="1"/>
  <c r="A1031" i="1"/>
  <c r="C1030" i="1"/>
  <c r="B1030" i="1"/>
  <c r="A1030" i="1"/>
  <c r="C1029" i="1"/>
  <c r="B1029" i="1"/>
  <c r="A1029" i="1"/>
  <c r="C1028" i="1"/>
  <c r="B1028" i="1"/>
  <c r="A1028" i="1"/>
  <c r="C1027" i="1"/>
  <c r="B1027" i="1"/>
  <c r="A1027" i="1"/>
  <c r="C1026" i="1"/>
  <c r="B1026" i="1"/>
  <c r="A1026" i="1"/>
  <c r="C1025" i="1"/>
  <c r="B1025" i="1"/>
  <c r="A1025" i="1"/>
  <c r="C1024" i="1"/>
  <c r="B1024" i="1"/>
  <c r="A1024" i="1"/>
  <c r="C1023" i="1"/>
  <c r="B1023" i="1"/>
  <c r="A1023" i="1"/>
  <c r="C1022" i="1"/>
  <c r="B1022" i="1"/>
  <c r="A1022" i="1"/>
  <c r="C1021" i="1"/>
  <c r="B1021" i="1"/>
  <c r="A1021" i="1"/>
  <c r="C1020" i="1"/>
  <c r="B1020" i="1"/>
  <c r="A1020" i="1"/>
  <c r="C1019" i="1"/>
  <c r="B1019" i="1"/>
  <c r="A1019" i="1"/>
  <c r="C1018" i="1"/>
  <c r="B1018" i="1"/>
  <c r="A1018" i="1"/>
  <c r="C1017" i="1"/>
  <c r="B1017" i="1"/>
  <c r="A1017" i="1"/>
  <c r="C1016" i="1"/>
  <c r="B1016" i="1"/>
  <c r="A1016" i="1"/>
  <c r="C1015" i="1"/>
  <c r="B1015" i="1"/>
  <c r="A1015" i="1"/>
  <c r="C1014" i="1"/>
  <c r="B1014" i="1"/>
  <c r="A1014" i="1"/>
  <c r="C1013" i="1"/>
  <c r="B1013" i="1"/>
  <c r="A1013" i="1"/>
  <c r="C1012" i="1"/>
  <c r="B1012" i="1"/>
  <c r="A1012" i="1"/>
  <c r="C1011" i="1"/>
  <c r="B1011" i="1"/>
  <c r="A1011" i="1"/>
  <c r="C1010" i="1"/>
  <c r="B1010" i="1"/>
  <c r="A1010" i="1"/>
  <c r="C1009" i="1"/>
  <c r="B1009" i="1"/>
  <c r="A1009" i="1"/>
  <c r="C1008" i="1"/>
  <c r="B1008" i="1"/>
  <c r="A1008" i="1"/>
  <c r="C1007" i="1"/>
  <c r="B1007" i="1"/>
  <c r="A1007" i="1"/>
  <c r="C1006" i="1"/>
  <c r="B1006" i="1"/>
  <c r="A1006" i="1"/>
  <c r="C1005" i="1"/>
  <c r="B1005" i="1"/>
  <c r="A1005" i="1"/>
  <c r="C1004" i="1"/>
  <c r="B1004" i="1"/>
  <c r="A1004" i="1"/>
  <c r="C1003" i="1"/>
  <c r="B1003" i="1"/>
  <c r="A1003" i="1"/>
  <c r="C1002" i="1"/>
  <c r="B1002" i="1"/>
  <c r="A1002" i="1"/>
  <c r="C1001" i="1"/>
  <c r="B1001" i="1"/>
  <c r="A1001" i="1"/>
  <c r="C1000" i="1"/>
  <c r="B1000" i="1"/>
  <c r="A1000" i="1"/>
  <c r="C999" i="1"/>
  <c r="B999" i="1"/>
  <c r="A999" i="1"/>
  <c r="C998" i="1"/>
  <c r="B998" i="1"/>
  <c r="A998" i="1"/>
  <c r="C997" i="1"/>
  <c r="B997" i="1"/>
  <c r="A997" i="1"/>
  <c r="C996" i="1"/>
  <c r="B996" i="1"/>
  <c r="A996" i="1"/>
  <c r="C995" i="1"/>
  <c r="B995" i="1"/>
  <c r="A995" i="1"/>
  <c r="C994" i="1"/>
  <c r="B994" i="1"/>
  <c r="A994" i="1"/>
  <c r="C993" i="1"/>
  <c r="B993" i="1"/>
  <c r="A993" i="1"/>
  <c r="C992" i="1"/>
  <c r="B992" i="1"/>
  <c r="A992" i="1"/>
  <c r="C991" i="1"/>
  <c r="B991" i="1"/>
  <c r="A991" i="1"/>
  <c r="C990" i="1"/>
  <c r="B990" i="1"/>
  <c r="A990" i="1"/>
  <c r="C989" i="1"/>
  <c r="B989" i="1"/>
  <c r="A989" i="1"/>
  <c r="C988" i="1"/>
  <c r="B988" i="1"/>
  <c r="A988" i="1"/>
  <c r="C987" i="1"/>
  <c r="B987" i="1"/>
  <c r="A987" i="1"/>
  <c r="C986" i="1"/>
  <c r="B986" i="1"/>
  <c r="A986" i="1"/>
  <c r="C985" i="1"/>
  <c r="B985" i="1"/>
  <c r="A985" i="1"/>
  <c r="C984" i="1"/>
  <c r="B984" i="1"/>
  <c r="A984" i="1"/>
  <c r="C983" i="1"/>
  <c r="B983" i="1"/>
  <c r="A983" i="1"/>
  <c r="C982" i="1"/>
  <c r="B982" i="1"/>
  <c r="A982" i="1"/>
  <c r="C981" i="1"/>
  <c r="B981" i="1"/>
  <c r="A981" i="1"/>
  <c r="C980" i="1"/>
  <c r="B980" i="1"/>
  <c r="A980" i="1"/>
  <c r="C979" i="1"/>
  <c r="B979" i="1"/>
  <c r="A979" i="1"/>
  <c r="C978" i="1"/>
  <c r="B978" i="1"/>
  <c r="A978" i="1"/>
  <c r="C977" i="1"/>
  <c r="B977" i="1"/>
  <c r="A977" i="1"/>
  <c r="C976" i="1"/>
  <c r="B976" i="1"/>
  <c r="A976" i="1"/>
  <c r="C975" i="1"/>
  <c r="B975" i="1"/>
  <c r="A975" i="1"/>
  <c r="C974" i="1"/>
  <c r="B974" i="1"/>
  <c r="A974" i="1"/>
  <c r="C973" i="1"/>
  <c r="B973" i="1"/>
  <c r="A973" i="1"/>
  <c r="C972" i="1"/>
  <c r="B972" i="1"/>
  <c r="A972" i="1"/>
  <c r="C971" i="1"/>
  <c r="B971" i="1"/>
  <c r="A971" i="1"/>
  <c r="C970" i="1"/>
  <c r="B970" i="1"/>
  <c r="A970" i="1"/>
  <c r="C969" i="1"/>
  <c r="B969" i="1"/>
  <c r="A969" i="1"/>
  <c r="C968" i="1"/>
  <c r="B968" i="1"/>
  <c r="A968" i="1"/>
  <c r="C967" i="1"/>
  <c r="B967" i="1"/>
  <c r="A967" i="1"/>
  <c r="C966" i="1"/>
  <c r="B966" i="1"/>
  <c r="A966" i="1"/>
  <c r="C965" i="1"/>
  <c r="B965" i="1"/>
  <c r="A965" i="1"/>
  <c r="C964" i="1"/>
  <c r="B964" i="1"/>
  <c r="A964" i="1"/>
  <c r="C963" i="1"/>
  <c r="B963" i="1"/>
  <c r="A963" i="1"/>
  <c r="C962" i="1"/>
  <c r="B962" i="1"/>
  <c r="A962" i="1"/>
  <c r="C961" i="1"/>
  <c r="B961" i="1"/>
  <c r="A961" i="1"/>
  <c r="C960" i="1"/>
  <c r="B960" i="1"/>
  <c r="A960" i="1"/>
  <c r="C959" i="1"/>
  <c r="B959" i="1"/>
  <c r="A959" i="1"/>
  <c r="C958" i="1"/>
  <c r="B958" i="1"/>
  <c r="A958" i="1"/>
  <c r="C957" i="1"/>
  <c r="B957" i="1"/>
  <c r="A957" i="1"/>
  <c r="C956" i="1"/>
  <c r="B956" i="1"/>
  <c r="A956" i="1"/>
  <c r="C955" i="1"/>
  <c r="B955" i="1"/>
  <c r="A955" i="1"/>
  <c r="C954" i="1"/>
  <c r="B954" i="1"/>
  <c r="A954" i="1"/>
  <c r="C953" i="1"/>
  <c r="B953" i="1"/>
  <c r="A953" i="1"/>
  <c r="C952" i="1"/>
  <c r="B952" i="1"/>
  <c r="A952" i="1"/>
  <c r="C951" i="1"/>
  <c r="B951" i="1"/>
  <c r="A951" i="1"/>
  <c r="C950" i="1"/>
  <c r="B950" i="1"/>
  <c r="A950" i="1"/>
  <c r="C949" i="1"/>
  <c r="B949" i="1"/>
  <c r="A949" i="1"/>
  <c r="C948" i="1"/>
  <c r="B948" i="1"/>
  <c r="A948" i="1"/>
  <c r="C947" i="1"/>
  <c r="B947" i="1"/>
  <c r="A947" i="1"/>
  <c r="C946" i="1"/>
  <c r="B946" i="1"/>
  <c r="A946" i="1"/>
  <c r="C945" i="1"/>
  <c r="B945" i="1"/>
  <c r="A945" i="1"/>
  <c r="C944" i="1"/>
  <c r="B944" i="1"/>
  <c r="A944" i="1"/>
  <c r="C943" i="1"/>
  <c r="B943" i="1"/>
  <c r="A943" i="1"/>
  <c r="C942" i="1"/>
  <c r="B942" i="1"/>
  <c r="A942" i="1"/>
  <c r="C941" i="1"/>
  <c r="B941" i="1"/>
  <c r="A941" i="1"/>
  <c r="C940" i="1"/>
  <c r="B940" i="1"/>
  <c r="A940" i="1"/>
  <c r="C939" i="1"/>
  <c r="B939" i="1"/>
  <c r="A939" i="1"/>
  <c r="C938" i="1"/>
  <c r="B938" i="1"/>
  <c r="A938" i="1"/>
  <c r="C937" i="1"/>
  <c r="B937" i="1"/>
  <c r="A937" i="1"/>
  <c r="C936" i="1"/>
  <c r="B936" i="1"/>
  <c r="A936" i="1"/>
  <c r="C935" i="1"/>
  <c r="B935" i="1"/>
  <c r="A935" i="1"/>
  <c r="C934" i="1"/>
  <c r="B934" i="1"/>
  <c r="A934" i="1"/>
  <c r="C933" i="1"/>
  <c r="B933" i="1"/>
  <c r="A933" i="1"/>
  <c r="C932" i="1"/>
  <c r="B932" i="1"/>
  <c r="A932" i="1"/>
  <c r="C931" i="1"/>
  <c r="B931" i="1"/>
  <c r="A931" i="1"/>
  <c r="C930" i="1"/>
  <c r="B930" i="1"/>
  <c r="A930" i="1"/>
  <c r="C929" i="1"/>
  <c r="B929" i="1"/>
  <c r="A929" i="1"/>
  <c r="C928" i="1"/>
  <c r="B928" i="1"/>
  <c r="A928" i="1"/>
  <c r="C927" i="1"/>
  <c r="B927" i="1"/>
  <c r="A927" i="1"/>
  <c r="C926" i="1"/>
  <c r="B926" i="1"/>
  <c r="A926" i="1"/>
  <c r="C925" i="1"/>
  <c r="B925" i="1"/>
  <c r="A925" i="1"/>
  <c r="C924" i="1"/>
  <c r="B924" i="1"/>
  <c r="A924" i="1"/>
  <c r="C923" i="1"/>
  <c r="B923" i="1"/>
  <c r="A923" i="1"/>
  <c r="C922" i="1"/>
  <c r="B922" i="1"/>
  <c r="A922" i="1"/>
  <c r="C921" i="1"/>
  <c r="B921" i="1"/>
  <c r="A921" i="1"/>
  <c r="C920" i="1"/>
  <c r="B920" i="1"/>
  <c r="A920" i="1"/>
  <c r="C919" i="1"/>
  <c r="B919" i="1"/>
  <c r="A919" i="1"/>
  <c r="C918" i="1"/>
  <c r="B918" i="1"/>
  <c r="A918" i="1"/>
  <c r="C917" i="1"/>
  <c r="B917" i="1"/>
  <c r="A917" i="1"/>
  <c r="C916" i="1"/>
  <c r="B916" i="1"/>
  <c r="A916" i="1"/>
  <c r="C915" i="1"/>
  <c r="B915" i="1"/>
  <c r="A915" i="1"/>
  <c r="C914" i="1"/>
  <c r="B914" i="1"/>
  <c r="A914" i="1"/>
  <c r="C913" i="1"/>
  <c r="B913" i="1"/>
  <c r="A913" i="1"/>
  <c r="C912" i="1"/>
  <c r="B912" i="1"/>
  <c r="A912" i="1"/>
  <c r="C911" i="1"/>
  <c r="B911" i="1"/>
  <c r="A911" i="1"/>
  <c r="C910" i="1"/>
  <c r="B910" i="1"/>
  <c r="A910" i="1"/>
  <c r="C909" i="1"/>
  <c r="B909" i="1"/>
  <c r="A909" i="1"/>
  <c r="C908" i="1"/>
  <c r="B908" i="1"/>
  <c r="A908" i="1"/>
  <c r="C907" i="1"/>
  <c r="B907" i="1"/>
  <c r="A907" i="1"/>
  <c r="C906" i="1"/>
  <c r="B906" i="1"/>
  <c r="A906" i="1"/>
  <c r="C905" i="1"/>
  <c r="B905" i="1"/>
  <c r="A905" i="1"/>
  <c r="C904" i="1"/>
  <c r="B904" i="1"/>
  <c r="A904" i="1"/>
  <c r="C903" i="1"/>
  <c r="B903" i="1"/>
  <c r="A903" i="1"/>
  <c r="C902" i="1"/>
  <c r="B902" i="1"/>
  <c r="A902" i="1"/>
  <c r="C901" i="1"/>
  <c r="B901" i="1"/>
  <c r="A901" i="1"/>
  <c r="C900" i="1"/>
  <c r="B900" i="1"/>
  <c r="A900" i="1"/>
  <c r="C899" i="1"/>
  <c r="B899" i="1"/>
  <c r="A899" i="1"/>
  <c r="C898" i="1"/>
  <c r="B898" i="1"/>
  <c r="A898" i="1"/>
  <c r="C897" i="1"/>
  <c r="B897" i="1"/>
  <c r="A897" i="1"/>
  <c r="C896" i="1"/>
  <c r="B896" i="1"/>
  <c r="A896" i="1"/>
  <c r="C895" i="1"/>
  <c r="B895" i="1"/>
  <c r="A895" i="1"/>
  <c r="C894" i="1"/>
  <c r="B894" i="1"/>
  <c r="A894" i="1"/>
  <c r="C893" i="1"/>
  <c r="B893" i="1"/>
  <c r="A893" i="1"/>
  <c r="C892" i="1"/>
  <c r="B892" i="1"/>
  <c r="A892" i="1"/>
  <c r="C891" i="1"/>
  <c r="B891" i="1"/>
  <c r="A891" i="1"/>
  <c r="C890" i="1"/>
  <c r="B890" i="1"/>
  <c r="A890" i="1"/>
  <c r="C889" i="1"/>
  <c r="B889" i="1"/>
  <c r="A889" i="1"/>
  <c r="C888" i="1"/>
  <c r="B888" i="1"/>
  <c r="A888" i="1"/>
  <c r="C887" i="1"/>
  <c r="B887" i="1"/>
  <c r="A887" i="1"/>
  <c r="C886" i="1"/>
  <c r="B886" i="1"/>
  <c r="A886" i="1"/>
  <c r="C885" i="1"/>
  <c r="B885" i="1"/>
  <c r="A885" i="1"/>
  <c r="C884" i="1"/>
  <c r="B884" i="1"/>
  <c r="A884" i="1"/>
  <c r="C883" i="1"/>
  <c r="B883" i="1"/>
  <c r="A883" i="1"/>
  <c r="C882" i="1"/>
  <c r="B882" i="1"/>
  <c r="A882" i="1"/>
  <c r="C881" i="1"/>
  <c r="B881" i="1"/>
  <c r="A881" i="1"/>
  <c r="C880" i="1"/>
  <c r="B880" i="1"/>
  <c r="A880" i="1"/>
  <c r="C879" i="1"/>
  <c r="B879" i="1"/>
  <c r="A879" i="1"/>
  <c r="C878" i="1"/>
  <c r="B878" i="1"/>
  <c r="A878" i="1"/>
  <c r="C877" i="1"/>
  <c r="B877" i="1"/>
  <c r="A877" i="1"/>
  <c r="C876" i="1"/>
  <c r="B876" i="1"/>
  <c r="A876" i="1"/>
  <c r="C875" i="1"/>
  <c r="B875" i="1"/>
  <c r="A875" i="1"/>
  <c r="C874" i="1"/>
  <c r="B874" i="1"/>
  <c r="A874" i="1"/>
  <c r="C873" i="1"/>
  <c r="B873" i="1"/>
  <c r="A873" i="1"/>
  <c r="C872" i="1"/>
  <c r="B872" i="1"/>
  <c r="A872" i="1"/>
  <c r="C871" i="1"/>
  <c r="B871" i="1"/>
  <c r="A871" i="1"/>
  <c r="C870" i="1"/>
  <c r="B870" i="1"/>
  <c r="A870" i="1"/>
  <c r="C869" i="1"/>
  <c r="B869" i="1"/>
  <c r="A869" i="1"/>
  <c r="C868" i="1"/>
  <c r="B868" i="1"/>
  <c r="A868" i="1"/>
  <c r="C867" i="1"/>
  <c r="B867" i="1"/>
  <c r="A867" i="1"/>
  <c r="C866" i="1"/>
  <c r="B866" i="1"/>
  <c r="A866" i="1"/>
  <c r="C865" i="1"/>
  <c r="B865" i="1"/>
  <c r="A865" i="1"/>
  <c r="C864" i="1"/>
  <c r="B864" i="1"/>
  <c r="A864" i="1"/>
  <c r="C863" i="1"/>
  <c r="B863" i="1"/>
  <c r="A863" i="1"/>
  <c r="C862" i="1"/>
  <c r="B862" i="1"/>
  <c r="A862" i="1"/>
  <c r="C861" i="1"/>
  <c r="B861" i="1"/>
  <c r="A861" i="1"/>
  <c r="C860" i="1"/>
  <c r="B860" i="1"/>
  <c r="A860" i="1"/>
  <c r="C859" i="1"/>
  <c r="B859" i="1"/>
  <c r="A859" i="1"/>
  <c r="C858" i="1"/>
  <c r="B858" i="1"/>
  <c r="A858" i="1"/>
  <c r="C857" i="1"/>
  <c r="B857" i="1"/>
  <c r="A857" i="1"/>
  <c r="C856" i="1"/>
  <c r="B856" i="1"/>
  <c r="A856" i="1"/>
  <c r="C855" i="1"/>
  <c r="B855" i="1"/>
  <c r="A855" i="1"/>
  <c r="C854" i="1"/>
  <c r="B854" i="1"/>
  <c r="A854" i="1"/>
  <c r="C853" i="1"/>
  <c r="B853" i="1"/>
  <c r="A853" i="1"/>
  <c r="C852" i="1"/>
  <c r="B852" i="1"/>
  <c r="A852" i="1"/>
  <c r="C851" i="1"/>
  <c r="B851" i="1"/>
  <c r="A851" i="1"/>
  <c r="C850" i="1"/>
  <c r="B850" i="1"/>
  <c r="A850" i="1"/>
  <c r="C849" i="1"/>
  <c r="B849" i="1"/>
  <c r="A849" i="1"/>
  <c r="C848" i="1"/>
  <c r="B848" i="1"/>
  <c r="A848" i="1"/>
  <c r="C847" i="1"/>
  <c r="B847" i="1"/>
  <c r="A847" i="1"/>
  <c r="C846" i="1"/>
  <c r="B846" i="1"/>
  <c r="A846" i="1"/>
  <c r="C845" i="1"/>
  <c r="B845" i="1"/>
  <c r="A845" i="1"/>
  <c r="C844" i="1"/>
  <c r="B844" i="1"/>
  <c r="A844" i="1"/>
  <c r="C843" i="1"/>
  <c r="B843" i="1"/>
  <c r="A843" i="1"/>
  <c r="C842" i="1"/>
  <c r="B842" i="1"/>
  <c r="A842" i="1"/>
  <c r="C841" i="1"/>
  <c r="B841" i="1"/>
  <c r="A841" i="1"/>
  <c r="C840" i="1"/>
  <c r="B840" i="1"/>
  <c r="A840" i="1"/>
  <c r="C839" i="1"/>
  <c r="B839" i="1"/>
  <c r="A839" i="1"/>
  <c r="C838" i="1"/>
  <c r="B838" i="1"/>
  <c r="A838" i="1"/>
  <c r="C837" i="1"/>
  <c r="B837" i="1"/>
  <c r="A837" i="1"/>
  <c r="C836" i="1"/>
  <c r="B836" i="1"/>
  <c r="A836" i="1"/>
  <c r="C835" i="1"/>
  <c r="B835" i="1"/>
  <c r="A835" i="1"/>
  <c r="C834" i="1"/>
  <c r="B834" i="1"/>
  <c r="A834" i="1"/>
  <c r="C833" i="1"/>
  <c r="B833" i="1"/>
  <c r="A833" i="1"/>
  <c r="C832" i="1"/>
  <c r="B832" i="1"/>
  <c r="A832" i="1"/>
  <c r="C831" i="1"/>
  <c r="B831" i="1"/>
  <c r="A831" i="1"/>
  <c r="C830" i="1"/>
  <c r="B830" i="1"/>
  <c r="A830" i="1"/>
  <c r="C829" i="1"/>
  <c r="B829" i="1"/>
  <c r="A829" i="1"/>
  <c r="C828" i="1"/>
  <c r="B828" i="1"/>
  <c r="A828" i="1"/>
  <c r="C827" i="1"/>
  <c r="B827" i="1"/>
  <c r="A827" i="1"/>
  <c r="C826" i="1"/>
  <c r="B826" i="1"/>
  <c r="A826" i="1"/>
  <c r="C825" i="1"/>
  <c r="B825" i="1"/>
  <c r="A825" i="1"/>
  <c r="C824" i="1"/>
  <c r="B824" i="1"/>
  <c r="A824" i="1"/>
  <c r="C823" i="1"/>
  <c r="B823" i="1"/>
  <c r="A823" i="1"/>
  <c r="C822" i="1"/>
  <c r="B822" i="1"/>
  <c r="A822" i="1"/>
  <c r="C821" i="1"/>
  <c r="B821" i="1"/>
  <c r="A821" i="1"/>
  <c r="C820" i="1"/>
  <c r="B820" i="1"/>
  <c r="A820" i="1"/>
  <c r="C819" i="1"/>
  <c r="B819" i="1"/>
  <c r="A819" i="1"/>
  <c r="C818" i="1"/>
  <c r="B818" i="1"/>
  <c r="A818" i="1"/>
  <c r="C817" i="1"/>
  <c r="B817" i="1"/>
  <c r="A817" i="1"/>
  <c r="C816" i="1"/>
  <c r="B816" i="1"/>
  <c r="A816" i="1"/>
  <c r="C815" i="1"/>
  <c r="B815" i="1"/>
  <c r="A815" i="1"/>
  <c r="C814" i="1"/>
  <c r="B814" i="1"/>
  <c r="A814" i="1"/>
  <c r="C813" i="1"/>
  <c r="B813" i="1"/>
  <c r="A813" i="1"/>
  <c r="C812" i="1"/>
  <c r="B812" i="1"/>
  <c r="A812" i="1"/>
  <c r="C811" i="1"/>
  <c r="B811" i="1"/>
  <c r="A811" i="1"/>
  <c r="C810" i="1"/>
  <c r="B810" i="1"/>
  <c r="A810" i="1"/>
  <c r="C809" i="1"/>
  <c r="B809" i="1"/>
  <c r="A809" i="1"/>
  <c r="C808" i="1"/>
  <c r="B808" i="1"/>
  <c r="A808" i="1"/>
  <c r="C807" i="1"/>
  <c r="B807" i="1"/>
  <c r="A807" i="1"/>
  <c r="C806" i="1"/>
  <c r="B806" i="1"/>
  <c r="A806" i="1"/>
  <c r="C805" i="1"/>
  <c r="B805" i="1"/>
  <c r="A805" i="1"/>
  <c r="C804" i="1"/>
  <c r="B804" i="1"/>
  <c r="A804" i="1"/>
  <c r="C803" i="1"/>
  <c r="B803" i="1"/>
  <c r="A803" i="1"/>
  <c r="C802" i="1"/>
  <c r="B802" i="1"/>
  <c r="A802" i="1"/>
  <c r="C801" i="1"/>
  <c r="B801" i="1"/>
  <c r="A801" i="1"/>
  <c r="C800" i="1"/>
  <c r="B800" i="1"/>
  <c r="A800" i="1"/>
  <c r="C799" i="1"/>
  <c r="B799" i="1"/>
  <c r="A799" i="1"/>
  <c r="C798" i="1"/>
  <c r="B798" i="1"/>
  <c r="A798" i="1"/>
  <c r="C797" i="1"/>
  <c r="B797" i="1"/>
  <c r="A797" i="1"/>
  <c r="C796" i="1"/>
  <c r="B796" i="1"/>
  <c r="A796" i="1"/>
  <c r="C795" i="1"/>
  <c r="B795" i="1"/>
  <c r="A795" i="1"/>
  <c r="C794" i="1"/>
  <c r="B794" i="1"/>
  <c r="A794" i="1"/>
  <c r="C793" i="1"/>
  <c r="B793" i="1"/>
  <c r="A793" i="1"/>
  <c r="C792" i="1"/>
  <c r="B792" i="1"/>
  <c r="A792" i="1"/>
  <c r="C791" i="1"/>
  <c r="B791" i="1"/>
  <c r="A791" i="1"/>
  <c r="C790" i="1"/>
  <c r="B790" i="1"/>
  <c r="A790" i="1"/>
  <c r="C789" i="1"/>
  <c r="B789" i="1"/>
  <c r="A789" i="1"/>
  <c r="C788" i="1"/>
  <c r="B788" i="1"/>
  <c r="A788" i="1"/>
  <c r="C787" i="1"/>
  <c r="B787" i="1"/>
  <c r="A787" i="1"/>
  <c r="C786" i="1"/>
  <c r="B786" i="1"/>
  <c r="A786" i="1"/>
  <c r="C785" i="1"/>
  <c r="B785" i="1"/>
  <c r="A785" i="1"/>
  <c r="C784" i="1"/>
  <c r="B784" i="1"/>
  <c r="A784" i="1"/>
  <c r="C783" i="1"/>
  <c r="B783" i="1"/>
  <c r="A783" i="1"/>
  <c r="C782" i="1"/>
  <c r="B782" i="1"/>
  <c r="A782" i="1"/>
  <c r="C781" i="1"/>
  <c r="B781" i="1"/>
  <c r="A781" i="1"/>
  <c r="C780" i="1"/>
  <c r="B780" i="1"/>
  <c r="A780" i="1"/>
  <c r="C779" i="1"/>
  <c r="B779" i="1"/>
  <c r="A779" i="1"/>
  <c r="C778" i="1"/>
  <c r="B778" i="1"/>
  <c r="A778" i="1"/>
  <c r="C777" i="1"/>
  <c r="B777" i="1"/>
  <c r="A777" i="1"/>
  <c r="C776" i="1"/>
  <c r="B776" i="1"/>
  <c r="A776" i="1"/>
  <c r="C775" i="1"/>
  <c r="B775" i="1"/>
  <c r="A775" i="1"/>
  <c r="C774" i="1"/>
  <c r="B774" i="1"/>
  <c r="A774" i="1"/>
  <c r="C773" i="1"/>
  <c r="B773" i="1"/>
  <c r="A773" i="1"/>
  <c r="C772" i="1"/>
  <c r="B772" i="1"/>
  <c r="A772" i="1"/>
  <c r="C771" i="1"/>
  <c r="B771" i="1"/>
  <c r="A771" i="1"/>
  <c r="C770" i="1"/>
  <c r="B770" i="1"/>
  <c r="A770" i="1"/>
  <c r="C769" i="1"/>
  <c r="B769" i="1"/>
  <c r="A769" i="1"/>
  <c r="C768" i="1"/>
  <c r="B768" i="1"/>
  <c r="A768" i="1"/>
  <c r="C767" i="1"/>
  <c r="B767" i="1"/>
  <c r="A767" i="1"/>
  <c r="C766" i="1"/>
  <c r="B766" i="1"/>
  <c r="A766" i="1"/>
  <c r="C765" i="1"/>
  <c r="B765" i="1"/>
  <c r="A765" i="1"/>
  <c r="C764" i="1"/>
  <c r="B764" i="1"/>
  <c r="A764" i="1"/>
  <c r="C763" i="1"/>
  <c r="B763" i="1"/>
  <c r="A763" i="1"/>
  <c r="C762" i="1"/>
  <c r="B762" i="1"/>
  <c r="A762" i="1"/>
  <c r="C761" i="1"/>
  <c r="B761" i="1"/>
  <c r="A761" i="1"/>
  <c r="C760" i="1"/>
  <c r="B760" i="1"/>
  <c r="A760" i="1"/>
  <c r="C759" i="1"/>
  <c r="B759" i="1"/>
  <c r="A759" i="1"/>
  <c r="C758" i="1"/>
  <c r="B758" i="1"/>
  <c r="A758" i="1"/>
  <c r="C757" i="1"/>
  <c r="B757" i="1"/>
  <c r="A757" i="1"/>
  <c r="C756" i="1"/>
  <c r="B756" i="1"/>
  <c r="A756" i="1"/>
  <c r="C755" i="1"/>
  <c r="B755" i="1"/>
  <c r="A755" i="1"/>
  <c r="C754" i="1"/>
  <c r="B754" i="1"/>
  <c r="A754" i="1"/>
  <c r="C753" i="1"/>
  <c r="B753" i="1"/>
  <c r="A753" i="1"/>
  <c r="C752" i="1"/>
  <c r="B752" i="1"/>
  <c r="A752" i="1"/>
  <c r="C751" i="1"/>
  <c r="B751" i="1"/>
  <c r="A751" i="1"/>
  <c r="C750" i="1"/>
  <c r="B750" i="1"/>
  <c r="A750" i="1"/>
  <c r="C749" i="1"/>
  <c r="B749" i="1"/>
  <c r="A749" i="1"/>
  <c r="C748" i="1"/>
  <c r="B748" i="1"/>
  <c r="A748" i="1"/>
  <c r="C747" i="1"/>
  <c r="B747" i="1"/>
  <c r="A747" i="1"/>
  <c r="C746" i="1"/>
  <c r="B746" i="1"/>
  <c r="A746" i="1"/>
  <c r="C745" i="1"/>
  <c r="B745" i="1"/>
  <c r="A745" i="1"/>
  <c r="C744" i="1"/>
  <c r="B744" i="1"/>
  <c r="A744" i="1"/>
  <c r="C743" i="1"/>
  <c r="B743" i="1"/>
  <c r="A743" i="1"/>
  <c r="C742" i="1"/>
  <c r="B742" i="1"/>
  <c r="A742" i="1"/>
  <c r="C741" i="1"/>
  <c r="B741" i="1"/>
  <c r="A741" i="1"/>
  <c r="C740" i="1"/>
  <c r="B740" i="1"/>
  <c r="A740" i="1"/>
  <c r="C739" i="1"/>
  <c r="B739" i="1"/>
  <c r="A739" i="1"/>
  <c r="C738" i="1"/>
  <c r="B738" i="1"/>
  <c r="A738" i="1"/>
  <c r="C737" i="1"/>
  <c r="B737" i="1"/>
  <c r="A737" i="1"/>
  <c r="C736" i="1"/>
  <c r="B736" i="1"/>
  <c r="A736" i="1"/>
  <c r="C735" i="1"/>
  <c r="B735" i="1"/>
  <c r="A735" i="1"/>
  <c r="C734" i="1"/>
  <c r="B734" i="1"/>
  <c r="A734" i="1"/>
  <c r="C733" i="1"/>
  <c r="B733" i="1"/>
  <c r="A733" i="1"/>
  <c r="C732" i="1"/>
  <c r="B732" i="1"/>
  <c r="A732" i="1"/>
  <c r="C731" i="1"/>
  <c r="B731" i="1"/>
  <c r="A731" i="1"/>
  <c r="C730" i="1"/>
  <c r="B730" i="1"/>
  <c r="A730" i="1"/>
  <c r="C729" i="1"/>
  <c r="B729" i="1"/>
  <c r="A729" i="1"/>
  <c r="C728" i="1"/>
  <c r="B728" i="1"/>
  <c r="A728" i="1"/>
  <c r="C727" i="1"/>
  <c r="B727" i="1"/>
  <c r="A727" i="1"/>
  <c r="C726" i="1"/>
  <c r="B726" i="1"/>
  <c r="A726" i="1"/>
  <c r="C725" i="1"/>
  <c r="B725" i="1"/>
  <c r="A725" i="1"/>
  <c r="C724" i="1"/>
  <c r="B724" i="1"/>
  <c r="A724" i="1"/>
  <c r="C723" i="1"/>
  <c r="B723" i="1"/>
  <c r="A723" i="1"/>
  <c r="C722" i="1"/>
  <c r="B722" i="1"/>
  <c r="A722" i="1"/>
  <c r="C721" i="1"/>
  <c r="B721" i="1"/>
  <c r="A721" i="1"/>
  <c r="C720" i="1"/>
  <c r="B720" i="1"/>
  <c r="A720" i="1"/>
  <c r="C719" i="1"/>
  <c r="B719" i="1"/>
  <c r="A719" i="1"/>
  <c r="C718" i="1"/>
  <c r="B718" i="1"/>
  <c r="A718" i="1"/>
  <c r="C717" i="1"/>
  <c r="B717" i="1"/>
  <c r="A717" i="1"/>
  <c r="C716" i="1"/>
  <c r="B716" i="1"/>
  <c r="A716" i="1"/>
  <c r="C715" i="1"/>
  <c r="B715" i="1"/>
  <c r="A715" i="1"/>
  <c r="C714" i="1"/>
  <c r="B714" i="1"/>
  <c r="A714" i="1"/>
  <c r="C713" i="1"/>
  <c r="B713" i="1"/>
  <c r="A713" i="1"/>
  <c r="C712" i="1"/>
  <c r="B712" i="1"/>
  <c r="A712" i="1"/>
  <c r="C711" i="1"/>
  <c r="B711" i="1"/>
  <c r="A711" i="1"/>
  <c r="C710" i="1"/>
  <c r="B710" i="1"/>
  <c r="A710" i="1"/>
  <c r="C709" i="1"/>
  <c r="B709" i="1"/>
  <c r="A709" i="1"/>
  <c r="C708" i="1"/>
  <c r="B708" i="1"/>
  <c r="A708" i="1"/>
  <c r="C707" i="1"/>
  <c r="B707" i="1"/>
  <c r="A707" i="1"/>
  <c r="C706" i="1"/>
  <c r="B706" i="1"/>
  <c r="A706" i="1"/>
  <c r="C705" i="1"/>
  <c r="B705" i="1"/>
  <c r="A705" i="1"/>
  <c r="C704" i="1"/>
  <c r="B704" i="1"/>
  <c r="A704" i="1"/>
  <c r="C703" i="1"/>
  <c r="B703" i="1"/>
  <c r="A703" i="1"/>
  <c r="C702" i="1"/>
  <c r="B702" i="1"/>
  <c r="A702" i="1"/>
  <c r="C701" i="1"/>
  <c r="B701" i="1"/>
  <c r="A701" i="1"/>
  <c r="C700" i="1"/>
  <c r="B700" i="1"/>
  <c r="A700" i="1"/>
  <c r="C699" i="1"/>
  <c r="B699" i="1"/>
  <c r="A699" i="1"/>
  <c r="C698" i="1"/>
  <c r="B698" i="1"/>
  <c r="A698" i="1"/>
  <c r="C697" i="1"/>
  <c r="B697" i="1"/>
  <c r="A697" i="1"/>
  <c r="C696" i="1"/>
  <c r="B696" i="1"/>
  <c r="A696" i="1"/>
  <c r="C695" i="1"/>
  <c r="B695" i="1"/>
  <c r="A695" i="1"/>
  <c r="C694" i="1"/>
  <c r="B694" i="1"/>
  <c r="A694" i="1"/>
  <c r="C693" i="1"/>
  <c r="B693" i="1"/>
  <c r="A693" i="1"/>
  <c r="C692" i="1"/>
  <c r="B692" i="1"/>
  <c r="A692" i="1"/>
  <c r="C691" i="1"/>
  <c r="B691" i="1"/>
  <c r="A691" i="1"/>
  <c r="C690" i="1"/>
  <c r="B690" i="1"/>
  <c r="A690" i="1"/>
  <c r="C689" i="1"/>
  <c r="B689" i="1"/>
  <c r="A689" i="1"/>
  <c r="C688" i="1"/>
  <c r="B688" i="1"/>
  <c r="A688" i="1"/>
  <c r="C687" i="1"/>
  <c r="B687" i="1"/>
  <c r="A687" i="1"/>
  <c r="C686" i="1"/>
  <c r="B686" i="1"/>
  <c r="A686" i="1"/>
  <c r="C685" i="1"/>
  <c r="B685" i="1"/>
  <c r="A685" i="1"/>
  <c r="C684" i="1"/>
  <c r="B684" i="1"/>
  <c r="A684" i="1"/>
  <c r="C683" i="1"/>
  <c r="B683" i="1"/>
  <c r="A683" i="1"/>
  <c r="C682" i="1"/>
  <c r="B682" i="1"/>
  <c r="A682" i="1"/>
  <c r="C681" i="1"/>
  <c r="B681" i="1"/>
  <c r="A681" i="1"/>
  <c r="C680" i="1"/>
  <c r="B680" i="1"/>
  <c r="A680" i="1"/>
  <c r="C679" i="1"/>
  <c r="B679" i="1"/>
  <c r="A679" i="1"/>
  <c r="C678" i="1"/>
  <c r="B678" i="1"/>
  <c r="A678" i="1"/>
  <c r="C677" i="1"/>
  <c r="B677" i="1"/>
  <c r="A677" i="1"/>
  <c r="C676" i="1"/>
  <c r="B676" i="1"/>
  <c r="A676" i="1"/>
  <c r="C675" i="1"/>
  <c r="B675" i="1"/>
  <c r="A675" i="1"/>
  <c r="C674" i="1"/>
  <c r="B674" i="1"/>
  <c r="A674" i="1"/>
  <c r="C673" i="1"/>
  <c r="B673" i="1"/>
  <c r="A673" i="1"/>
  <c r="C672" i="1"/>
  <c r="B672" i="1"/>
  <c r="A672" i="1"/>
  <c r="C671" i="1"/>
  <c r="B671" i="1"/>
  <c r="A671" i="1"/>
  <c r="C670" i="1"/>
  <c r="B670" i="1"/>
  <c r="A670" i="1"/>
  <c r="C669" i="1"/>
  <c r="B669" i="1"/>
  <c r="A669" i="1"/>
  <c r="C668" i="1"/>
  <c r="B668" i="1"/>
  <c r="A668" i="1"/>
  <c r="C667" i="1"/>
  <c r="B667" i="1"/>
  <c r="A667" i="1"/>
  <c r="C666" i="1"/>
  <c r="B666" i="1"/>
  <c r="A666" i="1"/>
  <c r="C665" i="1"/>
  <c r="B665" i="1"/>
  <c r="A665" i="1"/>
  <c r="C664" i="1"/>
  <c r="B664" i="1"/>
  <c r="A664" i="1"/>
  <c r="C663" i="1"/>
  <c r="B663" i="1"/>
  <c r="A663" i="1"/>
  <c r="C662" i="1"/>
  <c r="B662" i="1"/>
  <c r="A662" i="1"/>
  <c r="C661" i="1"/>
  <c r="B661" i="1"/>
  <c r="A661" i="1"/>
  <c r="C660" i="1"/>
  <c r="B660" i="1"/>
  <c r="A660" i="1"/>
  <c r="C659" i="1"/>
  <c r="B659" i="1"/>
  <c r="A659" i="1"/>
  <c r="C658" i="1"/>
  <c r="B658" i="1"/>
  <c r="A658" i="1"/>
  <c r="C657" i="1"/>
  <c r="B657" i="1"/>
  <c r="A657" i="1"/>
  <c r="C656" i="1"/>
  <c r="B656" i="1"/>
  <c r="A656" i="1"/>
  <c r="C655" i="1"/>
  <c r="B655" i="1"/>
  <c r="A655" i="1"/>
  <c r="C654" i="1"/>
  <c r="B654" i="1"/>
  <c r="A654" i="1"/>
  <c r="C653" i="1"/>
  <c r="B653" i="1"/>
  <c r="A653" i="1"/>
  <c r="C652" i="1"/>
  <c r="B652" i="1"/>
  <c r="A652" i="1"/>
  <c r="C651" i="1"/>
  <c r="B651" i="1"/>
  <c r="A651" i="1"/>
  <c r="C650" i="1"/>
  <c r="B650" i="1"/>
  <c r="A650" i="1"/>
  <c r="C649" i="1"/>
  <c r="B649" i="1"/>
  <c r="A649" i="1"/>
  <c r="C648" i="1"/>
  <c r="B648" i="1"/>
  <c r="A648" i="1"/>
  <c r="C647" i="1"/>
  <c r="B647" i="1"/>
  <c r="A647" i="1"/>
  <c r="C646" i="1"/>
  <c r="B646" i="1"/>
  <c r="A646" i="1"/>
  <c r="C645" i="1"/>
  <c r="B645" i="1"/>
  <c r="A645" i="1"/>
  <c r="C644" i="1"/>
  <c r="B644" i="1"/>
  <c r="A644" i="1"/>
  <c r="C643" i="1"/>
  <c r="B643" i="1"/>
  <c r="A643" i="1"/>
  <c r="C642" i="1"/>
  <c r="B642" i="1"/>
  <c r="A642" i="1"/>
  <c r="C641" i="1"/>
  <c r="B641" i="1"/>
  <c r="A641" i="1"/>
  <c r="C640" i="1"/>
  <c r="B640" i="1"/>
  <c r="A640" i="1"/>
  <c r="C639" i="1"/>
  <c r="B639" i="1"/>
  <c r="A639" i="1"/>
  <c r="C638" i="1"/>
  <c r="B638" i="1"/>
  <c r="A638" i="1"/>
  <c r="C637" i="1"/>
  <c r="B637" i="1"/>
  <c r="A637" i="1"/>
  <c r="C636" i="1"/>
  <c r="B636" i="1"/>
  <c r="A636" i="1"/>
  <c r="C635" i="1"/>
  <c r="B635" i="1"/>
  <c r="A635" i="1"/>
  <c r="C634" i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C629" i="1"/>
  <c r="B629" i="1"/>
  <c r="A629" i="1"/>
  <c r="C628" i="1"/>
  <c r="B628" i="1"/>
  <c r="A628" i="1"/>
  <c r="C627" i="1"/>
  <c r="B627" i="1"/>
  <c r="A627" i="1"/>
  <c r="C626" i="1"/>
  <c r="B626" i="1"/>
  <c r="A626" i="1"/>
  <c r="C625" i="1"/>
  <c r="B625" i="1"/>
  <c r="A625" i="1"/>
  <c r="C624" i="1"/>
  <c r="B624" i="1"/>
  <c r="A624" i="1"/>
  <c r="C623" i="1"/>
  <c r="B623" i="1"/>
  <c r="A623" i="1"/>
  <c r="C622" i="1"/>
  <c r="B622" i="1"/>
  <c r="A622" i="1"/>
  <c r="C621" i="1"/>
  <c r="B621" i="1"/>
  <c r="A621" i="1"/>
  <c r="C620" i="1"/>
  <c r="B620" i="1"/>
  <c r="A620" i="1"/>
  <c r="C619" i="1"/>
  <c r="B619" i="1"/>
  <c r="A619" i="1"/>
  <c r="C618" i="1"/>
  <c r="B618" i="1"/>
  <c r="A618" i="1"/>
  <c r="C617" i="1"/>
  <c r="B617" i="1"/>
  <c r="A617" i="1"/>
  <c r="C616" i="1"/>
  <c r="B616" i="1"/>
  <c r="A616" i="1"/>
  <c r="C615" i="1"/>
  <c r="B615" i="1"/>
  <c r="A615" i="1"/>
  <c r="C614" i="1"/>
  <c r="B614" i="1"/>
  <c r="A614" i="1"/>
  <c r="C613" i="1"/>
  <c r="B613" i="1"/>
  <c r="A613" i="1"/>
  <c r="C612" i="1"/>
  <c r="B612" i="1"/>
  <c r="A612" i="1"/>
  <c r="C611" i="1"/>
  <c r="B611" i="1"/>
  <c r="A611" i="1"/>
  <c r="C610" i="1"/>
  <c r="B610" i="1"/>
  <c r="A610" i="1"/>
  <c r="C609" i="1"/>
  <c r="B609" i="1"/>
  <c r="A609" i="1"/>
  <c r="C608" i="1"/>
  <c r="B608" i="1"/>
  <c r="A608" i="1"/>
  <c r="C607" i="1"/>
  <c r="B607" i="1"/>
  <c r="A607" i="1"/>
  <c r="C606" i="1"/>
  <c r="B606" i="1"/>
  <c r="A606" i="1"/>
  <c r="C605" i="1"/>
  <c r="B605" i="1"/>
  <c r="A605" i="1"/>
  <c r="C604" i="1"/>
  <c r="B604" i="1"/>
  <c r="A604" i="1"/>
  <c r="C603" i="1"/>
  <c r="B603" i="1"/>
  <c r="A603" i="1"/>
  <c r="C602" i="1"/>
  <c r="B602" i="1"/>
  <c r="A602" i="1"/>
  <c r="C601" i="1"/>
  <c r="B601" i="1"/>
  <c r="A601" i="1"/>
  <c r="C600" i="1"/>
  <c r="B600" i="1"/>
  <c r="A600" i="1"/>
  <c r="C599" i="1"/>
  <c r="B599" i="1"/>
  <c r="A599" i="1"/>
  <c r="C598" i="1"/>
  <c r="B598" i="1"/>
  <c r="A598" i="1"/>
  <c r="C597" i="1"/>
  <c r="B597" i="1"/>
  <c r="A597" i="1"/>
  <c r="C596" i="1"/>
  <c r="B596" i="1"/>
  <c r="A596" i="1"/>
  <c r="C595" i="1"/>
  <c r="B595" i="1"/>
  <c r="A595" i="1"/>
  <c r="C594" i="1"/>
  <c r="B594" i="1"/>
  <c r="A594" i="1"/>
  <c r="C593" i="1"/>
  <c r="B593" i="1"/>
  <c r="A593" i="1"/>
  <c r="C592" i="1"/>
  <c r="B592" i="1"/>
  <c r="A592" i="1"/>
  <c r="C591" i="1"/>
  <c r="B591" i="1"/>
  <c r="A591" i="1"/>
  <c r="C590" i="1"/>
  <c r="B590" i="1"/>
  <c r="A590" i="1"/>
  <c r="C589" i="1"/>
  <c r="B589" i="1"/>
  <c r="A589" i="1"/>
  <c r="C588" i="1"/>
  <c r="B588" i="1"/>
  <c r="A588" i="1"/>
  <c r="C587" i="1"/>
  <c r="B587" i="1"/>
  <c r="A587" i="1"/>
  <c r="C586" i="1"/>
  <c r="B586" i="1"/>
  <c r="A586" i="1"/>
  <c r="C585" i="1"/>
  <c r="B585" i="1"/>
  <c r="A585" i="1"/>
  <c r="C584" i="1"/>
  <c r="B584" i="1"/>
  <c r="A584" i="1"/>
  <c r="C583" i="1"/>
  <c r="B583" i="1"/>
  <c r="A583" i="1"/>
  <c r="C582" i="1"/>
  <c r="B582" i="1"/>
  <c r="A582" i="1"/>
  <c r="C581" i="1"/>
  <c r="B581" i="1"/>
  <c r="A581" i="1"/>
  <c r="C580" i="1"/>
  <c r="B580" i="1"/>
  <c r="A580" i="1"/>
  <c r="C579" i="1"/>
  <c r="B579" i="1"/>
  <c r="A579" i="1"/>
  <c r="C578" i="1"/>
  <c r="B578" i="1"/>
  <c r="A578" i="1"/>
  <c r="C577" i="1"/>
  <c r="B577" i="1"/>
  <c r="A577" i="1"/>
  <c r="C576" i="1"/>
  <c r="B576" i="1"/>
  <c r="A576" i="1"/>
  <c r="C575" i="1"/>
  <c r="B575" i="1"/>
  <c r="A575" i="1"/>
  <c r="C574" i="1"/>
  <c r="B574" i="1"/>
  <c r="A574" i="1"/>
  <c r="C573" i="1"/>
  <c r="B573" i="1"/>
  <c r="A573" i="1"/>
  <c r="C572" i="1"/>
  <c r="B572" i="1"/>
  <c r="A572" i="1"/>
  <c r="C571" i="1"/>
  <c r="B571" i="1"/>
  <c r="A571" i="1"/>
  <c r="C570" i="1"/>
  <c r="B570" i="1"/>
  <c r="A570" i="1"/>
  <c r="C569" i="1"/>
  <c r="B569" i="1"/>
  <c r="A569" i="1"/>
  <c r="C568" i="1"/>
  <c r="B568" i="1"/>
  <c r="A568" i="1"/>
  <c r="C567" i="1"/>
  <c r="B567" i="1"/>
  <c r="A567" i="1"/>
  <c r="C566" i="1"/>
  <c r="B566" i="1"/>
  <c r="A566" i="1"/>
  <c r="C565" i="1"/>
  <c r="B565" i="1"/>
  <c r="A565" i="1"/>
  <c r="C564" i="1"/>
  <c r="B564" i="1"/>
  <c r="A564" i="1"/>
  <c r="C563" i="1"/>
  <c r="B563" i="1"/>
  <c r="A563" i="1"/>
  <c r="C562" i="1"/>
  <c r="B562" i="1"/>
  <c r="A562" i="1"/>
  <c r="C561" i="1"/>
  <c r="B561" i="1"/>
  <c r="A561" i="1"/>
  <c r="C560" i="1"/>
  <c r="B560" i="1"/>
  <c r="A560" i="1"/>
  <c r="C559" i="1"/>
  <c r="B559" i="1"/>
  <c r="A559" i="1"/>
  <c r="C558" i="1"/>
  <c r="B558" i="1"/>
  <c r="A558" i="1"/>
  <c r="C557" i="1"/>
  <c r="B557" i="1"/>
  <c r="A557" i="1"/>
  <c r="C556" i="1"/>
  <c r="B556" i="1"/>
  <c r="A556" i="1"/>
  <c r="C555" i="1"/>
  <c r="B555" i="1"/>
  <c r="A555" i="1"/>
  <c r="C554" i="1"/>
  <c r="B554" i="1"/>
  <c r="A554" i="1"/>
  <c r="C553" i="1"/>
  <c r="B553" i="1"/>
  <c r="A553" i="1"/>
  <c r="C552" i="1"/>
  <c r="B552" i="1"/>
  <c r="A552" i="1"/>
  <c r="C551" i="1"/>
  <c r="B551" i="1"/>
  <c r="A551" i="1"/>
  <c r="C550" i="1"/>
  <c r="B550" i="1"/>
  <c r="A550" i="1"/>
  <c r="C549" i="1"/>
  <c r="B549" i="1"/>
  <c r="A549" i="1"/>
  <c r="C548" i="1"/>
  <c r="B548" i="1"/>
  <c r="A548" i="1"/>
  <c r="C547" i="1"/>
  <c r="B547" i="1"/>
  <c r="A547" i="1"/>
  <c r="C546" i="1"/>
  <c r="B546" i="1"/>
  <c r="A546" i="1"/>
  <c r="C545" i="1"/>
  <c r="B545" i="1"/>
  <c r="A545" i="1"/>
  <c r="C544" i="1"/>
  <c r="B544" i="1"/>
  <c r="A544" i="1"/>
  <c r="C543" i="1"/>
  <c r="B543" i="1"/>
  <c r="A543" i="1"/>
  <c r="C542" i="1"/>
  <c r="B542" i="1"/>
  <c r="A542" i="1"/>
  <c r="C541" i="1"/>
  <c r="B541" i="1"/>
  <c r="A541" i="1"/>
  <c r="C540" i="1"/>
  <c r="B540" i="1"/>
  <c r="A540" i="1"/>
  <c r="C539" i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8" i="1"/>
  <c r="B508" i="1"/>
  <c r="A508" i="1"/>
  <c r="C507" i="1"/>
  <c r="B507" i="1"/>
  <c r="A507" i="1"/>
  <c r="C506" i="1"/>
  <c r="B506" i="1"/>
  <c r="A506" i="1"/>
  <c r="C505" i="1"/>
  <c r="B505" i="1"/>
  <c r="A505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8" i="1"/>
  <c r="B438" i="1"/>
  <c r="A438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5" i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2" i="1"/>
  <c r="B402" i="1"/>
  <c r="A402" i="1"/>
  <c r="C401" i="1"/>
  <c r="B401" i="1"/>
  <c r="A401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<sst xmlns="http://schemas.openxmlformats.org/spreadsheetml/2006/main" count="3" uniqueCount="3">
  <si>
    <r>
      <rPr>
        <b/>
        <sz val="11"/>
        <color rgb="FF000000"/>
        <rFont val="Arial"/>
        <scheme val="minor"/>
      </rPr>
      <t xml:space="preserve">Id </t>
    </r>
    <r>
      <rPr>
        <b/>
        <sz val="11"/>
        <color rgb="FF93C47D"/>
        <rFont val="Arial"/>
        <scheme val="minor"/>
      </rPr>
      <t>(API id)</t>
    </r>
  </si>
  <si>
    <t>Symbol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</si>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</sst>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1"/>
      <color rgb="FF000000"/>
      <name val="Arial"/>
      <scheme val="minor"/>
    </font>
    <font>
      <b/>
      <sz val="11"/>
      <color rgb="FF93C47D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electrify.asia/" TargetMode="External"/><Relationship Id="rId21" Type="http://schemas.openxmlformats.org/officeDocument/2006/relationships/hyperlink" Target="http://choise.ai/" TargetMode="External"/><Relationship Id="rId42" Type="http://schemas.openxmlformats.org/officeDocument/2006/relationships/hyperlink" Target="http://husky.ai/" TargetMode="External"/><Relationship Id="rId47" Type="http://schemas.openxmlformats.org/officeDocument/2006/relationships/hyperlink" Target="http://magikal.ai/" TargetMode="External"/><Relationship Id="rId63" Type="http://schemas.openxmlformats.org/officeDocument/2006/relationships/hyperlink" Target="http://rod.ai/" TargetMode="External"/><Relationship Id="rId68" Type="http://schemas.openxmlformats.org/officeDocument/2006/relationships/hyperlink" Target="http://trendingtool.io/" TargetMode="External"/><Relationship Id="rId2" Type="http://schemas.openxmlformats.org/officeDocument/2006/relationships/hyperlink" Target="http://0xvpn.org/" TargetMode="External"/><Relationship Id="rId16" Type="http://schemas.openxmlformats.org/officeDocument/2006/relationships/hyperlink" Target="http://blinks.gg/" TargetMode="External"/><Relationship Id="rId29" Type="http://schemas.openxmlformats.org/officeDocument/2006/relationships/hyperlink" Target="http://film.io/" TargetMode="External"/><Relationship Id="rId11" Type="http://schemas.openxmlformats.org/officeDocument/2006/relationships/hyperlink" Target="http://alphakek.ai/" TargetMode="External"/><Relationship Id="rId24" Type="http://schemas.openxmlformats.org/officeDocument/2006/relationships/hyperlink" Target="http://cryptoart.ai/" TargetMode="External"/><Relationship Id="rId32" Type="http://schemas.openxmlformats.org/officeDocument/2006/relationships/hyperlink" Target="http://frok.ai/" TargetMode="External"/><Relationship Id="rId37" Type="http://schemas.openxmlformats.org/officeDocument/2006/relationships/hyperlink" Target="http://handle.fi/" TargetMode="External"/><Relationship Id="rId40" Type="http://schemas.openxmlformats.org/officeDocument/2006/relationships/hyperlink" Target="http://holygrails.io/" TargetMode="External"/><Relationship Id="rId45" Type="http://schemas.openxmlformats.org/officeDocument/2006/relationships/hyperlink" Target="http://io.net/" TargetMode="External"/><Relationship Id="rId53" Type="http://schemas.openxmlformats.org/officeDocument/2006/relationships/hyperlink" Target="http://ocada.ai/" TargetMode="External"/><Relationship Id="rId58" Type="http://schemas.openxmlformats.org/officeDocument/2006/relationships/hyperlink" Target="http://rake.com/" TargetMode="External"/><Relationship Id="rId66" Type="http://schemas.openxmlformats.org/officeDocument/2006/relationships/hyperlink" Target="http://snapmuse.io/" TargetMode="External"/><Relationship Id="rId74" Type="http://schemas.openxmlformats.org/officeDocument/2006/relationships/hyperlink" Target="http://xpad.pro/" TargetMode="External"/><Relationship Id="rId5" Type="http://schemas.openxmlformats.org/officeDocument/2006/relationships/hyperlink" Target="http://acquire.fi/" TargetMode="External"/><Relationship Id="rId61" Type="http://schemas.openxmlformats.org/officeDocument/2006/relationships/hyperlink" Target="http://re.al/" TargetMode="External"/><Relationship Id="rId19" Type="http://schemas.openxmlformats.org/officeDocument/2006/relationships/hyperlink" Target="http://starter.xyz/" TargetMode="External"/><Relationship Id="rId14" Type="http://schemas.openxmlformats.org/officeDocument/2006/relationships/hyperlink" Target="http://beluga.fi/" TargetMode="External"/><Relationship Id="rId22" Type="http://schemas.openxmlformats.org/officeDocument/2006/relationships/hyperlink" Target="http://clore.ai/" TargetMode="External"/><Relationship Id="rId27" Type="http://schemas.openxmlformats.org/officeDocument/2006/relationships/hyperlink" Target="http://elondoge.io/" TargetMode="External"/><Relationship Id="rId30" Type="http://schemas.openxmlformats.org/officeDocument/2006/relationships/hyperlink" Target="http://fimarkcoin.com/" TargetMode="External"/><Relationship Id="rId35" Type="http://schemas.openxmlformats.org/officeDocument/2006/relationships/hyperlink" Target="http://ghostdag.org/" TargetMode="External"/><Relationship Id="rId43" Type="http://schemas.openxmlformats.org/officeDocument/2006/relationships/hyperlink" Target="http://hyzen.ai/" TargetMode="External"/><Relationship Id="rId48" Type="http://schemas.openxmlformats.org/officeDocument/2006/relationships/hyperlink" Target="http://monk.gg/" TargetMode="External"/><Relationship Id="rId56" Type="http://schemas.openxmlformats.org/officeDocument/2006/relationships/hyperlink" Target="http://preprints.io/" TargetMode="External"/><Relationship Id="rId64" Type="http://schemas.openxmlformats.org/officeDocument/2006/relationships/hyperlink" Target="http://scry.info/" TargetMode="External"/><Relationship Id="rId69" Type="http://schemas.openxmlformats.org/officeDocument/2006/relationships/hyperlink" Target="http://tune.fm/" TargetMode="External"/><Relationship Id="rId8" Type="http://schemas.openxmlformats.org/officeDocument/2006/relationships/hyperlink" Target="http://ai.com/" TargetMode="External"/><Relationship Id="rId51" Type="http://schemas.openxmlformats.org/officeDocument/2006/relationships/hyperlink" Target="http://naws.ai/" TargetMode="External"/><Relationship Id="rId72" Type="http://schemas.openxmlformats.org/officeDocument/2006/relationships/hyperlink" Target="http://woofwork.io/" TargetMode="External"/><Relationship Id="rId3" Type="http://schemas.openxmlformats.org/officeDocument/2006/relationships/hyperlink" Target="http://2dai.io/" TargetMode="External"/><Relationship Id="rId12" Type="http://schemas.openxmlformats.org/officeDocument/2006/relationships/hyperlink" Target="http://astrospaces.io/" TargetMode="External"/><Relationship Id="rId17" Type="http://schemas.openxmlformats.org/officeDocument/2006/relationships/hyperlink" Target="http://stuff.io/" TargetMode="External"/><Relationship Id="rId25" Type="http://schemas.openxmlformats.org/officeDocument/2006/relationships/hyperlink" Target="http://dolz.io/" TargetMode="External"/><Relationship Id="rId33" Type="http://schemas.openxmlformats.org/officeDocument/2006/relationships/hyperlink" Target="http://gam3s.gg/" TargetMode="External"/><Relationship Id="rId38" Type="http://schemas.openxmlformats.org/officeDocument/2006/relationships/hyperlink" Target="http://her.ai/" TargetMode="External"/><Relationship Id="rId46" Type="http://schemas.openxmlformats.org/officeDocument/2006/relationships/hyperlink" Target="http://love.io/" TargetMode="External"/><Relationship Id="rId59" Type="http://schemas.openxmlformats.org/officeDocument/2006/relationships/hyperlink" Target="http://rake.in/" TargetMode="External"/><Relationship Id="rId67" Type="http://schemas.openxmlformats.org/officeDocument/2006/relationships/hyperlink" Target="http://swing.xyz/" TargetMode="External"/><Relationship Id="rId20" Type="http://schemas.openxmlformats.org/officeDocument/2006/relationships/hyperlink" Target="http://buying.com/" TargetMode="External"/><Relationship Id="rId41" Type="http://schemas.openxmlformats.org/officeDocument/2006/relationships/hyperlink" Target="http://humans.ai/" TargetMode="External"/><Relationship Id="rId54" Type="http://schemas.openxmlformats.org/officeDocument/2006/relationships/hyperlink" Target="http://petshop.io/" TargetMode="External"/><Relationship Id="rId62" Type="http://schemas.openxmlformats.org/officeDocument/2006/relationships/hyperlink" Target="http://rejuve.ai/" TargetMode="External"/><Relationship Id="rId70" Type="http://schemas.openxmlformats.org/officeDocument/2006/relationships/hyperlink" Target="http://universe.xyz/" TargetMode="External"/><Relationship Id="rId75" Type="http://schemas.openxmlformats.org/officeDocument/2006/relationships/hyperlink" Target="http://xt.com/" TargetMode="External"/><Relationship Id="rId1" Type="http://schemas.openxmlformats.org/officeDocument/2006/relationships/hyperlink" Target="http://0xgpu.ai/" TargetMode="External"/><Relationship Id="rId6" Type="http://schemas.openxmlformats.org/officeDocument/2006/relationships/hyperlink" Target="http://acria.ai/" TargetMode="External"/><Relationship Id="rId15" Type="http://schemas.openxmlformats.org/officeDocument/2006/relationships/hyperlink" Target="http://betswap.gg/" TargetMode="External"/><Relationship Id="rId23" Type="http://schemas.openxmlformats.org/officeDocument/2006/relationships/hyperlink" Target="http://coinrobot.ai/" TargetMode="External"/><Relationship Id="rId28" Type="http://schemas.openxmlformats.org/officeDocument/2006/relationships/hyperlink" Target="http://ether.fi/" TargetMode="External"/><Relationship Id="rId36" Type="http://schemas.openxmlformats.org/officeDocument/2006/relationships/hyperlink" Target="http://gm.ai/" TargetMode="External"/><Relationship Id="rId49" Type="http://schemas.openxmlformats.org/officeDocument/2006/relationships/hyperlink" Target="http://mooncloud.ai/" TargetMode="External"/><Relationship Id="rId57" Type="http://schemas.openxmlformats.org/officeDocument/2006/relationships/hyperlink" Target="http://qna3.ai/" TargetMode="External"/><Relationship Id="rId10" Type="http://schemas.openxmlformats.org/officeDocument/2006/relationships/hyperlink" Target="http://aleph.im/" TargetMode="External"/><Relationship Id="rId31" Type="http://schemas.openxmlformats.org/officeDocument/2006/relationships/hyperlink" Target="http://fnk.com/" TargetMode="External"/><Relationship Id="rId44" Type="http://schemas.openxmlformats.org/officeDocument/2006/relationships/hyperlink" Target="http://ide.x.ai/" TargetMode="External"/><Relationship Id="rId52" Type="http://schemas.openxmlformats.org/officeDocument/2006/relationships/hyperlink" Target="http://pad.fi/" TargetMode="External"/><Relationship Id="rId60" Type="http://schemas.openxmlformats.org/officeDocument/2006/relationships/hyperlink" Target="http://random.tg/" TargetMode="External"/><Relationship Id="rId65" Type="http://schemas.openxmlformats.org/officeDocument/2006/relationships/hyperlink" Target="http://shopping.io/" TargetMode="External"/><Relationship Id="rId73" Type="http://schemas.openxmlformats.org/officeDocument/2006/relationships/hyperlink" Target="http://xalpha.ai/" TargetMode="External"/><Relationship Id="rId4" Type="http://schemas.openxmlformats.org/officeDocument/2006/relationships/hyperlink" Target="http://aann.ai/" TargetMode="External"/><Relationship Id="rId9" Type="http://schemas.openxmlformats.org/officeDocument/2006/relationships/hyperlink" Target="http://alaaddin.ai/" TargetMode="External"/><Relationship Id="rId13" Type="http://schemas.openxmlformats.org/officeDocument/2006/relationships/hyperlink" Target="http://b-cube.ai/" TargetMode="External"/><Relationship Id="rId18" Type="http://schemas.openxmlformats.org/officeDocument/2006/relationships/hyperlink" Target="http://bowled.io/" TargetMode="External"/><Relationship Id="rId39" Type="http://schemas.openxmlformats.org/officeDocument/2006/relationships/hyperlink" Target="http://hodooi.com/" TargetMode="External"/><Relationship Id="rId34" Type="http://schemas.openxmlformats.org/officeDocument/2006/relationships/hyperlink" Target="http://gamefi.org/" TargetMode="External"/><Relationship Id="rId50" Type="http://schemas.openxmlformats.org/officeDocument/2006/relationships/hyperlink" Target="http://moonwolf.io/" TargetMode="External"/><Relationship Id="rId55" Type="http://schemas.openxmlformats.org/officeDocument/2006/relationships/hyperlink" Target="http://precipitate.ai/" TargetMode="External"/><Relationship Id="rId76" Type="http://schemas.openxmlformats.org/officeDocument/2006/relationships/hyperlink" Target="http://zam.io/" TargetMode="External"/><Relationship Id="rId7" Type="http://schemas.openxmlformats.org/officeDocument/2006/relationships/hyperlink" Target="http://ai.com/" TargetMode="External"/><Relationship Id="rId71" Type="http://schemas.openxmlformats.org/officeDocument/2006/relationships/hyperlink" Target="http://vectorchat.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5366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12.6640625" defaultRowHeight="15.75" customHeight="1" x14ac:dyDescent="0.25"/>
  <cols>
    <col min="1" max="1" width="36" customWidth="1"/>
    <col min="3" max="3" width="43" customWidth="1"/>
  </cols>
  <sheetData>
    <row r="1" spans="1:3" x14ac:dyDescent="0.25">
      <c r="A1" s="4" t="s">
        <v>0</v>
      </c>
      <c r="B1" s="1" t="s">
        <v>1</v>
      </c>
      <c r="C1" s="1" t="s">
        <v>2</v>
      </c>
    </row>
    <row r="2" spans="1:3" x14ac:dyDescent="0.25">
      <c r="A2" s="2" t="str">
        <f ca="1">IFERROR(__xludf.DUMMYFUNCTION("IMPORTRANGE(""https://docs.google.com/spreadsheets/d/13-DY4mXjr8z_Vdm6t1IN_gDGJ34mze78xlYuNXbBxeo"",""sheet1!A2:C50000"")"),"01coin")</f>
        <v>01coin</v>
      </c>
      <c r="B2" s="2" t="str">
        <f ca="1">IFERROR(__xludf.DUMMYFUNCTION("""COMPUTED_VALUE"""),"zoc")</f>
        <v>zoc</v>
      </c>
      <c r="C2" s="2" t="str">
        <f ca="1">IFERROR(__xludf.DUMMYFUNCTION("""COMPUTED_VALUE"""),"01coin")</f>
        <v>01coin</v>
      </c>
    </row>
    <row r="3" spans="1:3" x14ac:dyDescent="0.25">
      <c r="A3" s="2" t="str">
        <f ca="1">IFERROR(__xludf.DUMMYFUNCTION("""COMPUTED_VALUE"""),"0chain")</f>
        <v>0chain</v>
      </c>
      <c r="B3" s="2" t="str">
        <f ca="1">IFERROR(__xludf.DUMMYFUNCTION("""COMPUTED_VALUE"""),"zcn")</f>
        <v>zcn</v>
      </c>
      <c r="C3" s="2" t="str">
        <f ca="1">IFERROR(__xludf.DUMMYFUNCTION("""COMPUTED_VALUE"""),"Zus")</f>
        <v>Zus</v>
      </c>
    </row>
    <row r="4" spans="1:3" x14ac:dyDescent="0.25">
      <c r="A4" s="2" t="str">
        <f ca="1">IFERROR(__xludf.DUMMYFUNCTION("""COMPUTED_VALUE"""),"0dog")</f>
        <v>0dog</v>
      </c>
      <c r="B4" s="2" t="str">
        <f ca="1">IFERROR(__xludf.DUMMYFUNCTION("""COMPUTED_VALUE"""),"0dog")</f>
        <v>0dog</v>
      </c>
      <c r="C4" s="2" t="str">
        <f ca="1">IFERROR(__xludf.DUMMYFUNCTION("""COMPUTED_VALUE"""),"Bitcoin Dogs")</f>
        <v>Bitcoin Dogs</v>
      </c>
    </row>
    <row r="5" spans="1:3" x14ac:dyDescent="0.25">
      <c r="A5" s="2" t="str">
        <f ca="1">IFERROR(__xludf.DUMMYFUNCTION("""COMPUTED_VALUE"""),"0-knowledge-network")</f>
        <v>0-knowledge-network</v>
      </c>
      <c r="B5" s="2" t="str">
        <f ca="1">IFERROR(__xludf.DUMMYFUNCTION("""COMPUTED_VALUE"""),"0kn")</f>
        <v>0kn</v>
      </c>
      <c r="C5" s="2" t="str">
        <f ca="1">IFERROR(__xludf.DUMMYFUNCTION("""COMPUTED_VALUE"""),"0 Knowledge Network")</f>
        <v>0 Knowledge Network</v>
      </c>
    </row>
    <row r="6" spans="1:3" x14ac:dyDescent="0.25">
      <c r="A6" s="2" t="str">
        <f ca="1">IFERROR(__xludf.DUMMYFUNCTION("""COMPUTED_VALUE"""),"0-mee")</f>
        <v>0-mee</v>
      </c>
      <c r="B6" s="2" t="str">
        <f ca="1">IFERROR(__xludf.DUMMYFUNCTION("""COMPUTED_VALUE"""),"ome")</f>
        <v>ome</v>
      </c>
      <c r="C6" s="2" t="str">
        <f ca="1">IFERROR(__xludf.DUMMYFUNCTION("""COMPUTED_VALUE"""),"O-MEE")</f>
        <v>O-MEE</v>
      </c>
    </row>
    <row r="7" spans="1:3" x14ac:dyDescent="0.25">
      <c r="A7" s="2" t="str">
        <f ca="1">IFERROR(__xludf.DUMMYFUNCTION("""COMPUTED_VALUE"""),"0vix-protocol")</f>
        <v>0vix-protocol</v>
      </c>
      <c r="B7" s="2" t="str">
        <f ca="1">IFERROR(__xludf.DUMMYFUNCTION("""COMPUTED_VALUE"""),"vix")</f>
        <v>vix</v>
      </c>
      <c r="C7" s="2" t="str">
        <f ca="1">IFERROR(__xludf.DUMMYFUNCTION("""COMPUTED_VALUE"""),"0VIX Protocol")</f>
        <v>0VIX Protocol</v>
      </c>
    </row>
    <row r="8" spans="1:3" x14ac:dyDescent="0.25">
      <c r="A8" s="2" t="str">
        <f ca="1">IFERROR(__xludf.DUMMYFUNCTION("""COMPUTED_VALUE"""),"0x")</f>
        <v>0x</v>
      </c>
      <c r="B8" s="2" t="str">
        <f ca="1">IFERROR(__xludf.DUMMYFUNCTION("""COMPUTED_VALUE"""),"zrx")</f>
        <v>zrx</v>
      </c>
      <c r="C8" s="2" t="str">
        <f ca="1">IFERROR(__xludf.DUMMYFUNCTION("""COMPUTED_VALUE"""),"0x Protocol")</f>
        <v>0x Protocol</v>
      </c>
    </row>
    <row r="9" spans="1:3" x14ac:dyDescent="0.25">
      <c r="A9" s="2" t="str">
        <f ca="1">IFERROR(__xludf.DUMMYFUNCTION("""COMPUTED_VALUE"""),"0x0-ai-ai-smart-contract")</f>
        <v>0x0-ai-ai-smart-contract</v>
      </c>
      <c r="B9" s="2" t="str">
        <f ca="1">IFERROR(__xludf.DUMMYFUNCTION("""COMPUTED_VALUE"""),"0x0")</f>
        <v>0x0</v>
      </c>
      <c r="C9" s="2" t="str">
        <f ca="1">IFERROR(__xludf.DUMMYFUNCTION("""COMPUTED_VALUE"""),"0x0.ai: AI Smart Contract")</f>
        <v>0x0.ai: AI Smart Contract</v>
      </c>
    </row>
    <row r="10" spans="1:3" x14ac:dyDescent="0.25">
      <c r="A10" s="2" t="str">
        <f ca="1">IFERROR(__xludf.DUMMYFUNCTION("""COMPUTED_VALUE"""),"0x404")</f>
        <v>0x404</v>
      </c>
      <c r="B10" s="2" t="str">
        <f ca="1">IFERROR(__xludf.DUMMYFUNCTION("""COMPUTED_VALUE"""),"xfour")</f>
        <v>xfour</v>
      </c>
      <c r="C10" s="2" t="str">
        <f ca="1">IFERROR(__xludf.DUMMYFUNCTION("""COMPUTED_VALUE"""),"0x404")</f>
        <v>0x404</v>
      </c>
    </row>
    <row r="11" spans="1:3" x14ac:dyDescent="0.25">
      <c r="A11" s="2" t="str">
        <f ca="1">IFERROR(__xludf.DUMMYFUNCTION("""COMPUTED_VALUE"""),"0x678-landwolf-1933")</f>
        <v>0x678-landwolf-1933</v>
      </c>
      <c r="B11" s="2" t="str">
        <f ca="1">IFERROR(__xludf.DUMMYFUNCTION("""COMPUTED_VALUE"""),"wolf")</f>
        <v>wolf</v>
      </c>
      <c r="C11" s="2" t="str">
        <f ca="1">IFERROR(__xludf.DUMMYFUNCTION("""COMPUTED_VALUE"""),"Landwolf")</f>
        <v>Landwolf</v>
      </c>
    </row>
    <row r="12" spans="1:3" x14ac:dyDescent="0.25">
      <c r="A12" s="2" t="str">
        <f ca="1">IFERROR(__xludf.DUMMYFUNCTION("""COMPUTED_VALUE"""),"0xadventure")</f>
        <v>0xadventure</v>
      </c>
      <c r="B12" s="2" t="str">
        <f ca="1">IFERROR(__xludf.DUMMYFUNCTION("""COMPUTED_VALUE"""),"zad")</f>
        <v>zad</v>
      </c>
      <c r="C12" s="2" t="str">
        <f ca="1">IFERROR(__xludf.DUMMYFUNCTION("""COMPUTED_VALUE"""),"0xAdventure")</f>
        <v>0xAdventure</v>
      </c>
    </row>
    <row r="13" spans="1:3" x14ac:dyDescent="0.25">
      <c r="A13" s="2" t="str">
        <f ca="1">IFERROR(__xludf.DUMMYFUNCTION("""COMPUTED_VALUE"""),"0xaiswap")</f>
        <v>0xaiswap</v>
      </c>
      <c r="B13" s="2" t="str">
        <f ca="1">IFERROR(__xludf.DUMMYFUNCTION("""COMPUTED_VALUE"""),"0xaiswap")</f>
        <v>0xaiswap</v>
      </c>
      <c r="C13" s="2" t="str">
        <f ca="1">IFERROR(__xludf.DUMMYFUNCTION("""COMPUTED_VALUE"""),"0xAISwap")</f>
        <v>0xAISwap</v>
      </c>
    </row>
    <row r="14" spans="1:3" x14ac:dyDescent="0.25">
      <c r="A14" s="2" t="str">
        <f ca="1">IFERROR(__xludf.DUMMYFUNCTION("""COMPUTED_VALUE"""),"0xanon")</f>
        <v>0xanon</v>
      </c>
      <c r="B14" s="2" t="str">
        <f ca="1">IFERROR(__xludf.DUMMYFUNCTION("""COMPUTED_VALUE"""),"0xanon")</f>
        <v>0xanon</v>
      </c>
      <c r="C14" s="2" t="str">
        <f ca="1">IFERROR(__xludf.DUMMYFUNCTION("""COMPUTED_VALUE"""),"0xAnon")</f>
        <v>0xAnon</v>
      </c>
    </row>
    <row r="15" spans="1:3" x14ac:dyDescent="0.25">
      <c r="A15" s="2" t="str">
        <f ca="1">IFERROR(__xludf.DUMMYFUNCTION("""COMPUTED_VALUE"""),"0xcoco")</f>
        <v>0xcoco</v>
      </c>
      <c r="B15" s="2" t="str">
        <f ca="1">IFERROR(__xludf.DUMMYFUNCTION("""COMPUTED_VALUE"""),"coco")</f>
        <v>coco</v>
      </c>
      <c r="C15" s="2" t="str">
        <f ca="1">IFERROR(__xludf.DUMMYFUNCTION("""COMPUTED_VALUE"""),"0xCoco")</f>
        <v>0xCoco</v>
      </c>
    </row>
    <row r="16" spans="1:3" x14ac:dyDescent="0.25">
      <c r="A16" s="2" t="str">
        <f ca="1">IFERROR(__xludf.DUMMYFUNCTION("""COMPUTED_VALUE"""),"0xdao")</f>
        <v>0xdao</v>
      </c>
      <c r="B16" s="2" t="str">
        <f ca="1">IFERROR(__xludf.DUMMYFUNCTION("""COMPUTED_VALUE"""),"oxd")</f>
        <v>oxd</v>
      </c>
      <c r="C16" s="2" t="str">
        <f ca="1">IFERROR(__xludf.DUMMYFUNCTION("""COMPUTED_VALUE"""),"0xDAO")</f>
        <v>0xDAO</v>
      </c>
    </row>
    <row r="17" spans="1:3" x14ac:dyDescent="0.25">
      <c r="A17" s="2" t="str">
        <f ca="1">IFERROR(__xludf.DUMMYFUNCTION("""COMPUTED_VALUE"""),"0xdefcafe")</f>
        <v>0xdefcafe</v>
      </c>
      <c r="B17" s="2" t="str">
        <f ca="1">IFERROR(__xludf.DUMMYFUNCTION("""COMPUTED_VALUE"""),"cafe")</f>
        <v>cafe</v>
      </c>
      <c r="C17" s="2" t="str">
        <f ca="1">IFERROR(__xludf.DUMMYFUNCTION("""COMPUTED_VALUE"""),"0xDEFCAFE")</f>
        <v>0xDEFCAFE</v>
      </c>
    </row>
    <row r="18" spans="1:3" x14ac:dyDescent="0.25">
      <c r="A18" s="2" t="str">
        <f ca="1">IFERROR(__xludf.DUMMYFUNCTION("""COMPUTED_VALUE"""),"0xgasless-2")</f>
        <v>0xgasless-2</v>
      </c>
      <c r="B18" s="2" t="str">
        <f ca="1">IFERROR(__xludf.DUMMYFUNCTION("""COMPUTED_VALUE"""),"0xgas")</f>
        <v>0xgas</v>
      </c>
      <c r="C18" s="2" t="str">
        <f ca="1">IFERROR(__xludf.DUMMYFUNCTION("""COMPUTED_VALUE"""),"0xGasless")</f>
        <v>0xGasless</v>
      </c>
    </row>
    <row r="19" spans="1:3" x14ac:dyDescent="0.25">
      <c r="A19" s="2" t="str">
        <f ca="1">IFERROR(__xludf.DUMMYFUNCTION("""COMPUTED_VALUE"""),"0xgen")</f>
        <v>0xgen</v>
      </c>
      <c r="B19" s="2" t="str">
        <f ca="1">IFERROR(__xludf.DUMMYFUNCTION("""COMPUTED_VALUE"""),"xgn")</f>
        <v>xgn</v>
      </c>
      <c r="C19" s="2" t="str">
        <f ca="1">IFERROR(__xludf.DUMMYFUNCTION("""COMPUTED_VALUE"""),"0xGen")</f>
        <v>0xGen</v>
      </c>
    </row>
    <row r="20" spans="1:3" x14ac:dyDescent="0.25">
      <c r="A20" s="2" t="str">
        <f ca="1">IFERROR(__xludf.DUMMYFUNCTION("""COMPUTED_VALUE"""),"0xgpu-ai")</f>
        <v>0xgpu-ai</v>
      </c>
      <c r="B20" s="2" t="str">
        <f ca="1">IFERROR(__xludf.DUMMYFUNCTION("""COMPUTED_VALUE"""),"0xg")</f>
        <v>0xg</v>
      </c>
      <c r="C20" s="3" t="str">
        <f ca="1">IFERROR(__xludf.DUMMYFUNCTION("""COMPUTED_VALUE"""),"0xGPU.ai")</f>
        <v>0xGPU.ai</v>
      </c>
    </row>
    <row r="21" spans="1:3" x14ac:dyDescent="0.25">
      <c r="A21" s="2" t="str">
        <f ca="1">IFERROR(__xludf.DUMMYFUNCTION("""COMPUTED_VALUE"""),"0x-leverage")</f>
        <v>0x-leverage</v>
      </c>
      <c r="B21" s="2" t="str">
        <f ca="1">IFERROR(__xludf.DUMMYFUNCTION("""COMPUTED_VALUE"""),"oxl")</f>
        <v>oxl</v>
      </c>
      <c r="C21" s="2" t="str">
        <f ca="1">IFERROR(__xludf.DUMMYFUNCTION("""COMPUTED_VALUE"""),"0x Leverage")</f>
        <v>0x Leverage</v>
      </c>
    </row>
    <row r="22" spans="1:3" x14ac:dyDescent="0.25">
      <c r="A22" s="2" t="str">
        <f ca="1">IFERROR(__xludf.DUMMYFUNCTION("""COMPUTED_VALUE"""),"0xlp")</f>
        <v>0xlp</v>
      </c>
      <c r="B22" s="2" t="str">
        <f ca="1">IFERROR(__xludf.DUMMYFUNCTION("""COMPUTED_VALUE"""),"openli")</f>
        <v>openli</v>
      </c>
      <c r="C22" s="2" t="str">
        <f ca="1">IFERROR(__xludf.DUMMYFUNCTION("""COMPUTED_VALUE"""),"OpenLiquidity")</f>
        <v>OpenLiquidity</v>
      </c>
    </row>
    <row r="23" spans="1:3" x14ac:dyDescent="0.25">
      <c r="A23" s="2" t="str">
        <f ca="1">IFERROR(__xludf.DUMMYFUNCTION("""COMPUTED_VALUE"""),"0xlsd")</f>
        <v>0xlsd</v>
      </c>
      <c r="B23" s="2" t="str">
        <f ca="1">IFERROR(__xludf.DUMMYFUNCTION("""COMPUTED_VALUE"""),"0xlsd")</f>
        <v>0xlsd</v>
      </c>
      <c r="C23" s="2" t="str">
        <f ca="1">IFERROR(__xludf.DUMMYFUNCTION("""COMPUTED_VALUE"""),"0xLSD")</f>
        <v>0xLSD</v>
      </c>
    </row>
    <row r="24" spans="1:3" x14ac:dyDescent="0.25">
      <c r="A24" s="2" t="str">
        <f ca="1">IFERROR(__xludf.DUMMYFUNCTION("""COMPUTED_VALUE"""),"0xmonero")</f>
        <v>0xmonero</v>
      </c>
      <c r="B24" s="2" t="str">
        <f ca="1">IFERROR(__xludf.DUMMYFUNCTION("""COMPUTED_VALUE"""),"0xmr")</f>
        <v>0xmr</v>
      </c>
      <c r="C24" s="2" t="str">
        <f ca="1">IFERROR(__xludf.DUMMYFUNCTION("""COMPUTED_VALUE"""),"0xMonero")</f>
        <v>0xMonero</v>
      </c>
    </row>
    <row r="25" spans="1:3" x14ac:dyDescent="0.25">
      <c r="A25" s="2" t="str">
        <f ca="1">IFERROR(__xludf.DUMMYFUNCTION("""COMPUTED_VALUE"""),"0xnumber")</f>
        <v>0xnumber</v>
      </c>
      <c r="B25" s="2" t="str">
        <f ca="1">IFERROR(__xludf.DUMMYFUNCTION("""COMPUTED_VALUE"""),"oxn")</f>
        <v>oxn</v>
      </c>
      <c r="C25" s="2" t="str">
        <f ca="1">IFERROR(__xludf.DUMMYFUNCTION("""COMPUTED_VALUE"""),"0xNumber")</f>
        <v>0xNumber</v>
      </c>
    </row>
    <row r="26" spans="1:3" x14ac:dyDescent="0.25">
      <c r="A26" s="2" t="str">
        <f ca="1">IFERROR(__xludf.DUMMYFUNCTION("""COMPUTED_VALUE"""),"0xprivacy")</f>
        <v>0xprivacy</v>
      </c>
      <c r="B26" s="2" t="str">
        <f ca="1">IFERROR(__xludf.DUMMYFUNCTION("""COMPUTED_VALUE"""),"0xp")</f>
        <v>0xp</v>
      </c>
      <c r="C26" s="2" t="str">
        <f ca="1">IFERROR(__xludf.DUMMYFUNCTION("""COMPUTED_VALUE"""),"0xPrivacy")</f>
        <v>0xPrivacy</v>
      </c>
    </row>
    <row r="27" spans="1:3" x14ac:dyDescent="0.25">
      <c r="A27" s="2" t="str">
        <f ca="1">IFERROR(__xludf.DUMMYFUNCTION("""COMPUTED_VALUE"""),"0xscans")</f>
        <v>0xscans</v>
      </c>
      <c r="B27" s="2" t="str">
        <f ca="1">IFERROR(__xludf.DUMMYFUNCTION("""COMPUTED_VALUE"""),"scan")</f>
        <v>scan</v>
      </c>
      <c r="C27" s="2" t="str">
        <f ca="1">IFERROR(__xludf.DUMMYFUNCTION("""COMPUTED_VALUE"""),"0xScans")</f>
        <v>0xScans</v>
      </c>
    </row>
    <row r="28" spans="1:3" x14ac:dyDescent="0.25">
      <c r="A28" s="2" t="str">
        <f ca="1">IFERROR(__xludf.DUMMYFUNCTION("""COMPUTED_VALUE"""),"0xvpn-org")</f>
        <v>0xvpn-org</v>
      </c>
      <c r="B28" s="2" t="str">
        <f ca="1">IFERROR(__xludf.DUMMYFUNCTION("""COMPUTED_VALUE"""),"vpn")</f>
        <v>vpn</v>
      </c>
      <c r="C28" s="3" t="str">
        <f ca="1">IFERROR(__xludf.DUMMYFUNCTION("""COMPUTED_VALUE"""),"0xVPN.org")</f>
        <v>0xVPN.org</v>
      </c>
    </row>
    <row r="29" spans="1:3" x14ac:dyDescent="0.25">
      <c r="A29" s="2" t="str">
        <f ca="1">IFERROR(__xludf.DUMMYFUNCTION("""COMPUTED_VALUE"""),"1000bonk")</f>
        <v>1000bonk</v>
      </c>
      <c r="B29" s="2" t="str">
        <f ca="1">IFERROR(__xludf.DUMMYFUNCTION("""COMPUTED_VALUE"""),"1000bonk")</f>
        <v>1000bonk</v>
      </c>
      <c r="C29" s="2" t="str">
        <f ca="1">IFERROR(__xludf.DUMMYFUNCTION("""COMPUTED_VALUE"""),"1000BONK")</f>
        <v>1000BONK</v>
      </c>
    </row>
    <row r="30" spans="1:3" x14ac:dyDescent="0.25">
      <c r="A30" s="2" t="str">
        <f ca="1">IFERROR(__xludf.DUMMYFUNCTION("""COMPUTED_VALUE"""),"1000btt")</f>
        <v>1000btt</v>
      </c>
      <c r="B30" s="2" t="str">
        <f ca="1">IFERROR(__xludf.DUMMYFUNCTION("""COMPUTED_VALUE"""),"1000btt")</f>
        <v>1000btt</v>
      </c>
      <c r="C30" s="2" t="str">
        <f ca="1">IFERROR(__xludf.DUMMYFUNCTION("""COMPUTED_VALUE"""),"1000BTT")</f>
        <v>1000BTT</v>
      </c>
    </row>
    <row r="31" spans="1:3" x14ac:dyDescent="0.25">
      <c r="A31" s="2" t="str">
        <f ca="1">IFERROR(__xludf.DUMMYFUNCTION("""COMPUTED_VALUE"""),"1000rats")</f>
        <v>1000rats</v>
      </c>
      <c r="B31" s="2" t="str">
        <f ca="1">IFERROR(__xludf.DUMMYFUNCTION("""COMPUTED_VALUE"""),"1000rats")</f>
        <v>1000rats</v>
      </c>
      <c r="C31" s="2" t="str">
        <f ca="1">IFERROR(__xludf.DUMMYFUNCTION("""COMPUTED_VALUE"""),"1000RATS")</f>
        <v>1000RATS</v>
      </c>
    </row>
    <row r="32" spans="1:3" x14ac:dyDescent="0.25">
      <c r="A32" s="2" t="str">
        <f ca="1">IFERROR(__xludf.DUMMYFUNCTION("""COMPUTED_VALUE"""),"1000sats-ordinals")</f>
        <v>1000sats-ordinals</v>
      </c>
      <c r="B32" s="2" t="str">
        <f ca="1">IFERROR(__xludf.DUMMYFUNCTION("""COMPUTED_VALUE"""),"1000sats")</f>
        <v>1000sats</v>
      </c>
      <c r="C32" s="2" t="str">
        <f ca="1">IFERROR(__xludf.DUMMYFUNCTION("""COMPUTED_VALUE"""),"1000SATS (Ordinals)")</f>
        <v>1000SATS (Ordinals)</v>
      </c>
    </row>
    <row r="33" spans="1:3" x14ac:dyDescent="0.25">
      <c r="A33" s="2" t="str">
        <f ca="1">IFERROR(__xludf.DUMMYFUNCTION("""COMPUTED_VALUE"""),"1000shib")</f>
        <v>1000shib</v>
      </c>
      <c r="B33" s="2" t="str">
        <f ca="1">IFERROR(__xludf.DUMMYFUNCTION("""COMPUTED_VALUE"""),"1000shib")</f>
        <v>1000shib</v>
      </c>
      <c r="C33" s="2" t="str">
        <f ca="1">IFERROR(__xludf.DUMMYFUNCTION("""COMPUTED_VALUE"""),"1000SHIB")</f>
        <v>1000SHIB</v>
      </c>
    </row>
    <row r="34" spans="1:3" x14ac:dyDescent="0.25">
      <c r="A34" s="2" t="str">
        <f ca="1">IFERROR(__xludf.DUMMYFUNCTION("""COMPUTED_VALUE"""),"1000troll")</f>
        <v>1000troll</v>
      </c>
      <c r="B34" s="2" t="str">
        <f ca="1">IFERROR(__xludf.DUMMYFUNCTION("""COMPUTED_VALUE"""),"1000troll")</f>
        <v>1000troll</v>
      </c>
      <c r="C34" s="2" t="str">
        <f ca="1">IFERROR(__xludf.DUMMYFUNCTION("""COMPUTED_VALUE"""),"1000TROLL")</f>
        <v>1000TROLL</v>
      </c>
    </row>
    <row r="35" spans="1:3" x14ac:dyDescent="0.25">
      <c r="A35" s="2" t="str">
        <f ca="1">IFERROR(__xludf.DUMMYFUNCTION("""COMPUTED_VALUE"""),"16dao")</f>
        <v>16dao</v>
      </c>
      <c r="B35" s="2" t="str">
        <f ca="1">IFERROR(__xludf.DUMMYFUNCTION("""COMPUTED_VALUE"""),"16dao")</f>
        <v>16dao</v>
      </c>
      <c r="C35" s="2" t="str">
        <f ca="1">IFERROR(__xludf.DUMMYFUNCTION("""COMPUTED_VALUE"""),"16DAO")</f>
        <v>16DAO</v>
      </c>
    </row>
    <row r="36" spans="1:3" x14ac:dyDescent="0.25">
      <c r="A36" s="2" t="str">
        <f ca="1">IFERROR(__xludf.DUMMYFUNCTION("""COMPUTED_VALUE"""),"1art")</f>
        <v>1art</v>
      </c>
      <c r="B36" s="2" t="str">
        <f ca="1">IFERROR(__xludf.DUMMYFUNCTION("""COMPUTED_VALUE"""),"1art")</f>
        <v>1art</v>
      </c>
      <c r="C36" s="2" t="str">
        <f ca="1">IFERROR(__xludf.DUMMYFUNCTION("""COMPUTED_VALUE"""),"OneArt")</f>
        <v>OneArt</v>
      </c>
    </row>
    <row r="37" spans="1:3" x14ac:dyDescent="0.25">
      <c r="A37" s="2" t="str">
        <f ca="1">IFERROR(__xludf.DUMMYFUNCTION("""COMPUTED_VALUE"""),"1ex")</f>
        <v>1ex</v>
      </c>
      <c r="B37" s="2" t="str">
        <f ca="1">IFERROR(__xludf.DUMMYFUNCTION("""COMPUTED_VALUE"""),"1ex")</f>
        <v>1ex</v>
      </c>
      <c r="C37" s="2" t="str">
        <f ca="1">IFERROR(__xludf.DUMMYFUNCTION("""COMPUTED_VALUE"""),"1ex")</f>
        <v>1ex</v>
      </c>
    </row>
    <row r="38" spans="1:3" x14ac:dyDescent="0.25">
      <c r="A38" s="2" t="str">
        <f ca="1">IFERROR(__xludf.DUMMYFUNCTION("""COMPUTED_VALUE"""),"1guy")</f>
        <v>1guy</v>
      </c>
      <c r="B38" s="2" t="str">
        <f ca="1">IFERROR(__xludf.DUMMYFUNCTION("""COMPUTED_VALUE"""),"1guy")</f>
        <v>1guy</v>
      </c>
      <c r="C38" s="2" t="str">
        <f ca="1">IFERROR(__xludf.DUMMYFUNCTION("""COMPUTED_VALUE"""),"1GUY")</f>
        <v>1GUY</v>
      </c>
    </row>
    <row r="39" spans="1:3" x14ac:dyDescent="0.25">
      <c r="A39" s="2" t="str">
        <f ca="1">IFERROR(__xludf.DUMMYFUNCTION("""COMPUTED_VALUE"""),"1hive-water")</f>
        <v>1hive-water</v>
      </c>
      <c r="B39" s="2" t="str">
        <f ca="1">IFERROR(__xludf.DUMMYFUNCTION("""COMPUTED_VALUE"""),"water")</f>
        <v>water</v>
      </c>
      <c r="C39" s="2" t="str">
        <f ca="1">IFERROR(__xludf.DUMMYFUNCTION("""COMPUTED_VALUE"""),"1Hive Water")</f>
        <v>1Hive Water</v>
      </c>
    </row>
    <row r="40" spans="1:3" x14ac:dyDescent="0.25">
      <c r="A40" s="2" t="str">
        <f ca="1">IFERROR(__xludf.DUMMYFUNCTION("""COMPUTED_VALUE"""),"1inch")</f>
        <v>1inch</v>
      </c>
      <c r="B40" s="2" t="str">
        <f ca="1">IFERROR(__xludf.DUMMYFUNCTION("""COMPUTED_VALUE"""),"1inch")</f>
        <v>1inch</v>
      </c>
      <c r="C40" s="2" t="str">
        <f ca="1">IFERROR(__xludf.DUMMYFUNCTION("""COMPUTED_VALUE"""),"1inch")</f>
        <v>1inch</v>
      </c>
    </row>
    <row r="41" spans="1:3" x14ac:dyDescent="0.25">
      <c r="A41" s="2" t="str">
        <f ca="1">IFERROR(__xludf.DUMMYFUNCTION("""COMPUTED_VALUE"""),"1inch-yvault")</f>
        <v>1inch-yvault</v>
      </c>
      <c r="B41" s="2" t="str">
        <f ca="1">IFERROR(__xludf.DUMMYFUNCTION("""COMPUTED_VALUE"""),"yv1inch")</f>
        <v>yv1inch</v>
      </c>
      <c r="C41" s="2" t="str">
        <f ca="1">IFERROR(__xludf.DUMMYFUNCTION("""COMPUTED_VALUE"""),"1INCH yVault")</f>
        <v>1INCH yVault</v>
      </c>
    </row>
    <row r="42" spans="1:3" x14ac:dyDescent="0.25">
      <c r="A42" s="2" t="str">
        <f ca="1">IFERROR(__xludf.DUMMYFUNCTION("""COMPUTED_VALUE"""),"1intro")</f>
        <v>1intro</v>
      </c>
      <c r="B42" s="2" t="str">
        <f ca="1">IFERROR(__xludf.DUMMYFUNCTION("""COMPUTED_VALUE"""),"intro")</f>
        <v>intro</v>
      </c>
      <c r="C42" s="2" t="str">
        <f ca="1">IFERROR(__xludf.DUMMYFUNCTION("""COMPUTED_VALUE"""),"1intro")</f>
        <v>1intro</v>
      </c>
    </row>
    <row r="43" spans="1:3" x14ac:dyDescent="0.25">
      <c r="A43" s="2" t="str">
        <f ca="1">IFERROR(__xludf.DUMMYFUNCTION("""COMPUTED_VALUE"""),"1mdc")</f>
        <v>1mdc</v>
      </c>
      <c r="B43" s="2" t="str">
        <f ca="1">IFERROR(__xludf.DUMMYFUNCTION("""COMPUTED_VALUE"""),"1mdc")</f>
        <v>1mdc</v>
      </c>
      <c r="C43" s="2" t="str">
        <f ca="1">IFERROR(__xludf.DUMMYFUNCTION("""COMPUTED_VALUE"""),"1MDC")</f>
        <v>1MDC</v>
      </c>
    </row>
    <row r="44" spans="1:3" x14ac:dyDescent="0.25">
      <c r="A44" s="2" t="str">
        <f ca="1">IFERROR(__xludf.DUMMYFUNCTION("""COMPUTED_VALUE"""),"1million-nfts")</f>
        <v>1million-nfts</v>
      </c>
      <c r="B44" s="2" t="str">
        <f ca="1">IFERROR(__xludf.DUMMYFUNCTION("""COMPUTED_VALUE"""),"1mil")</f>
        <v>1mil</v>
      </c>
      <c r="C44" s="2" t="str">
        <f ca="1">IFERROR(__xludf.DUMMYFUNCTION("""COMPUTED_VALUE"""),"1MillionNFTs")</f>
        <v>1MillionNFTs</v>
      </c>
    </row>
    <row r="45" spans="1:3" x14ac:dyDescent="0.25">
      <c r="A45" s="2" t="str">
        <f ca="1">IFERROR(__xludf.DUMMYFUNCTION("""COMPUTED_VALUE"""),"1move token")</f>
        <v>1move token</v>
      </c>
      <c r="B45" s="2" t="str">
        <f ca="1">IFERROR(__xludf.DUMMYFUNCTION("""COMPUTED_VALUE"""),"1mt")</f>
        <v>1mt</v>
      </c>
      <c r="C45" s="2" t="str">
        <f ca="1">IFERROR(__xludf.DUMMYFUNCTION("""COMPUTED_VALUE"""),"1Move Token")</f>
        <v>1Move Token</v>
      </c>
    </row>
    <row r="46" spans="1:3" x14ac:dyDescent="0.25">
      <c r="A46" s="2" t="str">
        <f ca="1">IFERROR(__xludf.DUMMYFUNCTION("""COMPUTED_VALUE"""),"1reward-token")</f>
        <v>1reward-token</v>
      </c>
      <c r="B46" s="2" t="str">
        <f ca="1">IFERROR(__xludf.DUMMYFUNCTION("""COMPUTED_VALUE"""),"1rt")</f>
        <v>1rt</v>
      </c>
      <c r="C46" s="2" t="str">
        <f ca="1">IFERROR(__xludf.DUMMYFUNCTION("""COMPUTED_VALUE"""),"1Reward Token")</f>
        <v>1Reward Token</v>
      </c>
    </row>
    <row r="47" spans="1:3" x14ac:dyDescent="0.25">
      <c r="A47" s="2" t="str">
        <f ca="1">IFERROR(__xludf.DUMMYFUNCTION("""COMPUTED_VALUE"""),"1rus-btc25")</f>
        <v>1rus-btc25</v>
      </c>
      <c r="B47" s="2" t="str">
        <f ca="1">IFERROR(__xludf.DUMMYFUNCTION("""COMPUTED_VALUE"""),"@btc25")</f>
        <v>@btc25</v>
      </c>
      <c r="C47" s="2" t="str">
        <f ca="1">IFERROR(__xludf.DUMMYFUNCTION("""COMPUTED_VALUE"""),"1RUS BTC25")</f>
        <v>1RUS BTC25</v>
      </c>
    </row>
    <row r="48" spans="1:3" x14ac:dyDescent="0.25">
      <c r="A48" s="2" t="str">
        <f ca="1">IFERROR(__xludf.DUMMYFUNCTION("""COMPUTED_VALUE"""),"1rus-dao")</f>
        <v>1rus-dao</v>
      </c>
      <c r="B48" s="2" t="str">
        <f ca="1">IFERROR(__xludf.DUMMYFUNCTION("""COMPUTED_VALUE"""),"1rusd")</f>
        <v>1rusd</v>
      </c>
      <c r="C48" s="2" t="str">
        <f ca="1">IFERROR(__xludf.DUMMYFUNCTION("""COMPUTED_VALUE"""),"1RUS DAO")</f>
        <v>1RUS DAO</v>
      </c>
    </row>
    <row r="49" spans="1:3" x14ac:dyDescent="0.25">
      <c r="A49" s="2" t="str">
        <f ca="1">IFERROR(__xludf.DUMMYFUNCTION("""COMPUTED_VALUE"""),"1sol")</f>
        <v>1sol</v>
      </c>
      <c r="B49" s="2" t="str">
        <f ca="1">IFERROR(__xludf.DUMMYFUNCTION("""COMPUTED_VALUE"""),"1sol")</f>
        <v>1sol</v>
      </c>
      <c r="C49" s="2" t="str">
        <f ca="1">IFERROR(__xludf.DUMMYFUNCTION("""COMPUTED_VALUE"""),"1Sol")</f>
        <v>1Sol</v>
      </c>
    </row>
    <row r="50" spans="1:3" x14ac:dyDescent="0.25">
      <c r="A50" s="2" t="str">
        <f ca="1">IFERROR(__xludf.DUMMYFUNCTION("""COMPUTED_VALUE"""),"-2")</f>
        <v>-2</v>
      </c>
      <c r="B50" s="2" t="str">
        <f ca="1">IFERROR(__xludf.DUMMYFUNCTION("""COMPUTED_VALUE"""),"₿")</f>
        <v>₿</v>
      </c>
      <c r="C50" s="2" t="str">
        <f ca="1">IFERROR(__xludf.DUMMYFUNCTION("""COMPUTED_VALUE"""),"₿")</f>
        <v>₿</v>
      </c>
    </row>
    <row r="51" spans="1:3" x14ac:dyDescent="0.25">
      <c r="A51" s="2" t="str">
        <f ca="1">IFERROR(__xludf.DUMMYFUNCTION("""COMPUTED_VALUE"""),"2024pump")</f>
        <v>2024pump</v>
      </c>
      <c r="B51" s="2" t="str">
        <f ca="1">IFERROR(__xludf.DUMMYFUNCTION("""COMPUTED_VALUE"""),"pump")</f>
        <v>pump</v>
      </c>
      <c r="C51" s="2" t="str">
        <f ca="1">IFERROR(__xludf.DUMMYFUNCTION("""COMPUTED_VALUE"""),"2024PUMP")</f>
        <v>2024PUMP</v>
      </c>
    </row>
    <row r="52" spans="1:3" x14ac:dyDescent="0.25">
      <c r="A52" s="2" t="str">
        <f ca="1">IFERROR(__xludf.DUMMYFUNCTION("""COMPUTED_VALUE"""),"2080")</f>
        <v>2080</v>
      </c>
      <c r="B52" s="2" t="str">
        <f ca="1">IFERROR(__xludf.DUMMYFUNCTION("""COMPUTED_VALUE"""),"2080")</f>
        <v>2080</v>
      </c>
      <c r="C52" s="2" t="str">
        <f ca="1">IFERROR(__xludf.DUMMYFUNCTION("""COMPUTED_VALUE"""),"2080")</f>
        <v>2080</v>
      </c>
    </row>
    <row r="53" spans="1:3" x14ac:dyDescent="0.25">
      <c r="A53" s="2" t="str">
        <f ca="1">IFERROR(__xludf.DUMMYFUNCTION("""COMPUTED_VALUE"""),"20ex")</f>
        <v>20ex</v>
      </c>
      <c r="B53" s="2" t="str">
        <f ca="1">IFERROR(__xludf.DUMMYFUNCTION("""COMPUTED_VALUE"""),"20ex")</f>
        <v>20ex</v>
      </c>
      <c r="C53" s="2" t="str">
        <f ca="1">IFERROR(__xludf.DUMMYFUNCTION("""COMPUTED_VALUE"""),"20EX")</f>
        <v>20EX</v>
      </c>
    </row>
    <row r="54" spans="1:3" x14ac:dyDescent="0.25">
      <c r="A54" s="2" t="str">
        <f ca="1">IFERROR(__xludf.DUMMYFUNCTION("""COMPUTED_VALUE"""),"21million")</f>
        <v>21million</v>
      </c>
      <c r="B54" s="2" t="str">
        <f ca="1">IFERROR(__xludf.DUMMYFUNCTION("""COMPUTED_VALUE"""),"21m")</f>
        <v>21m</v>
      </c>
      <c r="C54" s="2" t="str">
        <f ca="1">IFERROR(__xludf.DUMMYFUNCTION("""COMPUTED_VALUE"""),"21Million")</f>
        <v>21Million</v>
      </c>
    </row>
    <row r="55" spans="1:3" x14ac:dyDescent="0.25">
      <c r="A55" s="2" t="str">
        <f ca="1">IFERROR(__xludf.DUMMYFUNCTION("""COMPUTED_VALUE"""),"21x")</f>
        <v>21x</v>
      </c>
      <c r="B55" s="2" t="str">
        <f ca="1">IFERROR(__xludf.DUMMYFUNCTION("""COMPUTED_VALUE"""),"21x")</f>
        <v>21x</v>
      </c>
      <c r="C55" s="2" t="str">
        <f ca="1">IFERROR(__xludf.DUMMYFUNCTION("""COMPUTED_VALUE"""),"21X Diamonds")</f>
        <v>21X Diamonds</v>
      </c>
    </row>
    <row r="56" spans="1:3" x14ac:dyDescent="0.25">
      <c r="A56" s="2" t="str">
        <f ca="1">IFERROR(__xludf.DUMMYFUNCTION("""COMPUTED_VALUE"""),"28vck")</f>
        <v>28vck</v>
      </c>
      <c r="B56" s="2" t="str">
        <f ca="1">IFERROR(__xludf.DUMMYFUNCTION("""COMPUTED_VALUE"""),"vck")</f>
        <v>vck</v>
      </c>
      <c r="C56" s="2" t="str">
        <f ca="1">IFERROR(__xludf.DUMMYFUNCTION("""COMPUTED_VALUE"""),"28VCK")</f>
        <v>28VCK</v>
      </c>
    </row>
    <row r="57" spans="1:3" x14ac:dyDescent="0.25">
      <c r="A57" s="2" t="str">
        <f ca="1">IFERROR(__xludf.DUMMYFUNCTION("""COMPUTED_VALUE"""),"2dai-io")</f>
        <v>2dai-io</v>
      </c>
      <c r="B57" s="2" t="str">
        <f ca="1">IFERROR(__xludf.DUMMYFUNCTION("""COMPUTED_VALUE"""),"2dai")</f>
        <v>2dai</v>
      </c>
      <c r="C57" s="3" t="str">
        <f ca="1">IFERROR(__xludf.DUMMYFUNCTION("""COMPUTED_VALUE"""),"2DAI.io")</f>
        <v>2DAI.io</v>
      </c>
    </row>
    <row r="58" spans="1:3" x14ac:dyDescent="0.25">
      <c r="A58" s="2" t="str">
        <f ca="1">IFERROR(__xludf.DUMMYFUNCTION("""COMPUTED_VALUE"""),"2fai")</f>
        <v>2fai</v>
      </c>
      <c r="B58" s="2" t="str">
        <f ca="1">IFERROR(__xludf.DUMMYFUNCTION("""COMPUTED_VALUE"""),"2fai")</f>
        <v>2fai</v>
      </c>
      <c r="C58" s="2" t="str">
        <f ca="1">IFERROR(__xludf.DUMMYFUNCTION("""COMPUTED_VALUE"""),"2FAI")</f>
        <v>2FAI</v>
      </c>
    </row>
    <row r="59" spans="1:3" x14ac:dyDescent="0.25">
      <c r="A59" s="2" t="str">
        <f ca="1">IFERROR(__xludf.DUMMYFUNCTION("""COMPUTED_VALUE"""),"2g-carbon-coin")</f>
        <v>2g-carbon-coin</v>
      </c>
      <c r="B59" s="2" t="str">
        <f ca="1">IFERROR(__xludf.DUMMYFUNCTION("""COMPUTED_VALUE"""),"2gcc")</f>
        <v>2gcc</v>
      </c>
      <c r="C59" s="2" t="str">
        <f ca="1">IFERROR(__xludf.DUMMYFUNCTION("""COMPUTED_VALUE"""),"2G Carbon Coin")</f>
        <v>2G Carbon Coin</v>
      </c>
    </row>
    <row r="60" spans="1:3" x14ac:dyDescent="0.25">
      <c r="A60" s="2" t="str">
        <f ca="1">IFERROR(__xludf.DUMMYFUNCTION("""COMPUTED_VALUE"""),"2moon")</f>
        <v>2moon</v>
      </c>
      <c r="B60" s="2" t="str">
        <f ca="1">IFERROR(__xludf.DUMMYFUNCTION("""COMPUTED_VALUE"""),"moon")</f>
        <v>moon</v>
      </c>
      <c r="C60" s="2" t="str">
        <f ca="1">IFERROR(__xludf.DUMMYFUNCTION("""COMPUTED_VALUE"""),"2MOON")</f>
        <v>2MOON</v>
      </c>
    </row>
    <row r="61" spans="1:3" x14ac:dyDescent="0.25">
      <c r="A61" s="2" t="str">
        <f ca="1">IFERROR(__xludf.DUMMYFUNCTION("""COMPUTED_VALUE"""),"2omb-finance")</f>
        <v>2omb-finance</v>
      </c>
      <c r="B61" s="2" t="str">
        <f ca="1">IFERROR(__xludf.DUMMYFUNCTION("""COMPUTED_VALUE"""),"2omb")</f>
        <v>2omb</v>
      </c>
      <c r="C61" s="2" t="str">
        <f ca="1">IFERROR(__xludf.DUMMYFUNCTION("""COMPUTED_VALUE"""),"2omb")</f>
        <v>2omb</v>
      </c>
    </row>
    <row r="62" spans="1:3" x14ac:dyDescent="0.25">
      <c r="A62" s="2" t="str">
        <f ca="1">IFERROR(__xludf.DUMMYFUNCTION("""COMPUTED_VALUE"""),"2share")</f>
        <v>2share</v>
      </c>
      <c r="B62" s="2" t="str">
        <f ca="1">IFERROR(__xludf.DUMMYFUNCTION("""COMPUTED_VALUE"""),"2shares")</f>
        <v>2shares</v>
      </c>
      <c r="C62" s="2" t="str">
        <f ca="1">IFERROR(__xludf.DUMMYFUNCTION("""COMPUTED_VALUE"""),"2SHARE")</f>
        <v>2SHARE</v>
      </c>
    </row>
    <row r="63" spans="1:3" x14ac:dyDescent="0.25">
      <c r="A63" s="2" t="str">
        <f ca="1">IFERROR(__xludf.DUMMYFUNCTION("""COMPUTED_VALUE"""),"-3")</f>
        <v>-3</v>
      </c>
      <c r="B63" s="2" t="str">
        <f ca="1">IFERROR(__xludf.DUMMYFUNCTION("""COMPUTED_VALUE"""),"meow")</f>
        <v>meow</v>
      </c>
      <c r="C63" s="2" t="str">
        <f ca="1">IFERROR(__xludf.DUMMYFUNCTION("""COMPUTED_VALUE"""),"Meow Meow Coin")</f>
        <v>Meow Meow Coin</v>
      </c>
    </row>
    <row r="64" spans="1:3" x14ac:dyDescent="0.25">
      <c r="A64" s="2" t="str">
        <f ca="1">IFERROR(__xludf.DUMMYFUNCTION("""COMPUTED_VALUE"""),"300fit")</f>
        <v>300fit</v>
      </c>
      <c r="B64" s="2" t="str">
        <f ca="1">IFERROR(__xludf.DUMMYFUNCTION("""COMPUTED_VALUE"""),"fit")</f>
        <v>fit</v>
      </c>
      <c r="C64" s="2" t="str">
        <f ca="1">IFERROR(__xludf.DUMMYFUNCTION("""COMPUTED_VALUE"""),"300FIT")</f>
        <v>300FIT</v>
      </c>
    </row>
    <row r="65" spans="1:3" x14ac:dyDescent="0.25">
      <c r="A65" s="2" t="str">
        <f ca="1">IFERROR(__xludf.DUMMYFUNCTION("""COMPUTED_VALUE"""),"3a-lending-protocol")</f>
        <v>3a-lending-protocol</v>
      </c>
      <c r="B65" s="2" t="str">
        <f ca="1">IFERROR(__xludf.DUMMYFUNCTION("""COMPUTED_VALUE"""),"a3a")</f>
        <v>a3a</v>
      </c>
      <c r="C65" s="2" t="str">
        <f ca="1">IFERROR(__xludf.DUMMYFUNCTION("""COMPUTED_VALUE"""),"3A")</f>
        <v>3A</v>
      </c>
    </row>
    <row r="66" spans="1:3" x14ac:dyDescent="0.25">
      <c r="A66" s="2" t="str">
        <f ca="1">IFERROR(__xludf.DUMMYFUNCTION("""COMPUTED_VALUE"""),"3d3d")</f>
        <v>3d3d</v>
      </c>
      <c r="B66" s="2" t="str">
        <f ca="1">IFERROR(__xludf.DUMMYFUNCTION("""COMPUTED_VALUE"""),"3d3d")</f>
        <v>3d3d</v>
      </c>
      <c r="C66" s="2" t="str">
        <f ca="1">IFERROR(__xludf.DUMMYFUNCTION("""COMPUTED_VALUE"""),"3d3d")</f>
        <v>3d3d</v>
      </c>
    </row>
    <row r="67" spans="1:3" x14ac:dyDescent="0.25">
      <c r="A67" s="2" t="str">
        <f ca="1">IFERROR(__xludf.DUMMYFUNCTION("""COMPUTED_VALUE"""),"3dpass")</f>
        <v>3dpass</v>
      </c>
      <c r="B67" s="2" t="str">
        <f ca="1">IFERROR(__xludf.DUMMYFUNCTION("""COMPUTED_VALUE"""),"p3d")</f>
        <v>p3d</v>
      </c>
      <c r="C67" s="2" t="str">
        <f ca="1">IFERROR(__xludf.DUMMYFUNCTION("""COMPUTED_VALUE"""),"3DPass")</f>
        <v>3DPass</v>
      </c>
    </row>
    <row r="68" spans="1:3" x14ac:dyDescent="0.25">
      <c r="A68" s="2" t="str">
        <f ca="1">IFERROR(__xludf.DUMMYFUNCTION("""COMPUTED_VALUE"""),"3-kingdoms-multiverse")</f>
        <v>3-kingdoms-multiverse</v>
      </c>
      <c r="B68" s="2" t="str">
        <f ca="1">IFERROR(__xludf.DUMMYFUNCTION("""COMPUTED_VALUE"""),"3km")</f>
        <v>3km</v>
      </c>
      <c r="C68" s="2" t="str">
        <f ca="1">IFERROR(__xludf.DUMMYFUNCTION("""COMPUTED_VALUE"""),"3 Kingdoms Multiverse")</f>
        <v>3 Kingdoms Multiverse</v>
      </c>
    </row>
    <row r="69" spans="1:3" x14ac:dyDescent="0.25">
      <c r="A69" s="2" t="str">
        <f ca="1">IFERROR(__xludf.DUMMYFUNCTION("""COMPUTED_VALUE"""),"3space-art")</f>
        <v>3space-art</v>
      </c>
      <c r="B69" s="2" t="str">
        <f ca="1">IFERROR(__xludf.DUMMYFUNCTION("""COMPUTED_VALUE"""),"pace")</f>
        <v>pace</v>
      </c>
      <c r="C69" s="2" t="str">
        <f ca="1">IFERROR(__xludf.DUMMYFUNCTION("""COMPUTED_VALUE"""),"3SPACE ART")</f>
        <v>3SPACE ART</v>
      </c>
    </row>
    <row r="70" spans="1:3" x14ac:dyDescent="0.25">
      <c r="A70" s="2" t="str">
        <f ca="1">IFERROR(__xludf.DUMMYFUNCTION("""COMPUTED_VALUE"""),"4")</f>
        <v>4</v>
      </c>
      <c r="B70" s="2" t="str">
        <f ca="1">IFERROR(__xludf.DUMMYFUNCTION("""COMPUTED_VALUE"""),"four")</f>
        <v>four</v>
      </c>
      <c r="C70" s="2" t="str">
        <f ca="1">IFERROR(__xludf.DUMMYFUNCTION("""COMPUTED_VALUE"""),"4")</f>
        <v>4</v>
      </c>
    </row>
    <row r="71" spans="1:3" x14ac:dyDescent="0.25">
      <c r="A71" s="2" t="str">
        <f ca="1">IFERROR(__xludf.DUMMYFUNCTION("""COMPUTED_VALUE"""),"404aliens")</f>
        <v>404aliens</v>
      </c>
      <c r="B71" s="2" t="str">
        <f ca="1">IFERROR(__xludf.DUMMYFUNCTION("""COMPUTED_VALUE"""),"404a")</f>
        <v>404a</v>
      </c>
      <c r="C71" s="2" t="str">
        <f ca="1">IFERROR(__xludf.DUMMYFUNCTION("""COMPUTED_VALUE"""),"404Aliens")</f>
        <v>404Aliens</v>
      </c>
    </row>
    <row r="72" spans="1:3" x14ac:dyDescent="0.25">
      <c r="A72" s="2" t="str">
        <f ca="1">IFERROR(__xludf.DUMMYFUNCTION("""COMPUTED_VALUE"""),"404-bakery")</f>
        <v>404-bakery</v>
      </c>
      <c r="B72" s="2" t="str">
        <f ca="1">IFERROR(__xludf.DUMMYFUNCTION("""COMPUTED_VALUE"""),"bake")</f>
        <v>bake</v>
      </c>
      <c r="C72" s="2" t="str">
        <f ca="1">IFERROR(__xludf.DUMMYFUNCTION("""COMPUTED_VALUE"""),"404 Bakery")</f>
        <v>404 Bakery</v>
      </c>
    </row>
    <row r="73" spans="1:3" x14ac:dyDescent="0.25">
      <c r="A73" s="2" t="str">
        <f ca="1">IFERROR(__xludf.DUMMYFUNCTION("""COMPUTED_VALUE"""),"404blocks")</f>
        <v>404blocks</v>
      </c>
      <c r="B73" s="2" t="str">
        <f ca="1">IFERROR(__xludf.DUMMYFUNCTION("""COMPUTED_VALUE"""),"404blocks")</f>
        <v>404blocks</v>
      </c>
      <c r="C73" s="2" t="str">
        <f ca="1">IFERROR(__xludf.DUMMYFUNCTION("""COMPUTED_VALUE"""),"404Blocks")</f>
        <v>404Blocks</v>
      </c>
    </row>
    <row r="74" spans="1:3" x14ac:dyDescent="0.25">
      <c r="A74" s="2" t="str">
        <f ca="1">IFERROR(__xludf.DUMMYFUNCTION("""COMPUTED_VALUE"""),"404ver")</f>
        <v>404ver</v>
      </c>
      <c r="B74" s="2" t="str">
        <f ca="1">IFERROR(__xludf.DUMMYFUNCTION("""COMPUTED_VALUE"""),"top")</f>
        <v>top</v>
      </c>
      <c r="C74" s="2" t="str">
        <f ca="1">IFERROR(__xludf.DUMMYFUNCTION("""COMPUTED_VALUE"""),"404ver")</f>
        <v>404ver</v>
      </c>
    </row>
    <row r="75" spans="1:3" x14ac:dyDescent="0.25">
      <c r="A75" s="2" t="str">
        <f ca="1">IFERROR(__xludf.DUMMYFUNCTION("""COMPUTED_VALUE"""),"4096")</f>
        <v>4096</v>
      </c>
      <c r="B75" s="2" t="str">
        <f ca="1">IFERROR(__xludf.DUMMYFUNCTION("""COMPUTED_VALUE"""),"4096")</f>
        <v>4096</v>
      </c>
      <c r="C75" s="2" t="str">
        <f ca="1">IFERROR(__xludf.DUMMYFUNCTION("""COMPUTED_VALUE"""),"4096")</f>
        <v>4096</v>
      </c>
    </row>
    <row r="76" spans="1:3" x14ac:dyDescent="0.25">
      <c r="A76" s="2" t="str">
        <f ca="1">IFERROR(__xludf.DUMMYFUNCTION("""COMPUTED_VALUE"""),"42-coin")</f>
        <v>42-coin</v>
      </c>
      <c r="B76" s="2" t="str">
        <f ca="1">IFERROR(__xludf.DUMMYFUNCTION("""COMPUTED_VALUE"""),"42")</f>
        <v>42</v>
      </c>
      <c r="C76" s="2" t="str">
        <f ca="1">IFERROR(__xludf.DUMMYFUNCTION("""COMPUTED_VALUE"""),"42-coin")</f>
        <v>42-coin</v>
      </c>
    </row>
    <row r="77" spans="1:3" x14ac:dyDescent="0.25">
      <c r="A77" s="2" t="str">
        <f ca="1">IFERROR(__xludf.DUMMYFUNCTION("""COMPUTED_VALUE"""),"4chan")</f>
        <v>4chan</v>
      </c>
      <c r="B77" s="2" t="str">
        <f ca="1">IFERROR(__xludf.DUMMYFUNCTION("""COMPUTED_VALUE"""),"4chan")</f>
        <v>4chan</v>
      </c>
      <c r="C77" s="2" t="str">
        <f ca="1">IFERROR(__xludf.DUMMYFUNCTION("""COMPUTED_VALUE"""),"4Chan")</f>
        <v>4Chan</v>
      </c>
    </row>
    <row r="78" spans="1:3" x14ac:dyDescent="0.25">
      <c r="A78" s="2" t="str">
        <f ca="1">IFERROR(__xludf.DUMMYFUNCTION("""COMPUTED_VALUE"""),"4dcoin")</f>
        <v>4dcoin</v>
      </c>
      <c r="B78" s="2" t="str">
        <f ca="1">IFERROR(__xludf.DUMMYFUNCTION("""COMPUTED_VALUE"""),"4dc")</f>
        <v>4dc</v>
      </c>
      <c r="C78" s="2" t="str">
        <f ca="1">IFERROR(__xludf.DUMMYFUNCTION("""COMPUTED_VALUE"""),"4DCoin")</f>
        <v>4DCoin</v>
      </c>
    </row>
    <row r="79" spans="1:3" x14ac:dyDescent="0.25">
      <c r="A79" s="2" t="str">
        <f ca="1">IFERROR(__xludf.DUMMYFUNCTION("""COMPUTED_VALUE"""),"4d-twin-maps-2")</f>
        <v>4d-twin-maps-2</v>
      </c>
      <c r="B79" s="2" t="str">
        <f ca="1">IFERROR(__xludf.DUMMYFUNCTION("""COMPUTED_VALUE"""),"4dmaps")</f>
        <v>4dmaps</v>
      </c>
      <c r="C79" s="2" t="str">
        <f ca="1">IFERROR(__xludf.DUMMYFUNCTION("""COMPUTED_VALUE"""),"4D Twin Maps")</f>
        <v>4D Twin Maps</v>
      </c>
    </row>
    <row r="80" spans="1:3" x14ac:dyDescent="0.25">
      <c r="A80" s="2" t="str">
        <f ca="1">IFERROR(__xludf.DUMMYFUNCTION("""COMPUTED_VALUE"""),"4int")</f>
        <v>4int</v>
      </c>
      <c r="B80" s="2" t="str">
        <f ca="1">IFERROR(__xludf.DUMMYFUNCTION("""COMPUTED_VALUE"""),"4int")</f>
        <v>4int</v>
      </c>
      <c r="C80" s="2" t="str">
        <f ca="1">IFERROR(__xludf.DUMMYFUNCTION("""COMPUTED_VALUE"""),"4INT")</f>
        <v>4INT</v>
      </c>
    </row>
    <row r="81" spans="1:3" x14ac:dyDescent="0.25">
      <c r="A81" s="2" t="str">
        <f ca="1">IFERROR(__xludf.DUMMYFUNCTION("""COMPUTED_VALUE"""),"4-next-unicorn")</f>
        <v>4-next-unicorn</v>
      </c>
      <c r="B81" s="2" t="str">
        <f ca="1">IFERROR(__xludf.DUMMYFUNCTION("""COMPUTED_VALUE"""),"nxtu")</f>
        <v>nxtu</v>
      </c>
      <c r="C81" s="2" t="str">
        <f ca="1">IFERROR(__xludf.DUMMYFUNCTION("""COMPUTED_VALUE"""),"4 Next Unicorn")</f>
        <v>4 Next Unicorn</v>
      </c>
    </row>
    <row r="82" spans="1:3" x14ac:dyDescent="0.25">
      <c r="A82" s="2" t="str">
        <f ca="1">IFERROR(__xludf.DUMMYFUNCTION("""COMPUTED_VALUE"""),"4tb-coin")</f>
        <v>4tb-coin</v>
      </c>
      <c r="B82" s="2" t="str">
        <f ca="1">IFERROR(__xludf.DUMMYFUNCTION("""COMPUTED_VALUE"""),"4tb")</f>
        <v>4tb</v>
      </c>
      <c r="C82" s="2" t="str">
        <f ca="1">IFERROR(__xludf.DUMMYFUNCTION("""COMPUTED_VALUE"""),"4TB Coin")</f>
        <v>4TB Coin</v>
      </c>
    </row>
    <row r="83" spans="1:3" x14ac:dyDescent="0.25">
      <c r="A83" s="2" t="str">
        <f ca="1">IFERROR(__xludf.DUMMYFUNCTION("""COMPUTED_VALUE"""),"4trump")</f>
        <v>4trump</v>
      </c>
      <c r="B83" s="2" t="str">
        <f ca="1">IFERROR(__xludf.DUMMYFUNCTION("""COMPUTED_VALUE"""),"4win")</f>
        <v>4win</v>
      </c>
      <c r="C83" s="2" t="str">
        <f ca="1">IFERROR(__xludf.DUMMYFUNCTION("""COMPUTED_VALUE"""),"4TRUMP")</f>
        <v>4TRUMP</v>
      </c>
    </row>
    <row r="84" spans="1:3" x14ac:dyDescent="0.25">
      <c r="A84" s="2" t="str">
        <f ca="1">IFERROR(__xludf.DUMMYFUNCTION("""COMPUTED_VALUE"""),"4-way-mirror-money")</f>
        <v>4-way-mirror-money</v>
      </c>
      <c r="B84" s="2" t="str">
        <f ca="1">IFERROR(__xludf.DUMMYFUNCTION("""COMPUTED_VALUE"""),"4wmm")</f>
        <v>4wmm</v>
      </c>
      <c r="C84" s="2" t="str">
        <f ca="1">IFERROR(__xludf.DUMMYFUNCTION("""COMPUTED_VALUE"""),"4-Way Mirror Money")</f>
        <v>4-Way Mirror Money</v>
      </c>
    </row>
    <row r="85" spans="1:3" x14ac:dyDescent="0.25">
      <c r="A85" s="2" t="str">
        <f ca="1">IFERROR(__xludf.DUMMYFUNCTION("""COMPUTED_VALUE"""),"5g-cash")</f>
        <v>5g-cash</v>
      </c>
      <c r="B85" s="2" t="str">
        <f ca="1">IFERROR(__xludf.DUMMYFUNCTION("""COMPUTED_VALUE"""),"vgc")</f>
        <v>vgc</v>
      </c>
      <c r="C85" s="2" t="str">
        <f ca="1">IFERROR(__xludf.DUMMYFUNCTION("""COMPUTED_VALUE"""),"5G-CASH")</f>
        <v>5G-CASH</v>
      </c>
    </row>
    <row r="86" spans="1:3" x14ac:dyDescent="0.25">
      <c r="A86" s="2" t="str">
        <f ca="1">IFERROR(__xludf.DUMMYFUNCTION("""COMPUTED_VALUE"""),"5ire")</f>
        <v>5ire</v>
      </c>
      <c r="B86" s="2" t="str">
        <f ca="1">IFERROR(__xludf.DUMMYFUNCTION("""COMPUTED_VALUE"""),"5ire")</f>
        <v>5ire</v>
      </c>
      <c r="C86" s="2" t="str">
        <f ca="1">IFERROR(__xludf.DUMMYFUNCTION("""COMPUTED_VALUE"""),"5ire")</f>
        <v>5ire</v>
      </c>
    </row>
    <row r="87" spans="1:3" x14ac:dyDescent="0.25">
      <c r="A87" s="2" t="str">
        <f ca="1">IFERROR(__xludf.DUMMYFUNCTION("""COMPUTED_VALUE"""),"5mc")</f>
        <v>5mc</v>
      </c>
      <c r="B87" s="2" t="str">
        <f ca="1">IFERROR(__xludf.DUMMYFUNCTION("""COMPUTED_VALUE"""),"5mc")</f>
        <v>5mc</v>
      </c>
      <c r="C87" s="2" t="str">
        <f ca="1">IFERROR(__xludf.DUMMYFUNCTION("""COMPUTED_VALUE"""),"5mc")</f>
        <v>5mc</v>
      </c>
    </row>
    <row r="88" spans="1:3" x14ac:dyDescent="0.25">
      <c r="A88" s="2" t="str">
        <f ca="1">IFERROR(__xludf.DUMMYFUNCTION("""COMPUTED_VALUE"""),"69420")</f>
        <v>69420</v>
      </c>
      <c r="B88" s="2" t="str">
        <f ca="1">IFERROR(__xludf.DUMMYFUNCTION("""COMPUTED_VALUE"""),"69420")</f>
        <v>69420</v>
      </c>
      <c r="C88" s="2" t="str">
        <f ca="1">IFERROR(__xludf.DUMMYFUNCTION("""COMPUTED_VALUE"""),"69420")</f>
        <v>69420</v>
      </c>
    </row>
    <row r="89" spans="1:3" x14ac:dyDescent="0.25">
      <c r="A89" s="2" t="str">
        <f ca="1">IFERROR(__xludf.DUMMYFUNCTION("""COMPUTED_VALUE"""),"777")</f>
        <v>777</v>
      </c>
      <c r="B89" s="2" t="str">
        <f ca="1">IFERROR(__xludf.DUMMYFUNCTION("""COMPUTED_VALUE"""),"777")</f>
        <v>777</v>
      </c>
      <c r="C89" s="2" t="str">
        <f ca="1">IFERROR(__xludf.DUMMYFUNCTION("""COMPUTED_VALUE"""),"777")</f>
        <v>777</v>
      </c>
    </row>
    <row r="90" spans="1:3" x14ac:dyDescent="0.25">
      <c r="A90" s="2" t="str">
        <f ca="1">IFERROR(__xludf.DUMMYFUNCTION("""COMPUTED_VALUE"""),"777fuckilluminatiworldwid")</f>
        <v>777fuckilluminatiworldwid</v>
      </c>
      <c r="B90" s="2" t="str">
        <f ca="1">IFERROR(__xludf.DUMMYFUNCTION("""COMPUTED_VALUE"""),"fiw")</f>
        <v>fiw</v>
      </c>
      <c r="C90" s="2" t="str">
        <f ca="1">IFERROR(__xludf.DUMMYFUNCTION("""COMPUTED_VALUE"""),"777FuckIlluminatiWorldwid")</f>
        <v>777FuckIlluminatiWorldwid</v>
      </c>
    </row>
    <row r="91" spans="1:3" x14ac:dyDescent="0.25">
      <c r="A91" s="2" t="str">
        <f ca="1">IFERROR(__xludf.DUMMYFUNCTION("""COMPUTED_VALUE"""),"88mph")</f>
        <v>88mph</v>
      </c>
      <c r="B91" s="2" t="str">
        <f ca="1">IFERROR(__xludf.DUMMYFUNCTION("""COMPUTED_VALUE"""),"mph")</f>
        <v>mph</v>
      </c>
      <c r="C91" s="2" t="str">
        <f ca="1">IFERROR(__xludf.DUMMYFUNCTION("""COMPUTED_VALUE"""),"88mph")</f>
        <v>88mph</v>
      </c>
    </row>
    <row r="92" spans="1:3" x14ac:dyDescent="0.25">
      <c r="A92" s="2" t="str">
        <f ca="1">IFERROR(__xludf.DUMMYFUNCTION("""COMPUTED_VALUE"""),"8bit-chain")</f>
        <v>8bit-chain</v>
      </c>
      <c r="B92" s="2" t="str">
        <f ca="1">IFERROR(__xludf.DUMMYFUNCTION("""COMPUTED_VALUE"""),"w8bit")</f>
        <v>w8bit</v>
      </c>
      <c r="C92" s="2" t="str">
        <f ca="1">IFERROR(__xludf.DUMMYFUNCTION("""COMPUTED_VALUE"""),"8Bit Chain")</f>
        <v>8Bit Chain</v>
      </c>
    </row>
    <row r="93" spans="1:3" x14ac:dyDescent="0.25">
      <c r="A93" s="2" t="str">
        <f ca="1">IFERROR(__xludf.DUMMYFUNCTION("""COMPUTED_VALUE"""),"8-bit-coin")</f>
        <v>8-bit-coin</v>
      </c>
      <c r="B93" s="2" t="str">
        <f ca="1">IFERROR(__xludf.DUMMYFUNCTION("""COMPUTED_VALUE"""),"coin")</f>
        <v>coin</v>
      </c>
      <c r="C93" s="2" t="str">
        <f ca="1">IFERROR(__xludf.DUMMYFUNCTION("""COMPUTED_VALUE"""),"8-Bit Coin")</f>
        <v>8-Bit Coin</v>
      </c>
    </row>
    <row r="94" spans="1:3" x14ac:dyDescent="0.25">
      <c r="A94" s="2" t="str">
        <f ca="1">IFERROR(__xludf.DUMMYFUNCTION("""COMPUTED_VALUE"""),"8pay")</f>
        <v>8pay</v>
      </c>
      <c r="B94" s="2" t="str">
        <f ca="1">IFERROR(__xludf.DUMMYFUNCTION("""COMPUTED_VALUE"""),"8pay")</f>
        <v>8pay</v>
      </c>
      <c r="C94" s="2" t="str">
        <f ca="1">IFERROR(__xludf.DUMMYFUNCTION("""COMPUTED_VALUE"""),"8Pay")</f>
        <v>8Pay</v>
      </c>
    </row>
    <row r="95" spans="1:3" x14ac:dyDescent="0.25">
      <c r="A95" s="2" t="str">
        <f ca="1">IFERROR(__xludf.DUMMYFUNCTION("""COMPUTED_VALUE"""),"90-s-kid")</f>
        <v>90-s-kid</v>
      </c>
      <c r="B95" s="2" t="str">
        <f ca="1">IFERROR(__xludf.DUMMYFUNCTION("""COMPUTED_VALUE"""),"kids")</f>
        <v>kids</v>
      </c>
      <c r="C95" s="2" t="str">
        <f ca="1">IFERROR(__xludf.DUMMYFUNCTION("""COMPUTED_VALUE"""),"90's KID")</f>
        <v>90's KID</v>
      </c>
    </row>
    <row r="96" spans="1:3" x14ac:dyDescent="0.25">
      <c r="A96" s="2" t="str">
        <f ca="1">IFERROR(__xludf.DUMMYFUNCTION("""COMPUTED_VALUE"""),"9-5")</f>
        <v>9-5</v>
      </c>
      <c r="B96" s="2" t="str">
        <f ca="1">IFERROR(__xludf.DUMMYFUNCTION("""COMPUTED_VALUE"""),"9-5")</f>
        <v>9-5</v>
      </c>
      <c r="C96" s="2" t="str">
        <f ca="1">IFERROR(__xludf.DUMMYFUNCTION("""COMPUTED_VALUE"""),"9to5")</f>
        <v>9to5</v>
      </c>
    </row>
    <row r="97" spans="1:3" x14ac:dyDescent="0.25">
      <c r="A97" s="2" t="str">
        <f ca="1">IFERROR(__xludf.DUMMYFUNCTION("""COMPUTED_VALUE"""),"99-bitcoins")</f>
        <v>99-bitcoins</v>
      </c>
      <c r="B97" s="2" t="str">
        <f ca="1">IFERROR(__xludf.DUMMYFUNCTION("""COMPUTED_VALUE"""),"99btc")</f>
        <v>99btc</v>
      </c>
      <c r="C97" s="2" t="str">
        <f ca="1">IFERROR(__xludf.DUMMYFUNCTION("""COMPUTED_VALUE"""),"99 Bitcoins")</f>
        <v>99 Bitcoins</v>
      </c>
    </row>
    <row r="98" spans="1:3" x14ac:dyDescent="0.25">
      <c r="A98" s="2" t="str">
        <f ca="1">IFERROR(__xludf.DUMMYFUNCTION("""COMPUTED_VALUE"""),"99starz")</f>
        <v>99starz</v>
      </c>
      <c r="B98" s="2" t="str">
        <f ca="1">IFERROR(__xludf.DUMMYFUNCTION("""COMPUTED_VALUE"""),"stz")</f>
        <v>stz</v>
      </c>
      <c r="C98" s="2" t="str">
        <f ca="1">IFERROR(__xludf.DUMMYFUNCTION("""COMPUTED_VALUE"""),"99Starz")</f>
        <v>99Starz</v>
      </c>
    </row>
    <row r="99" spans="1:3" x14ac:dyDescent="0.25">
      <c r="A99" s="2" t="str">
        <f ca="1">IFERROR(__xludf.DUMMYFUNCTION("""COMPUTED_VALUE"""),"9inch")</f>
        <v>9inch</v>
      </c>
      <c r="B99" s="2" t="str">
        <f ca="1">IFERROR(__xludf.DUMMYFUNCTION("""COMPUTED_VALUE"""),"9inch")</f>
        <v>9inch</v>
      </c>
      <c r="C99" s="2" t="str">
        <f ca="1">IFERROR(__xludf.DUMMYFUNCTION("""COMPUTED_VALUE"""),"9inch")</f>
        <v>9inch</v>
      </c>
    </row>
    <row r="100" spans="1:3" x14ac:dyDescent="0.25">
      <c r="A100" s="2" t="str">
        <f ca="1">IFERROR(__xludf.DUMMYFUNCTION("""COMPUTED_VALUE"""),"9to5io")</f>
        <v>9to5io</v>
      </c>
      <c r="B100" s="2" t="str">
        <f ca="1">IFERROR(__xludf.DUMMYFUNCTION("""COMPUTED_VALUE"""),"9to5")</f>
        <v>9to5</v>
      </c>
      <c r="C100" s="2" t="str">
        <f ca="1">IFERROR(__xludf.DUMMYFUNCTION("""COMPUTED_VALUE"""),"9to5io")</f>
        <v>9to5io</v>
      </c>
    </row>
    <row r="101" spans="1:3" x14ac:dyDescent="0.25">
      <c r="A101" s="2" t="str">
        <f ca="1">IFERROR(__xludf.DUMMYFUNCTION("""COMPUTED_VALUE"""),"a3s")</f>
        <v>a3s</v>
      </c>
      <c r="B101" s="2" t="str">
        <f ca="1">IFERROR(__xludf.DUMMYFUNCTION("""COMPUTED_VALUE"""),"aa")</f>
        <v>aa</v>
      </c>
      <c r="C101" s="2" t="str">
        <f ca="1">IFERROR(__xludf.DUMMYFUNCTION("""COMPUTED_VALUE"""),"A3S")</f>
        <v>A3S</v>
      </c>
    </row>
    <row r="102" spans="1:3" x14ac:dyDescent="0.25">
      <c r="A102" s="2" t="str">
        <f ca="1">IFERROR(__xludf.DUMMYFUNCTION("""COMPUTED_VALUE"""),"a4-finance")</f>
        <v>a4-finance</v>
      </c>
      <c r="B102" s="2" t="str">
        <f ca="1">IFERROR(__xludf.DUMMYFUNCTION("""COMPUTED_VALUE"""),"a4")</f>
        <v>a4</v>
      </c>
      <c r="C102" s="2" t="str">
        <f ca="1">IFERROR(__xludf.DUMMYFUNCTION("""COMPUTED_VALUE"""),"A4 Finance")</f>
        <v>A4 Finance</v>
      </c>
    </row>
    <row r="103" spans="1:3" x14ac:dyDescent="0.25">
      <c r="A103" s="2" t="str">
        <f ca="1">IFERROR(__xludf.DUMMYFUNCTION("""COMPUTED_VALUE"""),"a51-finance")</f>
        <v>a51-finance</v>
      </c>
      <c r="B103" s="2" t="str">
        <f ca="1">IFERROR(__xludf.DUMMYFUNCTION("""COMPUTED_VALUE"""),"a51")</f>
        <v>a51</v>
      </c>
      <c r="C103" s="2" t="str">
        <f ca="1">IFERROR(__xludf.DUMMYFUNCTION("""COMPUTED_VALUE"""),"A51 Finance")</f>
        <v>A51 Finance</v>
      </c>
    </row>
    <row r="104" spans="1:3" x14ac:dyDescent="0.25">
      <c r="A104" s="2" t="str">
        <f ca="1">IFERROR(__xludf.DUMMYFUNCTION("""COMPUTED_VALUE"""),"aaa-cat")</f>
        <v>aaa-cat</v>
      </c>
      <c r="B104" s="2" t="str">
        <f ca="1">IFERROR(__xludf.DUMMYFUNCTION("""COMPUTED_VALUE"""),"aaa")</f>
        <v>aaa</v>
      </c>
      <c r="C104" s="2" t="str">
        <f ca="1">IFERROR(__xludf.DUMMYFUNCTION("""COMPUTED_VALUE"""),"aaa cat")</f>
        <v>aaa cat</v>
      </c>
    </row>
    <row r="105" spans="1:3" x14ac:dyDescent="0.25">
      <c r="A105" s="2" t="str">
        <f ca="1">IFERROR(__xludf.DUMMYFUNCTION("""COMPUTED_VALUE"""),"aada-finance")</f>
        <v>aada-finance</v>
      </c>
      <c r="B105" s="2" t="str">
        <f ca="1">IFERROR(__xludf.DUMMYFUNCTION("""COMPUTED_VALUE"""),"lenfi")</f>
        <v>lenfi</v>
      </c>
      <c r="C105" s="2" t="str">
        <f ca="1">IFERROR(__xludf.DUMMYFUNCTION("""COMPUTED_VALUE"""),"Lenfi")</f>
        <v>Lenfi</v>
      </c>
    </row>
    <row r="106" spans="1:3" x14ac:dyDescent="0.25">
      <c r="A106" s="2" t="str">
        <f ca="1">IFERROR(__xludf.DUMMYFUNCTION("""COMPUTED_VALUE"""),"aadex-finance")</f>
        <v>aadex-finance</v>
      </c>
      <c r="B106" s="2" t="str">
        <f ca="1">IFERROR(__xludf.DUMMYFUNCTION("""COMPUTED_VALUE"""),"ade")</f>
        <v>ade</v>
      </c>
      <c r="C106" s="2" t="str">
        <f ca="1">IFERROR(__xludf.DUMMYFUNCTION("""COMPUTED_VALUE"""),"AADex Finance")</f>
        <v>AADex Finance</v>
      </c>
    </row>
    <row r="107" spans="1:3" x14ac:dyDescent="0.25">
      <c r="A107" s="2" t="str">
        <f ca="1">IFERROR(__xludf.DUMMYFUNCTION("""COMPUTED_VALUE"""),"aag-ventures")</f>
        <v>aag-ventures</v>
      </c>
      <c r="B107" s="2" t="str">
        <f ca="1">IFERROR(__xludf.DUMMYFUNCTION("""COMPUTED_VALUE"""),"aag")</f>
        <v>aag</v>
      </c>
      <c r="C107" s="2" t="str">
        <f ca="1">IFERROR(__xludf.DUMMYFUNCTION("""COMPUTED_VALUE"""),"AAG")</f>
        <v>AAG</v>
      </c>
    </row>
    <row r="108" spans="1:3" x14ac:dyDescent="0.25">
      <c r="A108" s="2" t="str">
        <f ca="1">IFERROR(__xludf.DUMMYFUNCTION("""COMPUTED_VALUE"""),"aann-ai")</f>
        <v>aann-ai</v>
      </c>
      <c r="B108" s="2" t="str">
        <f ca="1">IFERROR(__xludf.DUMMYFUNCTION("""COMPUTED_VALUE"""),"an")</f>
        <v>an</v>
      </c>
      <c r="C108" s="3" t="str">
        <f ca="1">IFERROR(__xludf.DUMMYFUNCTION("""COMPUTED_VALUE"""),"AANN.ai")</f>
        <v>AANN.ai</v>
      </c>
    </row>
    <row r="109" spans="1:3" x14ac:dyDescent="0.25">
      <c r="A109" s="2" t="str">
        <f ca="1">IFERROR(__xludf.DUMMYFUNCTION("""COMPUTED_VALUE"""),"aardvark-2")</f>
        <v>aardvark-2</v>
      </c>
      <c r="B109" s="2" t="str">
        <f ca="1">IFERROR(__xludf.DUMMYFUNCTION("""COMPUTED_VALUE"""),"vark")</f>
        <v>vark</v>
      </c>
      <c r="C109" s="2" t="str">
        <f ca="1">IFERROR(__xludf.DUMMYFUNCTION("""COMPUTED_VALUE"""),"Aardvark")</f>
        <v>Aardvark</v>
      </c>
    </row>
    <row r="110" spans="1:3" x14ac:dyDescent="0.25">
      <c r="A110" s="2" t="str">
        <f ca="1">IFERROR(__xludf.DUMMYFUNCTION("""COMPUTED_VALUE"""),"aark-digital")</f>
        <v>aark-digital</v>
      </c>
      <c r="B110" s="2" t="str">
        <f ca="1">IFERROR(__xludf.DUMMYFUNCTION("""COMPUTED_VALUE"""),"aark")</f>
        <v>aark</v>
      </c>
      <c r="C110" s="2" t="str">
        <f ca="1">IFERROR(__xludf.DUMMYFUNCTION("""COMPUTED_VALUE"""),"Aark Digital")</f>
        <v>Aark Digital</v>
      </c>
    </row>
    <row r="111" spans="1:3" x14ac:dyDescent="0.25">
      <c r="A111" s="2" t="str">
        <f ca="1">IFERROR(__xludf.DUMMYFUNCTION("""COMPUTED_VALUE"""),"aarma")</f>
        <v>aarma</v>
      </c>
      <c r="B111" s="2" t="str">
        <f ca="1">IFERROR(__xludf.DUMMYFUNCTION("""COMPUTED_VALUE"""),"arma")</f>
        <v>arma</v>
      </c>
      <c r="C111" s="2" t="str">
        <f ca="1">IFERROR(__xludf.DUMMYFUNCTION("""COMPUTED_VALUE"""),"Aarma [OLD]")</f>
        <v>Aarma [OLD]</v>
      </c>
    </row>
    <row r="112" spans="1:3" x14ac:dyDescent="0.25">
      <c r="A112" s="2" t="str">
        <f ca="1">IFERROR(__xludf.DUMMYFUNCTION("""COMPUTED_VALUE"""),"aarma-2")</f>
        <v>aarma-2</v>
      </c>
      <c r="B112" s="2" t="str">
        <f ca="1">IFERROR(__xludf.DUMMYFUNCTION("""COMPUTED_VALUE"""),"arma")</f>
        <v>arma</v>
      </c>
      <c r="C112" s="2" t="str">
        <f ca="1">IFERROR(__xludf.DUMMYFUNCTION("""COMPUTED_VALUE"""),"Aarma")</f>
        <v>Aarma</v>
      </c>
    </row>
    <row r="113" spans="1:3" x14ac:dyDescent="0.25">
      <c r="A113" s="2" t="str">
        <f ca="1">IFERROR(__xludf.DUMMYFUNCTION("""COMPUTED_VALUE"""),"aastoken")</f>
        <v>aastoken</v>
      </c>
      <c r="B113" s="2" t="str">
        <f ca="1">IFERROR(__xludf.DUMMYFUNCTION("""COMPUTED_VALUE"""),"aast")</f>
        <v>aast</v>
      </c>
      <c r="C113" s="2" t="str">
        <f ca="1">IFERROR(__xludf.DUMMYFUNCTION("""COMPUTED_VALUE"""),"AASToken")</f>
        <v>AASToken</v>
      </c>
    </row>
    <row r="114" spans="1:3" x14ac:dyDescent="0.25">
      <c r="A114" s="2" t="str">
        <f ca="1">IFERROR(__xludf.DUMMYFUNCTION("""COMPUTED_VALUE"""),"aave")</f>
        <v>aave</v>
      </c>
      <c r="B114" s="2" t="str">
        <f ca="1">IFERROR(__xludf.DUMMYFUNCTION("""COMPUTED_VALUE"""),"aave")</f>
        <v>aave</v>
      </c>
      <c r="C114" s="2" t="str">
        <f ca="1">IFERROR(__xludf.DUMMYFUNCTION("""COMPUTED_VALUE"""),"Aave")</f>
        <v>Aave</v>
      </c>
    </row>
    <row r="115" spans="1:3" x14ac:dyDescent="0.25">
      <c r="A115" s="2" t="str">
        <f ca="1">IFERROR(__xludf.DUMMYFUNCTION("""COMPUTED_VALUE"""),"aave-aave")</f>
        <v>aave-aave</v>
      </c>
      <c r="B115" s="2" t="str">
        <f ca="1">IFERROR(__xludf.DUMMYFUNCTION("""COMPUTED_VALUE"""),"aaave")</f>
        <v>aaave</v>
      </c>
      <c r="C115" s="2" t="str">
        <f ca="1">IFERROR(__xludf.DUMMYFUNCTION("""COMPUTED_VALUE"""),"Aave AAVE")</f>
        <v>Aave AAVE</v>
      </c>
    </row>
    <row r="116" spans="1:3" x14ac:dyDescent="0.25">
      <c r="A116" s="2" t="str">
        <f ca="1">IFERROR(__xludf.DUMMYFUNCTION("""COMPUTED_VALUE"""),"aave-amm-bptbalweth")</f>
        <v>aave-amm-bptbalweth</v>
      </c>
      <c r="B116" s="2" t="str">
        <f ca="1">IFERROR(__xludf.DUMMYFUNCTION("""COMPUTED_VALUE"""),"aammbptbalweth")</f>
        <v>aammbptbalweth</v>
      </c>
      <c r="C116" s="2" t="str">
        <f ca="1">IFERROR(__xludf.DUMMYFUNCTION("""COMPUTED_VALUE"""),"Aave AMM BptBALWETH")</f>
        <v>Aave AMM BptBALWETH</v>
      </c>
    </row>
    <row r="117" spans="1:3" x14ac:dyDescent="0.25">
      <c r="A117" s="2" t="str">
        <f ca="1">IFERROR(__xludf.DUMMYFUNCTION("""COMPUTED_VALUE"""),"aave-amm-bptwbtcweth")</f>
        <v>aave-amm-bptwbtcweth</v>
      </c>
      <c r="B117" s="2" t="str">
        <f ca="1">IFERROR(__xludf.DUMMYFUNCTION("""COMPUTED_VALUE"""),"aammbptwbtcweth")</f>
        <v>aammbptwbtcweth</v>
      </c>
      <c r="C117" s="2" t="str">
        <f ca="1">IFERROR(__xludf.DUMMYFUNCTION("""COMPUTED_VALUE"""),"Aave AMM BptWBTCWETH")</f>
        <v>Aave AMM BptWBTCWETH</v>
      </c>
    </row>
    <row r="118" spans="1:3" x14ac:dyDescent="0.25">
      <c r="A118" s="2" t="str">
        <f ca="1">IFERROR(__xludf.DUMMYFUNCTION("""COMPUTED_VALUE"""),"aave-amm-dai")</f>
        <v>aave-amm-dai</v>
      </c>
      <c r="B118" s="2" t="str">
        <f ca="1">IFERROR(__xludf.DUMMYFUNCTION("""COMPUTED_VALUE"""),"aammdai")</f>
        <v>aammdai</v>
      </c>
      <c r="C118" s="2" t="str">
        <f ca="1">IFERROR(__xludf.DUMMYFUNCTION("""COMPUTED_VALUE"""),"Aave AMM DAI")</f>
        <v>Aave AMM DAI</v>
      </c>
    </row>
    <row r="119" spans="1:3" x14ac:dyDescent="0.25">
      <c r="A119" s="2" t="str">
        <f ca="1">IFERROR(__xludf.DUMMYFUNCTION("""COMPUTED_VALUE"""),"aave-amm-uniaaveweth")</f>
        <v>aave-amm-uniaaveweth</v>
      </c>
      <c r="B119" s="2" t="str">
        <f ca="1">IFERROR(__xludf.DUMMYFUNCTION("""COMPUTED_VALUE"""),"aammuniaaveweth")</f>
        <v>aammuniaaveweth</v>
      </c>
      <c r="C119" s="2" t="str">
        <f ca="1">IFERROR(__xludf.DUMMYFUNCTION("""COMPUTED_VALUE"""),"Aave AMM UniAAVEWETH")</f>
        <v>Aave AMM UniAAVEWETH</v>
      </c>
    </row>
    <row r="120" spans="1:3" x14ac:dyDescent="0.25">
      <c r="A120" s="2" t="str">
        <f ca="1">IFERROR(__xludf.DUMMYFUNCTION("""COMPUTED_VALUE"""),"aave-amm-unibatweth")</f>
        <v>aave-amm-unibatweth</v>
      </c>
      <c r="B120" s="2" t="str">
        <f ca="1">IFERROR(__xludf.DUMMYFUNCTION("""COMPUTED_VALUE"""),"aammunibatweth")</f>
        <v>aammunibatweth</v>
      </c>
      <c r="C120" s="2" t="str">
        <f ca="1">IFERROR(__xludf.DUMMYFUNCTION("""COMPUTED_VALUE"""),"Aave AMM UniBATWETH")</f>
        <v>Aave AMM UniBATWETH</v>
      </c>
    </row>
    <row r="121" spans="1:3" x14ac:dyDescent="0.25">
      <c r="A121" s="2" t="str">
        <f ca="1">IFERROR(__xludf.DUMMYFUNCTION("""COMPUTED_VALUE"""),"aave-amm-unicrvweth")</f>
        <v>aave-amm-unicrvweth</v>
      </c>
      <c r="B121" s="2" t="str">
        <f ca="1">IFERROR(__xludf.DUMMYFUNCTION("""COMPUTED_VALUE"""),"aammunicrvweth")</f>
        <v>aammunicrvweth</v>
      </c>
      <c r="C121" s="2" t="str">
        <f ca="1">IFERROR(__xludf.DUMMYFUNCTION("""COMPUTED_VALUE"""),"Aave AMM UniCRVWETH")</f>
        <v>Aave AMM UniCRVWETH</v>
      </c>
    </row>
    <row r="122" spans="1:3" x14ac:dyDescent="0.25">
      <c r="A122" s="2" t="str">
        <f ca="1">IFERROR(__xludf.DUMMYFUNCTION("""COMPUTED_VALUE"""),"aave-amm-unidaiusdc")</f>
        <v>aave-amm-unidaiusdc</v>
      </c>
      <c r="B122" s="2" t="str">
        <f ca="1">IFERROR(__xludf.DUMMYFUNCTION("""COMPUTED_VALUE"""),"aammunidaiusdc")</f>
        <v>aammunidaiusdc</v>
      </c>
      <c r="C122" s="2" t="str">
        <f ca="1">IFERROR(__xludf.DUMMYFUNCTION("""COMPUTED_VALUE"""),"Aave AMM UniDAIUSDC")</f>
        <v>Aave AMM UniDAIUSDC</v>
      </c>
    </row>
    <row r="123" spans="1:3" x14ac:dyDescent="0.25">
      <c r="A123" s="2" t="str">
        <f ca="1">IFERROR(__xludf.DUMMYFUNCTION("""COMPUTED_VALUE"""),"aave-amm-unidaiweth")</f>
        <v>aave-amm-unidaiweth</v>
      </c>
      <c r="B123" s="2" t="str">
        <f ca="1">IFERROR(__xludf.DUMMYFUNCTION("""COMPUTED_VALUE"""),"aammunidaiweth")</f>
        <v>aammunidaiweth</v>
      </c>
      <c r="C123" s="2" t="str">
        <f ca="1">IFERROR(__xludf.DUMMYFUNCTION("""COMPUTED_VALUE"""),"Aave AMM UniDAIWETH")</f>
        <v>Aave AMM UniDAIWETH</v>
      </c>
    </row>
    <row r="124" spans="1:3" x14ac:dyDescent="0.25">
      <c r="A124" s="2" t="str">
        <f ca="1">IFERROR(__xludf.DUMMYFUNCTION("""COMPUTED_VALUE"""),"aave-amm-unilinkweth")</f>
        <v>aave-amm-unilinkweth</v>
      </c>
      <c r="B124" s="2" t="str">
        <f ca="1">IFERROR(__xludf.DUMMYFUNCTION("""COMPUTED_VALUE"""),"aammunilinkweth")</f>
        <v>aammunilinkweth</v>
      </c>
      <c r="C124" s="2" t="str">
        <f ca="1">IFERROR(__xludf.DUMMYFUNCTION("""COMPUTED_VALUE"""),"Aave AMM UniLINKWETH")</f>
        <v>Aave AMM UniLINKWETH</v>
      </c>
    </row>
    <row r="125" spans="1:3" x14ac:dyDescent="0.25">
      <c r="A125" s="2" t="str">
        <f ca="1">IFERROR(__xludf.DUMMYFUNCTION("""COMPUTED_VALUE"""),"aave-amm-unimkrweth")</f>
        <v>aave-amm-unimkrweth</v>
      </c>
      <c r="B125" s="2" t="str">
        <f ca="1">IFERROR(__xludf.DUMMYFUNCTION("""COMPUTED_VALUE"""),"aammunimkrweth")</f>
        <v>aammunimkrweth</v>
      </c>
      <c r="C125" s="2" t="str">
        <f ca="1">IFERROR(__xludf.DUMMYFUNCTION("""COMPUTED_VALUE"""),"Aave AMM UniMKRWETH")</f>
        <v>Aave AMM UniMKRWETH</v>
      </c>
    </row>
    <row r="126" spans="1:3" x14ac:dyDescent="0.25">
      <c r="A126" s="2" t="str">
        <f ca="1">IFERROR(__xludf.DUMMYFUNCTION("""COMPUTED_VALUE"""),"aave-amm-unirenweth")</f>
        <v>aave-amm-unirenweth</v>
      </c>
      <c r="B126" s="2" t="str">
        <f ca="1">IFERROR(__xludf.DUMMYFUNCTION("""COMPUTED_VALUE"""),"aammunirenweth")</f>
        <v>aammunirenweth</v>
      </c>
      <c r="C126" s="2" t="str">
        <f ca="1">IFERROR(__xludf.DUMMYFUNCTION("""COMPUTED_VALUE"""),"Aave AMM UniRENWETH")</f>
        <v>Aave AMM UniRENWETH</v>
      </c>
    </row>
    <row r="127" spans="1:3" x14ac:dyDescent="0.25">
      <c r="A127" s="2" t="str">
        <f ca="1">IFERROR(__xludf.DUMMYFUNCTION("""COMPUTED_VALUE"""),"aave-amm-unisnxweth")</f>
        <v>aave-amm-unisnxweth</v>
      </c>
      <c r="B127" s="2" t="str">
        <f ca="1">IFERROR(__xludf.DUMMYFUNCTION("""COMPUTED_VALUE"""),"aammunisnxweth")</f>
        <v>aammunisnxweth</v>
      </c>
      <c r="C127" s="2" t="str">
        <f ca="1">IFERROR(__xludf.DUMMYFUNCTION("""COMPUTED_VALUE"""),"Aave AMM UniSNXWETH")</f>
        <v>Aave AMM UniSNXWETH</v>
      </c>
    </row>
    <row r="128" spans="1:3" x14ac:dyDescent="0.25">
      <c r="A128" s="2" t="str">
        <f ca="1">IFERROR(__xludf.DUMMYFUNCTION("""COMPUTED_VALUE"""),"aave-amm-uniuniweth")</f>
        <v>aave-amm-uniuniweth</v>
      </c>
      <c r="B128" s="2" t="str">
        <f ca="1">IFERROR(__xludf.DUMMYFUNCTION("""COMPUTED_VALUE"""),"aammuniuniweth")</f>
        <v>aammuniuniweth</v>
      </c>
      <c r="C128" s="2" t="str">
        <f ca="1">IFERROR(__xludf.DUMMYFUNCTION("""COMPUTED_VALUE"""),"Aave AMM UniUNIWETH")</f>
        <v>Aave AMM UniUNIWETH</v>
      </c>
    </row>
    <row r="129" spans="1:3" x14ac:dyDescent="0.25">
      <c r="A129" s="2" t="str">
        <f ca="1">IFERROR(__xludf.DUMMYFUNCTION("""COMPUTED_VALUE"""),"aave-amm-uniusdcweth")</f>
        <v>aave-amm-uniusdcweth</v>
      </c>
      <c r="B129" s="2" t="str">
        <f ca="1">IFERROR(__xludf.DUMMYFUNCTION("""COMPUTED_VALUE"""),"aammuniusdcweth")</f>
        <v>aammuniusdcweth</v>
      </c>
      <c r="C129" s="2" t="str">
        <f ca="1">IFERROR(__xludf.DUMMYFUNCTION("""COMPUTED_VALUE"""),"Aave AMM UniUSDCWETH")</f>
        <v>Aave AMM UniUSDCWETH</v>
      </c>
    </row>
    <row r="130" spans="1:3" x14ac:dyDescent="0.25">
      <c r="A130" s="2" t="str">
        <f ca="1">IFERROR(__xludf.DUMMYFUNCTION("""COMPUTED_VALUE"""),"aave-amm-uniwbtcusdc")</f>
        <v>aave-amm-uniwbtcusdc</v>
      </c>
      <c r="B130" s="2" t="str">
        <f ca="1">IFERROR(__xludf.DUMMYFUNCTION("""COMPUTED_VALUE"""),"aammuniwbtcusdc")</f>
        <v>aammuniwbtcusdc</v>
      </c>
      <c r="C130" s="2" t="str">
        <f ca="1">IFERROR(__xludf.DUMMYFUNCTION("""COMPUTED_VALUE"""),"Aave AMM UniWBTCUSDC")</f>
        <v>Aave AMM UniWBTCUSDC</v>
      </c>
    </row>
    <row r="131" spans="1:3" x14ac:dyDescent="0.25">
      <c r="A131" s="2" t="str">
        <f ca="1">IFERROR(__xludf.DUMMYFUNCTION("""COMPUTED_VALUE"""),"aave-amm-uniwbtcweth")</f>
        <v>aave-amm-uniwbtcweth</v>
      </c>
      <c r="B131" s="2" t="str">
        <f ca="1">IFERROR(__xludf.DUMMYFUNCTION("""COMPUTED_VALUE"""),"aammuniwbtcweth")</f>
        <v>aammuniwbtcweth</v>
      </c>
      <c r="C131" s="2" t="str">
        <f ca="1">IFERROR(__xludf.DUMMYFUNCTION("""COMPUTED_VALUE"""),"Aave AMM UniWBTCWETH")</f>
        <v>Aave AMM UniWBTCWETH</v>
      </c>
    </row>
    <row r="132" spans="1:3" x14ac:dyDescent="0.25">
      <c r="A132" s="2" t="str">
        <f ca="1">IFERROR(__xludf.DUMMYFUNCTION("""COMPUTED_VALUE"""),"aave-amm-uniyfiweth")</f>
        <v>aave-amm-uniyfiweth</v>
      </c>
      <c r="B132" s="2" t="str">
        <f ca="1">IFERROR(__xludf.DUMMYFUNCTION("""COMPUTED_VALUE"""),"aammuniyfiweth")</f>
        <v>aammuniyfiweth</v>
      </c>
      <c r="C132" s="2" t="str">
        <f ca="1">IFERROR(__xludf.DUMMYFUNCTION("""COMPUTED_VALUE"""),"Aave AMM UniYFIWETH")</f>
        <v>Aave AMM UniYFIWETH</v>
      </c>
    </row>
    <row r="133" spans="1:3" x14ac:dyDescent="0.25">
      <c r="A133" s="2" t="str">
        <f ca="1">IFERROR(__xludf.DUMMYFUNCTION("""COMPUTED_VALUE"""),"aave-amm-usdc")</f>
        <v>aave-amm-usdc</v>
      </c>
      <c r="B133" s="2" t="str">
        <f ca="1">IFERROR(__xludf.DUMMYFUNCTION("""COMPUTED_VALUE"""),"aammusdc")</f>
        <v>aammusdc</v>
      </c>
      <c r="C133" s="2" t="str">
        <f ca="1">IFERROR(__xludf.DUMMYFUNCTION("""COMPUTED_VALUE"""),"Aave AMM USDC")</f>
        <v>Aave AMM USDC</v>
      </c>
    </row>
    <row r="134" spans="1:3" x14ac:dyDescent="0.25">
      <c r="A134" s="2" t="str">
        <f ca="1">IFERROR(__xludf.DUMMYFUNCTION("""COMPUTED_VALUE"""),"aave-amm-usdt")</f>
        <v>aave-amm-usdt</v>
      </c>
      <c r="B134" s="2" t="str">
        <f ca="1">IFERROR(__xludf.DUMMYFUNCTION("""COMPUTED_VALUE"""),"aammusdt")</f>
        <v>aammusdt</v>
      </c>
      <c r="C134" s="2" t="str">
        <f ca="1">IFERROR(__xludf.DUMMYFUNCTION("""COMPUTED_VALUE"""),"Aave AMM USDT")</f>
        <v>Aave AMM USDT</v>
      </c>
    </row>
    <row r="135" spans="1:3" x14ac:dyDescent="0.25">
      <c r="A135" s="2" t="str">
        <f ca="1">IFERROR(__xludf.DUMMYFUNCTION("""COMPUTED_VALUE"""),"aave-amm-wbtc")</f>
        <v>aave-amm-wbtc</v>
      </c>
      <c r="B135" s="2" t="str">
        <f ca="1">IFERROR(__xludf.DUMMYFUNCTION("""COMPUTED_VALUE"""),"aammwbtc")</f>
        <v>aammwbtc</v>
      </c>
      <c r="C135" s="2" t="str">
        <f ca="1">IFERROR(__xludf.DUMMYFUNCTION("""COMPUTED_VALUE"""),"Aave AMM WBTC")</f>
        <v>Aave AMM WBTC</v>
      </c>
    </row>
    <row r="136" spans="1:3" x14ac:dyDescent="0.25">
      <c r="A136" s="2" t="str">
        <f ca="1">IFERROR(__xludf.DUMMYFUNCTION("""COMPUTED_VALUE"""),"aave-amm-weth")</f>
        <v>aave-amm-weth</v>
      </c>
      <c r="B136" s="2" t="str">
        <f ca="1">IFERROR(__xludf.DUMMYFUNCTION("""COMPUTED_VALUE"""),"aammweth")</f>
        <v>aammweth</v>
      </c>
      <c r="C136" s="2" t="str">
        <f ca="1">IFERROR(__xludf.DUMMYFUNCTION("""COMPUTED_VALUE"""),"Aave AMM WETH")</f>
        <v>Aave AMM WETH</v>
      </c>
    </row>
    <row r="137" spans="1:3" x14ac:dyDescent="0.25">
      <c r="A137" s="2" t="str">
        <f ca="1">IFERROR(__xludf.DUMMYFUNCTION("""COMPUTED_VALUE"""),"aave-bal")</f>
        <v>aave-bal</v>
      </c>
      <c r="B137" s="2" t="str">
        <f ca="1">IFERROR(__xludf.DUMMYFUNCTION("""COMPUTED_VALUE"""),"abal")</f>
        <v>abal</v>
      </c>
      <c r="C137" s="2" t="str">
        <f ca="1">IFERROR(__xludf.DUMMYFUNCTION("""COMPUTED_VALUE"""),"Aave BAL")</f>
        <v>Aave BAL</v>
      </c>
    </row>
    <row r="138" spans="1:3" x14ac:dyDescent="0.25">
      <c r="A138" s="2" t="str">
        <f ca="1">IFERROR(__xludf.DUMMYFUNCTION("""COMPUTED_VALUE"""),"aave-balancer-pool-token")</f>
        <v>aave-balancer-pool-token</v>
      </c>
      <c r="B138" s="2" t="str">
        <f ca="1">IFERROR(__xludf.DUMMYFUNCTION("""COMPUTED_VALUE"""),"abpt")</f>
        <v>abpt</v>
      </c>
      <c r="C138" s="2" t="str">
        <f ca="1">IFERROR(__xludf.DUMMYFUNCTION("""COMPUTED_VALUE"""),"Aave Balancer Pool Token")</f>
        <v>Aave Balancer Pool Token</v>
      </c>
    </row>
    <row r="139" spans="1:3" x14ac:dyDescent="0.25">
      <c r="A139" s="2" t="str">
        <f ca="1">IFERROR(__xludf.DUMMYFUNCTION("""COMPUTED_VALUE"""),"aave-bat")</f>
        <v>aave-bat</v>
      </c>
      <c r="B139" s="2" t="str">
        <f ca="1">IFERROR(__xludf.DUMMYFUNCTION("""COMPUTED_VALUE"""),"abat")</f>
        <v>abat</v>
      </c>
      <c r="C139" s="2" t="str">
        <f ca="1">IFERROR(__xludf.DUMMYFUNCTION("""COMPUTED_VALUE"""),"Aave BAT")</f>
        <v>Aave BAT</v>
      </c>
    </row>
    <row r="140" spans="1:3" x14ac:dyDescent="0.25">
      <c r="A140" s="2" t="str">
        <f ca="1">IFERROR(__xludf.DUMMYFUNCTION("""COMPUTED_VALUE"""),"aave-bat-v1")</f>
        <v>aave-bat-v1</v>
      </c>
      <c r="B140" s="2" t="str">
        <f ca="1">IFERROR(__xludf.DUMMYFUNCTION("""COMPUTED_VALUE"""),"abat")</f>
        <v>abat</v>
      </c>
      <c r="C140" s="2" t="str">
        <f ca="1">IFERROR(__xludf.DUMMYFUNCTION("""COMPUTED_VALUE"""),"Aave BAT v1")</f>
        <v>Aave BAT v1</v>
      </c>
    </row>
    <row r="141" spans="1:3" x14ac:dyDescent="0.25">
      <c r="A141" s="2" t="str">
        <f ca="1">IFERROR(__xludf.DUMMYFUNCTION("""COMPUTED_VALUE"""),"aave-busd")</f>
        <v>aave-busd</v>
      </c>
      <c r="B141" s="2" t="str">
        <f ca="1">IFERROR(__xludf.DUMMYFUNCTION("""COMPUTED_VALUE"""),"abusd")</f>
        <v>abusd</v>
      </c>
      <c r="C141" s="2" t="str">
        <f ca="1">IFERROR(__xludf.DUMMYFUNCTION("""COMPUTED_VALUE"""),"Aave BUSD")</f>
        <v>Aave BUSD</v>
      </c>
    </row>
    <row r="142" spans="1:3" x14ac:dyDescent="0.25">
      <c r="A142" s="2" t="str">
        <f ca="1">IFERROR(__xludf.DUMMYFUNCTION("""COMPUTED_VALUE"""),"aave-busd-v1")</f>
        <v>aave-busd-v1</v>
      </c>
      <c r="B142" s="2" t="str">
        <f ca="1">IFERROR(__xludf.DUMMYFUNCTION("""COMPUTED_VALUE"""),"abusd")</f>
        <v>abusd</v>
      </c>
      <c r="C142" s="2" t="str">
        <f ca="1">IFERROR(__xludf.DUMMYFUNCTION("""COMPUTED_VALUE"""),"Aave BUSD v1")</f>
        <v>Aave BUSD v1</v>
      </c>
    </row>
    <row r="143" spans="1:3" x14ac:dyDescent="0.25">
      <c r="A143" s="2" t="str">
        <f ca="1">IFERROR(__xludf.DUMMYFUNCTION("""COMPUTED_VALUE"""),"aave-crv")</f>
        <v>aave-crv</v>
      </c>
      <c r="B143" s="2" t="str">
        <f ca="1">IFERROR(__xludf.DUMMYFUNCTION("""COMPUTED_VALUE"""),"acrv")</f>
        <v>acrv</v>
      </c>
      <c r="C143" s="2" t="str">
        <f ca="1">IFERROR(__xludf.DUMMYFUNCTION("""COMPUTED_VALUE"""),"Aave CRV")</f>
        <v>Aave CRV</v>
      </c>
    </row>
    <row r="144" spans="1:3" x14ac:dyDescent="0.25">
      <c r="A144" s="2" t="str">
        <f ca="1">IFERROR(__xludf.DUMMYFUNCTION("""COMPUTED_VALUE"""),"aave-dai")</f>
        <v>aave-dai</v>
      </c>
      <c r="B144" s="2" t="str">
        <f ca="1">IFERROR(__xludf.DUMMYFUNCTION("""COMPUTED_VALUE"""),"adai")</f>
        <v>adai</v>
      </c>
      <c r="C144" s="2" t="str">
        <f ca="1">IFERROR(__xludf.DUMMYFUNCTION("""COMPUTED_VALUE"""),"Aave DAI")</f>
        <v>Aave DAI</v>
      </c>
    </row>
    <row r="145" spans="1:3" x14ac:dyDescent="0.25">
      <c r="A145" s="2" t="str">
        <f ca="1">IFERROR(__xludf.DUMMYFUNCTION("""COMPUTED_VALUE"""),"aave-dai-v1")</f>
        <v>aave-dai-v1</v>
      </c>
      <c r="B145" s="2" t="str">
        <f ca="1">IFERROR(__xludf.DUMMYFUNCTION("""COMPUTED_VALUE"""),"adai")</f>
        <v>adai</v>
      </c>
      <c r="C145" s="2" t="str">
        <f ca="1">IFERROR(__xludf.DUMMYFUNCTION("""COMPUTED_VALUE"""),"Aave DAI v1")</f>
        <v>Aave DAI v1</v>
      </c>
    </row>
    <row r="146" spans="1:3" x14ac:dyDescent="0.25">
      <c r="A146" s="2" t="str">
        <f ca="1">IFERROR(__xludf.DUMMYFUNCTION("""COMPUTED_VALUE"""),"aave-enj")</f>
        <v>aave-enj</v>
      </c>
      <c r="B146" s="2" t="str">
        <f ca="1">IFERROR(__xludf.DUMMYFUNCTION("""COMPUTED_VALUE"""),"aenj")</f>
        <v>aenj</v>
      </c>
      <c r="C146" s="2" t="str">
        <f ca="1">IFERROR(__xludf.DUMMYFUNCTION("""COMPUTED_VALUE"""),"Aave ENJ")</f>
        <v>Aave ENJ</v>
      </c>
    </row>
    <row r="147" spans="1:3" x14ac:dyDescent="0.25">
      <c r="A147" s="2" t="str">
        <f ca="1">IFERROR(__xludf.DUMMYFUNCTION("""COMPUTED_VALUE"""),"aave-enj-v1")</f>
        <v>aave-enj-v1</v>
      </c>
      <c r="B147" s="2" t="str">
        <f ca="1">IFERROR(__xludf.DUMMYFUNCTION("""COMPUTED_VALUE"""),"aenj")</f>
        <v>aenj</v>
      </c>
      <c r="C147" s="2" t="str">
        <f ca="1">IFERROR(__xludf.DUMMYFUNCTION("""COMPUTED_VALUE"""),"Aave ENJ v1")</f>
        <v>Aave ENJ v1</v>
      </c>
    </row>
    <row r="148" spans="1:3" x14ac:dyDescent="0.25">
      <c r="A148" s="2" t="str">
        <f ca="1">IFERROR(__xludf.DUMMYFUNCTION("""COMPUTED_VALUE"""),"aave-eth-v1")</f>
        <v>aave-eth-v1</v>
      </c>
      <c r="B148" s="2" t="str">
        <f ca="1">IFERROR(__xludf.DUMMYFUNCTION("""COMPUTED_VALUE"""),"aeth")</f>
        <v>aeth</v>
      </c>
      <c r="C148" s="2" t="str">
        <f ca="1">IFERROR(__xludf.DUMMYFUNCTION("""COMPUTED_VALUE"""),"Aave ETH v1")</f>
        <v>Aave ETH v1</v>
      </c>
    </row>
    <row r="149" spans="1:3" x14ac:dyDescent="0.25">
      <c r="A149" s="2" t="str">
        <f ca="1">IFERROR(__xludf.DUMMYFUNCTION("""COMPUTED_VALUE"""),"aavegotchi")</f>
        <v>aavegotchi</v>
      </c>
      <c r="B149" s="2" t="str">
        <f ca="1">IFERROR(__xludf.DUMMYFUNCTION("""COMPUTED_VALUE"""),"ghst")</f>
        <v>ghst</v>
      </c>
      <c r="C149" s="2" t="str">
        <f ca="1">IFERROR(__xludf.DUMMYFUNCTION("""COMPUTED_VALUE"""),"Aavegotchi")</f>
        <v>Aavegotchi</v>
      </c>
    </row>
    <row r="150" spans="1:3" x14ac:dyDescent="0.25">
      <c r="A150" s="2" t="str">
        <f ca="1">IFERROR(__xludf.DUMMYFUNCTION("""COMPUTED_VALUE"""),"aavegotchi-alpha")</f>
        <v>aavegotchi-alpha</v>
      </c>
      <c r="B150" s="2" t="str">
        <f ca="1">IFERROR(__xludf.DUMMYFUNCTION("""COMPUTED_VALUE"""),"alpha")</f>
        <v>alpha</v>
      </c>
      <c r="C150" s="2" t="str">
        <f ca="1">IFERROR(__xludf.DUMMYFUNCTION("""COMPUTED_VALUE"""),"Aavegotchi ALPHA")</f>
        <v>Aavegotchi ALPHA</v>
      </c>
    </row>
    <row r="151" spans="1:3" x14ac:dyDescent="0.25">
      <c r="A151" s="2" t="str">
        <f ca="1">IFERROR(__xludf.DUMMYFUNCTION("""COMPUTED_VALUE"""),"aavegotchi-fomo")</f>
        <v>aavegotchi-fomo</v>
      </c>
      <c r="B151" s="2" t="str">
        <f ca="1">IFERROR(__xludf.DUMMYFUNCTION("""COMPUTED_VALUE"""),"fomo")</f>
        <v>fomo</v>
      </c>
      <c r="C151" s="2" t="str">
        <f ca="1">IFERROR(__xludf.DUMMYFUNCTION("""COMPUTED_VALUE"""),"Aavegotchi FOMO")</f>
        <v>Aavegotchi FOMO</v>
      </c>
    </row>
    <row r="152" spans="1:3" x14ac:dyDescent="0.25">
      <c r="A152" s="2" t="str">
        <f ca="1">IFERROR(__xludf.DUMMYFUNCTION("""COMPUTED_VALUE"""),"aavegotchi-fud")</f>
        <v>aavegotchi-fud</v>
      </c>
      <c r="B152" s="2" t="str">
        <f ca="1">IFERROR(__xludf.DUMMYFUNCTION("""COMPUTED_VALUE"""),"fud")</f>
        <v>fud</v>
      </c>
      <c r="C152" s="2" t="str">
        <f ca="1">IFERROR(__xludf.DUMMYFUNCTION("""COMPUTED_VALUE"""),"Aavegotchi FUD")</f>
        <v>Aavegotchi FUD</v>
      </c>
    </row>
    <row r="153" spans="1:3" x14ac:dyDescent="0.25">
      <c r="A153" s="2" t="str">
        <f ca="1">IFERROR(__xludf.DUMMYFUNCTION("""COMPUTED_VALUE"""),"aavegotchi-kek")</f>
        <v>aavegotchi-kek</v>
      </c>
      <c r="B153" s="2" t="str">
        <f ca="1">IFERROR(__xludf.DUMMYFUNCTION("""COMPUTED_VALUE"""),"kek")</f>
        <v>kek</v>
      </c>
      <c r="C153" s="2" t="str">
        <f ca="1">IFERROR(__xludf.DUMMYFUNCTION("""COMPUTED_VALUE"""),"Aavegotchi KEK")</f>
        <v>Aavegotchi KEK</v>
      </c>
    </row>
    <row r="154" spans="1:3" x14ac:dyDescent="0.25">
      <c r="A154" s="2" t="str">
        <f ca="1">IFERROR(__xludf.DUMMYFUNCTION("""COMPUTED_VALUE"""),"aave-gusd")</f>
        <v>aave-gusd</v>
      </c>
      <c r="B154" s="2" t="str">
        <f ca="1">IFERROR(__xludf.DUMMYFUNCTION("""COMPUTED_VALUE"""),"agusd")</f>
        <v>agusd</v>
      </c>
      <c r="C154" s="2" t="str">
        <f ca="1">IFERROR(__xludf.DUMMYFUNCTION("""COMPUTED_VALUE"""),"Aave GUSD")</f>
        <v>Aave GUSD</v>
      </c>
    </row>
    <row r="155" spans="1:3" x14ac:dyDescent="0.25">
      <c r="A155" s="2" t="str">
        <f ca="1">IFERROR(__xludf.DUMMYFUNCTION("""COMPUTED_VALUE"""),"aave-interest-bearing-steth")</f>
        <v>aave-interest-bearing-steth</v>
      </c>
      <c r="B155" s="2" t="str">
        <f ca="1">IFERROR(__xludf.DUMMYFUNCTION("""COMPUTED_VALUE"""),"asteth")</f>
        <v>asteth</v>
      </c>
      <c r="C155" s="2" t="str">
        <f ca="1">IFERROR(__xludf.DUMMYFUNCTION("""COMPUTED_VALUE"""),"Aave Interest Bearing STETH")</f>
        <v>Aave Interest Bearing STETH</v>
      </c>
    </row>
    <row r="156" spans="1:3" x14ac:dyDescent="0.25">
      <c r="A156" s="2" t="str">
        <f ca="1">IFERROR(__xludf.DUMMYFUNCTION("""COMPUTED_VALUE"""),"aave-knc")</f>
        <v>aave-knc</v>
      </c>
      <c r="B156" s="2" t="str">
        <f ca="1">IFERROR(__xludf.DUMMYFUNCTION("""COMPUTED_VALUE"""),"aknc")</f>
        <v>aknc</v>
      </c>
      <c r="C156" s="2" t="str">
        <f ca="1">IFERROR(__xludf.DUMMYFUNCTION("""COMPUTED_VALUE"""),"Aave KNC")</f>
        <v>Aave KNC</v>
      </c>
    </row>
    <row r="157" spans="1:3" x14ac:dyDescent="0.25">
      <c r="A157" s="2" t="str">
        <f ca="1">IFERROR(__xludf.DUMMYFUNCTION("""COMPUTED_VALUE"""),"aave-knc-v1")</f>
        <v>aave-knc-v1</v>
      </c>
      <c r="B157" s="2" t="str">
        <f ca="1">IFERROR(__xludf.DUMMYFUNCTION("""COMPUTED_VALUE"""),"aknc")</f>
        <v>aknc</v>
      </c>
      <c r="C157" s="2" t="str">
        <f ca="1">IFERROR(__xludf.DUMMYFUNCTION("""COMPUTED_VALUE"""),"Aave KNC v1")</f>
        <v>Aave KNC v1</v>
      </c>
    </row>
    <row r="158" spans="1:3" x14ac:dyDescent="0.25">
      <c r="A158" s="2" t="str">
        <f ca="1">IFERROR(__xludf.DUMMYFUNCTION("""COMPUTED_VALUE"""),"aave-link")</f>
        <v>aave-link</v>
      </c>
      <c r="B158" s="2" t="str">
        <f ca="1">IFERROR(__xludf.DUMMYFUNCTION("""COMPUTED_VALUE"""),"alink")</f>
        <v>alink</v>
      </c>
      <c r="C158" s="2" t="str">
        <f ca="1">IFERROR(__xludf.DUMMYFUNCTION("""COMPUTED_VALUE"""),"Aave LINK")</f>
        <v>Aave LINK</v>
      </c>
    </row>
    <row r="159" spans="1:3" x14ac:dyDescent="0.25">
      <c r="A159" s="2" t="str">
        <f ca="1">IFERROR(__xludf.DUMMYFUNCTION("""COMPUTED_VALUE"""),"aave-link-v1")</f>
        <v>aave-link-v1</v>
      </c>
      <c r="B159" s="2" t="str">
        <f ca="1">IFERROR(__xludf.DUMMYFUNCTION("""COMPUTED_VALUE"""),"alink")</f>
        <v>alink</v>
      </c>
      <c r="C159" s="2" t="str">
        <f ca="1">IFERROR(__xludf.DUMMYFUNCTION("""COMPUTED_VALUE"""),"Aave LINK v1")</f>
        <v>Aave LINK v1</v>
      </c>
    </row>
    <row r="160" spans="1:3" x14ac:dyDescent="0.25">
      <c r="A160" s="2" t="str">
        <f ca="1">IFERROR(__xludf.DUMMYFUNCTION("""COMPUTED_VALUE"""),"aave-mana")</f>
        <v>aave-mana</v>
      </c>
      <c r="B160" s="2" t="str">
        <f ca="1">IFERROR(__xludf.DUMMYFUNCTION("""COMPUTED_VALUE"""),"amana")</f>
        <v>amana</v>
      </c>
      <c r="C160" s="2" t="str">
        <f ca="1">IFERROR(__xludf.DUMMYFUNCTION("""COMPUTED_VALUE"""),"Aave MANA")</f>
        <v>Aave MANA</v>
      </c>
    </row>
    <row r="161" spans="1:3" x14ac:dyDescent="0.25">
      <c r="A161" s="2" t="str">
        <f ca="1">IFERROR(__xludf.DUMMYFUNCTION("""COMPUTED_VALUE"""),"aave-mana-v1")</f>
        <v>aave-mana-v1</v>
      </c>
      <c r="B161" s="2" t="str">
        <f ca="1">IFERROR(__xludf.DUMMYFUNCTION("""COMPUTED_VALUE"""),"amana")</f>
        <v>amana</v>
      </c>
      <c r="C161" s="2" t="str">
        <f ca="1">IFERROR(__xludf.DUMMYFUNCTION("""COMPUTED_VALUE"""),"Aave MANA v1")</f>
        <v>Aave MANA v1</v>
      </c>
    </row>
    <row r="162" spans="1:3" x14ac:dyDescent="0.25">
      <c r="A162" s="2" t="str">
        <f ca="1">IFERROR(__xludf.DUMMYFUNCTION("""COMPUTED_VALUE"""),"aave-mkr")</f>
        <v>aave-mkr</v>
      </c>
      <c r="B162" s="2" t="str">
        <f ca="1">IFERROR(__xludf.DUMMYFUNCTION("""COMPUTED_VALUE"""),"amkr")</f>
        <v>amkr</v>
      </c>
      <c r="C162" s="2" t="str">
        <f ca="1">IFERROR(__xludf.DUMMYFUNCTION("""COMPUTED_VALUE"""),"Aave MKR")</f>
        <v>Aave MKR</v>
      </c>
    </row>
    <row r="163" spans="1:3" x14ac:dyDescent="0.25">
      <c r="A163" s="2" t="str">
        <f ca="1">IFERROR(__xludf.DUMMYFUNCTION("""COMPUTED_VALUE"""),"aave-mkr-v1")</f>
        <v>aave-mkr-v1</v>
      </c>
      <c r="B163" s="2" t="str">
        <f ca="1">IFERROR(__xludf.DUMMYFUNCTION("""COMPUTED_VALUE"""),"amkr")</f>
        <v>amkr</v>
      </c>
      <c r="C163" s="2" t="str">
        <f ca="1">IFERROR(__xludf.DUMMYFUNCTION("""COMPUTED_VALUE"""),"Aave MKR v1")</f>
        <v>Aave MKR v1</v>
      </c>
    </row>
    <row r="164" spans="1:3" x14ac:dyDescent="0.25">
      <c r="A164" s="2" t="str">
        <f ca="1">IFERROR(__xludf.DUMMYFUNCTION("""COMPUTED_VALUE"""),"aave-polygon-aave")</f>
        <v>aave-polygon-aave</v>
      </c>
      <c r="B164" s="2" t="str">
        <f ca="1">IFERROR(__xludf.DUMMYFUNCTION("""COMPUTED_VALUE"""),"amaave")</f>
        <v>amaave</v>
      </c>
      <c r="C164" s="2" t="str">
        <f ca="1">IFERROR(__xludf.DUMMYFUNCTION("""COMPUTED_VALUE"""),"Aave Polygon AAVE")</f>
        <v>Aave Polygon AAVE</v>
      </c>
    </row>
    <row r="165" spans="1:3" x14ac:dyDescent="0.25">
      <c r="A165" s="2" t="str">
        <f ca="1">IFERROR(__xludf.DUMMYFUNCTION("""COMPUTED_VALUE"""),"aave-polygon-dai")</f>
        <v>aave-polygon-dai</v>
      </c>
      <c r="B165" s="2" t="str">
        <f ca="1">IFERROR(__xludf.DUMMYFUNCTION("""COMPUTED_VALUE"""),"amdai")</f>
        <v>amdai</v>
      </c>
      <c r="C165" s="2" t="str">
        <f ca="1">IFERROR(__xludf.DUMMYFUNCTION("""COMPUTED_VALUE"""),"Aave Polygon DAI")</f>
        <v>Aave Polygon DAI</v>
      </c>
    </row>
    <row r="166" spans="1:3" x14ac:dyDescent="0.25">
      <c r="A166" s="2" t="str">
        <f ca="1">IFERROR(__xludf.DUMMYFUNCTION("""COMPUTED_VALUE"""),"aave-polygon-usdc")</f>
        <v>aave-polygon-usdc</v>
      </c>
      <c r="B166" s="2" t="str">
        <f ca="1">IFERROR(__xludf.DUMMYFUNCTION("""COMPUTED_VALUE"""),"amusdc")</f>
        <v>amusdc</v>
      </c>
      <c r="C166" s="2" t="str">
        <f ca="1">IFERROR(__xludf.DUMMYFUNCTION("""COMPUTED_VALUE"""),"Aave Polygon USDC")</f>
        <v>Aave Polygon USDC</v>
      </c>
    </row>
    <row r="167" spans="1:3" x14ac:dyDescent="0.25">
      <c r="A167" s="2" t="str">
        <f ca="1">IFERROR(__xludf.DUMMYFUNCTION("""COMPUTED_VALUE"""),"aave-polygon-usdt")</f>
        <v>aave-polygon-usdt</v>
      </c>
      <c r="B167" s="2" t="str">
        <f ca="1">IFERROR(__xludf.DUMMYFUNCTION("""COMPUTED_VALUE"""),"amusdt")</f>
        <v>amusdt</v>
      </c>
      <c r="C167" s="2" t="str">
        <f ca="1">IFERROR(__xludf.DUMMYFUNCTION("""COMPUTED_VALUE"""),"Aave Polygon USDT")</f>
        <v>Aave Polygon USDT</v>
      </c>
    </row>
    <row r="168" spans="1:3" x14ac:dyDescent="0.25">
      <c r="A168" s="2" t="str">
        <f ca="1">IFERROR(__xludf.DUMMYFUNCTION("""COMPUTED_VALUE"""),"aave-polygon-wbtc")</f>
        <v>aave-polygon-wbtc</v>
      </c>
      <c r="B168" s="2" t="str">
        <f ca="1">IFERROR(__xludf.DUMMYFUNCTION("""COMPUTED_VALUE"""),"amwbtc")</f>
        <v>amwbtc</v>
      </c>
      <c r="C168" s="2" t="str">
        <f ca="1">IFERROR(__xludf.DUMMYFUNCTION("""COMPUTED_VALUE"""),"Aave Polygon WBTC")</f>
        <v>Aave Polygon WBTC</v>
      </c>
    </row>
    <row r="169" spans="1:3" x14ac:dyDescent="0.25">
      <c r="A169" s="2" t="str">
        <f ca="1">IFERROR(__xludf.DUMMYFUNCTION("""COMPUTED_VALUE"""),"aave-polygon-weth")</f>
        <v>aave-polygon-weth</v>
      </c>
      <c r="B169" s="2" t="str">
        <f ca="1">IFERROR(__xludf.DUMMYFUNCTION("""COMPUTED_VALUE"""),"amweth")</f>
        <v>amweth</v>
      </c>
      <c r="C169" s="2" t="str">
        <f ca="1">IFERROR(__xludf.DUMMYFUNCTION("""COMPUTED_VALUE"""),"Aave Polygon WETH")</f>
        <v>Aave Polygon WETH</v>
      </c>
    </row>
    <row r="170" spans="1:3" x14ac:dyDescent="0.25">
      <c r="A170" s="2" t="str">
        <f ca="1">IFERROR(__xludf.DUMMYFUNCTION("""COMPUTED_VALUE"""),"aave-polygon-wmatic")</f>
        <v>aave-polygon-wmatic</v>
      </c>
      <c r="B170" s="2" t="str">
        <f ca="1">IFERROR(__xludf.DUMMYFUNCTION("""COMPUTED_VALUE"""),"amwmatic")</f>
        <v>amwmatic</v>
      </c>
      <c r="C170" s="2" t="str">
        <f ca="1">IFERROR(__xludf.DUMMYFUNCTION("""COMPUTED_VALUE"""),"Aave Polygon WMATIC")</f>
        <v>Aave Polygon WMATIC</v>
      </c>
    </row>
    <row r="171" spans="1:3" x14ac:dyDescent="0.25">
      <c r="A171" s="2" t="str">
        <f ca="1">IFERROR(__xludf.DUMMYFUNCTION("""COMPUTED_VALUE"""),"aave-rai")</f>
        <v>aave-rai</v>
      </c>
      <c r="B171" s="2" t="str">
        <f ca="1">IFERROR(__xludf.DUMMYFUNCTION("""COMPUTED_VALUE"""),"arai")</f>
        <v>arai</v>
      </c>
      <c r="C171" s="2" t="str">
        <f ca="1">IFERROR(__xludf.DUMMYFUNCTION("""COMPUTED_VALUE"""),"Aave RAI")</f>
        <v>Aave RAI</v>
      </c>
    </row>
    <row r="172" spans="1:3" x14ac:dyDescent="0.25">
      <c r="A172" s="2" t="str">
        <f ca="1">IFERROR(__xludf.DUMMYFUNCTION("""COMPUTED_VALUE"""),"aave-ren")</f>
        <v>aave-ren</v>
      </c>
      <c r="B172" s="2" t="str">
        <f ca="1">IFERROR(__xludf.DUMMYFUNCTION("""COMPUTED_VALUE"""),"aren")</f>
        <v>aren</v>
      </c>
      <c r="C172" s="2" t="str">
        <f ca="1">IFERROR(__xludf.DUMMYFUNCTION("""COMPUTED_VALUE"""),"Aave REN")</f>
        <v>Aave REN</v>
      </c>
    </row>
    <row r="173" spans="1:3" x14ac:dyDescent="0.25">
      <c r="A173" s="2" t="str">
        <f ca="1">IFERROR(__xludf.DUMMYFUNCTION("""COMPUTED_VALUE"""),"aave-ren-v1")</f>
        <v>aave-ren-v1</v>
      </c>
      <c r="B173" s="2" t="str">
        <f ca="1">IFERROR(__xludf.DUMMYFUNCTION("""COMPUTED_VALUE"""),"aren")</f>
        <v>aren</v>
      </c>
      <c r="C173" s="2" t="str">
        <f ca="1">IFERROR(__xludf.DUMMYFUNCTION("""COMPUTED_VALUE"""),"Aave REN v1")</f>
        <v>Aave REN v1</v>
      </c>
    </row>
    <row r="174" spans="1:3" x14ac:dyDescent="0.25">
      <c r="A174" s="2" t="str">
        <f ca="1">IFERROR(__xludf.DUMMYFUNCTION("""COMPUTED_VALUE"""),"aave-snx")</f>
        <v>aave-snx</v>
      </c>
      <c r="B174" s="2" t="str">
        <f ca="1">IFERROR(__xludf.DUMMYFUNCTION("""COMPUTED_VALUE"""),"asnx")</f>
        <v>asnx</v>
      </c>
      <c r="C174" s="2" t="str">
        <f ca="1">IFERROR(__xludf.DUMMYFUNCTION("""COMPUTED_VALUE"""),"Aave SNX")</f>
        <v>Aave SNX</v>
      </c>
    </row>
    <row r="175" spans="1:3" x14ac:dyDescent="0.25">
      <c r="A175" s="2" t="str">
        <f ca="1">IFERROR(__xludf.DUMMYFUNCTION("""COMPUTED_VALUE"""),"aave-snx-v1")</f>
        <v>aave-snx-v1</v>
      </c>
      <c r="B175" s="2" t="str">
        <f ca="1">IFERROR(__xludf.DUMMYFUNCTION("""COMPUTED_VALUE"""),"asnx")</f>
        <v>asnx</v>
      </c>
      <c r="C175" s="2" t="str">
        <f ca="1">IFERROR(__xludf.DUMMYFUNCTION("""COMPUTED_VALUE"""),"Aave SNX v1")</f>
        <v>Aave SNX v1</v>
      </c>
    </row>
    <row r="176" spans="1:3" x14ac:dyDescent="0.25">
      <c r="A176" s="2" t="str">
        <f ca="1">IFERROR(__xludf.DUMMYFUNCTION("""COMPUTED_VALUE"""),"aave-stkgho")</f>
        <v>aave-stkgho</v>
      </c>
      <c r="B176" s="2" t="str">
        <f ca="1">IFERROR(__xludf.DUMMYFUNCTION("""COMPUTED_VALUE"""),"stkgho")</f>
        <v>stkgho</v>
      </c>
      <c r="C176" s="2" t="str">
        <f ca="1">IFERROR(__xludf.DUMMYFUNCTION("""COMPUTED_VALUE"""),"Aave stkGHO")</f>
        <v>Aave stkGHO</v>
      </c>
    </row>
    <row r="177" spans="1:3" x14ac:dyDescent="0.25">
      <c r="A177" s="2" t="str">
        <f ca="1">IFERROR(__xludf.DUMMYFUNCTION("""COMPUTED_VALUE"""),"aave-susd")</f>
        <v>aave-susd</v>
      </c>
      <c r="B177" s="2" t="str">
        <f ca="1">IFERROR(__xludf.DUMMYFUNCTION("""COMPUTED_VALUE"""),"asusd")</f>
        <v>asusd</v>
      </c>
      <c r="C177" s="2" t="str">
        <f ca="1">IFERROR(__xludf.DUMMYFUNCTION("""COMPUTED_VALUE"""),"Aave SUSD")</f>
        <v>Aave SUSD</v>
      </c>
    </row>
    <row r="178" spans="1:3" x14ac:dyDescent="0.25">
      <c r="A178" s="2" t="str">
        <f ca="1">IFERROR(__xludf.DUMMYFUNCTION("""COMPUTED_VALUE"""),"aave-susd-v1")</f>
        <v>aave-susd-v1</v>
      </c>
      <c r="B178" s="2" t="str">
        <f ca="1">IFERROR(__xludf.DUMMYFUNCTION("""COMPUTED_VALUE"""),"asusd")</f>
        <v>asusd</v>
      </c>
      <c r="C178" s="2" t="str">
        <f ca="1">IFERROR(__xludf.DUMMYFUNCTION("""COMPUTED_VALUE"""),"Aave SUSD v1")</f>
        <v>Aave SUSD v1</v>
      </c>
    </row>
    <row r="179" spans="1:3" x14ac:dyDescent="0.25">
      <c r="A179" s="2" t="str">
        <f ca="1">IFERROR(__xludf.DUMMYFUNCTION("""COMPUTED_VALUE"""),"aave-tusd")</f>
        <v>aave-tusd</v>
      </c>
      <c r="B179" s="2" t="str">
        <f ca="1">IFERROR(__xludf.DUMMYFUNCTION("""COMPUTED_VALUE"""),"atusd")</f>
        <v>atusd</v>
      </c>
      <c r="C179" s="2" t="str">
        <f ca="1">IFERROR(__xludf.DUMMYFUNCTION("""COMPUTED_VALUE"""),"Aave TUSD")</f>
        <v>Aave TUSD</v>
      </c>
    </row>
    <row r="180" spans="1:3" x14ac:dyDescent="0.25">
      <c r="A180" s="2" t="str">
        <f ca="1">IFERROR(__xludf.DUMMYFUNCTION("""COMPUTED_VALUE"""),"aave-tusd-v1")</f>
        <v>aave-tusd-v1</v>
      </c>
      <c r="B180" s="2" t="str">
        <f ca="1">IFERROR(__xludf.DUMMYFUNCTION("""COMPUTED_VALUE"""),"atusd")</f>
        <v>atusd</v>
      </c>
      <c r="C180" s="2" t="str">
        <f ca="1">IFERROR(__xludf.DUMMYFUNCTION("""COMPUTED_VALUE"""),"Aave TUSD v1")</f>
        <v>Aave TUSD v1</v>
      </c>
    </row>
    <row r="181" spans="1:3" x14ac:dyDescent="0.25">
      <c r="A181" s="2" t="str">
        <f ca="1">IFERROR(__xludf.DUMMYFUNCTION("""COMPUTED_VALUE"""),"aave-uni")</f>
        <v>aave-uni</v>
      </c>
      <c r="B181" s="2" t="str">
        <f ca="1">IFERROR(__xludf.DUMMYFUNCTION("""COMPUTED_VALUE"""),"auni")</f>
        <v>auni</v>
      </c>
      <c r="C181" s="2" t="str">
        <f ca="1">IFERROR(__xludf.DUMMYFUNCTION("""COMPUTED_VALUE"""),"Aave UNI")</f>
        <v>Aave UNI</v>
      </c>
    </row>
    <row r="182" spans="1:3" x14ac:dyDescent="0.25">
      <c r="A182" s="2" t="str">
        <f ca="1">IFERROR(__xludf.DUMMYFUNCTION("""COMPUTED_VALUE"""),"aave-usdc")</f>
        <v>aave-usdc</v>
      </c>
      <c r="B182" s="2" t="str">
        <f ca="1">IFERROR(__xludf.DUMMYFUNCTION("""COMPUTED_VALUE"""),"ausdc")</f>
        <v>ausdc</v>
      </c>
      <c r="C182" s="2" t="str">
        <f ca="1">IFERROR(__xludf.DUMMYFUNCTION("""COMPUTED_VALUE"""),"Aave v2 USDC")</f>
        <v>Aave v2 USDC</v>
      </c>
    </row>
    <row r="183" spans="1:3" x14ac:dyDescent="0.25">
      <c r="A183" s="2" t="str">
        <f ca="1">IFERROR(__xludf.DUMMYFUNCTION("""COMPUTED_VALUE"""),"aave-usdc-v1")</f>
        <v>aave-usdc-v1</v>
      </c>
      <c r="B183" s="2" t="str">
        <f ca="1">IFERROR(__xludf.DUMMYFUNCTION("""COMPUTED_VALUE"""),"ausdc")</f>
        <v>ausdc</v>
      </c>
      <c r="C183" s="2" t="str">
        <f ca="1">IFERROR(__xludf.DUMMYFUNCTION("""COMPUTED_VALUE"""),"Aave v1 USDC")</f>
        <v>Aave v1 USDC</v>
      </c>
    </row>
    <row r="184" spans="1:3" x14ac:dyDescent="0.25">
      <c r="A184" s="2" t="str">
        <f ca="1">IFERROR(__xludf.DUMMYFUNCTION("""COMPUTED_VALUE"""),"aave-usdt")</f>
        <v>aave-usdt</v>
      </c>
      <c r="B184" s="2" t="str">
        <f ca="1">IFERROR(__xludf.DUMMYFUNCTION("""COMPUTED_VALUE"""),"ausdt")</f>
        <v>ausdt</v>
      </c>
      <c r="C184" s="2" t="str">
        <f ca="1">IFERROR(__xludf.DUMMYFUNCTION("""COMPUTED_VALUE"""),"Aave USDT")</f>
        <v>Aave USDT</v>
      </c>
    </row>
    <row r="185" spans="1:3" x14ac:dyDescent="0.25">
      <c r="A185" s="2" t="str">
        <f ca="1">IFERROR(__xludf.DUMMYFUNCTION("""COMPUTED_VALUE"""),"aave-usdt-v1")</f>
        <v>aave-usdt-v1</v>
      </c>
      <c r="B185" s="2" t="str">
        <f ca="1">IFERROR(__xludf.DUMMYFUNCTION("""COMPUTED_VALUE"""),"ausdt")</f>
        <v>ausdt</v>
      </c>
      <c r="C185" s="2" t="str">
        <f ca="1">IFERROR(__xludf.DUMMYFUNCTION("""COMPUTED_VALUE"""),"Aave USDT v1")</f>
        <v>Aave USDT v1</v>
      </c>
    </row>
    <row r="186" spans="1:3" x14ac:dyDescent="0.25">
      <c r="A186" s="2" t="str">
        <f ca="1">IFERROR(__xludf.DUMMYFUNCTION("""COMPUTED_VALUE"""),"aave-v3-1inch")</f>
        <v>aave-v3-1inch</v>
      </c>
      <c r="B186" s="2" t="str">
        <f ca="1">IFERROR(__xludf.DUMMYFUNCTION("""COMPUTED_VALUE"""),"a1inch")</f>
        <v>a1inch</v>
      </c>
      <c r="C186" s="2" t="str">
        <f ca="1">IFERROR(__xludf.DUMMYFUNCTION("""COMPUTED_VALUE"""),"Aave v3 1INCH")</f>
        <v>Aave v3 1INCH</v>
      </c>
    </row>
    <row r="187" spans="1:3" x14ac:dyDescent="0.25">
      <c r="A187" s="2" t="str">
        <f ca="1">IFERROR(__xludf.DUMMYFUNCTION("""COMPUTED_VALUE"""),"aave-v3-aave")</f>
        <v>aave-v3-aave</v>
      </c>
      <c r="B187" s="2" t="str">
        <f ca="1">IFERROR(__xludf.DUMMYFUNCTION("""COMPUTED_VALUE"""),"aaave")</f>
        <v>aaave</v>
      </c>
      <c r="C187" s="2" t="str">
        <f ca="1">IFERROR(__xludf.DUMMYFUNCTION("""COMPUTED_VALUE"""),"Aave v3 AAVE")</f>
        <v>Aave v3 AAVE</v>
      </c>
    </row>
    <row r="188" spans="1:3" x14ac:dyDescent="0.25">
      <c r="A188" s="2" t="str">
        <f ca="1">IFERROR(__xludf.DUMMYFUNCTION("""COMPUTED_VALUE"""),"aave-v3-ageur")</f>
        <v>aave-v3-ageur</v>
      </c>
      <c r="B188" s="2" t="str">
        <f ca="1">IFERROR(__xludf.DUMMYFUNCTION("""COMPUTED_VALUE"""),"aageur")</f>
        <v>aageur</v>
      </c>
      <c r="C188" s="2" t="str">
        <f ca="1">IFERROR(__xludf.DUMMYFUNCTION("""COMPUTED_VALUE"""),"Aave v3 agEUR")</f>
        <v>Aave v3 agEUR</v>
      </c>
    </row>
    <row r="189" spans="1:3" x14ac:dyDescent="0.25">
      <c r="A189" s="2" t="str">
        <f ca="1">IFERROR(__xludf.DUMMYFUNCTION("""COMPUTED_VALUE"""),"aave-v3-arb")</f>
        <v>aave-v3-arb</v>
      </c>
      <c r="B189" s="2" t="str">
        <f ca="1">IFERROR(__xludf.DUMMYFUNCTION("""COMPUTED_VALUE"""),"aarb")</f>
        <v>aarb</v>
      </c>
      <c r="C189" s="2" t="str">
        <f ca="1">IFERROR(__xludf.DUMMYFUNCTION("""COMPUTED_VALUE"""),"Aave v3 ARB")</f>
        <v>Aave v3 ARB</v>
      </c>
    </row>
    <row r="190" spans="1:3" x14ac:dyDescent="0.25">
      <c r="A190" s="2" t="str">
        <f ca="1">IFERROR(__xludf.DUMMYFUNCTION("""COMPUTED_VALUE"""),"aave-v3-bal")</f>
        <v>aave-v3-bal</v>
      </c>
      <c r="B190" s="2" t="str">
        <f ca="1">IFERROR(__xludf.DUMMYFUNCTION("""COMPUTED_VALUE"""),"abal")</f>
        <v>abal</v>
      </c>
      <c r="C190" s="2" t="str">
        <f ca="1">IFERROR(__xludf.DUMMYFUNCTION("""COMPUTED_VALUE"""),"Aave v3 BAL")</f>
        <v>Aave v3 BAL</v>
      </c>
    </row>
    <row r="191" spans="1:3" x14ac:dyDescent="0.25">
      <c r="A191" s="2" t="str">
        <f ca="1">IFERROR(__xludf.DUMMYFUNCTION("""COMPUTED_VALUE"""),"aave-v3-btc-b")</f>
        <v>aave-v3-btc-b</v>
      </c>
      <c r="B191" s="2" t="str">
        <f ca="1">IFERROR(__xludf.DUMMYFUNCTION("""COMPUTED_VALUE"""),"abtc.b")</f>
        <v>abtc.b</v>
      </c>
      <c r="C191" s="2" t="str">
        <f ca="1">IFERROR(__xludf.DUMMYFUNCTION("""COMPUTED_VALUE"""),"Aave v3 BTC.b")</f>
        <v>Aave v3 BTC.b</v>
      </c>
    </row>
    <row r="192" spans="1:3" x14ac:dyDescent="0.25">
      <c r="A192" s="2" t="str">
        <f ca="1">IFERROR(__xludf.DUMMYFUNCTION("""COMPUTED_VALUE"""),"aave-v3-cbeth")</f>
        <v>aave-v3-cbeth</v>
      </c>
      <c r="B192" s="2" t="str">
        <f ca="1">IFERROR(__xludf.DUMMYFUNCTION("""COMPUTED_VALUE"""),"acbeth")</f>
        <v>acbeth</v>
      </c>
      <c r="C192" s="2" t="str">
        <f ca="1">IFERROR(__xludf.DUMMYFUNCTION("""COMPUTED_VALUE"""),"Aave v3 cbETH")</f>
        <v>Aave v3 cbETH</v>
      </c>
    </row>
    <row r="193" spans="1:3" x14ac:dyDescent="0.25">
      <c r="A193" s="2" t="str">
        <f ca="1">IFERROR(__xludf.DUMMYFUNCTION("""COMPUTED_VALUE"""),"aave-v3-crv")</f>
        <v>aave-v3-crv</v>
      </c>
      <c r="B193" s="2" t="str">
        <f ca="1">IFERROR(__xludf.DUMMYFUNCTION("""COMPUTED_VALUE"""),"acrv")</f>
        <v>acrv</v>
      </c>
      <c r="C193" s="2" t="str">
        <f ca="1">IFERROR(__xludf.DUMMYFUNCTION("""COMPUTED_VALUE"""),"Aave v3 CRV")</f>
        <v>Aave v3 CRV</v>
      </c>
    </row>
    <row r="194" spans="1:3" x14ac:dyDescent="0.25">
      <c r="A194" s="2" t="str">
        <f ca="1">IFERROR(__xludf.DUMMYFUNCTION("""COMPUTED_VALUE"""),"aave-v3-dai")</f>
        <v>aave-v3-dai</v>
      </c>
      <c r="B194" s="2" t="str">
        <f ca="1">IFERROR(__xludf.DUMMYFUNCTION("""COMPUTED_VALUE"""),"adai")</f>
        <v>adai</v>
      </c>
      <c r="C194" s="2" t="str">
        <f ca="1">IFERROR(__xludf.DUMMYFUNCTION("""COMPUTED_VALUE"""),"Aave v3 DAI")</f>
        <v>Aave v3 DAI</v>
      </c>
    </row>
    <row r="195" spans="1:3" x14ac:dyDescent="0.25">
      <c r="A195" s="2" t="str">
        <f ca="1">IFERROR(__xludf.DUMMYFUNCTION("""COMPUTED_VALUE"""),"aave-v3-dpi")</f>
        <v>aave-v3-dpi</v>
      </c>
      <c r="B195" s="2" t="str">
        <f ca="1">IFERROR(__xludf.DUMMYFUNCTION("""COMPUTED_VALUE"""),"adpi")</f>
        <v>adpi</v>
      </c>
      <c r="C195" s="2" t="str">
        <f ca="1">IFERROR(__xludf.DUMMYFUNCTION("""COMPUTED_VALUE"""),"Aave v3 DPI")</f>
        <v>Aave v3 DPI</v>
      </c>
    </row>
    <row r="196" spans="1:3" x14ac:dyDescent="0.25">
      <c r="A196" s="2" t="str">
        <f ca="1">IFERROR(__xludf.DUMMYFUNCTION("""COMPUTED_VALUE"""),"aave-v3-ens")</f>
        <v>aave-v3-ens</v>
      </c>
      <c r="B196" s="2" t="str">
        <f ca="1">IFERROR(__xludf.DUMMYFUNCTION("""COMPUTED_VALUE"""),"aens")</f>
        <v>aens</v>
      </c>
      <c r="C196" s="2" t="str">
        <f ca="1">IFERROR(__xludf.DUMMYFUNCTION("""COMPUTED_VALUE"""),"Aave v3 ENS")</f>
        <v>Aave v3 ENS</v>
      </c>
    </row>
    <row r="197" spans="1:3" x14ac:dyDescent="0.25">
      <c r="A197" s="2" t="str">
        <f ca="1">IFERROR(__xludf.DUMMYFUNCTION("""COMPUTED_VALUE"""),"aave-v3-eure")</f>
        <v>aave-v3-eure</v>
      </c>
      <c r="B197" s="2" t="str">
        <f ca="1">IFERROR(__xludf.DUMMYFUNCTION("""COMPUTED_VALUE"""),"aeure")</f>
        <v>aeure</v>
      </c>
      <c r="C197" s="2" t="str">
        <f ca="1">IFERROR(__xludf.DUMMYFUNCTION("""COMPUTED_VALUE"""),"Aave v3 EURe")</f>
        <v>Aave v3 EURe</v>
      </c>
    </row>
    <row r="198" spans="1:3" x14ac:dyDescent="0.25">
      <c r="A198" s="2" t="str">
        <f ca="1">IFERROR(__xludf.DUMMYFUNCTION("""COMPUTED_VALUE"""),"aave-v3-eurs")</f>
        <v>aave-v3-eurs</v>
      </c>
      <c r="B198" s="2" t="str">
        <f ca="1">IFERROR(__xludf.DUMMYFUNCTION("""COMPUTED_VALUE"""),"aeurs")</f>
        <v>aeurs</v>
      </c>
      <c r="C198" s="2" t="str">
        <f ca="1">IFERROR(__xludf.DUMMYFUNCTION("""COMPUTED_VALUE"""),"Aave v3 EURS")</f>
        <v>Aave v3 EURS</v>
      </c>
    </row>
    <row r="199" spans="1:3" x14ac:dyDescent="0.25">
      <c r="A199" s="2" t="str">
        <f ca="1">IFERROR(__xludf.DUMMYFUNCTION("""COMPUTED_VALUE"""),"aave-v3-frax")</f>
        <v>aave-v3-frax</v>
      </c>
      <c r="B199" s="2" t="str">
        <f ca="1">IFERROR(__xludf.DUMMYFUNCTION("""COMPUTED_VALUE"""),"afrax")</f>
        <v>afrax</v>
      </c>
      <c r="C199" s="2" t="str">
        <f ca="1">IFERROR(__xludf.DUMMYFUNCTION("""COMPUTED_VALUE"""),"Aave v3 FRAX")</f>
        <v>Aave v3 FRAX</v>
      </c>
    </row>
    <row r="200" spans="1:3" x14ac:dyDescent="0.25">
      <c r="A200" s="2" t="str">
        <f ca="1">IFERROR(__xludf.DUMMYFUNCTION("""COMPUTED_VALUE"""),"aave-v3-ghst")</f>
        <v>aave-v3-ghst</v>
      </c>
      <c r="B200" s="2" t="str">
        <f ca="1">IFERROR(__xludf.DUMMYFUNCTION("""COMPUTED_VALUE"""),"aghst")</f>
        <v>aghst</v>
      </c>
      <c r="C200" s="2" t="str">
        <f ca="1">IFERROR(__xludf.DUMMYFUNCTION("""COMPUTED_VALUE"""),"Aave v3 GHST")</f>
        <v>Aave v3 GHST</v>
      </c>
    </row>
    <row r="201" spans="1:3" x14ac:dyDescent="0.25">
      <c r="A201" s="2" t="str">
        <f ca="1">IFERROR(__xludf.DUMMYFUNCTION("""COMPUTED_VALUE"""),"aave-v3-gno")</f>
        <v>aave-v3-gno</v>
      </c>
      <c r="B201" s="2" t="str">
        <f ca="1">IFERROR(__xludf.DUMMYFUNCTION("""COMPUTED_VALUE"""),"agno")</f>
        <v>agno</v>
      </c>
      <c r="C201" s="2" t="str">
        <f ca="1">IFERROR(__xludf.DUMMYFUNCTION("""COMPUTED_VALUE"""),"Aave v3 GNO")</f>
        <v>Aave v3 GNO</v>
      </c>
    </row>
    <row r="202" spans="1:3" x14ac:dyDescent="0.25">
      <c r="A202" s="2" t="str">
        <f ca="1">IFERROR(__xludf.DUMMYFUNCTION("""COMPUTED_VALUE"""),"aave-v3-knc")</f>
        <v>aave-v3-knc</v>
      </c>
      <c r="B202" s="2" t="str">
        <f ca="1">IFERROR(__xludf.DUMMYFUNCTION("""COMPUTED_VALUE"""),"aknc")</f>
        <v>aknc</v>
      </c>
      <c r="C202" s="2" t="str">
        <f ca="1">IFERROR(__xludf.DUMMYFUNCTION("""COMPUTED_VALUE"""),"Aave v3 KNC")</f>
        <v>Aave v3 KNC</v>
      </c>
    </row>
    <row r="203" spans="1:3" x14ac:dyDescent="0.25">
      <c r="A203" s="2" t="str">
        <f ca="1">IFERROR(__xludf.DUMMYFUNCTION("""COMPUTED_VALUE"""),"aave-v3-ldo")</f>
        <v>aave-v3-ldo</v>
      </c>
      <c r="B203" s="2" t="str">
        <f ca="1">IFERROR(__xludf.DUMMYFUNCTION("""COMPUTED_VALUE"""),"aldo")</f>
        <v>aldo</v>
      </c>
      <c r="C203" s="2" t="str">
        <f ca="1">IFERROR(__xludf.DUMMYFUNCTION("""COMPUTED_VALUE"""),"Aave v3 LDO")</f>
        <v>Aave v3 LDO</v>
      </c>
    </row>
    <row r="204" spans="1:3" x14ac:dyDescent="0.25">
      <c r="A204" s="2" t="str">
        <f ca="1">IFERROR(__xludf.DUMMYFUNCTION("""COMPUTED_VALUE"""),"aave-v3-link")</f>
        <v>aave-v3-link</v>
      </c>
      <c r="B204" s="2" t="str">
        <f ca="1">IFERROR(__xludf.DUMMYFUNCTION("""COMPUTED_VALUE"""),"alink")</f>
        <v>alink</v>
      </c>
      <c r="C204" s="2" t="str">
        <f ca="1">IFERROR(__xludf.DUMMYFUNCTION("""COMPUTED_VALUE"""),"Aave v3 LINK")</f>
        <v>Aave v3 LINK</v>
      </c>
    </row>
    <row r="205" spans="1:3" x14ac:dyDescent="0.25">
      <c r="A205" s="2" t="str">
        <f ca="1">IFERROR(__xludf.DUMMYFUNCTION("""COMPUTED_VALUE"""),"aave-v3-lusd")</f>
        <v>aave-v3-lusd</v>
      </c>
      <c r="B205" s="2" t="str">
        <f ca="1">IFERROR(__xludf.DUMMYFUNCTION("""COMPUTED_VALUE"""),"alusd")</f>
        <v>alusd</v>
      </c>
      <c r="C205" s="2" t="str">
        <f ca="1">IFERROR(__xludf.DUMMYFUNCTION("""COMPUTED_VALUE"""),"Aave v3 LUSD")</f>
        <v>Aave v3 LUSD</v>
      </c>
    </row>
    <row r="206" spans="1:3" x14ac:dyDescent="0.25">
      <c r="A206" s="2" t="str">
        <f ca="1">IFERROR(__xludf.DUMMYFUNCTION("""COMPUTED_VALUE"""),"aave-v3-mai")</f>
        <v>aave-v3-mai</v>
      </c>
      <c r="B206" s="2" t="str">
        <f ca="1">IFERROR(__xludf.DUMMYFUNCTION("""COMPUTED_VALUE"""),"amai")</f>
        <v>amai</v>
      </c>
      <c r="C206" s="2" t="str">
        <f ca="1">IFERROR(__xludf.DUMMYFUNCTION("""COMPUTED_VALUE"""),"Aave v3 MAI")</f>
        <v>Aave v3 MAI</v>
      </c>
    </row>
    <row r="207" spans="1:3" x14ac:dyDescent="0.25">
      <c r="A207" s="2" t="str">
        <f ca="1">IFERROR(__xludf.DUMMYFUNCTION("""COMPUTED_VALUE"""),"aave-v3-maticx")</f>
        <v>aave-v3-maticx</v>
      </c>
      <c r="B207" s="2" t="str">
        <f ca="1">IFERROR(__xludf.DUMMYFUNCTION("""COMPUTED_VALUE"""),"amaticx")</f>
        <v>amaticx</v>
      </c>
      <c r="C207" s="2" t="str">
        <f ca="1">IFERROR(__xludf.DUMMYFUNCTION("""COMPUTED_VALUE"""),"Aave v3 MaticX")</f>
        <v>Aave v3 MaticX</v>
      </c>
    </row>
    <row r="208" spans="1:3" x14ac:dyDescent="0.25">
      <c r="A208" s="2" t="str">
        <f ca="1">IFERROR(__xludf.DUMMYFUNCTION("""COMPUTED_VALUE"""),"aave-v3-metis")</f>
        <v>aave-v3-metis</v>
      </c>
      <c r="B208" s="2" t="str">
        <f ca="1">IFERROR(__xludf.DUMMYFUNCTION("""COMPUTED_VALUE"""),"ametis")</f>
        <v>ametis</v>
      </c>
      <c r="C208" s="2" t="str">
        <f ca="1">IFERROR(__xludf.DUMMYFUNCTION("""COMPUTED_VALUE"""),"Aave v3 Metis")</f>
        <v>Aave v3 Metis</v>
      </c>
    </row>
    <row r="209" spans="1:3" x14ac:dyDescent="0.25">
      <c r="A209" s="2" t="str">
        <f ca="1">IFERROR(__xludf.DUMMYFUNCTION("""COMPUTED_VALUE"""),"aave-v3-mkr")</f>
        <v>aave-v3-mkr</v>
      </c>
      <c r="B209" s="2" t="str">
        <f ca="1">IFERROR(__xludf.DUMMYFUNCTION("""COMPUTED_VALUE"""),"amkr")</f>
        <v>amkr</v>
      </c>
      <c r="C209" s="2" t="str">
        <f ca="1">IFERROR(__xludf.DUMMYFUNCTION("""COMPUTED_VALUE"""),"Aave v3 MKR")</f>
        <v>Aave v3 MKR</v>
      </c>
    </row>
    <row r="210" spans="1:3" x14ac:dyDescent="0.25">
      <c r="A210" s="2" t="str">
        <f ca="1">IFERROR(__xludf.DUMMYFUNCTION("""COMPUTED_VALUE"""),"aave-v3-op")</f>
        <v>aave-v3-op</v>
      </c>
      <c r="B210" s="2" t="str">
        <f ca="1">IFERROR(__xludf.DUMMYFUNCTION("""COMPUTED_VALUE"""),"aop")</f>
        <v>aop</v>
      </c>
      <c r="C210" s="2" t="str">
        <f ca="1">IFERROR(__xludf.DUMMYFUNCTION("""COMPUTED_VALUE"""),"Aave v3 OP")</f>
        <v>Aave v3 OP</v>
      </c>
    </row>
    <row r="211" spans="1:3" x14ac:dyDescent="0.25">
      <c r="A211" s="2" t="str">
        <f ca="1">IFERROR(__xludf.DUMMYFUNCTION("""COMPUTED_VALUE"""),"aave-v3-reth")</f>
        <v>aave-v3-reth</v>
      </c>
      <c r="B211" s="2" t="str">
        <f ca="1">IFERROR(__xludf.DUMMYFUNCTION("""COMPUTED_VALUE"""),"areth")</f>
        <v>areth</v>
      </c>
      <c r="C211" s="2" t="str">
        <f ca="1">IFERROR(__xludf.DUMMYFUNCTION("""COMPUTED_VALUE"""),"Aave v3 rETH")</f>
        <v>Aave v3 rETH</v>
      </c>
    </row>
    <row r="212" spans="1:3" x14ac:dyDescent="0.25">
      <c r="A212" s="2" t="str">
        <f ca="1">IFERROR(__xludf.DUMMYFUNCTION("""COMPUTED_VALUE"""),"aave-v3-rpl")</f>
        <v>aave-v3-rpl</v>
      </c>
      <c r="B212" s="2" t="str">
        <f ca="1">IFERROR(__xludf.DUMMYFUNCTION("""COMPUTED_VALUE"""),"arpl")</f>
        <v>arpl</v>
      </c>
      <c r="C212" s="2" t="str">
        <f ca="1">IFERROR(__xludf.DUMMYFUNCTION("""COMPUTED_VALUE"""),"Aave v3 RPL")</f>
        <v>Aave v3 RPL</v>
      </c>
    </row>
    <row r="213" spans="1:3" x14ac:dyDescent="0.25">
      <c r="A213" s="2" t="str">
        <f ca="1">IFERROR(__xludf.DUMMYFUNCTION("""COMPUTED_VALUE"""),"aave-v3-savax")</f>
        <v>aave-v3-savax</v>
      </c>
      <c r="B213" s="2" t="str">
        <f ca="1">IFERROR(__xludf.DUMMYFUNCTION("""COMPUTED_VALUE"""),"asavax")</f>
        <v>asavax</v>
      </c>
      <c r="C213" s="2" t="str">
        <f ca="1">IFERROR(__xludf.DUMMYFUNCTION("""COMPUTED_VALUE"""),"Aave v3 sAVAX")</f>
        <v>Aave v3 sAVAX</v>
      </c>
    </row>
    <row r="214" spans="1:3" x14ac:dyDescent="0.25">
      <c r="A214" s="2" t="str">
        <f ca="1">IFERROR(__xludf.DUMMYFUNCTION("""COMPUTED_VALUE"""),"aave-v3-sdai")</f>
        <v>aave-v3-sdai</v>
      </c>
      <c r="B214" s="2" t="str">
        <f ca="1">IFERROR(__xludf.DUMMYFUNCTION("""COMPUTED_VALUE"""),"asdai")</f>
        <v>asdai</v>
      </c>
      <c r="C214" s="2" t="str">
        <f ca="1">IFERROR(__xludf.DUMMYFUNCTION("""COMPUTED_VALUE"""),"Aave v3 sDAI")</f>
        <v>Aave v3 sDAI</v>
      </c>
    </row>
    <row r="215" spans="1:3" x14ac:dyDescent="0.25">
      <c r="A215" s="2" t="str">
        <f ca="1">IFERROR(__xludf.DUMMYFUNCTION("""COMPUTED_VALUE"""),"aave-v3-snx")</f>
        <v>aave-v3-snx</v>
      </c>
      <c r="B215" s="2" t="str">
        <f ca="1">IFERROR(__xludf.DUMMYFUNCTION("""COMPUTED_VALUE"""),"asnx")</f>
        <v>asnx</v>
      </c>
      <c r="C215" s="2" t="str">
        <f ca="1">IFERROR(__xludf.DUMMYFUNCTION("""COMPUTED_VALUE"""),"Aave v3 SNX")</f>
        <v>Aave v3 SNX</v>
      </c>
    </row>
    <row r="216" spans="1:3" x14ac:dyDescent="0.25">
      <c r="A216" s="2" t="str">
        <f ca="1">IFERROR(__xludf.DUMMYFUNCTION("""COMPUTED_VALUE"""),"aave-v3-stg")</f>
        <v>aave-v3-stg</v>
      </c>
      <c r="B216" s="2" t="str">
        <f ca="1">IFERROR(__xludf.DUMMYFUNCTION("""COMPUTED_VALUE"""),"astg")</f>
        <v>astg</v>
      </c>
      <c r="C216" s="2" t="str">
        <f ca="1">IFERROR(__xludf.DUMMYFUNCTION("""COMPUTED_VALUE"""),"Aave v3 STG")</f>
        <v>Aave v3 STG</v>
      </c>
    </row>
    <row r="217" spans="1:3" x14ac:dyDescent="0.25">
      <c r="A217" s="2" t="str">
        <f ca="1">IFERROR(__xludf.DUMMYFUNCTION("""COMPUTED_VALUE"""),"aave-v3-stmatic")</f>
        <v>aave-v3-stmatic</v>
      </c>
      <c r="B217" s="2" t="str">
        <f ca="1">IFERROR(__xludf.DUMMYFUNCTION("""COMPUTED_VALUE"""),"astmatic")</f>
        <v>astmatic</v>
      </c>
      <c r="C217" s="2" t="str">
        <f ca="1">IFERROR(__xludf.DUMMYFUNCTION("""COMPUTED_VALUE"""),"Aave v3 stMATIC")</f>
        <v>Aave v3 stMATIC</v>
      </c>
    </row>
    <row r="218" spans="1:3" x14ac:dyDescent="0.25">
      <c r="A218" s="2" t="str">
        <f ca="1">IFERROR(__xludf.DUMMYFUNCTION("""COMPUTED_VALUE"""),"aave-v3-susd")</f>
        <v>aave-v3-susd</v>
      </c>
      <c r="B218" s="2" t="str">
        <f ca="1">IFERROR(__xludf.DUMMYFUNCTION("""COMPUTED_VALUE"""),"asusd")</f>
        <v>asusd</v>
      </c>
      <c r="C218" s="2" t="str">
        <f ca="1">IFERROR(__xludf.DUMMYFUNCTION("""COMPUTED_VALUE"""),"Aave v3 sUSD")</f>
        <v>Aave v3 sUSD</v>
      </c>
    </row>
    <row r="219" spans="1:3" x14ac:dyDescent="0.25">
      <c r="A219" s="2" t="str">
        <f ca="1">IFERROR(__xludf.DUMMYFUNCTION("""COMPUTED_VALUE"""),"aave-v3-sushi")</f>
        <v>aave-v3-sushi</v>
      </c>
      <c r="B219" s="2" t="str">
        <f ca="1">IFERROR(__xludf.DUMMYFUNCTION("""COMPUTED_VALUE"""),"asushi")</f>
        <v>asushi</v>
      </c>
      <c r="C219" s="2" t="str">
        <f ca="1">IFERROR(__xludf.DUMMYFUNCTION("""COMPUTED_VALUE"""),"Aave v3 SUSHI")</f>
        <v>Aave v3 SUSHI</v>
      </c>
    </row>
    <row r="220" spans="1:3" x14ac:dyDescent="0.25">
      <c r="A220" s="2" t="str">
        <f ca="1">IFERROR(__xludf.DUMMYFUNCTION("""COMPUTED_VALUE"""),"aave-v3-uni")</f>
        <v>aave-v3-uni</v>
      </c>
      <c r="B220" s="2" t="str">
        <f ca="1">IFERROR(__xludf.DUMMYFUNCTION("""COMPUTED_VALUE"""),"auni")</f>
        <v>auni</v>
      </c>
      <c r="C220" s="2" t="str">
        <f ca="1">IFERROR(__xludf.DUMMYFUNCTION("""COMPUTED_VALUE"""),"Aave v3 UNI")</f>
        <v>Aave v3 UNI</v>
      </c>
    </row>
    <row r="221" spans="1:3" x14ac:dyDescent="0.25">
      <c r="A221" s="2" t="str">
        <f ca="1">IFERROR(__xludf.DUMMYFUNCTION("""COMPUTED_VALUE"""),"aave-v3-usdbc")</f>
        <v>aave-v3-usdbc</v>
      </c>
      <c r="B221" s="2" t="str">
        <f ca="1">IFERROR(__xludf.DUMMYFUNCTION("""COMPUTED_VALUE"""),"abasusdbc")</f>
        <v>abasusdbc</v>
      </c>
      <c r="C221" s="2" t="str">
        <f ca="1">IFERROR(__xludf.DUMMYFUNCTION("""COMPUTED_VALUE"""),"Aave v3 aBasUSDbC")</f>
        <v>Aave v3 aBasUSDbC</v>
      </c>
    </row>
    <row r="222" spans="1:3" x14ac:dyDescent="0.25">
      <c r="A222" s="2" t="str">
        <f ca="1">IFERROR(__xludf.DUMMYFUNCTION("""COMPUTED_VALUE"""),"aave-v3-usdc")</f>
        <v>aave-v3-usdc</v>
      </c>
      <c r="B222" s="2" t="str">
        <f ca="1">IFERROR(__xludf.DUMMYFUNCTION("""COMPUTED_VALUE"""),"ausdc")</f>
        <v>ausdc</v>
      </c>
      <c r="C222" s="2" t="str">
        <f ca="1">IFERROR(__xludf.DUMMYFUNCTION("""COMPUTED_VALUE"""),"Aave v3 USDC")</f>
        <v>Aave v3 USDC</v>
      </c>
    </row>
    <row r="223" spans="1:3" x14ac:dyDescent="0.25">
      <c r="A223" s="2" t="str">
        <f ca="1">IFERROR(__xludf.DUMMYFUNCTION("""COMPUTED_VALUE"""),"aave-v3-usdc-e")</f>
        <v>aave-v3-usdc-e</v>
      </c>
      <c r="B223" s="2" t="str">
        <f ca="1">IFERROR(__xludf.DUMMYFUNCTION("""COMPUTED_VALUE"""),"ausdc.e")</f>
        <v>ausdc.e</v>
      </c>
      <c r="C223" s="2" t="str">
        <f ca="1">IFERROR(__xludf.DUMMYFUNCTION("""COMPUTED_VALUE"""),"Aave v3 USDC.e")</f>
        <v>Aave v3 USDC.e</v>
      </c>
    </row>
    <row r="224" spans="1:3" x14ac:dyDescent="0.25">
      <c r="A224" s="2" t="str">
        <f ca="1">IFERROR(__xludf.DUMMYFUNCTION("""COMPUTED_VALUE"""),"aave-v3-usdt")</f>
        <v>aave-v3-usdt</v>
      </c>
      <c r="B224" s="2" t="str">
        <f ca="1">IFERROR(__xludf.DUMMYFUNCTION("""COMPUTED_VALUE"""),"ausdt")</f>
        <v>ausdt</v>
      </c>
      <c r="C224" s="2" t="str">
        <f ca="1">IFERROR(__xludf.DUMMYFUNCTION("""COMPUTED_VALUE"""),"Aave v3 USDT")</f>
        <v>Aave v3 USDT</v>
      </c>
    </row>
    <row r="225" spans="1:3" x14ac:dyDescent="0.25">
      <c r="A225" s="2" t="str">
        <f ca="1">IFERROR(__xludf.DUMMYFUNCTION("""COMPUTED_VALUE"""),"aave-v3-wavax")</f>
        <v>aave-v3-wavax</v>
      </c>
      <c r="B225" s="2" t="str">
        <f ca="1">IFERROR(__xludf.DUMMYFUNCTION("""COMPUTED_VALUE"""),"awavax")</f>
        <v>awavax</v>
      </c>
      <c r="C225" s="2" t="str">
        <f ca="1">IFERROR(__xludf.DUMMYFUNCTION("""COMPUTED_VALUE"""),"Aave v3 WAVAX")</f>
        <v>Aave v3 WAVAX</v>
      </c>
    </row>
    <row r="226" spans="1:3" x14ac:dyDescent="0.25">
      <c r="A226" s="2" t="str">
        <f ca="1">IFERROR(__xludf.DUMMYFUNCTION("""COMPUTED_VALUE"""),"aave-v3-wbtc")</f>
        <v>aave-v3-wbtc</v>
      </c>
      <c r="B226" s="2" t="str">
        <f ca="1">IFERROR(__xludf.DUMMYFUNCTION("""COMPUTED_VALUE"""),"awbtc")</f>
        <v>awbtc</v>
      </c>
      <c r="C226" s="2" t="str">
        <f ca="1">IFERROR(__xludf.DUMMYFUNCTION("""COMPUTED_VALUE"""),"Aave v3 WBTC")</f>
        <v>Aave v3 WBTC</v>
      </c>
    </row>
    <row r="227" spans="1:3" x14ac:dyDescent="0.25">
      <c r="A227" s="2" t="str">
        <f ca="1">IFERROR(__xludf.DUMMYFUNCTION("""COMPUTED_VALUE"""),"aave-v3-weth")</f>
        <v>aave-v3-weth</v>
      </c>
      <c r="B227" s="2" t="str">
        <f ca="1">IFERROR(__xludf.DUMMYFUNCTION("""COMPUTED_VALUE"""),"aweth")</f>
        <v>aweth</v>
      </c>
      <c r="C227" s="2" t="str">
        <f ca="1">IFERROR(__xludf.DUMMYFUNCTION("""COMPUTED_VALUE"""),"Aave v3 WETH")</f>
        <v>Aave v3 WETH</v>
      </c>
    </row>
    <row r="228" spans="1:3" x14ac:dyDescent="0.25">
      <c r="A228" s="2" t="str">
        <f ca="1">IFERROR(__xludf.DUMMYFUNCTION("""COMPUTED_VALUE"""),"aave-v3-wmatic")</f>
        <v>aave-v3-wmatic</v>
      </c>
      <c r="B228" s="2" t="str">
        <f ca="1">IFERROR(__xludf.DUMMYFUNCTION("""COMPUTED_VALUE"""),"awmatic")</f>
        <v>awmatic</v>
      </c>
      <c r="C228" s="2" t="str">
        <f ca="1">IFERROR(__xludf.DUMMYFUNCTION("""COMPUTED_VALUE"""),"Aave v3 WMATIC")</f>
        <v>Aave v3 WMATIC</v>
      </c>
    </row>
    <row r="229" spans="1:3" x14ac:dyDescent="0.25">
      <c r="A229" s="2" t="str">
        <f ca="1">IFERROR(__xludf.DUMMYFUNCTION("""COMPUTED_VALUE"""),"aave-v3-wsteth")</f>
        <v>aave-v3-wsteth</v>
      </c>
      <c r="B229" s="2" t="str">
        <f ca="1">IFERROR(__xludf.DUMMYFUNCTION("""COMPUTED_VALUE"""),"awsteth")</f>
        <v>awsteth</v>
      </c>
      <c r="C229" s="2" t="str">
        <f ca="1">IFERROR(__xludf.DUMMYFUNCTION("""COMPUTED_VALUE"""),"Aave v3 wstETH")</f>
        <v>Aave v3 wstETH</v>
      </c>
    </row>
    <row r="230" spans="1:3" x14ac:dyDescent="0.25">
      <c r="A230" s="2" t="str">
        <f ca="1">IFERROR(__xludf.DUMMYFUNCTION("""COMPUTED_VALUE"""),"aave-wbtc")</f>
        <v>aave-wbtc</v>
      </c>
      <c r="B230" s="2" t="str">
        <f ca="1">IFERROR(__xludf.DUMMYFUNCTION("""COMPUTED_VALUE"""),"awbtc")</f>
        <v>awbtc</v>
      </c>
      <c r="C230" s="2" t="str">
        <f ca="1">IFERROR(__xludf.DUMMYFUNCTION("""COMPUTED_VALUE"""),"Aave WBTC")</f>
        <v>Aave WBTC</v>
      </c>
    </row>
    <row r="231" spans="1:3" x14ac:dyDescent="0.25">
      <c r="A231" s="2" t="str">
        <f ca="1">IFERROR(__xludf.DUMMYFUNCTION("""COMPUTED_VALUE"""),"aave-wbtc-v1")</f>
        <v>aave-wbtc-v1</v>
      </c>
      <c r="B231" s="2" t="str">
        <f ca="1">IFERROR(__xludf.DUMMYFUNCTION("""COMPUTED_VALUE"""),"awbtc")</f>
        <v>awbtc</v>
      </c>
      <c r="C231" s="2" t="str">
        <f ca="1">IFERROR(__xludf.DUMMYFUNCTION("""COMPUTED_VALUE"""),"Aave WBTC v1")</f>
        <v>Aave WBTC v1</v>
      </c>
    </row>
    <row r="232" spans="1:3" x14ac:dyDescent="0.25">
      <c r="A232" s="2" t="str">
        <f ca="1">IFERROR(__xludf.DUMMYFUNCTION("""COMPUTED_VALUE"""),"aave-weth")</f>
        <v>aave-weth</v>
      </c>
      <c r="B232" s="2" t="str">
        <f ca="1">IFERROR(__xludf.DUMMYFUNCTION("""COMPUTED_VALUE"""),"aweth")</f>
        <v>aweth</v>
      </c>
      <c r="C232" s="2" t="str">
        <f ca="1">IFERROR(__xludf.DUMMYFUNCTION("""COMPUTED_VALUE"""),"Aave WETH")</f>
        <v>Aave WETH</v>
      </c>
    </row>
    <row r="233" spans="1:3" x14ac:dyDescent="0.25">
      <c r="A233" s="2" t="str">
        <f ca="1">IFERROR(__xludf.DUMMYFUNCTION("""COMPUTED_VALUE"""),"aave-xsushi")</f>
        <v>aave-xsushi</v>
      </c>
      <c r="B233" s="2" t="str">
        <f ca="1">IFERROR(__xludf.DUMMYFUNCTION("""COMPUTED_VALUE"""),"axsushi")</f>
        <v>axsushi</v>
      </c>
      <c r="C233" s="2" t="str">
        <f ca="1">IFERROR(__xludf.DUMMYFUNCTION("""COMPUTED_VALUE"""),"Aave XSUSHI")</f>
        <v>Aave XSUSHI</v>
      </c>
    </row>
    <row r="234" spans="1:3" x14ac:dyDescent="0.25">
      <c r="A234" s="2" t="str">
        <f ca="1">IFERROR(__xludf.DUMMYFUNCTION("""COMPUTED_VALUE"""),"aave-yfi")</f>
        <v>aave-yfi</v>
      </c>
      <c r="B234" s="2" t="str">
        <f ca="1">IFERROR(__xludf.DUMMYFUNCTION("""COMPUTED_VALUE"""),"ayfi")</f>
        <v>ayfi</v>
      </c>
      <c r="C234" s="2" t="str">
        <f ca="1">IFERROR(__xludf.DUMMYFUNCTION("""COMPUTED_VALUE"""),"Aave YFI")</f>
        <v>Aave YFI</v>
      </c>
    </row>
    <row r="235" spans="1:3" x14ac:dyDescent="0.25">
      <c r="A235" s="2" t="str">
        <f ca="1">IFERROR(__xludf.DUMMYFUNCTION("""COMPUTED_VALUE"""),"aave-yvault")</f>
        <v>aave-yvault</v>
      </c>
      <c r="B235" s="2" t="str">
        <f ca="1">IFERROR(__xludf.DUMMYFUNCTION("""COMPUTED_VALUE"""),"yvaave")</f>
        <v>yvaave</v>
      </c>
      <c r="C235" s="2" t="str">
        <f ca="1">IFERROR(__xludf.DUMMYFUNCTION("""COMPUTED_VALUE"""),"Aave yVault")</f>
        <v>Aave yVault</v>
      </c>
    </row>
    <row r="236" spans="1:3" x14ac:dyDescent="0.25">
      <c r="A236" s="2" t="str">
        <f ca="1">IFERROR(__xludf.DUMMYFUNCTION("""COMPUTED_VALUE"""),"aave-zrx")</f>
        <v>aave-zrx</v>
      </c>
      <c r="B236" s="2" t="str">
        <f ca="1">IFERROR(__xludf.DUMMYFUNCTION("""COMPUTED_VALUE"""),"azrx")</f>
        <v>azrx</v>
      </c>
      <c r="C236" s="2" t="str">
        <f ca="1">IFERROR(__xludf.DUMMYFUNCTION("""COMPUTED_VALUE"""),"Aave ZRX")</f>
        <v>Aave ZRX</v>
      </c>
    </row>
    <row r="237" spans="1:3" x14ac:dyDescent="0.25">
      <c r="A237" s="2" t="str">
        <f ca="1">IFERROR(__xludf.DUMMYFUNCTION("""COMPUTED_VALUE"""),"aave-zrx-v1")</f>
        <v>aave-zrx-v1</v>
      </c>
      <c r="B237" s="2" t="str">
        <f ca="1">IFERROR(__xludf.DUMMYFUNCTION("""COMPUTED_VALUE"""),"azrx")</f>
        <v>azrx</v>
      </c>
      <c r="C237" s="2" t="str">
        <f ca="1">IFERROR(__xludf.DUMMYFUNCTION("""COMPUTED_VALUE"""),"Aave ZRX v1")</f>
        <v>Aave ZRX v1</v>
      </c>
    </row>
    <row r="238" spans="1:3" x14ac:dyDescent="0.25">
      <c r="A238" s="2" t="str">
        <f ca="1">IFERROR(__xludf.DUMMYFUNCTION("""COMPUTED_VALUE"""),"abachi-2")</f>
        <v>abachi-2</v>
      </c>
      <c r="B238" s="2" t="str">
        <f ca="1">IFERROR(__xludf.DUMMYFUNCTION("""COMPUTED_VALUE"""),"abi")</f>
        <v>abi</v>
      </c>
      <c r="C238" s="2" t="str">
        <f ca="1">IFERROR(__xludf.DUMMYFUNCTION("""COMPUTED_VALUE"""),"Abachi")</f>
        <v>Abachi</v>
      </c>
    </row>
    <row r="239" spans="1:3" x14ac:dyDescent="0.25">
      <c r="A239" s="2" t="str">
        <f ca="1">IFERROR(__xludf.DUMMYFUNCTION("""COMPUTED_VALUE"""),"abax")</f>
        <v>abax</v>
      </c>
      <c r="B239" s="2" t="str">
        <f ca="1">IFERROR(__xludf.DUMMYFUNCTION("""COMPUTED_VALUE"""),"abax")</f>
        <v>abax</v>
      </c>
      <c r="C239" s="2" t="str">
        <f ca="1">IFERROR(__xludf.DUMMYFUNCTION("""COMPUTED_VALUE"""),"Abax")</f>
        <v>Abax</v>
      </c>
    </row>
    <row r="240" spans="1:3" x14ac:dyDescent="0.25">
      <c r="A240" s="2" t="str">
        <f ca="1">IFERROR(__xludf.DUMMYFUNCTION("""COMPUTED_VALUE"""),"abble")</f>
        <v>abble</v>
      </c>
      <c r="B240" s="2" t="str">
        <f ca="1">IFERROR(__xludf.DUMMYFUNCTION("""COMPUTED_VALUE"""),"aabl")</f>
        <v>aabl</v>
      </c>
      <c r="C240" s="2" t="str">
        <f ca="1">IFERROR(__xludf.DUMMYFUNCTION("""COMPUTED_VALUE"""),"Abble")</f>
        <v>Abble</v>
      </c>
    </row>
    <row r="241" spans="1:3" x14ac:dyDescent="0.25">
      <c r="A241" s="2" t="str">
        <f ca="1">IFERROR(__xludf.DUMMYFUNCTION("""COMPUTED_VALUE"""),"abccleo")</f>
        <v>abccleo</v>
      </c>
      <c r="B241" s="2" t="str">
        <f ca="1">IFERROR(__xludf.DUMMYFUNCTION("""COMPUTED_VALUE"""),"abccleo")</f>
        <v>abccleo</v>
      </c>
      <c r="C241" s="2" t="str">
        <f ca="1">IFERROR(__xludf.DUMMYFUNCTION("""COMPUTED_VALUE"""),"abcCLEO")</f>
        <v>abcCLEO</v>
      </c>
    </row>
    <row r="242" spans="1:3" x14ac:dyDescent="0.25">
      <c r="A242" s="2" t="str">
        <f ca="1">IFERROR(__xludf.DUMMYFUNCTION("""COMPUTED_VALUE"""),"abcde-coin")</f>
        <v>abcde-coin</v>
      </c>
      <c r="B242" s="2" t="str">
        <f ca="1">IFERROR(__xludf.DUMMYFUNCTION("""COMPUTED_VALUE"""),"abcde")</f>
        <v>abcde</v>
      </c>
      <c r="C242" s="2" t="str">
        <f ca="1">IFERROR(__xludf.DUMMYFUNCTION("""COMPUTED_VALUE"""),"abcde coin")</f>
        <v>abcde coin</v>
      </c>
    </row>
    <row r="243" spans="1:3" x14ac:dyDescent="0.25">
      <c r="A243" s="2" t="str">
        <f ca="1">IFERROR(__xludf.DUMMYFUNCTION("""COMPUTED_VALUE"""),"abcmeta")</f>
        <v>abcmeta</v>
      </c>
      <c r="B243" s="2" t="str">
        <f ca="1">IFERROR(__xludf.DUMMYFUNCTION("""COMPUTED_VALUE"""),"meta")</f>
        <v>meta</v>
      </c>
      <c r="C243" s="2" t="str">
        <f ca="1">IFERROR(__xludf.DUMMYFUNCTION("""COMPUTED_VALUE"""),"ABCMETA")</f>
        <v>ABCMETA</v>
      </c>
    </row>
    <row r="244" spans="1:3" x14ac:dyDescent="0.25">
      <c r="A244" s="2" t="str">
        <f ca="1">IFERROR(__xludf.DUMMYFUNCTION("""COMPUTED_VALUE"""),"abcnuri")</f>
        <v>abcnuri</v>
      </c>
      <c r="B244" s="2" t="str">
        <f ca="1">IFERROR(__xludf.DUMMYFUNCTION("""COMPUTED_VALUE"""),"abcnuri")</f>
        <v>abcnuri</v>
      </c>
      <c r="C244" s="2" t="str">
        <f ca="1">IFERROR(__xludf.DUMMYFUNCTION("""COMPUTED_VALUE"""),"abcNURI")</f>
        <v>abcNURI</v>
      </c>
    </row>
    <row r="245" spans="1:3" x14ac:dyDescent="0.25">
      <c r="A245" s="2" t="str">
        <f ca="1">IFERROR(__xludf.DUMMYFUNCTION("""COMPUTED_VALUE"""),"abcphar")</f>
        <v>abcphar</v>
      </c>
      <c r="B245" s="2" t="str">
        <f ca="1">IFERROR(__xludf.DUMMYFUNCTION("""COMPUTED_VALUE"""),"abcphar")</f>
        <v>abcphar</v>
      </c>
      <c r="C245" s="2" t="str">
        <f ca="1">IFERROR(__xludf.DUMMYFUNCTION("""COMPUTED_VALUE"""),"abcPHAR")</f>
        <v>abcPHAR</v>
      </c>
    </row>
    <row r="246" spans="1:3" x14ac:dyDescent="0.25">
      <c r="A246" s="2" t="str">
        <f ca="1">IFERROR(__xludf.DUMMYFUNCTION("""COMPUTED_VALUE"""),"abc-pos-pool")</f>
        <v>abc-pos-pool</v>
      </c>
      <c r="B246" s="2" t="str">
        <f ca="1">IFERROR(__xludf.DUMMYFUNCTION("""COMPUTED_VALUE"""),"abc")</f>
        <v>abc</v>
      </c>
      <c r="C246" s="2" t="str">
        <f ca="1">IFERROR(__xludf.DUMMYFUNCTION("""COMPUTED_VALUE"""),"ABC PoS Pool")</f>
        <v>ABC PoS Pool</v>
      </c>
    </row>
    <row r="247" spans="1:3" x14ac:dyDescent="0.25">
      <c r="A247" s="2" t="str">
        <f ca="1">IFERROR(__xludf.DUMMYFUNCTION("""COMPUTED_VALUE"""),"abds-token")</f>
        <v>abds-token</v>
      </c>
      <c r="B247" s="2" t="str">
        <f ca="1">IFERROR(__xludf.DUMMYFUNCTION("""COMPUTED_VALUE"""),"abds")</f>
        <v>abds</v>
      </c>
      <c r="C247" s="2" t="str">
        <f ca="1">IFERROR(__xludf.DUMMYFUNCTION("""COMPUTED_VALUE"""),"ABDS Token")</f>
        <v>ABDS Token</v>
      </c>
    </row>
    <row r="248" spans="1:3" x14ac:dyDescent="0.25">
      <c r="A248" s="2" t="str">
        <f ca="1">IFERROR(__xludf.DUMMYFUNCTION("""COMPUTED_VALUE"""),"abe")</f>
        <v>abe</v>
      </c>
      <c r="B248" s="2" t="str">
        <f ca="1">IFERROR(__xludf.DUMMYFUNCTION("""COMPUTED_VALUE"""),"abe")</f>
        <v>abe</v>
      </c>
      <c r="C248" s="2" t="str">
        <f ca="1">IFERROR(__xludf.DUMMYFUNCTION("""COMPUTED_VALUE"""),"ABE")</f>
        <v>ABE</v>
      </c>
    </row>
    <row r="249" spans="1:3" x14ac:dyDescent="0.25">
      <c r="A249" s="2" t="str">
        <f ca="1">IFERROR(__xludf.DUMMYFUNCTION("""COMPUTED_VALUE"""),"abel-finance")</f>
        <v>abel-finance</v>
      </c>
      <c r="B249" s="2" t="str">
        <f ca="1">IFERROR(__xludf.DUMMYFUNCTION("""COMPUTED_VALUE"""),"abel")</f>
        <v>abel</v>
      </c>
      <c r="C249" s="2" t="str">
        <f ca="1">IFERROR(__xludf.DUMMYFUNCTION("""COMPUTED_VALUE"""),"ABEL Finance")</f>
        <v>ABEL Finance</v>
      </c>
    </row>
    <row r="250" spans="1:3" x14ac:dyDescent="0.25">
      <c r="A250" s="2" t="str">
        <f ca="1">IFERROR(__xludf.DUMMYFUNCTION("""COMPUTED_VALUE"""),"abelian")</f>
        <v>abelian</v>
      </c>
      <c r="B250" s="2" t="str">
        <f ca="1">IFERROR(__xludf.DUMMYFUNCTION("""COMPUTED_VALUE"""),"abel")</f>
        <v>abel</v>
      </c>
      <c r="C250" s="2" t="str">
        <f ca="1">IFERROR(__xludf.DUMMYFUNCTION("""COMPUTED_VALUE"""),"Abelian")</f>
        <v>Abelian</v>
      </c>
    </row>
    <row r="251" spans="1:3" x14ac:dyDescent="0.25">
      <c r="A251" s="2" t="str">
        <f ca="1">IFERROR(__xludf.DUMMYFUNCTION("""COMPUTED_VALUE"""),"abey")</f>
        <v>abey</v>
      </c>
      <c r="B251" s="2" t="str">
        <f ca="1">IFERROR(__xludf.DUMMYFUNCTION("""COMPUTED_VALUE"""),"abey")</f>
        <v>abey</v>
      </c>
      <c r="C251" s="2" t="str">
        <f ca="1">IFERROR(__xludf.DUMMYFUNCTION("""COMPUTED_VALUE"""),"Abey")</f>
        <v>Abey</v>
      </c>
    </row>
    <row r="252" spans="1:3" x14ac:dyDescent="0.25">
      <c r="A252" s="2" t="str">
        <f ca="1">IFERROR(__xludf.DUMMYFUNCTION("""COMPUTED_VALUE"""),"ab-group")</f>
        <v>ab-group</v>
      </c>
      <c r="B252" s="2" t="str">
        <f ca="1">IFERROR(__xludf.DUMMYFUNCTION("""COMPUTED_VALUE"""),"abg")</f>
        <v>abg</v>
      </c>
      <c r="C252" s="2" t="str">
        <f ca="1">IFERROR(__xludf.DUMMYFUNCTION("""COMPUTED_VALUE"""),"AB Group")</f>
        <v>AB Group</v>
      </c>
    </row>
    <row r="253" spans="1:3" x14ac:dyDescent="0.25">
      <c r="A253" s="2" t="str">
        <f ca="1">IFERROR(__xludf.DUMMYFUNCTION("""COMPUTED_VALUE"""),"able-finance")</f>
        <v>able-finance</v>
      </c>
      <c r="B253" s="2" t="str">
        <f ca="1">IFERROR(__xludf.DUMMYFUNCTION("""COMPUTED_VALUE"""),"able")</f>
        <v>able</v>
      </c>
      <c r="C253" s="2" t="str">
        <f ca="1">IFERROR(__xludf.DUMMYFUNCTION("""COMPUTED_VALUE"""),"Able Finance")</f>
        <v>Able Finance</v>
      </c>
    </row>
    <row r="254" spans="1:3" x14ac:dyDescent="0.25">
      <c r="A254" s="2" t="str">
        <f ca="1">IFERROR(__xludf.DUMMYFUNCTION("""COMPUTED_VALUE"""),"aboard")</f>
        <v>aboard</v>
      </c>
      <c r="B254" s="2" t="str">
        <f ca="1">IFERROR(__xludf.DUMMYFUNCTION("""COMPUTED_VALUE"""),"abe")</f>
        <v>abe</v>
      </c>
      <c r="C254" s="2" t="str">
        <f ca="1">IFERROR(__xludf.DUMMYFUNCTION("""COMPUTED_VALUE"""),"Aboard")</f>
        <v>Aboard</v>
      </c>
    </row>
    <row r="255" spans="1:3" x14ac:dyDescent="0.25">
      <c r="A255" s="2" t="str">
        <f ca="1">IFERROR(__xludf.DUMMYFUNCTION("""COMPUTED_VALUE"""),"aboat-token-2")</f>
        <v>aboat-token-2</v>
      </c>
      <c r="B255" s="2" t="str">
        <f ca="1">IFERROR(__xludf.DUMMYFUNCTION("""COMPUTED_VALUE"""),"aboat")</f>
        <v>aboat</v>
      </c>
      <c r="C255" s="2" t="str">
        <f ca="1">IFERROR(__xludf.DUMMYFUNCTION("""COMPUTED_VALUE"""),"Aboat Token")</f>
        <v>Aboat Token</v>
      </c>
    </row>
    <row r="256" spans="1:3" x14ac:dyDescent="0.25">
      <c r="A256" s="2" t="str">
        <f ca="1">IFERROR(__xludf.DUMMYFUNCTION("""COMPUTED_VALUE"""),"abond")</f>
        <v>abond</v>
      </c>
      <c r="B256" s="2" t="str">
        <f ca="1">IFERROR(__xludf.DUMMYFUNCTION("""COMPUTED_VALUE"""),"abond")</f>
        <v>abond</v>
      </c>
      <c r="C256" s="2" t="str">
        <f ca="1">IFERROR(__xludf.DUMMYFUNCTION("""COMPUTED_VALUE"""),"ApeBond")</f>
        <v>ApeBond</v>
      </c>
    </row>
    <row r="257" spans="1:3" x14ac:dyDescent="0.25">
      <c r="A257" s="2" t="str">
        <f ca="1">IFERROR(__xludf.DUMMYFUNCTION("""COMPUTED_VALUE"""),"abstradex")</f>
        <v>abstradex</v>
      </c>
      <c r="B257" s="2" t="str">
        <f ca="1">IFERROR(__xludf.DUMMYFUNCTION("""COMPUTED_VALUE"""),"abs")</f>
        <v>abs</v>
      </c>
      <c r="C257" s="2" t="str">
        <f ca="1">IFERROR(__xludf.DUMMYFUNCTION("""COMPUTED_VALUE"""),"AbstraDEX")</f>
        <v>AbstraDEX</v>
      </c>
    </row>
    <row r="258" spans="1:3" x14ac:dyDescent="0.25">
      <c r="A258" s="2" t="str">
        <f ca="1">IFERROR(__xludf.DUMMYFUNCTION("""COMPUTED_VALUE"""),"abyss-world")</f>
        <v>abyss-world</v>
      </c>
      <c r="B258" s="2" t="str">
        <f ca="1">IFERROR(__xludf.DUMMYFUNCTION("""COMPUTED_VALUE"""),"awt")</f>
        <v>awt</v>
      </c>
      <c r="C258" s="2" t="str">
        <f ca="1">IFERROR(__xludf.DUMMYFUNCTION("""COMPUTED_VALUE"""),"Abyss World")</f>
        <v>Abyss World</v>
      </c>
    </row>
    <row r="259" spans="1:3" x14ac:dyDescent="0.25">
      <c r="A259" s="2" t="str">
        <f ca="1">IFERROR(__xludf.DUMMYFUNCTION("""COMPUTED_VALUE"""),"acala")</f>
        <v>acala</v>
      </c>
      <c r="B259" s="2" t="str">
        <f ca="1">IFERROR(__xludf.DUMMYFUNCTION("""COMPUTED_VALUE"""),"aca")</f>
        <v>aca</v>
      </c>
      <c r="C259" s="2" t="str">
        <f ca="1">IFERROR(__xludf.DUMMYFUNCTION("""COMPUTED_VALUE"""),"Acala")</f>
        <v>Acala</v>
      </c>
    </row>
    <row r="260" spans="1:3" x14ac:dyDescent="0.25">
      <c r="A260" s="2" t="str">
        <f ca="1">IFERROR(__xludf.DUMMYFUNCTION("""COMPUTED_VALUE"""),"acala-dollar-acala")</f>
        <v>acala-dollar-acala</v>
      </c>
      <c r="B260" s="2" t="str">
        <f ca="1">IFERROR(__xludf.DUMMYFUNCTION("""COMPUTED_VALUE"""),"ausd")</f>
        <v>ausd</v>
      </c>
      <c r="C260" s="2" t="str">
        <f ca="1">IFERROR(__xludf.DUMMYFUNCTION("""COMPUTED_VALUE"""),"Acala Dollar (Acala)")</f>
        <v>Acala Dollar (Acala)</v>
      </c>
    </row>
    <row r="261" spans="1:3" x14ac:dyDescent="0.25">
      <c r="A261" s="2" t="str">
        <f ca="1">IFERROR(__xludf.DUMMYFUNCTION("""COMPUTED_VALUE"""),"access-protocol")</f>
        <v>access-protocol</v>
      </c>
      <c r="B261" s="2" t="str">
        <f ca="1">IFERROR(__xludf.DUMMYFUNCTION("""COMPUTED_VALUE"""),"acs")</f>
        <v>acs</v>
      </c>
      <c r="C261" s="2" t="str">
        <f ca="1">IFERROR(__xludf.DUMMYFUNCTION("""COMPUTED_VALUE"""),"Access Protocol")</f>
        <v>Access Protocol</v>
      </c>
    </row>
    <row r="262" spans="1:3" x14ac:dyDescent="0.25">
      <c r="A262" s="2" t="str">
        <f ca="1">IFERROR(__xludf.DUMMYFUNCTION("""COMPUTED_VALUE"""),"accord-ai")</f>
        <v>accord-ai</v>
      </c>
      <c r="B262" s="2" t="str">
        <f ca="1">IFERROR(__xludf.DUMMYFUNCTION("""COMPUTED_VALUE"""),"accord")</f>
        <v>accord</v>
      </c>
      <c r="C262" s="2" t="str">
        <f ca="1">IFERROR(__xludf.DUMMYFUNCTION("""COMPUTED_VALUE"""),"Accord AI")</f>
        <v>Accord AI</v>
      </c>
    </row>
    <row r="263" spans="1:3" x14ac:dyDescent="0.25">
      <c r="A263" s="2" t="str">
        <f ca="1">IFERROR(__xludf.DUMMYFUNCTION("""COMPUTED_VALUE"""),"accumulated-finance")</f>
        <v>accumulated-finance</v>
      </c>
      <c r="B263" s="2" t="str">
        <f ca="1">IFERROR(__xludf.DUMMYFUNCTION("""COMPUTED_VALUE"""),"acfi")</f>
        <v>acfi</v>
      </c>
      <c r="C263" s="2" t="str">
        <f ca="1">IFERROR(__xludf.DUMMYFUNCTION("""COMPUTED_VALUE"""),"Accumulated Finance")</f>
        <v>Accumulated Finance</v>
      </c>
    </row>
    <row r="264" spans="1:3" x14ac:dyDescent="0.25">
      <c r="A264" s="2" t="str">
        <f ca="1">IFERROR(__xludf.DUMMYFUNCTION("""COMPUTED_VALUE"""),"acent")</f>
        <v>acent</v>
      </c>
      <c r="B264" s="2" t="str">
        <f ca="1">IFERROR(__xludf.DUMMYFUNCTION("""COMPUTED_VALUE"""),"ace")</f>
        <v>ace</v>
      </c>
      <c r="C264" s="2" t="str">
        <f ca="1">IFERROR(__xludf.DUMMYFUNCTION("""COMPUTED_VALUE"""),"Acent")</f>
        <v>Acent</v>
      </c>
    </row>
    <row r="265" spans="1:3" x14ac:dyDescent="0.25">
      <c r="A265" s="2" t="str">
        <f ca="1">IFERROR(__xludf.DUMMYFUNCTION("""COMPUTED_VALUE"""),"acetoken")</f>
        <v>acetoken</v>
      </c>
      <c r="B265" s="2" t="str">
        <f ca="1">IFERROR(__xludf.DUMMYFUNCTION("""COMPUTED_VALUE"""),"ace")</f>
        <v>ace</v>
      </c>
      <c r="C265" s="2" t="str">
        <f ca="1">IFERROR(__xludf.DUMMYFUNCTION("""COMPUTED_VALUE"""),"ACEToken")</f>
        <v>ACEToken</v>
      </c>
    </row>
    <row r="266" spans="1:3" x14ac:dyDescent="0.25">
      <c r="A266" s="2" t="str">
        <f ca="1">IFERROR(__xludf.DUMMYFUNCTION("""COMPUTED_VALUE"""),"acet-token")</f>
        <v>acet-token</v>
      </c>
      <c r="B266" s="2" t="str">
        <f ca="1">IFERROR(__xludf.DUMMYFUNCTION("""COMPUTED_VALUE"""),"act")</f>
        <v>act</v>
      </c>
      <c r="C266" s="2" t="str">
        <f ca="1">IFERROR(__xludf.DUMMYFUNCTION("""COMPUTED_VALUE"""),"Acet")</f>
        <v>Acet</v>
      </c>
    </row>
    <row r="267" spans="1:3" x14ac:dyDescent="0.25">
      <c r="A267" s="2" t="str">
        <f ca="1">IFERROR(__xludf.DUMMYFUNCTION("""COMPUTED_VALUE"""),"achain")</f>
        <v>achain</v>
      </c>
      <c r="B267" s="2" t="str">
        <f ca="1">IFERROR(__xludf.DUMMYFUNCTION("""COMPUTED_VALUE"""),"act")</f>
        <v>act</v>
      </c>
      <c r="C267" s="2" t="str">
        <f ca="1">IFERROR(__xludf.DUMMYFUNCTION("""COMPUTED_VALUE"""),"Achain")</f>
        <v>Achain</v>
      </c>
    </row>
    <row r="268" spans="1:3" x14ac:dyDescent="0.25">
      <c r="A268" s="2" t="str">
        <f ca="1">IFERROR(__xludf.DUMMYFUNCTION("""COMPUTED_VALUE"""),"achi")</f>
        <v>achi</v>
      </c>
      <c r="B268" s="2" t="str">
        <f ca="1">IFERROR(__xludf.DUMMYFUNCTION("""COMPUTED_VALUE"""),"achi")</f>
        <v>achi</v>
      </c>
      <c r="C268" s="2" t="str">
        <f ca="1">IFERROR(__xludf.DUMMYFUNCTION("""COMPUTED_VALUE"""),"achi")</f>
        <v>achi</v>
      </c>
    </row>
    <row r="269" spans="1:3" x14ac:dyDescent="0.25">
      <c r="A269" s="2" t="str">
        <f ca="1">IFERROR(__xludf.DUMMYFUNCTION("""COMPUTED_VALUE"""),"achi-inu")</f>
        <v>achi-inu</v>
      </c>
      <c r="B269" s="2" t="str">
        <f ca="1">IFERROR(__xludf.DUMMYFUNCTION("""COMPUTED_VALUE"""),"achi")</f>
        <v>achi</v>
      </c>
      <c r="C269" s="2" t="str">
        <f ca="1">IFERROR(__xludf.DUMMYFUNCTION("""COMPUTED_VALUE"""),"ACHI INU")</f>
        <v>ACHI INU</v>
      </c>
    </row>
    <row r="270" spans="1:3" x14ac:dyDescent="0.25">
      <c r="A270" s="2" t="str">
        <f ca="1">IFERROR(__xludf.DUMMYFUNCTION("""COMPUTED_VALUE"""),"achmed-heart-and-sol")</f>
        <v>achmed-heart-and-sol</v>
      </c>
      <c r="B270" s="2" t="str">
        <f ca="1">IFERROR(__xludf.DUMMYFUNCTION("""COMPUTED_VALUE"""),"achmed")</f>
        <v>achmed</v>
      </c>
      <c r="C270" s="2" t="str">
        <f ca="1">IFERROR(__xludf.DUMMYFUNCTION("""COMPUTED_VALUE"""),"ACHMED - HEART AND SOL")</f>
        <v>ACHMED - HEART AND SOL</v>
      </c>
    </row>
    <row r="271" spans="1:3" x14ac:dyDescent="0.25">
      <c r="A271" s="2" t="str">
        <f ca="1">IFERROR(__xludf.DUMMYFUNCTION("""COMPUTED_VALUE"""),"acknoledger")</f>
        <v>acknoledger</v>
      </c>
      <c r="B271" s="2" t="str">
        <f ca="1">IFERROR(__xludf.DUMMYFUNCTION("""COMPUTED_VALUE"""),"ack")</f>
        <v>ack</v>
      </c>
      <c r="C271" s="2" t="str">
        <f ca="1">IFERROR(__xludf.DUMMYFUNCTION("""COMPUTED_VALUE"""),"AcknoLedger")</f>
        <v>AcknoLedger</v>
      </c>
    </row>
    <row r="272" spans="1:3" x14ac:dyDescent="0.25">
      <c r="A272" s="2" t="str">
        <f ca="1">IFERROR(__xludf.DUMMYFUNCTION("""COMPUTED_VALUE"""),"acmfinance")</f>
        <v>acmfinance</v>
      </c>
      <c r="B272" s="2" t="str">
        <f ca="1">IFERROR(__xludf.DUMMYFUNCTION("""COMPUTED_VALUE"""),"acm")</f>
        <v>acm</v>
      </c>
      <c r="C272" s="2" t="str">
        <f ca="1">IFERROR(__xludf.DUMMYFUNCTION("""COMPUTED_VALUE"""),"acmFinance")</f>
        <v>acmFinance</v>
      </c>
    </row>
    <row r="273" spans="1:3" x14ac:dyDescent="0.25">
      <c r="A273" s="2" t="str">
        <f ca="1">IFERROR(__xludf.DUMMYFUNCTION("""COMPUTED_VALUE"""),"ac-milan-fan-token")</f>
        <v>ac-milan-fan-token</v>
      </c>
      <c r="B273" s="2" t="str">
        <f ca="1">IFERROR(__xludf.DUMMYFUNCTION("""COMPUTED_VALUE"""),"acm")</f>
        <v>acm</v>
      </c>
      <c r="C273" s="2" t="str">
        <f ca="1">IFERROR(__xludf.DUMMYFUNCTION("""COMPUTED_VALUE"""),"AC Milan Fan Token")</f>
        <v>AC Milan Fan Token</v>
      </c>
    </row>
    <row r="274" spans="1:3" x14ac:dyDescent="0.25">
      <c r="A274" s="2" t="str">
        <f ca="1">IFERROR(__xludf.DUMMYFUNCTION("""COMPUTED_VALUE"""),"acorn-protocol")</f>
        <v>acorn-protocol</v>
      </c>
      <c r="B274" s="2" t="str">
        <f ca="1">IFERROR(__xludf.DUMMYFUNCTION("""COMPUTED_VALUE"""),"acn")</f>
        <v>acn</v>
      </c>
      <c r="C274" s="2" t="str">
        <f ca="1">IFERROR(__xludf.DUMMYFUNCTION("""COMPUTED_VALUE"""),"Acorn Protocol")</f>
        <v>Acorn Protocol</v>
      </c>
    </row>
    <row r="275" spans="1:3" x14ac:dyDescent="0.25">
      <c r="A275" s="2" t="str">
        <f ca="1">IFERROR(__xludf.DUMMYFUNCTION("""COMPUTED_VALUE"""),"acquire-fi")</f>
        <v>acquire-fi</v>
      </c>
      <c r="B275" s="2" t="str">
        <f ca="1">IFERROR(__xludf.DUMMYFUNCTION("""COMPUTED_VALUE"""),"acq")</f>
        <v>acq</v>
      </c>
      <c r="C275" s="3" t="str">
        <f ca="1">IFERROR(__xludf.DUMMYFUNCTION("""COMPUTED_VALUE"""),"Acquire.Fi")</f>
        <v>Acquire.Fi</v>
      </c>
    </row>
    <row r="276" spans="1:3" x14ac:dyDescent="0.25">
      <c r="A276" s="2" t="str">
        <f ca="1">IFERROR(__xludf.DUMMYFUNCTION("""COMPUTED_VALUE"""),"acria")</f>
        <v>acria</v>
      </c>
      <c r="B276" s="2" t="str">
        <f ca="1">IFERROR(__xludf.DUMMYFUNCTION("""COMPUTED_VALUE"""),"acria")</f>
        <v>acria</v>
      </c>
      <c r="C276" s="3" t="str">
        <f ca="1">IFERROR(__xludf.DUMMYFUNCTION("""COMPUTED_VALUE"""),"Acria.AI")</f>
        <v>Acria.AI</v>
      </c>
    </row>
    <row r="277" spans="1:3" x14ac:dyDescent="0.25">
      <c r="A277" s="2" t="str">
        <f ca="1">IFERROR(__xludf.DUMMYFUNCTION("""COMPUTED_VALUE"""),"across-protocol")</f>
        <v>across-protocol</v>
      </c>
      <c r="B277" s="2" t="str">
        <f ca="1">IFERROR(__xludf.DUMMYFUNCTION("""COMPUTED_VALUE"""),"acx")</f>
        <v>acx</v>
      </c>
      <c r="C277" s="2" t="str">
        <f ca="1">IFERROR(__xludf.DUMMYFUNCTION("""COMPUTED_VALUE"""),"Across Protocol")</f>
        <v>Across Protocol</v>
      </c>
    </row>
    <row r="278" spans="1:3" x14ac:dyDescent="0.25">
      <c r="A278" s="2" t="str">
        <f ca="1">IFERROR(__xludf.DUMMYFUNCTION("""COMPUTED_VALUE"""),"acryptos")</f>
        <v>acryptos</v>
      </c>
      <c r="B278" s="2" t="str">
        <f ca="1">IFERROR(__xludf.DUMMYFUNCTION("""COMPUTED_VALUE"""),"acs")</f>
        <v>acs</v>
      </c>
      <c r="C278" s="2" t="str">
        <f ca="1">IFERROR(__xludf.DUMMYFUNCTION("""COMPUTED_VALUE"""),"ACryptoS [OLD]")</f>
        <v>ACryptoS [OLD]</v>
      </c>
    </row>
    <row r="279" spans="1:3" x14ac:dyDescent="0.25">
      <c r="A279" s="2" t="str">
        <f ca="1">IFERROR(__xludf.DUMMYFUNCTION("""COMPUTED_VALUE"""),"acryptos-2")</f>
        <v>acryptos-2</v>
      </c>
      <c r="B279" s="2" t="str">
        <f ca="1">IFERROR(__xludf.DUMMYFUNCTION("""COMPUTED_VALUE"""),"acs")</f>
        <v>acs</v>
      </c>
      <c r="C279" s="2" t="str">
        <f ca="1">IFERROR(__xludf.DUMMYFUNCTION("""COMPUTED_VALUE"""),"ACryptoS")</f>
        <v>ACryptoS</v>
      </c>
    </row>
    <row r="280" spans="1:3" x14ac:dyDescent="0.25">
      <c r="A280" s="2" t="str">
        <f ca="1">IFERROR(__xludf.DUMMYFUNCTION("""COMPUTED_VALUE"""),"acryptosi")</f>
        <v>acryptosi</v>
      </c>
      <c r="B280" s="2" t="str">
        <f ca="1">IFERROR(__xludf.DUMMYFUNCTION("""COMPUTED_VALUE"""),"acsi")</f>
        <v>acsi</v>
      </c>
      <c r="C280" s="2" t="str">
        <f ca="1">IFERROR(__xludf.DUMMYFUNCTION("""COMPUTED_VALUE"""),"ACryptoSI")</f>
        <v>ACryptoSI</v>
      </c>
    </row>
    <row r="281" spans="1:3" x14ac:dyDescent="0.25">
      <c r="A281" s="2" t="str">
        <f ca="1">IFERROR(__xludf.DUMMYFUNCTION("""COMPUTED_VALUE"""),"actinium")</f>
        <v>actinium</v>
      </c>
      <c r="B281" s="2" t="str">
        <f ca="1">IFERROR(__xludf.DUMMYFUNCTION("""COMPUTED_VALUE"""),"acm")</f>
        <v>acm</v>
      </c>
      <c r="C281" s="2" t="str">
        <f ca="1">IFERROR(__xludf.DUMMYFUNCTION("""COMPUTED_VALUE"""),"Actinium")</f>
        <v>Actinium</v>
      </c>
    </row>
    <row r="282" spans="1:3" x14ac:dyDescent="0.25">
      <c r="A282" s="2" t="str">
        <f ca="1">IFERROR(__xludf.DUMMYFUNCTION("""COMPUTED_VALUE"""),"acurast")</f>
        <v>acurast</v>
      </c>
      <c r="B282" s="2" t="str">
        <f ca="1">IFERROR(__xludf.DUMMYFUNCTION("""COMPUTED_VALUE"""),"acu")</f>
        <v>acu</v>
      </c>
      <c r="C282" s="2" t="str">
        <f ca="1">IFERROR(__xludf.DUMMYFUNCTION("""COMPUTED_VALUE"""),"Acurast")</f>
        <v>Acurast</v>
      </c>
    </row>
    <row r="283" spans="1:3" x14ac:dyDescent="0.25">
      <c r="A283" s="2" t="str">
        <f ca="1">IFERROR(__xludf.DUMMYFUNCTION("""COMPUTED_VALUE"""),"acute-angle-cloud")</f>
        <v>acute-angle-cloud</v>
      </c>
      <c r="B283" s="2" t="str">
        <f ca="1">IFERROR(__xludf.DUMMYFUNCTION("""COMPUTED_VALUE"""),"aac")</f>
        <v>aac</v>
      </c>
      <c r="C283" s="2" t="str">
        <f ca="1">IFERROR(__xludf.DUMMYFUNCTION("""COMPUTED_VALUE"""),"Double-A Chain")</f>
        <v>Double-A Chain</v>
      </c>
    </row>
    <row r="284" spans="1:3" x14ac:dyDescent="0.25">
      <c r="A284" s="2" t="str">
        <f ca="1">IFERROR(__xludf.DUMMYFUNCTION("""COMPUTED_VALUE"""),"adacash")</f>
        <v>adacash</v>
      </c>
      <c r="B284" s="2" t="str">
        <f ca="1">IFERROR(__xludf.DUMMYFUNCTION("""COMPUTED_VALUE"""),"adacash")</f>
        <v>adacash</v>
      </c>
      <c r="C284" s="2" t="str">
        <f ca="1">IFERROR(__xludf.DUMMYFUNCTION("""COMPUTED_VALUE"""),"ADAcash")</f>
        <v>ADAcash</v>
      </c>
    </row>
    <row r="285" spans="1:3" x14ac:dyDescent="0.25">
      <c r="A285" s="2" t="str">
        <f ca="1">IFERROR(__xludf.DUMMYFUNCTION("""COMPUTED_VALUE"""),"adadao")</f>
        <v>adadao</v>
      </c>
      <c r="B285" s="2" t="str">
        <f ca="1">IFERROR(__xludf.DUMMYFUNCTION("""COMPUTED_VALUE"""),"adao")</f>
        <v>adao</v>
      </c>
      <c r="C285" s="2" t="str">
        <f ca="1">IFERROR(__xludf.DUMMYFUNCTION("""COMPUTED_VALUE"""),"ADADao")</f>
        <v>ADADao</v>
      </c>
    </row>
    <row r="286" spans="1:3" x14ac:dyDescent="0.25">
      <c r="A286" s="2" t="str">
        <f ca="1">IFERROR(__xludf.DUMMYFUNCTION("""COMPUTED_VALUE"""),"adamant")</f>
        <v>adamant</v>
      </c>
      <c r="B286" s="2" t="str">
        <f ca="1">IFERROR(__xludf.DUMMYFUNCTION("""COMPUTED_VALUE"""),"addy")</f>
        <v>addy</v>
      </c>
      <c r="C286" s="2" t="str">
        <f ca="1">IFERROR(__xludf.DUMMYFUNCTION("""COMPUTED_VALUE"""),"Adamant")</f>
        <v>Adamant</v>
      </c>
    </row>
    <row r="287" spans="1:3" x14ac:dyDescent="0.25">
      <c r="A287" s="2" t="str">
        <f ca="1">IFERROR(__xludf.DUMMYFUNCTION("""COMPUTED_VALUE"""),"adamant-messenger")</f>
        <v>adamant-messenger</v>
      </c>
      <c r="B287" s="2" t="str">
        <f ca="1">IFERROR(__xludf.DUMMYFUNCTION("""COMPUTED_VALUE"""),"adm")</f>
        <v>adm</v>
      </c>
      <c r="C287" s="2" t="str">
        <f ca="1">IFERROR(__xludf.DUMMYFUNCTION("""COMPUTED_VALUE"""),"ADAMANT Messenger")</f>
        <v>ADAMANT Messenger</v>
      </c>
    </row>
    <row r="288" spans="1:3" x14ac:dyDescent="0.25">
      <c r="A288" s="2" t="str">
        <f ca="1">IFERROR(__xludf.DUMMYFUNCTION("""COMPUTED_VALUE"""),"adanaspor-fan-token")</f>
        <v>adanaspor-fan-token</v>
      </c>
      <c r="B288" s="2" t="str">
        <f ca="1">IFERROR(__xludf.DUMMYFUNCTION("""COMPUTED_VALUE"""),"adana")</f>
        <v>adana</v>
      </c>
      <c r="C288" s="2" t="str">
        <f ca="1">IFERROR(__xludf.DUMMYFUNCTION("""COMPUTED_VALUE"""),"Adanaspor Fan Token")</f>
        <v>Adanaspor Fan Token</v>
      </c>
    </row>
    <row r="289" spans="1:3" x14ac:dyDescent="0.25">
      <c r="A289" s="2" t="str">
        <f ca="1">IFERROR(__xludf.DUMMYFUNCTION("""COMPUTED_VALUE"""),"adapad")</f>
        <v>adapad</v>
      </c>
      <c r="B289" s="2" t="str">
        <f ca="1">IFERROR(__xludf.DUMMYFUNCTION("""COMPUTED_VALUE"""),"adapad")</f>
        <v>adapad</v>
      </c>
      <c r="C289" s="2" t="str">
        <f ca="1">IFERROR(__xludf.DUMMYFUNCTION("""COMPUTED_VALUE"""),"ADAPad")</f>
        <v>ADAPad</v>
      </c>
    </row>
    <row r="290" spans="1:3" x14ac:dyDescent="0.25">
      <c r="A290" s="2" t="str">
        <f ca="1">IFERROR(__xludf.DUMMYFUNCTION("""COMPUTED_VALUE"""),"ada-peepos")</f>
        <v>ada-peepos</v>
      </c>
      <c r="B290" s="2" t="str">
        <f ca="1">IFERROR(__xludf.DUMMYFUNCTION("""COMPUTED_VALUE"""),"fren")</f>
        <v>fren</v>
      </c>
      <c r="C290" s="2" t="str">
        <f ca="1">IFERROR(__xludf.DUMMYFUNCTION("""COMPUTED_VALUE"""),"FREN")</f>
        <v>FREN</v>
      </c>
    </row>
    <row r="291" spans="1:3" x14ac:dyDescent="0.25">
      <c r="A291" s="2" t="str">
        <f ca="1">IFERROR(__xludf.DUMMYFUNCTION("""COMPUTED_VALUE"""),"adappter-token")</f>
        <v>adappter-token</v>
      </c>
      <c r="B291" s="2" t="str">
        <f ca="1">IFERROR(__xludf.DUMMYFUNCTION("""COMPUTED_VALUE"""),"adp")</f>
        <v>adp</v>
      </c>
      <c r="C291" s="2" t="str">
        <f ca="1">IFERROR(__xludf.DUMMYFUNCTION("""COMPUTED_VALUE"""),"Adappter")</f>
        <v>Adappter</v>
      </c>
    </row>
    <row r="292" spans="1:3" x14ac:dyDescent="0.25">
      <c r="A292" s="2" t="str">
        <f ca="1">IFERROR(__xludf.DUMMYFUNCTION("""COMPUTED_VALUE"""),"adapt3r-digital-treasury-bill-fund")</f>
        <v>adapt3r-digital-treasury-bill-fund</v>
      </c>
      <c r="B292" s="2" t="str">
        <f ca="1">IFERROR(__xludf.DUMMYFUNCTION("""COMPUTED_VALUE"""),"tfbill")</f>
        <v>tfbill</v>
      </c>
      <c r="C292" s="2" t="str">
        <f ca="1">IFERROR(__xludf.DUMMYFUNCTION("""COMPUTED_VALUE"""),"Adapt3r Digital Treasury Bill Fund")</f>
        <v>Adapt3r Digital Treasury Bill Fund</v>
      </c>
    </row>
    <row r="293" spans="1:3" x14ac:dyDescent="0.25">
      <c r="A293" s="2" t="str">
        <f ca="1">IFERROR(__xludf.DUMMYFUNCTION("""COMPUTED_VALUE"""),"adaswap")</f>
        <v>adaswap</v>
      </c>
      <c r="B293" s="2" t="str">
        <f ca="1">IFERROR(__xludf.DUMMYFUNCTION("""COMPUTED_VALUE"""),"asw")</f>
        <v>asw</v>
      </c>
      <c r="C293" s="2" t="str">
        <f ca="1">IFERROR(__xludf.DUMMYFUNCTION("""COMPUTED_VALUE"""),"AdaSwap")</f>
        <v>AdaSwap</v>
      </c>
    </row>
    <row r="294" spans="1:3" x14ac:dyDescent="0.25">
      <c r="A294" s="2" t="str">
        <f ca="1">IFERROR(__xludf.DUMMYFUNCTION("""COMPUTED_VALUE"""),"ada-the-dog")</f>
        <v>ada-the-dog</v>
      </c>
      <c r="B294" s="2" t="str">
        <f ca="1">IFERROR(__xludf.DUMMYFUNCTION("""COMPUTED_VALUE"""),"adasol")</f>
        <v>adasol</v>
      </c>
      <c r="C294" s="2" t="str">
        <f ca="1">IFERROR(__xludf.DUMMYFUNCTION("""COMPUTED_VALUE"""),"ADA")</f>
        <v>ADA</v>
      </c>
    </row>
    <row r="295" spans="1:3" x14ac:dyDescent="0.25">
      <c r="A295" s="2" t="str">
        <f ca="1">IFERROR(__xludf.DUMMYFUNCTION("""COMPUTED_VALUE"""),"adax")</f>
        <v>adax</v>
      </c>
      <c r="B295" s="2" t="str">
        <f ca="1">IFERROR(__xludf.DUMMYFUNCTION("""COMPUTED_VALUE"""),"adax")</f>
        <v>adax</v>
      </c>
      <c r="C295" s="2" t="str">
        <f ca="1">IFERROR(__xludf.DUMMYFUNCTION("""COMPUTED_VALUE"""),"ADAX")</f>
        <v>ADAX</v>
      </c>
    </row>
    <row r="296" spans="1:3" x14ac:dyDescent="0.25">
      <c r="A296" s="2" t="str">
        <f ca="1">IFERROR(__xludf.DUMMYFUNCTION("""COMPUTED_VALUE"""),"add-finance")</f>
        <v>add-finance</v>
      </c>
      <c r="B296" s="2" t="str">
        <f ca="1">IFERROR(__xludf.DUMMYFUNCTION("""COMPUTED_VALUE"""),"add")</f>
        <v>add</v>
      </c>
      <c r="C296" s="2" t="str">
        <f ca="1">IFERROR(__xludf.DUMMYFUNCTION("""COMPUTED_VALUE"""),"Add Finance")</f>
        <v>Add Finance</v>
      </c>
    </row>
    <row r="297" spans="1:3" x14ac:dyDescent="0.25">
      <c r="A297" s="2" t="str">
        <f ca="1">IFERROR(__xludf.DUMMYFUNCTION("""COMPUTED_VALUE"""),"addickted")</f>
        <v>addickted</v>
      </c>
      <c r="B297" s="2" t="str">
        <f ca="1">IFERROR(__xludf.DUMMYFUNCTION("""COMPUTED_VALUE"""),"dic")</f>
        <v>dic</v>
      </c>
      <c r="C297" s="2" t="str">
        <f ca="1">IFERROR(__xludf.DUMMYFUNCTION("""COMPUTED_VALUE"""),"adDICted")</f>
        <v>adDICted</v>
      </c>
    </row>
    <row r="298" spans="1:3" x14ac:dyDescent="0.25">
      <c r="A298" s="2" t="str">
        <f ca="1">IFERROR(__xludf.DUMMYFUNCTION("""COMPUTED_VALUE"""),"adex")</f>
        <v>adex</v>
      </c>
      <c r="B298" s="2" t="str">
        <f ca="1">IFERROR(__xludf.DUMMYFUNCTION("""COMPUTED_VALUE"""),"adx")</f>
        <v>adx</v>
      </c>
      <c r="C298" s="2" t="str">
        <f ca="1">IFERROR(__xludf.DUMMYFUNCTION("""COMPUTED_VALUE"""),"AdEx")</f>
        <v>AdEx</v>
      </c>
    </row>
    <row r="299" spans="1:3" x14ac:dyDescent="0.25">
      <c r="A299" s="2" t="str">
        <f ca="1">IFERROR(__xludf.DUMMYFUNCTION("""COMPUTED_VALUE"""),"adil-chain")</f>
        <v>adil-chain</v>
      </c>
      <c r="B299" s="2" t="str">
        <f ca="1">IFERROR(__xludf.DUMMYFUNCTION("""COMPUTED_VALUE"""),"adil")</f>
        <v>adil</v>
      </c>
      <c r="C299" s="2" t="str">
        <f ca="1">IFERROR(__xludf.DUMMYFUNCTION("""COMPUTED_VALUE"""),"ADIL Chain")</f>
        <v>ADIL Chain</v>
      </c>
    </row>
    <row r="300" spans="1:3" x14ac:dyDescent="0.25">
      <c r="A300" s="2" t="str">
        <f ca="1">IFERROR(__xludf.DUMMYFUNCTION("""COMPUTED_VALUE"""),"a-dog-in-the-matrix")</f>
        <v>a-dog-in-the-matrix</v>
      </c>
      <c r="B300" s="2" t="str">
        <f ca="1">IFERROR(__xludf.DUMMYFUNCTION("""COMPUTED_VALUE"""),"matrix")</f>
        <v>matrix</v>
      </c>
      <c r="C300" s="2" t="str">
        <f ca="1">IFERROR(__xludf.DUMMYFUNCTION("""COMPUTED_VALUE"""),"A DOG IN THE MATRIX")</f>
        <v>A DOG IN THE MATRIX</v>
      </c>
    </row>
    <row r="301" spans="1:3" x14ac:dyDescent="0.25">
      <c r="A301" s="2" t="str">
        <f ca="1">IFERROR(__xludf.DUMMYFUNCTION("""COMPUTED_VALUE"""),"ado-network")</f>
        <v>ado-network</v>
      </c>
      <c r="B301" s="2" t="str">
        <f ca="1">IFERROR(__xludf.DUMMYFUNCTION("""COMPUTED_VALUE"""),"ado")</f>
        <v>ado</v>
      </c>
      <c r="C301" s="2" t="str">
        <f ca="1">IFERROR(__xludf.DUMMYFUNCTION("""COMPUTED_VALUE"""),"ADO Protocol")</f>
        <v>ADO Protocol</v>
      </c>
    </row>
    <row r="302" spans="1:3" x14ac:dyDescent="0.25">
      <c r="A302" s="2" t="str">
        <f ca="1">IFERROR(__xludf.DUMMYFUNCTION("""COMPUTED_VALUE"""),"adonis-2")</f>
        <v>adonis-2</v>
      </c>
      <c r="B302" s="2" t="str">
        <f ca="1">IFERROR(__xludf.DUMMYFUNCTION("""COMPUTED_VALUE"""),"adon")</f>
        <v>adon</v>
      </c>
      <c r="C302" s="2" t="str">
        <f ca="1">IFERROR(__xludf.DUMMYFUNCTION("""COMPUTED_VALUE"""),"Adonis")</f>
        <v>Adonis</v>
      </c>
    </row>
    <row r="303" spans="1:3" x14ac:dyDescent="0.25">
      <c r="A303" s="2" t="str">
        <f ca="1">IFERROR(__xludf.DUMMYFUNCTION("""COMPUTED_VALUE"""),"adrena")</f>
        <v>adrena</v>
      </c>
      <c r="B303" s="2" t="str">
        <f ca="1">IFERROR(__xludf.DUMMYFUNCTION("""COMPUTED_VALUE"""),"adx")</f>
        <v>adx</v>
      </c>
      <c r="C303" s="2" t="str">
        <f ca="1">IFERROR(__xludf.DUMMYFUNCTION("""COMPUTED_VALUE"""),"Adrena")</f>
        <v>Adrena</v>
      </c>
    </row>
    <row r="304" spans="1:3" x14ac:dyDescent="0.25">
      <c r="A304" s="2" t="str">
        <f ca="1">IFERROR(__xludf.DUMMYFUNCTION("""COMPUTED_VALUE"""),"adreward")</f>
        <v>adreward</v>
      </c>
      <c r="B304" s="2" t="str">
        <f ca="1">IFERROR(__xludf.DUMMYFUNCTION("""COMPUTED_VALUE"""),"ad")</f>
        <v>ad</v>
      </c>
      <c r="C304" s="2" t="str">
        <f ca="1">IFERROR(__xludf.DUMMYFUNCTION("""COMPUTED_VALUE"""),"ADreward")</f>
        <v>ADreward</v>
      </c>
    </row>
    <row r="305" spans="1:3" x14ac:dyDescent="0.25">
      <c r="A305" s="2" t="str">
        <f ca="1">IFERROR(__xludf.DUMMYFUNCTION("""COMPUTED_VALUE"""),"adroverse")</f>
        <v>adroverse</v>
      </c>
      <c r="B305" s="2" t="str">
        <f ca="1">IFERROR(__xludf.DUMMYFUNCTION("""COMPUTED_VALUE"""),"adr")</f>
        <v>adr</v>
      </c>
      <c r="C305" s="2" t="str">
        <f ca="1">IFERROR(__xludf.DUMMYFUNCTION("""COMPUTED_VALUE"""),"Adroverse")</f>
        <v>Adroverse</v>
      </c>
    </row>
    <row r="306" spans="1:3" x14ac:dyDescent="0.25">
      <c r="A306" s="2" t="str">
        <f ca="1">IFERROR(__xludf.DUMMYFUNCTION("""COMPUTED_VALUE"""),"adshares")</f>
        <v>adshares</v>
      </c>
      <c r="B306" s="2" t="str">
        <f ca="1">IFERROR(__xludf.DUMMYFUNCTION("""COMPUTED_VALUE"""),"ads")</f>
        <v>ads</v>
      </c>
      <c r="C306" s="2" t="str">
        <f ca="1">IFERROR(__xludf.DUMMYFUNCTION("""COMPUTED_VALUE"""),"Adshares")</f>
        <v>Adshares</v>
      </c>
    </row>
    <row r="307" spans="1:3" x14ac:dyDescent="0.25">
      <c r="A307" s="2" t="str">
        <f ca="1">IFERROR(__xludf.DUMMYFUNCTION("""COMPUTED_VALUE"""),"adult-playground")</f>
        <v>adult-playground</v>
      </c>
      <c r="B307" s="2" t="str">
        <f ca="1">IFERROR(__xludf.DUMMYFUNCTION("""COMPUTED_VALUE"""),"adult")</f>
        <v>adult</v>
      </c>
      <c r="C307" s="2" t="str">
        <f ca="1">IFERROR(__xludf.DUMMYFUNCTION("""COMPUTED_VALUE"""),"Adult Playground")</f>
        <v>Adult Playground</v>
      </c>
    </row>
    <row r="308" spans="1:3" x14ac:dyDescent="0.25">
      <c r="A308" s="2" t="str">
        <f ca="1">IFERROR(__xludf.DUMMYFUNCTION("""COMPUTED_VALUE"""),"advantis")</f>
        <v>advantis</v>
      </c>
      <c r="B308" s="2" t="str">
        <f ca="1">IFERROR(__xludf.DUMMYFUNCTION("""COMPUTED_VALUE"""),"advt")</f>
        <v>advt</v>
      </c>
      <c r="C308" s="2" t="str">
        <f ca="1">IFERROR(__xludf.DUMMYFUNCTION("""COMPUTED_VALUE"""),"Advantis X")</f>
        <v>Advantis X</v>
      </c>
    </row>
    <row r="309" spans="1:3" x14ac:dyDescent="0.25">
      <c r="A309" s="2" t="str">
        <f ca="1">IFERROR(__xludf.DUMMYFUNCTION("""COMPUTED_VALUE"""),"adventure-gold")</f>
        <v>adventure-gold</v>
      </c>
      <c r="B309" s="2" t="str">
        <f ca="1">IFERROR(__xludf.DUMMYFUNCTION("""COMPUTED_VALUE"""),"agld")</f>
        <v>agld</v>
      </c>
      <c r="C309" s="2" t="str">
        <f ca="1">IFERROR(__xludf.DUMMYFUNCTION("""COMPUTED_VALUE"""),"Adventure Gold")</f>
        <v>Adventure Gold</v>
      </c>
    </row>
    <row r="310" spans="1:3" x14ac:dyDescent="0.25">
      <c r="A310" s="2" t="str">
        <f ca="1">IFERROR(__xludf.DUMMYFUNCTION("""COMPUTED_VALUE"""),"advertise-coin")</f>
        <v>advertise-coin</v>
      </c>
      <c r="B310" s="2" t="str">
        <f ca="1">IFERROR(__xludf.DUMMYFUNCTION("""COMPUTED_VALUE"""),"adco")</f>
        <v>adco</v>
      </c>
      <c r="C310" s="2" t="str">
        <f ca="1">IFERROR(__xludf.DUMMYFUNCTION("""COMPUTED_VALUE"""),"Advertise Coin")</f>
        <v>Advertise Coin</v>
      </c>
    </row>
    <row r="311" spans="1:3" x14ac:dyDescent="0.25">
      <c r="A311" s="2" t="str">
        <f ca="1">IFERROR(__xludf.DUMMYFUNCTION("""COMPUTED_VALUE"""),"aeggs")</f>
        <v>aeggs</v>
      </c>
      <c r="B311" s="2" t="str">
        <f ca="1">IFERROR(__xludf.DUMMYFUNCTION("""COMPUTED_VALUE"""),"aeggs")</f>
        <v>aeggs</v>
      </c>
      <c r="C311" s="2" t="str">
        <f ca="1">IFERROR(__xludf.DUMMYFUNCTION("""COMPUTED_VALUE"""),"aEGGS")</f>
        <v>aEGGS</v>
      </c>
    </row>
    <row r="312" spans="1:3" x14ac:dyDescent="0.25">
      <c r="A312" s="2" t="str">
        <f ca="1">IFERROR(__xludf.DUMMYFUNCTION("""COMPUTED_VALUE"""),"aegis")</f>
        <v>aegis</v>
      </c>
      <c r="B312" s="2" t="str">
        <f ca="1">IFERROR(__xludf.DUMMYFUNCTION("""COMPUTED_VALUE"""),"ags")</f>
        <v>ags</v>
      </c>
      <c r="C312" s="2" t="str">
        <f ca="1">IFERROR(__xludf.DUMMYFUNCTION("""COMPUTED_VALUE"""),"Aegis")</f>
        <v>Aegis</v>
      </c>
    </row>
    <row r="313" spans="1:3" x14ac:dyDescent="0.25">
      <c r="A313" s="2" t="str">
        <f ca="1">IFERROR(__xludf.DUMMYFUNCTION("""COMPUTED_VALUE"""),"aegis-ai")</f>
        <v>aegis-ai</v>
      </c>
      <c r="B313" s="2" t="str">
        <f ca="1">IFERROR(__xludf.DUMMYFUNCTION("""COMPUTED_VALUE"""),"aegis")</f>
        <v>aegis</v>
      </c>
      <c r="C313" s="2" t="str">
        <f ca="1">IFERROR(__xludf.DUMMYFUNCTION("""COMPUTED_VALUE"""),"Aegis Ai")</f>
        <v>Aegis Ai</v>
      </c>
    </row>
    <row r="314" spans="1:3" x14ac:dyDescent="0.25">
      <c r="A314" s="2" t="str">
        <f ca="1">IFERROR(__xludf.DUMMYFUNCTION("""COMPUTED_VALUE"""),"aelf")</f>
        <v>aelf</v>
      </c>
      <c r="B314" s="2" t="str">
        <f ca="1">IFERROR(__xludf.DUMMYFUNCTION("""COMPUTED_VALUE"""),"elf")</f>
        <v>elf</v>
      </c>
      <c r="C314" s="2" t="str">
        <f ca="1">IFERROR(__xludf.DUMMYFUNCTION("""COMPUTED_VALUE"""),"aelf")</f>
        <v>aelf</v>
      </c>
    </row>
    <row r="315" spans="1:3" x14ac:dyDescent="0.25">
      <c r="A315" s="2" t="str">
        <f ca="1">IFERROR(__xludf.DUMMYFUNCTION("""COMPUTED_VALUE"""),"aelin")</f>
        <v>aelin</v>
      </c>
      <c r="B315" s="2" t="str">
        <f ca="1">IFERROR(__xludf.DUMMYFUNCTION("""COMPUTED_VALUE"""),"aelin")</f>
        <v>aelin</v>
      </c>
      <c r="C315" s="2" t="str">
        <f ca="1">IFERROR(__xludf.DUMMYFUNCTION("""COMPUTED_VALUE"""),"Aelin")</f>
        <v>Aelin</v>
      </c>
    </row>
    <row r="316" spans="1:3" x14ac:dyDescent="0.25">
      <c r="A316" s="2" t="str">
        <f ca="1">IFERROR(__xludf.DUMMYFUNCTION("""COMPUTED_VALUE"""),"aeon")</f>
        <v>aeon</v>
      </c>
      <c r="B316" s="2" t="str">
        <f ca="1">IFERROR(__xludf.DUMMYFUNCTION("""COMPUTED_VALUE"""),"aeon")</f>
        <v>aeon</v>
      </c>
      <c r="C316" s="2" t="str">
        <f ca="1">IFERROR(__xludf.DUMMYFUNCTION("""COMPUTED_VALUE"""),"Aeon")</f>
        <v>Aeon</v>
      </c>
    </row>
    <row r="317" spans="1:3" x14ac:dyDescent="0.25">
      <c r="A317" s="2" t="str">
        <f ca="1">IFERROR(__xludf.DUMMYFUNCTION("""COMPUTED_VALUE"""),"aeonodex")</f>
        <v>aeonodex</v>
      </c>
      <c r="B317" s="2" t="str">
        <f ca="1">IFERROR(__xludf.DUMMYFUNCTION("""COMPUTED_VALUE"""),"aeonodex")</f>
        <v>aeonodex</v>
      </c>
      <c r="C317" s="2" t="str">
        <f ca="1">IFERROR(__xludf.DUMMYFUNCTION("""COMPUTED_VALUE"""),"AEONODEX")</f>
        <v>AEONODEX</v>
      </c>
    </row>
    <row r="318" spans="1:3" x14ac:dyDescent="0.25">
      <c r="A318" s="2" t="str">
        <f ca="1">IFERROR(__xludf.DUMMYFUNCTION("""COMPUTED_VALUE"""),"aergo")</f>
        <v>aergo</v>
      </c>
      <c r="B318" s="2" t="str">
        <f ca="1">IFERROR(__xludf.DUMMYFUNCTION("""COMPUTED_VALUE"""),"aergo")</f>
        <v>aergo</v>
      </c>
      <c r="C318" s="2" t="str">
        <f ca="1">IFERROR(__xludf.DUMMYFUNCTION("""COMPUTED_VALUE"""),"Aergo")</f>
        <v>Aergo</v>
      </c>
    </row>
    <row r="319" spans="1:3" x14ac:dyDescent="0.25">
      <c r="A319" s="2" t="str">
        <f ca="1">IFERROR(__xludf.DUMMYFUNCTION("""COMPUTED_VALUE"""),"aerobud")</f>
        <v>aerobud</v>
      </c>
      <c r="B319" s="2" t="str">
        <f ca="1">IFERROR(__xludf.DUMMYFUNCTION("""COMPUTED_VALUE"""),"aerobud")</f>
        <v>aerobud</v>
      </c>
      <c r="C319" s="2" t="str">
        <f ca="1">IFERROR(__xludf.DUMMYFUNCTION("""COMPUTED_VALUE"""),"AEROBUD")</f>
        <v>AEROBUD</v>
      </c>
    </row>
    <row r="320" spans="1:3" x14ac:dyDescent="0.25">
      <c r="A320" s="2" t="str">
        <f ca="1">IFERROR(__xludf.DUMMYFUNCTION("""COMPUTED_VALUE"""),"aerodrome-finance")</f>
        <v>aerodrome-finance</v>
      </c>
      <c r="B320" s="2" t="str">
        <f ca="1">IFERROR(__xludf.DUMMYFUNCTION("""COMPUTED_VALUE"""),"aero")</f>
        <v>aero</v>
      </c>
      <c r="C320" s="2" t="str">
        <f ca="1">IFERROR(__xludf.DUMMYFUNCTION("""COMPUTED_VALUE"""),"Aerodrome Finance")</f>
        <v>Aerodrome Finance</v>
      </c>
    </row>
    <row r="321" spans="1:3" x14ac:dyDescent="0.25">
      <c r="A321" s="2" t="str">
        <f ca="1">IFERROR(__xludf.DUMMYFUNCTION("""COMPUTED_VALUE"""),"aeron")</f>
        <v>aeron</v>
      </c>
      <c r="B321" s="2" t="str">
        <f ca="1">IFERROR(__xludf.DUMMYFUNCTION("""COMPUTED_VALUE"""),"arnx")</f>
        <v>arnx</v>
      </c>
      <c r="C321" s="2" t="str">
        <f ca="1">IFERROR(__xludf.DUMMYFUNCTION("""COMPUTED_VALUE"""),"Aeron")</f>
        <v>Aeron</v>
      </c>
    </row>
    <row r="322" spans="1:3" x14ac:dyDescent="0.25">
      <c r="A322" s="2" t="str">
        <f ca="1">IFERROR(__xludf.DUMMYFUNCTION("""COMPUTED_VALUE"""),"aerosol")</f>
        <v>aerosol</v>
      </c>
      <c r="B322" s="2" t="str">
        <f ca="1">IFERROR(__xludf.DUMMYFUNCTION("""COMPUTED_VALUE"""),"aerosol")</f>
        <v>aerosol</v>
      </c>
      <c r="C322" s="2" t="str">
        <f ca="1">IFERROR(__xludf.DUMMYFUNCTION("""COMPUTED_VALUE"""),"aeroSOL")</f>
        <v>aeroSOL</v>
      </c>
    </row>
    <row r="323" spans="1:3" x14ac:dyDescent="0.25">
      <c r="A323" s="2" t="str">
        <f ca="1">IFERROR(__xludf.DUMMYFUNCTION("""COMPUTED_VALUE"""),"aerovek-aviation")</f>
        <v>aerovek-aviation</v>
      </c>
      <c r="B323" s="2" t="str">
        <f ca="1">IFERROR(__xludf.DUMMYFUNCTION("""COMPUTED_VALUE"""),"aero")</f>
        <v>aero</v>
      </c>
      <c r="C323" s="2" t="str">
        <f ca="1">IFERROR(__xludf.DUMMYFUNCTION("""COMPUTED_VALUE"""),"Aerovek Aviation")</f>
        <v>Aerovek Aviation</v>
      </c>
    </row>
    <row r="324" spans="1:3" x14ac:dyDescent="0.25">
      <c r="A324" s="2" t="str">
        <f ca="1">IFERROR(__xludf.DUMMYFUNCTION("""COMPUTED_VALUE"""),"aesirx")</f>
        <v>aesirx</v>
      </c>
      <c r="B324" s="2" t="str">
        <f ca="1">IFERROR(__xludf.DUMMYFUNCTION("""COMPUTED_VALUE"""),"aesirx")</f>
        <v>aesirx</v>
      </c>
      <c r="C324" s="2" t="str">
        <f ca="1">IFERROR(__xludf.DUMMYFUNCTION("""COMPUTED_VALUE"""),"AesirX")</f>
        <v>AesirX</v>
      </c>
    </row>
    <row r="325" spans="1:3" x14ac:dyDescent="0.25">
      <c r="A325" s="2" t="str">
        <f ca="1">IFERROR(__xludf.DUMMYFUNCTION("""COMPUTED_VALUE"""),"aet")</f>
        <v>aet</v>
      </c>
      <c r="B325" s="2" t="str">
        <f ca="1">IFERROR(__xludf.DUMMYFUNCTION("""COMPUTED_VALUE"""),"aet")</f>
        <v>aet</v>
      </c>
      <c r="C325" s="2" t="str">
        <f ca="1">IFERROR(__xludf.DUMMYFUNCTION("""COMPUTED_VALUE"""),"AET")</f>
        <v>AET</v>
      </c>
    </row>
    <row r="326" spans="1:3" x14ac:dyDescent="0.25">
      <c r="A326" s="2" t="str">
        <f ca="1">IFERROR(__xludf.DUMMYFUNCTION("""COMPUTED_VALUE"""),"aeternity")</f>
        <v>aeternity</v>
      </c>
      <c r="B326" s="2" t="str">
        <f ca="1">IFERROR(__xludf.DUMMYFUNCTION("""COMPUTED_VALUE"""),"ae")</f>
        <v>ae</v>
      </c>
      <c r="C326" s="2" t="str">
        <f ca="1">IFERROR(__xludf.DUMMYFUNCTION("""COMPUTED_VALUE"""),"Aeternity")</f>
        <v>Aeternity</v>
      </c>
    </row>
    <row r="327" spans="1:3" x14ac:dyDescent="0.25">
      <c r="A327" s="2" t="str">
        <f ca="1">IFERROR(__xludf.DUMMYFUNCTION("""COMPUTED_VALUE"""),"aether-games")</f>
        <v>aether-games</v>
      </c>
      <c r="B327" s="2" t="str">
        <f ca="1">IFERROR(__xludf.DUMMYFUNCTION("""COMPUTED_VALUE"""),"aeg")</f>
        <v>aeg</v>
      </c>
      <c r="C327" s="2" t="str">
        <f ca="1">IFERROR(__xludf.DUMMYFUNCTION("""COMPUTED_VALUE"""),"Aether Games")</f>
        <v>Aether Games</v>
      </c>
    </row>
    <row r="328" spans="1:3" x14ac:dyDescent="0.25">
      <c r="A328" s="2" t="str">
        <f ca="1">IFERROR(__xludf.DUMMYFUNCTION("""COMPUTED_VALUE"""),"aethir")</f>
        <v>aethir</v>
      </c>
      <c r="B328" s="2" t="str">
        <f ca="1">IFERROR(__xludf.DUMMYFUNCTION("""COMPUTED_VALUE"""),"ath")</f>
        <v>ath</v>
      </c>
      <c r="C328" s="2" t="str">
        <f ca="1">IFERROR(__xludf.DUMMYFUNCTION("""COMPUTED_VALUE"""),"Aethir")</f>
        <v>Aethir</v>
      </c>
    </row>
    <row r="329" spans="1:3" x14ac:dyDescent="0.25">
      <c r="A329" s="2" t="str">
        <f ca="1">IFERROR(__xludf.DUMMYFUNCTION("""COMPUTED_VALUE"""),"aeusd")</f>
        <v>aeusd</v>
      </c>
      <c r="B329" s="2" t="str">
        <f ca="1">IFERROR(__xludf.DUMMYFUNCTION("""COMPUTED_VALUE"""),"aeusd")</f>
        <v>aeusd</v>
      </c>
      <c r="C329" s="2" t="str">
        <f ca="1">IFERROR(__xludf.DUMMYFUNCTION("""COMPUTED_VALUE"""),"aeUSD")</f>
        <v>aeUSD</v>
      </c>
    </row>
    <row r="330" spans="1:3" x14ac:dyDescent="0.25">
      <c r="A330" s="2" t="str">
        <f ca="1">IFERROR(__xludf.DUMMYFUNCTION("""COMPUTED_VALUE"""),"aevo-exchange")</f>
        <v>aevo-exchange</v>
      </c>
      <c r="B330" s="2" t="str">
        <f ca="1">IFERROR(__xludf.DUMMYFUNCTION("""COMPUTED_VALUE"""),"aevo")</f>
        <v>aevo</v>
      </c>
      <c r="C330" s="2" t="str">
        <f ca="1">IFERROR(__xludf.DUMMYFUNCTION("""COMPUTED_VALUE"""),"Aevo")</f>
        <v>Aevo</v>
      </c>
    </row>
    <row r="331" spans="1:3" x14ac:dyDescent="0.25">
      <c r="A331" s="2" t="str">
        <f ca="1">IFERROR(__xludf.DUMMYFUNCTION("""COMPUTED_VALUE"""),"aevum-ore")</f>
        <v>aevum-ore</v>
      </c>
      <c r="B331" s="2" t="str">
        <f ca="1">IFERROR(__xludf.DUMMYFUNCTION("""COMPUTED_VALUE"""),"aevum")</f>
        <v>aevum</v>
      </c>
      <c r="C331" s="2" t="str">
        <f ca="1">IFERROR(__xludf.DUMMYFUNCTION("""COMPUTED_VALUE"""),"Aevum")</f>
        <v>Aevum</v>
      </c>
    </row>
    <row r="332" spans="1:3" x14ac:dyDescent="0.25">
      <c r="A332" s="2" t="str">
        <f ca="1">IFERROR(__xludf.DUMMYFUNCTION("""COMPUTED_VALUE"""),"aezora")</f>
        <v>aezora</v>
      </c>
      <c r="B332" s="2" t="str">
        <f ca="1">IFERROR(__xludf.DUMMYFUNCTION("""COMPUTED_VALUE"""),"azr")</f>
        <v>azr</v>
      </c>
      <c r="C332" s="2" t="str">
        <f ca="1">IFERROR(__xludf.DUMMYFUNCTION("""COMPUTED_VALUE"""),"Azzure")</f>
        <v>Azzure</v>
      </c>
    </row>
    <row r="333" spans="1:3" x14ac:dyDescent="0.25">
      <c r="A333" s="2" t="str">
        <f ca="1">IFERROR(__xludf.DUMMYFUNCTION("""COMPUTED_VALUE"""),"afen-blockchain")</f>
        <v>afen-blockchain</v>
      </c>
      <c r="B333" s="2" t="str">
        <f ca="1">IFERROR(__xludf.DUMMYFUNCTION("""COMPUTED_VALUE"""),"afen")</f>
        <v>afen</v>
      </c>
      <c r="C333" s="2" t="str">
        <f ca="1">IFERROR(__xludf.DUMMYFUNCTION("""COMPUTED_VALUE"""),"AFEN Blockchain")</f>
        <v>AFEN Blockchain</v>
      </c>
    </row>
    <row r="334" spans="1:3" x14ac:dyDescent="0.25">
      <c r="A334" s="2" t="str">
        <f ca="1">IFERROR(__xludf.DUMMYFUNCTION("""COMPUTED_VALUE"""),"affi-network")</f>
        <v>affi-network</v>
      </c>
      <c r="B334" s="2" t="str">
        <f ca="1">IFERROR(__xludf.DUMMYFUNCTION("""COMPUTED_VALUE"""),"affi")</f>
        <v>affi</v>
      </c>
      <c r="C334" s="2" t="str">
        <f ca="1">IFERROR(__xludf.DUMMYFUNCTION("""COMPUTED_VALUE"""),"Affi Network")</f>
        <v>Affi Network</v>
      </c>
    </row>
    <row r="335" spans="1:3" x14ac:dyDescent="0.25">
      <c r="A335" s="2" t="str">
        <f ca="1">IFERROR(__xludf.DUMMYFUNCTION("""COMPUTED_VALUE"""),"affine-ultraeths-2-0")</f>
        <v>affine-ultraeths-2-0</v>
      </c>
      <c r="B335" s="2" t="str">
        <f ca="1">IFERROR(__xludf.DUMMYFUNCTION("""COMPUTED_VALUE"""),"ultraeths")</f>
        <v>ultraeths</v>
      </c>
      <c r="C335" s="2" t="str">
        <f ca="1">IFERROR(__xludf.DUMMYFUNCTION("""COMPUTED_VALUE"""),"Affine ultraETHs 2.0")</f>
        <v>Affine ultraETHs 2.0</v>
      </c>
    </row>
    <row r="336" spans="1:3" x14ac:dyDescent="0.25">
      <c r="A336" s="2" t="str">
        <f ca="1">IFERROR(__xludf.DUMMYFUNCTION("""COMPUTED_VALUE"""),"affine-ultraeths-2-0-fuse")</f>
        <v>affine-ultraeths-2-0-fuse</v>
      </c>
      <c r="B336" s="2" t="str">
        <f ca="1">IFERROR(__xludf.DUMMYFUNCTION("""COMPUTED_VALUE"""),"ultraeths")</f>
        <v>ultraeths</v>
      </c>
      <c r="C336" s="2" t="str">
        <f ca="1">IFERROR(__xludf.DUMMYFUNCTION("""COMPUTED_VALUE"""),"Affine ultraETHs 2.0 (Fuse)")</f>
        <v>Affine ultraETHs 2.0 (Fuse)</v>
      </c>
    </row>
    <row r="337" spans="1:3" x14ac:dyDescent="0.25">
      <c r="A337" s="2" t="str">
        <f ca="1">IFERROR(__xludf.DUMMYFUNCTION("""COMPUTED_VALUE"""),"affinity")</f>
        <v>affinity</v>
      </c>
      <c r="B337" s="2" t="str">
        <f ca="1">IFERROR(__xludf.DUMMYFUNCTION("""COMPUTED_VALUE"""),"afnty")</f>
        <v>afnty</v>
      </c>
      <c r="C337" s="2" t="str">
        <f ca="1">IFERROR(__xludf.DUMMYFUNCTION("""COMPUTED_VALUE"""),"Affinity")</f>
        <v>Affinity</v>
      </c>
    </row>
    <row r="338" spans="1:3" x14ac:dyDescent="0.25">
      <c r="A338" s="2" t="str">
        <f ca="1">IFERROR(__xludf.DUMMYFUNCTION("""COMPUTED_VALUE"""),"affyn")</f>
        <v>affyn</v>
      </c>
      <c r="B338" s="2" t="str">
        <f ca="1">IFERROR(__xludf.DUMMYFUNCTION("""COMPUTED_VALUE"""),"fyn")</f>
        <v>fyn</v>
      </c>
      <c r="C338" s="2" t="str">
        <f ca="1">IFERROR(__xludf.DUMMYFUNCTION("""COMPUTED_VALUE"""),"Affyn")</f>
        <v>Affyn</v>
      </c>
    </row>
    <row r="339" spans="1:3" x14ac:dyDescent="0.25">
      <c r="A339" s="2" t="str">
        <f ca="1">IFERROR(__xludf.DUMMYFUNCTION("""COMPUTED_VALUE"""),"afin-coin")</f>
        <v>afin-coin</v>
      </c>
      <c r="B339" s="2" t="str">
        <f ca="1">IFERROR(__xludf.DUMMYFUNCTION("""COMPUTED_VALUE"""),"afin")</f>
        <v>afin</v>
      </c>
      <c r="C339" s="2" t="str">
        <f ca="1">IFERROR(__xludf.DUMMYFUNCTION("""COMPUTED_VALUE"""),"Asian Fintech")</f>
        <v>Asian Fintech</v>
      </c>
    </row>
    <row r="340" spans="1:3" x14ac:dyDescent="0.25">
      <c r="A340" s="2" t="str">
        <f ca="1">IFERROR(__xludf.DUMMYFUNCTION("""COMPUTED_VALUE"""),"afreum")</f>
        <v>afreum</v>
      </c>
      <c r="B340" s="2" t="str">
        <f ca="1">IFERROR(__xludf.DUMMYFUNCTION("""COMPUTED_VALUE"""),"afr")</f>
        <v>afr</v>
      </c>
      <c r="C340" s="2" t="str">
        <f ca="1">IFERROR(__xludf.DUMMYFUNCTION("""COMPUTED_VALUE"""),"Afreum")</f>
        <v>Afreum</v>
      </c>
    </row>
    <row r="341" spans="1:3" x14ac:dyDescent="0.25">
      <c r="A341" s="2" t="str">
        <f ca="1">IFERROR(__xludf.DUMMYFUNCTION("""COMPUTED_VALUE"""),"africarare")</f>
        <v>africarare</v>
      </c>
      <c r="B341" s="2" t="str">
        <f ca="1">IFERROR(__xludf.DUMMYFUNCTION("""COMPUTED_VALUE"""),"ubu")</f>
        <v>ubu</v>
      </c>
      <c r="C341" s="2" t="str">
        <f ca="1">IFERROR(__xludf.DUMMYFUNCTION("""COMPUTED_VALUE"""),"Africarare")</f>
        <v>Africarare</v>
      </c>
    </row>
    <row r="342" spans="1:3" x14ac:dyDescent="0.25">
      <c r="A342" s="2" t="str">
        <f ca="1">IFERROR(__xludf.DUMMYFUNCTION("""COMPUTED_VALUE"""),"afrix")</f>
        <v>afrix</v>
      </c>
      <c r="B342" s="2" t="str">
        <f ca="1">IFERROR(__xludf.DUMMYFUNCTION("""COMPUTED_VALUE"""),"afx")</f>
        <v>afx</v>
      </c>
      <c r="C342" s="2" t="str">
        <f ca="1">IFERROR(__xludf.DUMMYFUNCTION("""COMPUTED_VALUE"""),"Afrix")</f>
        <v>Afrix</v>
      </c>
    </row>
    <row r="343" spans="1:3" x14ac:dyDescent="0.25">
      <c r="A343" s="2" t="str">
        <f ca="1">IFERROR(__xludf.DUMMYFUNCTION("""COMPUTED_VALUE"""),"afrostar")</f>
        <v>afrostar</v>
      </c>
      <c r="B343" s="2" t="str">
        <f ca="1">IFERROR(__xludf.DUMMYFUNCTION("""COMPUTED_VALUE"""),"afro")</f>
        <v>afro</v>
      </c>
      <c r="C343" s="2" t="str">
        <f ca="1">IFERROR(__xludf.DUMMYFUNCTION("""COMPUTED_VALUE"""),"Afrostar")</f>
        <v>Afrostar</v>
      </c>
    </row>
    <row r="344" spans="1:3" x14ac:dyDescent="0.25">
      <c r="A344" s="2" t="str">
        <f ca="1">IFERROR(__xludf.DUMMYFUNCTION("""COMPUTED_VALUE"""),"aftermath-staked-sui")</f>
        <v>aftermath-staked-sui</v>
      </c>
      <c r="B344" s="2" t="str">
        <f ca="1">IFERROR(__xludf.DUMMYFUNCTION("""COMPUTED_VALUE"""),"afsui")</f>
        <v>afsui</v>
      </c>
      <c r="C344" s="2" t="str">
        <f ca="1">IFERROR(__xludf.DUMMYFUNCTION("""COMPUTED_VALUE"""),"Aftermath Staked SUI")</f>
        <v>Aftermath Staked SUI</v>
      </c>
    </row>
    <row r="345" spans="1:3" x14ac:dyDescent="0.25">
      <c r="A345" s="2" t="str">
        <f ca="1">IFERROR(__xludf.DUMMYFUNCTION("""COMPUTED_VALUE"""),"a-fund-baby")</f>
        <v>a-fund-baby</v>
      </c>
      <c r="B345" s="2" t="str">
        <f ca="1">IFERROR(__xludf.DUMMYFUNCTION("""COMPUTED_VALUE"""),"fund")</f>
        <v>fund</v>
      </c>
      <c r="C345" s="2" t="str">
        <f ca="1">IFERROR(__xludf.DUMMYFUNCTION("""COMPUTED_VALUE"""),"A Fund Baby")</f>
        <v>A Fund Baby</v>
      </c>
    </row>
    <row r="346" spans="1:3" x14ac:dyDescent="0.25">
      <c r="A346" s="2" t="str">
        <f ca="1">IFERROR(__xludf.DUMMYFUNCTION("""COMPUTED_VALUE"""),"afyonspor-fan-token")</f>
        <v>afyonspor-fan-token</v>
      </c>
      <c r="B346" s="2" t="str">
        <f ca="1">IFERROR(__xludf.DUMMYFUNCTION("""COMPUTED_VALUE"""),"afyon")</f>
        <v>afyon</v>
      </c>
      <c r="C346" s="2" t="str">
        <f ca="1">IFERROR(__xludf.DUMMYFUNCTION("""COMPUTED_VALUE"""),"Afyonspor Fan Token")</f>
        <v>Afyonspor Fan Token</v>
      </c>
    </row>
    <row r="347" spans="1:3" x14ac:dyDescent="0.25">
      <c r="A347" s="2" t="str">
        <f ca="1">IFERROR(__xludf.DUMMYFUNCTION("""COMPUTED_VALUE"""),"aga-rewards")</f>
        <v>aga-rewards</v>
      </c>
      <c r="B347" s="2" t="str">
        <f ca="1">IFERROR(__xludf.DUMMYFUNCTION("""COMPUTED_VALUE"""),"edc")</f>
        <v>edc</v>
      </c>
      <c r="C347" s="2" t="str">
        <f ca="1">IFERROR(__xludf.DUMMYFUNCTION("""COMPUTED_VALUE"""),"Edcoin")</f>
        <v>Edcoin</v>
      </c>
    </row>
    <row r="348" spans="1:3" x14ac:dyDescent="0.25">
      <c r="A348" s="2" t="str">
        <f ca="1">IFERROR(__xludf.DUMMYFUNCTION("""COMPUTED_VALUE"""),"agatech")</f>
        <v>agatech</v>
      </c>
      <c r="B348" s="2" t="str">
        <f ca="1">IFERROR(__xludf.DUMMYFUNCTION("""COMPUTED_VALUE"""),"agata")</f>
        <v>agata</v>
      </c>
      <c r="C348" s="2" t="str">
        <f ca="1">IFERROR(__xludf.DUMMYFUNCTION("""COMPUTED_VALUE"""),"Agatech")</f>
        <v>Agatech</v>
      </c>
    </row>
    <row r="349" spans="1:3" x14ac:dyDescent="0.25">
      <c r="A349" s="2" t="str">
        <f ca="1">IFERROR(__xludf.DUMMYFUNCTION("""COMPUTED_VALUE"""),"aga-token")</f>
        <v>aga-token</v>
      </c>
      <c r="B349" s="2" t="str">
        <f ca="1">IFERROR(__xludf.DUMMYFUNCTION("""COMPUTED_VALUE"""),"aga")</f>
        <v>aga</v>
      </c>
      <c r="C349" s="2" t="str">
        <f ca="1">IFERROR(__xludf.DUMMYFUNCTION("""COMPUTED_VALUE"""),"AGA")</f>
        <v>AGA</v>
      </c>
    </row>
    <row r="350" spans="1:3" x14ac:dyDescent="0.25">
      <c r="A350" s="2" t="str">
        <f ca="1">IFERROR(__xludf.DUMMYFUNCTION("""COMPUTED_VALUE"""),"agave-token")</f>
        <v>agave-token</v>
      </c>
      <c r="B350" s="2" t="str">
        <f ca="1">IFERROR(__xludf.DUMMYFUNCTION("""COMPUTED_VALUE"""),"agve")</f>
        <v>agve</v>
      </c>
      <c r="C350" s="2" t="str">
        <f ca="1">IFERROR(__xludf.DUMMYFUNCTION("""COMPUTED_VALUE"""),"Agave")</f>
        <v>Agave</v>
      </c>
    </row>
    <row r="351" spans="1:3" x14ac:dyDescent="0.25">
      <c r="A351" s="2" t="str">
        <f ca="1">IFERROR(__xludf.DUMMYFUNCTION("""COMPUTED_VALUE"""),"ageio-stagnum")</f>
        <v>ageio-stagnum</v>
      </c>
      <c r="B351" s="2" t="str">
        <f ca="1">IFERROR(__xludf.DUMMYFUNCTION("""COMPUTED_VALUE"""),"agt")</f>
        <v>agt</v>
      </c>
      <c r="C351" s="2" t="str">
        <f ca="1">IFERROR(__xludf.DUMMYFUNCTION("""COMPUTED_VALUE"""),"Ageio Stagnum")</f>
        <v>Ageio Stagnum</v>
      </c>
    </row>
    <row r="352" spans="1:3" x14ac:dyDescent="0.25">
      <c r="A352" s="2" t="str">
        <f ca="1">IFERROR(__xludf.DUMMYFUNCTION("""COMPUTED_VALUE"""),"agentlayer")</f>
        <v>agentlayer</v>
      </c>
      <c r="B352" s="2" t="str">
        <f ca="1">IFERROR(__xludf.DUMMYFUNCTION("""COMPUTED_VALUE"""),"agent")</f>
        <v>agent</v>
      </c>
      <c r="C352" s="2" t="str">
        <f ca="1">IFERROR(__xludf.DUMMYFUNCTION("""COMPUTED_VALUE"""),"AgentLayer")</f>
        <v>AgentLayer</v>
      </c>
    </row>
    <row r="353" spans="1:3" x14ac:dyDescent="0.25">
      <c r="A353" s="2" t="str">
        <f ca="1">IFERROR(__xludf.DUMMYFUNCTION("""COMPUTED_VALUE"""),"a-gently-used-2001-honda")</f>
        <v>a-gently-used-2001-honda</v>
      </c>
      <c r="B353" s="2" t="str">
        <f ca="1">IFERROR(__xludf.DUMMYFUNCTION("""COMPUTED_VALUE"""),"usedcar")</f>
        <v>usedcar</v>
      </c>
      <c r="C353" s="2" t="str">
        <f ca="1">IFERROR(__xludf.DUMMYFUNCTION("""COMPUTED_VALUE"""),"A Gently Used 2001 Honda")</f>
        <v>A Gently Used 2001 Honda</v>
      </c>
    </row>
    <row r="354" spans="1:3" x14ac:dyDescent="0.25">
      <c r="A354" s="2" t="str">
        <f ca="1">IFERROR(__xludf.DUMMYFUNCTION("""COMPUTED_VALUE"""),"a-gently-used-nokia-3310")</f>
        <v>a-gently-used-nokia-3310</v>
      </c>
      <c r="B354" s="2" t="str">
        <f ca="1">IFERROR(__xludf.DUMMYFUNCTION("""COMPUTED_VALUE"""),"usedphone")</f>
        <v>usedphone</v>
      </c>
      <c r="C354" s="2" t="str">
        <f ca="1">IFERROR(__xludf.DUMMYFUNCTION("""COMPUTED_VALUE"""),"A Gently Used Nokia 3310")</f>
        <v>A Gently Used Nokia 3310</v>
      </c>
    </row>
    <row r="355" spans="1:3" x14ac:dyDescent="0.25">
      <c r="A355" s="2" t="str">
        <f ca="1">IFERROR(__xludf.DUMMYFUNCTION("""COMPUTED_VALUE"""),"age-of-apes")</f>
        <v>age-of-apes</v>
      </c>
      <c r="B355" s="2" t="str">
        <f ca="1">IFERROR(__xludf.DUMMYFUNCTION("""COMPUTED_VALUE"""),"apes")</f>
        <v>apes</v>
      </c>
      <c r="C355" s="2" t="str">
        <f ca="1">IFERROR(__xludf.DUMMYFUNCTION("""COMPUTED_VALUE"""),"AGE OF APES")</f>
        <v>AGE OF APES</v>
      </c>
    </row>
    <row r="356" spans="1:3" x14ac:dyDescent="0.25">
      <c r="A356" s="2" t="str">
        <f ca="1">IFERROR(__xludf.DUMMYFUNCTION("""COMPUTED_VALUE"""),"age-of-aquarius")</f>
        <v>age-of-aquarius</v>
      </c>
      <c r="B356" s="2" t="str">
        <f ca="1">IFERROR(__xludf.DUMMYFUNCTION("""COMPUTED_VALUE"""),"♒")</f>
        <v>♒</v>
      </c>
      <c r="C356" s="2" t="str">
        <f ca="1">IFERROR(__xludf.DUMMYFUNCTION("""COMPUTED_VALUE"""),"AGE•OF•AQUARIUS")</f>
        <v>AGE•OF•AQUARIUS</v>
      </c>
    </row>
    <row r="357" spans="1:3" x14ac:dyDescent="0.25">
      <c r="A357" s="2" t="str">
        <f ca="1">IFERROR(__xludf.DUMMYFUNCTION("""COMPUTED_VALUE"""),"ageofgods")</f>
        <v>ageofgods</v>
      </c>
      <c r="B357" s="2" t="str">
        <f ca="1">IFERROR(__xludf.DUMMYFUNCTION("""COMPUTED_VALUE"""),"aog")</f>
        <v>aog</v>
      </c>
      <c r="C357" s="2" t="str">
        <f ca="1">IFERROR(__xludf.DUMMYFUNCTION("""COMPUTED_VALUE"""),"AgeOfGods")</f>
        <v>AgeOfGods</v>
      </c>
    </row>
    <row r="358" spans="1:3" x14ac:dyDescent="0.25">
      <c r="A358" s="2" t="str">
        <f ca="1">IFERROR(__xludf.DUMMYFUNCTION("""COMPUTED_VALUE"""),"ageur")</f>
        <v>ageur</v>
      </c>
      <c r="B358" s="2" t="str">
        <f ca="1">IFERROR(__xludf.DUMMYFUNCTION("""COMPUTED_VALUE"""),"eura")</f>
        <v>eura</v>
      </c>
      <c r="C358" s="2" t="str">
        <f ca="1">IFERROR(__xludf.DUMMYFUNCTION("""COMPUTED_VALUE"""),"EURA")</f>
        <v>EURA</v>
      </c>
    </row>
    <row r="359" spans="1:3" x14ac:dyDescent="0.25">
      <c r="A359" s="2" t="str">
        <f ca="1">IFERROR(__xludf.DUMMYFUNCTION("""COMPUTED_VALUE"""),"ageur-plenty-bridge")</f>
        <v>ageur-plenty-bridge</v>
      </c>
      <c r="B359" s="2" t="str">
        <f ca="1">IFERROR(__xludf.DUMMYFUNCTION("""COMPUTED_VALUE"""),"egeur.e")</f>
        <v>egeur.e</v>
      </c>
      <c r="C359" s="2" t="str">
        <f ca="1">IFERROR(__xludf.DUMMYFUNCTION("""COMPUTED_VALUE"""),"agEUR (Plenty Bridge)")</f>
        <v>agEUR (Plenty Bridge)</v>
      </c>
    </row>
    <row r="360" spans="1:3" x14ac:dyDescent="0.25">
      <c r="A360" s="2" t="str">
        <f ca="1">IFERROR(__xludf.DUMMYFUNCTION("""COMPUTED_VALUE"""),"agg")</f>
        <v>agg</v>
      </c>
      <c r="B360" s="2" t="str">
        <f ca="1">IFERROR(__xludf.DUMMYFUNCTION("""COMPUTED_VALUE"""),"agg")</f>
        <v>agg</v>
      </c>
      <c r="C360" s="2" t="str">
        <f ca="1">IFERROR(__xludf.DUMMYFUNCTION("""COMPUTED_VALUE"""),"AGG")</f>
        <v>AGG</v>
      </c>
    </row>
    <row r="361" spans="1:3" x14ac:dyDescent="0.25">
      <c r="A361" s="2" t="str">
        <f ca="1">IFERROR(__xludf.DUMMYFUNCTION("""COMPUTED_VALUE"""),"agii")</f>
        <v>agii</v>
      </c>
      <c r="B361" s="2" t="str">
        <f ca="1">IFERROR(__xludf.DUMMYFUNCTION("""COMPUTED_VALUE"""),"agii")</f>
        <v>agii</v>
      </c>
      <c r="C361" s="2" t="str">
        <f ca="1">IFERROR(__xludf.DUMMYFUNCTION("""COMPUTED_VALUE"""),"AGII")</f>
        <v>AGII</v>
      </c>
    </row>
    <row r="362" spans="1:3" x14ac:dyDescent="0.25">
      <c r="A362" s="2" t="str">
        <f ca="1">IFERROR(__xludf.DUMMYFUNCTION("""COMPUTED_VALUE"""),"agility")</f>
        <v>agility</v>
      </c>
      <c r="B362" s="2" t="str">
        <f ca="1">IFERROR(__xludf.DUMMYFUNCTION("""COMPUTED_VALUE"""),"agi")</f>
        <v>agi</v>
      </c>
      <c r="C362" s="2" t="str">
        <f ca="1">IFERROR(__xludf.DUMMYFUNCTION("""COMPUTED_VALUE"""),"Agility")</f>
        <v>Agility</v>
      </c>
    </row>
    <row r="363" spans="1:3" x14ac:dyDescent="0.25">
      <c r="A363" s="2" t="str">
        <f ca="1">IFERROR(__xludf.DUMMYFUNCTION("""COMPUTED_VALUE"""),"agio")</f>
        <v>agio</v>
      </c>
      <c r="B363" s="2" t="str">
        <f ca="1">IFERROR(__xludf.DUMMYFUNCTION("""COMPUTED_VALUE"""),"agio")</f>
        <v>agio</v>
      </c>
      <c r="C363" s="2" t="str">
        <f ca="1">IFERROR(__xludf.DUMMYFUNCTION("""COMPUTED_VALUE"""),"Agio")</f>
        <v>Agio</v>
      </c>
    </row>
    <row r="364" spans="1:3" x14ac:dyDescent="0.25">
      <c r="A364" s="2" t="str">
        <f ca="1">IFERROR(__xludf.DUMMYFUNCTION("""COMPUTED_VALUE"""),"agnus-ai")</f>
        <v>agnus-ai</v>
      </c>
      <c r="B364" s="2" t="str">
        <f ca="1">IFERROR(__xludf.DUMMYFUNCTION("""COMPUTED_VALUE"""),"agn")</f>
        <v>agn</v>
      </c>
      <c r="C364" s="2" t="str">
        <f ca="1">IFERROR(__xludf.DUMMYFUNCTION("""COMPUTED_VALUE"""),"Agnus AI")</f>
        <v>Agnus AI</v>
      </c>
    </row>
    <row r="365" spans="1:3" x14ac:dyDescent="0.25">
      <c r="A365" s="2" t="str">
        <f ca="1">IFERROR(__xludf.DUMMYFUNCTION("""COMPUTED_VALUE"""),"ago")</f>
        <v>ago</v>
      </c>
      <c r="B365" s="2" t="str">
        <f ca="1">IFERROR(__xludf.DUMMYFUNCTION("""COMPUTED_VALUE"""),"ago")</f>
        <v>ago</v>
      </c>
      <c r="C365" s="2" t="str">
        <f ca="1">IFERROR(__xludf.DUMMYFUNCTION("""COMPUTED_VALUE"""),"ago")</f>
        <v>ago</v>
      </c>
    </row>
    <row r="366" spans="1:3" x14ac:dyDescent="0.25">
      <c r="A366" s="2" t="str">
        <f ca="1">IFERROR(__xludf.DUMMYFUNCTION("""COMPUTED_VALUE"""),"agora-dollar")</f>
        <v>agora-dollar</v>
      </c>
      <c r="B366" s="2" t="str">
        <f ca="1">IFERROR(__xludf.DUMMYFUNCTION("""COMPUTED_VALUE"""),"ausd")</f>
        <v>ausd</v>
      </c>
      <c r="C366" s="2" t="str">
        <f ca="1">IFERROR(__xludf.DUMMYFUNCTION("""COMPUTED_VALUE"""),"AUSD")</f>
        <v>AUSD</v>
      </c>
    </row>
    <row r="367" spans="1:3" x14ac:dyDescent="0.25">
      <c r="A367" s="2" t="str">
        <f ca="1">IFERROR(__xludf.DUMMYFUNCTION("""COMPUTED_VALUE"""),"agorahub")</f>
        <v>agorahub</v>
      </c>
      <c r="B367" s="2" t="str">
        <f ca="1">IFERROR(__xludf.DUMMYFUNCTION("""COMPUTED_VALUE"""),"aga")</f>
        <v>aga</v>
      </c>
      <c r="C367" s="2" t="str">
        <f ca="1">IFERROR(__xludf.DUMMYFUNCTION("""COMPUTED_VALUE"""),"AgoraHub")</f>
        <v>AgoraHub</v>
      </c>
    </row>
    <row r="368" spans="1:3" x14ac:dyDescent="0.25">
      <c r="A368" s="2" t="str">
        <f ca="1">IFERROR(__xludf.DUMMYFUNCTION("""COMPUTED_VALUE"""),"agoras-currency-of-tau")</f>
        <v>agoras-currency-of-tau</v>
      </c>
      <c r="B368" s="2" t="str">
        <f ca="1">IFERROR(__xludf.DUMMYFUNCTION("""COMPUTED_VALUE"""),"agrs")</f>
        <v>agrs</v>
      </c>
      <c r="C368" s="2" t="str">
        <f ca="1">IFERROR(__xludf.DUMMYFUNCTION("""COMPUTED_VALUE"""),"Agoras: Currency of Tau")</f>
        <v>Agoras: Currency of Tau</v>
      </c>
    </row>
    <row r="369" spans="1:3" x14ac:dyDescent="0.25">
      <c r="A369" s="2" t="str">
        <f ca="1">IFERROR(__xludf.DUMMYFUNCTION("""COMPUTED_VALUE"""),"agoric")</f>
        <v>agoric</v>
      </c>
      <c r="B369" s="2" t="str">
        <f ca="1">IFERROR(__xludf.DUMMYFUNCTION("""COMPUTED_VALUE"""),"bld")</f>
        <v>bld</v>
      </c>
      <c r="C369" s="2" t="str">
        <f ca="1">IFERROR(__xludf.DUMMYFUNCTION("""COMPUTED_VALUE"""),"Agoric")</f>
        <v>Agoric</v>
      </c>
    </row>
    <row r="370" spans="1:3" x14ac:dyDescent="0.25">
      <c r="A370" s="2" t="str">
        <f ca="1">IFERROR(__xludf.DUMMYFUNCTION("""COMPUTED_VALUE"""),"agrello")</f>
        <v>agrello</v>
      </c>
      <c r="B370" s="2" t="str">
        <f ca="1">IFERROR(__xludf.DUMMYFUNCTION("""COMPUTED_VALUE"""),"dlt")</f>
        <v>dlt</v>
      </c>
      <c r="C370" s="2" t="str">
        <f ca="1">IFERROR(__xludf.DUMMYFUNCTION("""COMPUTED_VALUE"""),"Agrello")</f>
        <v>Agrello</v>
      </c>
    </row>
    <row r="371" spans="1:3" x14ac:dyDescent="0.25">
      <c r="A371" s="2" t="str">
        <f ca="1">IFERROR(__xludf.DUMMYFUNCTION("""COMPUTED_VALUE"""),"agri-future-token")</f>
        <v>agri-future-token</v>
      </c>
      <c r="B371" s="2" t="str">
        <f ca="1">IFERROR(__xludf.DUMMYFUNCTION("""COMPUTED_VALUE"""),"agrf")</f>
        <v>agrf</v>
      </c>
      <c r="C371" s="2" t="str">
        <f ca="1">IFERROR(__xludf.DUMMYFUNCTION("""COMPUTED_VALUE"""),"AGRI FUTURE TOKEN")</f>
        <v>AGRI FUTURE TOKEN</v>
      </c>
    </row>
    <row r="372" spans="1:3" x14ac:dyDescent="0.25">
      <c r="A372" s="2" t="str">
        <f ca="1">IFERROR(__xludf.DUMMYFUNCTION("""COMPUTED_VALUE"""),"agritech")</f>
        <v>agritech</v>
      </c>
      <c r="B372" s="2" t="str">
        <f ca="1">IFERROR(__xludf.DUMMYFUNCTION("""COMPUTED_VALUE"""),"agt")</f>
        <v>agt</v>
      </c>
      <c r="C372" s="2" t="str">
        <f ca="1">IFERROR(__xludf.DUMMYFUNCTION("""COMPUTED_VALUE"""),"Agritech")</f>
        <v>Agritech</v>
      </c>
    </row>
    <row r="373" spans="1:3" x14ac:dyDescent="0.25">
      <c r="A373" s="2" t="str">
        <f ca="1">IFERROR(__xludf.DUMMYFUNCTION("""COMPUTED_VALUE"""),"agro-global")</f>
        <v>agro-global</v>
      </c>
      <c r="B373" s="2" t="str">
        <f ca="1">IFERROR(__xludf.DUMMYFUNCTION("""COMPUTED_VALUE"""),"agro")</f>
        <v>agro</v>
      </c>
      <c r="C373" s="2" t="str">
        <f ca="1">IFERROR(__xludf.DUMMYFUNCTION("""COMPUTED_VALUE"""),"Agro Global Token")</f>
        <v>Agro Global Token</v>
      </c>
    </row>
    <row r="374" spans="1:3" x14ac:dyDescent="0.25">
      <c r="A374" s="2" t="str">
        <f ca="1">IFERROR(__xludf.DUMMYFUNCTION("""COMPUTED_VALUE"""),"aguri")</f>
        <v>aguri</v>
      </c>
      <c r="B374" s="2" t="str">
        <f ca="1">IFERROR(__xludf.DUMMYFUNCTION("""COMPUTED_VALUE"""),"aguri")</f>
        <v>aguri</v>
      </c>
      <c r="C374" s="2" t="str">
        <f ca="1">IFERROR(__xludf.DUMMYFUNCTION("""COMPUTED_VALUE"""),"Aguri")</f>
        <v>Aguri</v>
      </c>
    </row>
    <row r="375" spans="1:3" x14ac:dyDescent="0.25">
      <c r="A375" s="2" t="str">
        <f ca="1">IFERROR(__xludf.DUMMYFUNCTION("""COMPUTED_VALUE"""),"aguri-chan")</f>
        <v>aguri-chan</v>
      </c>
      <c r="B375" s="2" t="str">
        <f ca="1">IFERROR(__xludf.DUMMYFUNCTION("""COMPUTED_VALUE"""),"aguri")</f>
        <v>aguri</v>
      </c>
      <c r="C375" s="2" t="str">
        <f ca="1">IFERROR(__xludf.DUMMYFUNCTION("""COMPUTED_VALUE"""),"Aguri-Chan")</f>
        <v>Aguri-Chan</v>
      </c>
    </row>
    <row r="376" spans="1:3" x14ac:dyDescent="0.25">
      <c r="A376" s="2" t="str">
        <f ca="1">IFERROR(__xludf.DUMMYFUNCTION("""COMPUTED_VALUE"""),"agus")</f>
        <v>agus</v>
      </c>
      <c r="B376" s="2" t="str">
        <f ca="1">IFERROR(__xludf.DUMMYFUNCTION("""COMPUTED_VALUE"""),"agus")</f>
        <v>agus</v>
      </c>
      <c r="C376" s="2" t="str">
        <f ca="1">IFERROR(__xludf.DUMMYFUNCTION("""COMPUTED_VALUE"""),"AGUS")</f>
        <v>AGUS</v>
      </c>
    </row>
    <row r="377" spans="1:3" x14ac:dyDescent="0.25">
      <c r="A377" s="2" t="str">
        <f ca="1">IFERROR(__xludf.DUMMYFUNCTION("""COMPUTED_VALUE"""),"ahatoken")</f>
        <v>ahatoken</v>
      </c>
      <c r="B377" s="2" t="str">
        <f ca="1">IFERROR(__xludf.DUMMYFUNCTION("""COMPUTED_VALUE"""),"aht")</f>
        <v>aht</v>
      </c>
      <c r="C377" s="2" t="str">
        <f ca="1">IFERROR(__xludf.DUMMYFUNCTION("""COMPUTED_VALUE"""),"AhaToken")</f>
        <v>AhaToken</v>
      </c>
    </row>
    <row r="378" spans="1:3" x14ac:dyDescent="0.25">
      <c r="A378" s="2" t="str">
        <f ca="1">IFERROR(__xludf.DUMMYFUNCTION("""COMPUTED_VALUE"""),"a-hunters-dream")</f>
        <v>a-hunters-dream</v>
      </c>
      <c r="B378" s="2" t="str">
        <f ca="1">IFERROR(__xludf.DUMMYFUNCTION("""COMPUTED_VALUE"""),"caw")</f>
        <v>caw</v>
      </c>
      <c r="C378" s="2" t="str">
        <f ca="1">IFERROR(__xludf.DUMMYFUNCTION("""COMPUTED_VALUE"""),"A Hunters Dream")</f>
        <v>A Hunters Dream</v>
      </c>
    </row>
    <row r="379" spans="1:3" x14ac:dyDescent="0.25">
      <c r="A379" s="2" t="str">
        <f ca="1">IFERROR(__xludf.DUMMYFUNCTION("""COMPUTED_VALUE"""),"aiakita")</f>
        <v>aiakita</v>
      </c>
      <c r="B379" s="2" t="str">
        <f ca="1">IFERROR(__xludf.DUMMYFUNCTION("""COMPUTED_VALUE"""),"aia")</f>
        <v>aia</v>
      </c>
      <c r="C379" s="2" t="str">
        <f ca="1">IFERROR(__xludf.DUMMYFUNCTION("""COMPUTED_VALUE"""),"AiAkita")</f>
        <v>AiAkita</v>
      </c>
    </row>
    <row r="380" spans="1:3" x14ac:dyDescent="0.25">
      <c r="A380" s="2" t="str">
        <f ca="1">IFERROR(__xludf.DUMMYFUNCTION("""COMPUTED_VALUE"""),"aiakitax")</f>
        <v>aiakitax</v>
      </c>
      <c r="B380" s="2" t="str">
        <f ca="1">IFERROR(__xludf.DUMMYFUNCTION("""COMPUTED_VALUE"""),"aix")</f>
        <v>aix</v>
      </c>
      <c r="C380" s="2" t="str">
        <f ca="1">IFERROR(__xludf.DUMMYFUNCTION("""COMPUTED_VALUE"""),"AiAkitaX")</f>
        <v>AiAkitaX</v>
      </c>
    </row>
    <row r="381" spans="1:3" x14ac:dyDescent="0.25">
      <c r="A381" s="2" t="str">
        <f ca="1">IFERROR(__xludf.DUMMYFUNCTION("""COMPUTED_VALUE"""),"ai-analysis-token")</f>
        <v>ai-analysis-token</v>
      </c>
      <c r="B381" s="2" t="str">
        <f ca="1">IFERROR(__xludf.DUMMYFUNCTION("""COMPUTED_VALUE"""),"aiat")</f>
        <v>aiat</v>
      </c>
      <c r="C381" s="2" t="str">
        <f ca="1">IFERROR(__xludf.DUMMYFUNCTION("""COMPUTED_VALUE"""),"AI Analysis Token")</f>
        <v>AI Analysis Token</v>
      </c>
    </row>
    <row r="382" spans="1:3" x14ac:dyDescent="0.25">
      <c r="A382" s="2" t="str">
        <f ca="1">IFERROR(__xludf.DUMMYFUNCTION("""COMPUTED_VALUE"""),"aiblock")</f>
        <v>aiblock</v>
      </c>
      <c r="B382" s="2" t="str">
        <f ca="1">IFERROR(__xludf.DUMMYFUNCTION("""COMPUTED_VALUE"""),"aibcoin")</f>
        <v>aibcoin</v>
      </c>
      <c r="C382" s="2" t="str">
        <f ca="1">IFERROR(__xludf.DUMMYFUNCTION("""COMPUTED_VALUE"""),"AIBlock")</f>
        <v>AIBlock</v>
      </c>
    </row>
    <row r="383" spans="1:3" x14ac:dyDescent="0.25">
      <c r="A383" s="2" t="str">
        <f ca="1">IFERROR(__xludf.DUMMYFUNCTION("""COMPUTED_VALUE"""),"aibot")</f>
        <v>aibot</v>
      </c>
      <c r="B383" s="2" t="str">
        <f ca="1">IFERROR(__xludf.DUMMYFUNCTION("""COMPUTED_VALUE"""),"aibot")</f>
        <v>aibot</v>
      </c>
      <c r="C383" s="2" t="str">
        <f ca="1">IFERROR(__xludf.DUMMYFUNCTION("""COMPUTED_VALUE"""),"Aibot")</f>
        <v>Aibot</v>
      </c>
    </row>
    <row r="384" spans="1:3" x14ac:dyDescent="0.25">
      <c r="A384" s="2" t="str">
        <f ca="1">IFERROR(__xludf.DUMMYFUNCTION("""COMPUTED_VALUE"""),"aichain")</f>
        <v>aichain</v>
      </c>
      <c r="B384" s="2" t="str">
        <f ca="1">IFERROR(__xludf.DUMMYFUNCTION("""COMPUTED_VALUE"""),"ait")</f>
        <v>ait</v>
      </c>
      <c r="C384" s="2" t="str">
        <f ca="1">IFERROR(__xludf.DUMMYFUNCTION("""COMPUTED_VALUE"""),"AICHAIN")</f>
        <v>AICHAIN</v>
      </c>
    </row>
    <row r="385" spans="1:3" x14ac:dyDescent="0.25">
      <c r="A385" s="2" t="str">
        <f ca="1">IFERROR(__xludf.DUMMYFUNCTION("""COMPUTED_VALUE"""),"ai-code")</f>
        <v>ai-code</v>
      </c>
      <c r="B385" s="2" t="str">
        <f ca="1">IFERROR(__xludf.DUMMYFUNCTION("""COMPUTED_VALUE"""),"aicode")</f>
        <v>aicode</v>
      </c>
      <c r="C385" s="2" t="str">
        <f ca="1">IFERROR(__xludf.DUMMYFUNCTION("""COMPUTED_VALUE"""),"AI CODE")</f>
        <v>AI CODE</v>
      </c>
    </row>
    <row r="386" spans="1:3" x14ac:dyDescent="0.25">
      <c r="A386" s="2" t="str">
        <f ca="1">IFERROR(__xludf.DUMMYFUNCTION("""COMPUTED_VALUE"""),"aicoin-2")</f>
        <v>aicoin-2</v>
      </c>
      <c r="B386" s="2" t="str">
        <f ca="1">IFERROR(__xludf.DUMMYFUNCTION("""COMPUTED_VALUE"""),"ai")</f>
        <v>ai</v>
      </c>
      <c r="C386" s="2" t="str">
        <f ca="1">IFERROR(__xludf.DUMMYFUNCTION("""COMPUTED_VALUE"""),"AICoin")</f>
        <v>AICoin</v>
      </c>
    </row>
    <row r="387" spans="1:3" x14ac:dyDescent="0.25">
      <c r="A387" s="2" t="str">
        <f ca="1">IFERROR(__xludf.DUMMYFUNCTION("""COMPUTED_VALUE"""),"ai-com")</f>
        <v>ai-com</v>
      </c>
      <c r="B387" s="3" t="str">
        <f ca="1">IFERROR(__xludf.DUMMYFUNCTION("""COMPUTED_VALUE"""),"ai.com")</f>
        <v>ai.com</v>
      </c>
      <c r="C387" s="3" t="str">
        <f ca="1">IFERROR(__xludf.DUMMYFUNCTION("""COMPUTED_VALUE"""),"AI.COM")</f>
        <v>AI.COM</v>
      </c>
    </row>
    <row r="388" spans="1:3" x14ac:dyDescent="0.25">
      <c r="A388" s="2" t="str">
        <f ca="1">IFERROR(__xludf.DUMMYFUNCTION("""COMPUTED_VALUE"""),"ai-community")</f>
        <v>ai-community</v>
      </c>
      <c r="B388" s="2" t="str">
        <f ca="1">IFERROR(__xludf.DUMMYFUNCTION("""COMPUTED_VALUE"""),"ai")</f>
        <v>ai</v>
      </c>
      <c r="C388" s="2" t="str">
        <f ca="1">IFERROR(__xludf.DUMMYFUNCTION("""COMPUTED_VALUE"""),"AI Community")</f>
        <v>AI Community</v>
      </c>
    </row>
    <row r="389" spans="1:3" x14ac:dyDescent="0.25">
      <c r="A389" s="2" t="str">
        <f ca="1">IFERROR(__xludf.DUMMYFUNCTION("""COMPUTED_VALUE"""),"ai-companions")</f>
        <v>ai-companions</v>
      </c>
      <c r="B389" s="2" t="str">
        <f ca="1">IFERROR(__xludf.DUMMYFUNCTION("""COMPUTED_VALUE"""),"aic")</f>
        <v>aic</v>
      </c>
      <c r="C389" s="2" t="str">
        <f ca="1">IFERROR(__xludf.DUMMYFUNCTION("""COMPUTED_VALUE"""),"AI Companions")</f>
        <v>AI Companions</v>
      </c>
    </row>
    <row r="390" spans="1:3" x14ac:dyDescent="0.25">
      <c r="A390" s="2" t="str">
        <f ca="1">IFERROR(__xludf.DUMMYFUNCTION("""COMPUTED_VALUE"""),"aicore")</f>
        <v>aicore</v>
      </c>
      <c r="B390" s="2" t="str">
        <f ca="1">IFERROR(__xludf.DUMMYFUNCTION("""COMPUTED_VALUE"""),"aicore")</f>
        <v>aicore</v>
      </c>
      <c r="C390" s="2" t="str">
        <f ca="1">IFERROR(__xludf.DUMMYFUNCTION("""COMPUTED_VALUE"""),"AICORE")</f>
        <v>AICORE</v>
      </c>
    </row>
    <row r="391" spans="1:3" x14ac:dyDescent="0.25">
      <c r="A391" s="2" t="str">
        <f ca="1">IFERROR(__xludf.DUMMYFUNCTION("""COMPUTED_VALUE"""),"aicrew")</f>
        <v>aicrew</v>
      </c>
      <c r="B391" s="2" t="str">
        <f ca="1">IFERROR(__xludf.DUMMYFUNCTION("""COMPUTED_VALUE"""),"aicr")</f>
        <v>aicr</v>
      </c>
      <c r="C391" s="2" t="str">
        <f ca="1">IFERROR(__xludf.DUMMYFUNCTION("""COMPUTED_VALUE"""),"AICrew")</f>
        <v>AICrew</v>
      </c>
    </row>
    <row r="392" spans="1:3" x14ac:dyDescent="0.25">
      <c r="A392" s="2" t="str">
        <f ca="1">IFERROR(__xludf.DUMMYFUNCTION("""COMPUTED_VALUE"""),"ai-depin")</f>
        <v>ai-depin</v>
      </c>
      <c r="B392" s="2" t="str">
        <f ca="1">IFERROR(__xludf.DUMMYFUNCTION("""COMPUTED_VALUE"""),"aidp")</f>
        <v>aidp</v>
      </c>
      <c r="C392" s="2" t="str">
        <f ca="1">IFERROR(__xludf.DUMMYFUNCTION("""COMPUTED_VALUE"""),"AI-DePIN")</f>
        <v>AI-DePIN</v>
      </c>
    </row>
    <row r="393" spans="1:3" x14ac:dyDescent="0.25">
      <c r="A393" s="2" t="str">
        <f ca="1">IFERROR(__xludf.DUMMYFUNCTION("""COMPUTED_VALUE"""),"aidi-finance-2")</f>
        <v>aidi-finance-2</v>
      </c>
      <c r="B393" s="2" t="str">
        <f ca="1">IFERROR(__xludf.DUMMYFUNCTION("""COMPUTED_VALUE"""),"aidi")</f>
        <v>aidi</v>
      </c>
      <c r="C393" s="2" t="str">
        <f ca="1">IFERROR(__xludf.DUMMYFUNCTION("""COMPUTED_VALUE"""),"Aidi Finance")</f>
        <v>Aidi Finance</v>
      </c>
    </row>
    <row r="394" spans="1:3" x14ac:dyDescent="0.25">
      <c r="A394" s="2" t="str">
        <f ca="1">IFERROR(__xludf.DUMMYFUNCTION("""COMPUTED_VALUE"""),"ai-dragon")</f>
        <v>ai-dragon</v>
      </c>
      <c r="B394" s="2" t="str">
        <f ca="1">IFERROR(__xludf.DUMMYFUNCTION("""COMPUTED_VALUE"""),"chatgpt")</f>
        <v>chatgpt</v>
      </c>
      <c r="C394" s="2" t="str">
        <f ca="1">IFERROR(__xludf.DUMMYFUNCTION("""COMPUTED_VALUE"""),"AI Dragon")</f>
        <v>AI Dragon</v>
      </c>
    </row>
    <row r="395" spans="1:3" x14ac:dyDescent="0.25">
      <c r="A395" s="2" t="str">
        <f ca="1">IFERROR(__xludf.DUMMYFUNCTION("""COMPUTED_VALUE"""),"aiearn")</f>
        <v>aiearn</v>
      </c>
      <c r="B395" s="2" t="str">
        <f ca="1">IFERROR(__xludf.DUMMYFUNCTION("""COMPUTED_VALUE"""),"aie")</f>
        <v>aie</v>
      </c>
      <c r="C395" s="2" t="str">
        <f ca="1">IFERROR(__xludf.DUMMYFUNCTION("""COMPUTED_VALUE"""),"AIEarn")</f>
        <v>AIEarn</v>
      </c>
    </row>
    <row r="396" spans="1:3" x14ac:dyDescent="0.25">
      <c r="A396" s="2" t="str">
        <f ca="1">IFERROR(__xludf.DUMMYFUNCTION("""COMPUTED_VALUE"""),"aienglish")</f>
        <v>aienglish</v>
      </c>
      <c r="B396" s="2" t="str">
        <f ca="1">IFERROR(__xludf.DUMMYFUNCTION("""COMPUTED_VALUE"""),"aien")</f>
        <v>aien</v>
      </c>
      <c r="C396" s="2" t="str">
        <f ca="1">IFERROR(__xludf.DUMMYFUNCTION("""COMPUTED_VALUE"""),"AIENGLISH")</f>
        <v>AIENGLISH</v>
      </c>
    </row>
    <row r="397" spans="1:3" x14ac:dyDescent="0.25">
      <c r="A397" s="2" t="str">
        <f ca="1">IFERROR(__xludf.DUMMYFUNCTION("""COMPUTED_VALUE"""),"a-i-genesis")</f>
        <v>a-i-genesis</v>
      </c>
      <c r="B397" s="2" t="str">
        <f ca="1">IFERROR(__xludf.DUMMYFUNCTION("""COMPUTED_VALUE"""),"aig")</f>
        <v>aig</v>
      </c>
      <c r="C397" s="2" t="str">
        <f ca="1">IFERROR(__xludf.DUMMYFUNCTION("""COMPUTED_VALUE"""),"A.I Genesis")</f>
        <v>A.I Genesis</v>
      </c>
    </row>
    <row r="398" spans="1:3" x14ac:dyDescent="0.25">
      <c r="A398" s="2" t="str">
        <f ca="1">IFERROR(__xludf.DUMMYFUNCTION("""COMPUTED_VALUE"""),"aigentx")</f>
        <v>aigentx</v>
      </c>
      <c r="B398" s="2" t="str">
        <f ca="1">IFERROR(__xludf.DUMMYFUNCTION("""COMPUTED_VALUE"""),"agx")</f>
        <v>agx</v>
      </c>
      <c r="C398" s="2" t="str">
        <f ca="1">IFERROR(__xludf.DUMMYFUNCTION("""COMPUTED_VALUE"""),"AGIX")</f>
        <v>AGIX</v>
      </c>
    </row>
    <row r="399" spans="1:3" x14ac:dyDescent="0.25">
      <c r="A399" s="2" t="str">
        <f ca="1">IFERROR(__xludf.DUMMYFUNCTION("""COMPUTED_VALUE"""),"aigpu-token")</f>
        <v>aigpu-token</v>
      </c>
      <c r="B399" s="2" t="str">
        <f ca="1">IFERROR(__xludf.DUMMYFUNCTION("""COMPUTED_VALUE"""),"aigpu")</f>
        <v>aigpu</v>
      </c>
      <c r="C399" s="2" t="str">
        <f ca="1">IFERROR(__xludf.DUMMYFUNCTION("""COMPUTED_VALUE"""),"AIGPU Token")</f>
        <v>AIGPU Token</v>
      </c>
    </row>
    <row r="400" spans="1:3" x14ac:dyDescent="0.25">
      <c r="A400" s="2" t="str">
        <f ca="1">IFERROR(__xludf.DUMMYFUNCTION("""COMPUTED_VALUE"""),"aihub")</f>
        <v>aihub</v>
      </c>
      <c r="B400" s="2" t="str">
        <f ca="1">IFERROR(__xludf.DUMMYFUNCTION("""COMPUTED_VALUE"""),"aih")</f>
        <v>aih</v>
      </c>
      <c r="C400" s="2" t="str">
        <f ca="1">IFERROR(__xludf.DUMMYFUNCTION("""COMPUTED_VALUE"""),"AIHub")</f>
        <v>AIHub</v>
      </c>
    </row>
    <row r="401" spans="1:3" x14ac:dyDescent="0.25">
      <c r="A401" s="2" t="str">
        <f ca="1">IFERROR(__xludf.DUMMYFUNCTION("""COMPUTED_VALUE"""),"ai-inu")</f>
        <v>ai-inu</v>
      </c>
      <c r="B401" s="2" t="str">
        <f ca="1">IFERROR(__xludf.DUMMYFUNCTION("""COMPUTED_VALUE"""),"aiinu")</f>
        <v>aiinu</v>
      </c>
      <c r="C401" s="2" t="str">
        <f ca="1">IFERROR(__xludf.DUMMYFUNCTION("""COMPUTED_VALUE"""),"AI INU")</f>
        <v>AI INU</v>
      </c>
    </row>
    <row r="402" spans="1:3" x14ac:dyDescent="0.25">
      <c r="A402" s="2" t="str">
        <f ca="1">IFERROR(__xludf.DUMMYFUNCTION("""COMPUTED_VALUE"""),"aimage-tools")</f>
        <v>aimage-tools</v>
      </c>
      <c r="B402" s="2" t="str">
        <f ca="1">IFERROR(__xludf.DUMMYFUNCTION("""COMPUTED_VALUE"""),"aimage")</f>
        <v>aimage</v>
      </c>
      <c r="C402" s="2" t="str">
        <f ca="1">IFERROR(__xludf.DUMMYFUNCTION("""COMPUTED_VALUE"""),"AiMage Tools")</f>
        <v>AiMage Tools</v>
      </c>
    </row>
    <row r="403" spans="1:3" x14ac:dyDescent="0.25">
      <c r="A403" s="2" t="str">
        <f ca="1">IFERROR(__xludf.DUMMYFUNCTION("""COMPUTED_VALUE"""),"aimalls")</f>
        <v>aimalls</v>
      </c>
      <c r="B403" s="2" t="str">
        <f ca="1">IFERROR(__xludf.DUMMYFUNCTION("""COMPUTED_VALUE"""),"ait")</f>
        <v>ait</v>
      </c>
      <c r="C403" s="2" t="str">
        <f ca="1">IFERROR(__xludf.DUMMYFUNCTION("""COMPUTED_VALUE"""),"AiMalls")</f>
        <v>AiMalls</v>
      </c>
    </row>
    <row r="404" spans="1:3" x14ac:dyDescent="0.25">
      <c r="A404" s="2" t="str">
        <f ca="1">IFERROR(__xludf.DUMMYFUNCTION("""COMPUTED_VALUE"""),"ai-market-compass")</f>
        <v>ai-market-compass</v>
      </c>
      <c r="B404" s="2" t="str">
        <f ca="1">IFERROR(__xludf.DUMMYFUNCTION("""COMPUTED_VALUE"""),"aim")</f>
        <v>aim</v>
      </c>
      <c r="C404" s="2" t="str">
        <f ca="1">IFERROR(__xludf.DUMMYFUNCTION("""COMPUTED_VALUE"""),"AI Market Compass")</f>
        <v>AI Market Compass</v>
      </c>
    </row>
    <row r="405" spans="1:3" x14ac:dyDescent="0.25">
      <c r="A405" s="2" t="str">
        <f ca="1">IFERROR(__xludf.DUMMYFUNCTION("""COMPUTED_VALUE"""),"aimbot")</f>
        <v>aimbot</v>
      </c>
      <c r="B405" s="2" t="str">
        <f ca="1">IFERROR(__xludf.DUMMYFUNCTION("""COMPUTED_VALUE"""),"aimbot")</f>
        <v>aimbot</v>
      </c>
      <c r="C405" s="2" t="str">
        <f ca="1">IFERROR(__xludf.DUMMYFUNCTION("""COMPUTED_VALUE"""),"Aimbot AI")</f>
        <v>Aimbot AI</v>
      </c>
    </row>
    <row r="406" spans="1:3" x14ac:dyDescent="0.25">
      <c r="A406" s="2" t="str">
        <f ca="1">IFERROR(__xludf.DUMMYFUNCTION("""COMPUTED_VALUE"""),"aimedis-new")</f>
        <v>aimedis-new</v>
      </c>
      <c r="B406" s="2" t="str">
        <f ca="1">IFERROR(__xludf.DUMMYFUNCTION("""COMPUTED_VALUE"""),"aimx")</f>
        <v>aimx</v>
      </c>
      <c r="C406" s="2" t="str">
        <f ca="1">IFERROR(__xludf.DUMMYFUNCTION("""COMPUTED_VALUE"""),"AIMX")</f>
        <v>AIMX</v>
      </c>
    </row>
    <row r="407" spans="1:3" x14ac:dyDescent="0.25">
      <c r="A407" s="2" t="str">
        <f ca="1">IFERROR(__xludf.DUMMYFUNCTION("""COMPUTED_VALUE"""),"ai-meta-club")</f>
        <v>ai-meta-club</v>
      </c>
      <c r="B407" s="2" t="str">
        <f ca="1">IFERROR(__xludf.DUMMYFUNCTION("""COMPUTED_VALUE"""),"amc")</f>
        <v>amc</v>
      </c>
      <c r="C407" s="2" t="str">
        <f ca="1">IFERROR(__xludf.DUMMYFUNCTION("""COMPUTED_VALUE"""),"AI Meta Club")</f>
        <v>AI Meta Club</v>
      </c>
    </row>
    <row r="408" spans="1:3" x14ac:dyDescent="0.25">
      <c r="A408" s="2" t="str">
        <f ca="1">IFERROR(__xludf.DUMMYFUNCTION("""COMPUTED_VALUE"""),"ai-network")</f>
        <v>ai-network</v>
      </c>
      <c r="B408" s="2" t="str">
        <f ca="1">IFERROR(__xludf.DUMMYFUNCTION("""COMPUTED_VALUE"""),"ain")</f>
        <v>ain</v>
      </c>
      <c r="C408" s="2" t="str">
        <f ca="1">IFERROR(__xludf.DUMMYFUNCTION("""COMPUTED_VALUE"""),"AI Network")</f>
        <v>AI Network</v>
      </c>
    </row>
    <row r="409" spans="1:3" x14ac:dyDescent="0.25">
      <c r="A409" s="2" t="str">
        <f ca="1">IFERROR(__xludf.DUMMYFUNCTION("""COMPUTED_VALUE"""),"ainu-token")</f>
        <v>ainu-token</v>
      </c>
      <c r="B409" s="2" t="str">
        <f ca="1">IFERROR(__xludf.DUMMYFUNCTION("""COMPUTED_VALUE"""),"ainu")</f>
        <v>ainu</v>
      </c>
      <c r="C409" s="2" t="str">
        <f ca="1">IFERROR(__xludf.DUMMYFUNCTION("""COMPUTED_VALUE"""),"Ainu")</f>
        <v>Ainu</v>
      </c>
    </row>
    <row r="410" spans="1:3" x14ac:dyDescent="0.25">
      <c r="A410" s="2" t="str">
        <f ca="1">IFERROR(__xludf.DUMMYFUNCTION("""COMPUTED_VALUE"""),"aion")</f>
        <v>aion</v>
      </c>
      <c r="B410" s="2" t="str">
        <f ca="1">IFERROR(__xludf.DUMMYFUNCTION("""COMPUTED_VALUE"""),"aion")</f>
        <v>aion</v>
      </c>
      <c r="C410" s="2" t="str">
        <f ca="1">IFERROR(__xludf.DUMMYFUNCTION("""COMPUTED_VALUE"""),"Aion")</f>
        <v>Aion</v>
      </c>
    </row>
    <row r="411" spans="1:3" x14ac:dyDescent="0.25">
      <c r="A411" s="2" t="str">
        <f ca="1">IFERROR(__xludf.DUMMYFUNCTION("""COMPUTED_VALUE"""),"aioz-network")</f>
        <v>aioz-network</v>
      </c>
      <c r="B411" s="2" t="str">
        <f ca="1">IFERROR(__xludf.DUMMYFUNCTION("""COMPUTED_VALUE"""),"aioz")</f>
        <v>aioz</v>
      </c>
      <c r="C411" s="2" t="str">
        <f ca="1">IFERROR(__xludf.DUMMYFUNCTION("""COMPUTED_VALUE"""),"AIOZ Network")</f>
        <v>AIOZ Network</v>
      </c>
    </row>
    <row r="412" spans="1:3" x14ac:dyDescent="0.25">
      <c r="A412" s="2" t="str">
        <f ca="1">IFERROR(__xludf.DUMMYFUNCTION("""COMPUTED_VALUE"""),"aipad")</f>
        <v>aipad</v>
      </c>
      <c r="B412" s="2" t="str">
        <f ca="1">IFERROR(__xludf.DUMMYFUNCTION("""COMPUTED_VALUE"""),"aipad")</f>
        <v>aipad</v>
      </c>
      <c r="C412" s="2" t="str">
        <f ca="1">IFERROR(__xludf.DUMMYFUNCTION("""COMPUTED_VALUE"""),"AIPad")</f>
        <v>AIPad</v>
      </c>
    </row>
    <row r="413" spans="1:3" x14ac:dyDescent="0.25">
      <c r="A413" s="2" t="str">
        <f ca="1">IFERROR(__xludf.DUMMYFUNCTION("""COMPUTED_VALUE"""),"aipepe")</f>
        <v>aipepe</v>
      </c>
      <c r="B413" s="2" t="str">
        <f ca="1">IFERROR(__xludf.DUMMYFUNCTION("""COMPUTED_VALUE"""),"aipepe")</f>
        <v>aipepe</v>
      </c>
      <c r="C413" s="2" t="str">
        <f ca="1">IFERROR(__xludf.DUMMYFUNCTION("""COMPUTED_VALUE"""),"AIPEPE")</f>
        <v>AIPEPE</v>
      </c>
    </row>
    <row r="414" spans="1:3" x14ac:dyDescent="0.25">
      <c r="A414" s="2" t="str">
        <f ca="1">IFERROR(__xludf.DUMMYFUNCTION("""COMPUTED_VALUE"""),"ai-pepe-king")</f>
        <v>ai-pepe-king</v>
      </c>
      <c r="B414" s="2" t="str">
        <f ca="1">IFERROR(__xludf.DUMMYFUNCTION("""COMPUTED_VALUE"""),"aipepe")</f>
        <v>aipepe</v>
      </c>
      <c r="C414" s="2" t="str">
        <f ca="1">IFERROR(__xludf.DUMMYFUNCTION("""COMPUTED_VALUE"""),"AI PEPE KING")</f>
        <v>AI PEPE KING</v>
      </c>
    </row>
    <row r="415" spans="1:3" x14ac:dyDescent="0.25">
      <c r="A415" s="2" t="str">
        <f ca="1">IFERROR(__xludf.DUMMYFUNCTION("""COMPUTED_VALUE"""),"aipets")</f>
        <v>aipets</v>
      </c>
      <c r="B415" s="2" t="str">
        <f ca="1">IFERROR(__xludf.DUMMYFUNCTION("""COMPUTED_VALUE"""),"aipets")</f>
        <v>aipets</v>
      </c>
      <c r="C415" s="2" t="str">
        <f ca="1">IFERROR(__xludf.DUMMYFUNCTION("""COMPUTED_VALUE"""),"Aipets")</f>
        <v>Aipets</v>
      </c>
    </row>
    <row r="416" spans="1:3" x14ac:dyDescent="0.25">
      <c r="A416" s="2" t="str">
        <f ca="1">IFERROR(__xludf.DUMMYFUNCTION("""COMPUTED_VALUE"""),"ai-pin")</f>
        <v>ai-pin</v>
      </c>
      <c r="B416" s="2" t="str">
        <f ca="1">IFERROR(__xludf.DUMMYFUNCTION("""COMPUTED_VALUE"""),"ai")</f>
        <v>ai</v>
      </c>
      <c r="C416" s="2" t="str">
        <f ca="1">IFERROR(__xludf.DUMMYFUNCTION("""COMPUTED_VALUE"""),"AI PIN")</f>
        <v>AI PIN</v>
      </c>
    </row>
    <row r="417" spans="1:3" x14ac:dyDescent="0.25">
      <c r="A417" s="2" t="str">
        <f ca="1">IFERROR(__xludf.DUMMYFUNCTION("""COMPUTED_VALUE"""),"ai-power-grid")</f>
        <v>ai-power-grid</v>
      </c>
      <c r="B417" s="2" t="str">
        <f ca="1">IFERROR(__xludf.DUMMYFUNCTION("""COMPUTED_VALUE"""),"aipg")</f>
        <v>aipg</v>
      </c>
      <c r="C417" s="2" t="str">
        <f ca="1">IFERROR(__xludf.DUMMYFUNCTION("""COMPUTED_VALUE"""),"AI Power Grid")</f>
        <v>AI Power Grid</v>
      </c>
    </row>
    <row r="418" spans="1:3" x14ac:dyDescent="0.25">
      <c r="A418" s="2" t="str">
        <f ca="1">IFERROR(__xludf.DUMMYFUNCTION("""COMPUTED_VALUE"""),"ai-powers")</f>
        <v>ai-powers</v>
      </c>
      <c r="B418" s="2" t="str">
        <f ca="1">IFERROR(__xludf.DUMMYFUNCTION("""COMPUTED_VALUE"""),"aip")</f>
        <v>aip</v>
      </c>
      <c r="C418" s="2" t="str">
        <f ca="1">IFERROR(__xludf.DUMMYFUNCTION("""COMPUTED_VALUE"""),"AI Powers")</f>
        <v>AI Powers</v>
      </c>
    </row>
    <row r="419" spans="1:3" x14ac:dyDescent="0.25">
      <c r="A419" s="2" t="str">
        <f ca="1">IFERROR(__xludf.DUMMYFUNCTION("""COMPUTED_VALUE"""),"ai-protocol")</f>
        <v>ai-protocol</v>
      </c>
      <c r="B419" s="2" t="str">
        <f ca="1">IFERROR(__xludf.DUMMYFUNCTION("""COMPUTED_VALUE"""),"ait")</f>
        <v>ait</v>
      </c>
      <c r="C419" s="2" t="str">
        <f ca="1">IFERROR(__xludf.DUMMYFUNCTION("""COMPUTED_VALUE"""),"AI Protocol")</f>
        <v>AI Protocol</v>
      </c>
    </row>
    <row r="420" spans="1:3" x14ac:dyDescent="0.25">
      <c r="A420" s="2" t="str">
        <f ca="1">IFERROR(__xludf.DUMMYFUNCTION("""COMPUTED_VALUE"""),"aiptp")</f>
        <v>aiptp</v>
      </c>
      <c r="B420" s="2" t="str">
        <f ca="1">IFERROR(__xludf.DUMMYFUNCTION("""COMPUTED_VALUE"""),"atmt")</f>
        <v>atmt</v>
      </c>
      <c r="C420" s="2" t="str">
        <f ca="1">IFERROR(__xludf.DUMMYFUNCTION("""COMPUTED_VALUE"""),"AiPTP")</f>
        <v>AiPTP</v>
      </c>
    </row>
    <row r="421" spans="1:3" x14ac:dyDescent="0.25">
      <c r="A421" s="2" t="str">
        <f ca="1">IFERROR(__xludf.DUMMYFUNCTION("""COMPUTED_VALUE"""),"air")</f>
        <v>air</v>
      </c>
      <c r="B421" s="2" t="str">
        <f ca="1">IFERROR(__xludf.DUMMYFUNCTION("""COMPUTED_VALUE"""),"air")</f>
        <v>air</v>
      </c>
      <c r="C421" s="2" t="str">
        <f ca="1">IFERROR(__xludf.DUMMYFUNCTION("""COMPUTED_VALUE"""),"AIR")</f>
        <v>AIR</v>
      </c>
    </row>
    <row r="422" spans="1:3" x14ac:dyDescent="0.25">
      <c r="A422" s="2" t="str">
        <f ca="1">IFERROR(__xludf.DUMMYFUNCTION("""COMPUTED_VALUE"""),"airbtc")</f>
        <v>airbtc</v>
      </c>
      <c r="B422" s="2" t="str">
        <f ca="1">IFERROR(__xludf.DUMMYFUNCTION("""COMPUTED_VALUE"""),"airbtc")</f>
        <v>airbtc</v>
      </c>
      <c r="C422" s="2" t="str">
        <f ca="1">IFERROR(__xludf.DUMMYFUNCTION("""COMPUTED_VALUE"""),"AirBTC")</f>
        <v>AirBTC</v>
      </c>
    </row>
    <row r="423" spans="1:3" x14ac:dyDescent="0.25">
      <c r="A423" s="2" t="str">
        <f ca="1">IFERROR(__xludf.DUMMYFUNCTION("""COMPUTED_VALUE"""),"aircoin-on-blast")</f>
        <v>aircoin-on-blast</v>
      </c>
      <c r="B423" s="2" t="str">
        <f ca="1">IFERROR(__xludf.DUMMYFUNCTION("""COMPUTED_VALUE"""),"air")</f>
        <v>air</v>
      </c>
      <c r="C423" s="2" t="str">
        <f ca="1">IFERROR(__xludf.DUMMYFUNCTION("""COMPUTED_VALUE"""),"AIRcoin On Blast")</f>
        <v>AIRcoin On Blast</v>
      </c>
    </row>
    <row r="424" spans="1:3" x14ac:dyDescent="0.25">
      <c r="A424" s="2" t="str">
        <f ca="1">IFERROR(__xludf.DUMMYFUNCTION("""COMPUTED_VALUE"""),"airian")</f>
        <v>airian</v>
      </c>
      <c r="B424" s="2" t="str">
        <f ca="1">IFERROR(__xludf.DUMMYFUNCTION("""COMPUTED_VALUE"""),"air")</f>
        <v>air</v>
      </c>
      <c r="C424" s="2" t="str">
        <f ca="1">IFERROR(__xludf.DUMMYFUNCTION("""COMPUTED_VALUE"""),"AIRian")</f>
        <v>AIRian</v>
      </c>
    </row>
    <row r="425" spans="1:3" x14ac:dyDescent="0.25">
      <c r="A425" s="2" t="str">
        <f ca="1">IFERROR(__xludf.DUMMYFUNCTION("""COMPUTED_VALUE"""),"airight")</f>
        <v>airight</v>
      </c>
      <c r="B425" s="2" t="str">
        <f ca="1">IFERROR(__xludf.DUMMYFUNCTION("""COMPUTED_VALUE"""),"airi")</f>
        <v>airi</v>
      </c>
      <c r="C425" s="2" t="str">
        <f ca="1">IFERROR(__xludf.DUMMYFUNCTION("""COMPUTED_VALUE"""),"aiRight")</f>
        <v>aiRight</v>
      </c>
    </row>
    <row r="426" spans="1:3" x14ac:dyDescent="0.25">
      <c r="A426" s="2" t="str">
        <f ca="1">IFERROR(__xludf.DUMMYFUNCTION("""COMPUTED_VALUE"""),"airnft-token")</f>
        <v>airnft-token</v>
      </c>
      <c r="B426" s="2" t="str">
        <f ca="1">IFERROR(__xludf.DUMMYFUNCTION("""COMPUTED_VALUE"""),"airt")</f>
        <v>airt</v>
      </c>
      <c r="C426" s="2" t="str">
        <f ca="1">IFERROR(__xludf.DUMMYFUNCTION("""COMPUTED_VALUE"""),"AirNFT")</f>
        <v>AirNFT</v>
      </c>
    </row>
    <row r="427" spans="1:3" x14ac:dyDescent="0.25">
      <c r="A427" s="2" t="str">
        <f ca="1">IFERROR(__xludf.DUMMYFUNCTION("""COMPUTED_VALUE"""),"airpuff")</f>
        <v>airpuff</v>
      </c>
      <c r="B427" s="2" t="str">
        <f ca="1">IFERROR(__xludf.DUMMYFUNCTION("""COMPUTED_VALUE"""),"apuff")</f>
        <v>apuff</v>
      </c>
      <c r="C427" s="2" t="str">
        <f ca="1">IFERROR(__xludf.DUMMYFUNCTION("""COMPUTED_VALUE"""),"Airpuff")</f>
        <v>Airpuff</v>
      </c>
    </row>
    <row r="428" spans="1:3" x14ac:dyDescent="0.25">
      <c r="A428" s="2" t="str">
        <f ca="1">IFERROR(__xludf.DUMMYFUNCTION("""COMPUTED_VALUE"""),"airswap")</f>
        <v>airswap</v>
      </c>
      <c r="B428" s="2" t="str">
        <f ca="1">IFERROR(__xludf.DUMMYFUNCTION("""COMPUTED_VALUE"""),"ast")</f>
        <v>ast</v>
      </c>
      <c r="C428" s="2" t="str">
        <f ca="1">IFERROR(__xludf.DUMMYFUNCTION("""COMPUTED_VALUE"""),"AirSwap")</f>
        <v>AirSwap</v>
      </c>
    </row>
    <row r="429" spans="1:3" x14ac:dyDescent="0.25">
      <c r="A429" s="2" t="str">
        <f ca="1">IFERROR(__xludf.DUMMYFUNCTION("""COMPUTED_VALUE"""),"airtnt")</f>
        <v>airtnt</v>
      </c>
      <c r="B429" s="2" t="str">
        <f ca="1">IFERROR(__xludf.DUMMYFUNCTION("""COMPUTED_VALUE"""),"airtnt")</f>
        <v>airtnt</v>
      </c>
      <c r="C429" s="2" t="str">
        <f ca="1">IFERROR(__xludf.DUMMYFUNCTION("""COMPUTED_VALUE"""),"AirTnT")</f>
        <v>AirTnT</v>
      </c>
    </row>
    <row r="430" spans="1:3" x14ac:dyDescent="0.25">
      <c r="A430" s="2" t="str">
        <f ca="1">IFERROR(__xludf.DUMMYFUNCTION("""COMPUTED_VALUE"""),"airtok")</f>
        <v>airtok</v>
      </c>
      <c r="B430" s="2" t="str">
        <f ca="1">IFERROR(__xludf.DUMMYFUNCTION("""COMPUTED_VALUE"""),"airtok")</f>
        <v>airtok</v>
      </c>
      <c r="C430" s="2" t="str">
        <f ca="1">IFERROR(__xludf.DUMMYFUNCTION("""COMPUTED_VALUE"""),"Airtok")</f>
        <v>Airtok</v>
      </c>
    </row>
    <row r="431" spans="1:3" x14ac:dyDescent="0.25">
      <c r="A431" s="2" t="str">
        <f ca="1">IFERROR(__xludf.DUMMYFUNCTION("""COMPUTED_VALUE"""),"airtor-protocol")</f>
        <v>airtor-protocol</v>
      </c>
      <c r="B431" s="2" t="str">
        <f ca="1">IFERROR(__xludf.DUMMYFUNCTION("""COMPUTED_VALUE"""),"anyone")</f>
        <v>anyone</v>
      </c>
      <c r="C431" s="2" t="str">
        <f ca="1">IFERROR(__xludf.DUMMYFUNCTION("""COMPUTED_VALUE"""),"ANyONe Protocol")</f>
        <v>ANyONe Protocol</v>
      </c>
    </row>
    <row r="432" spans="1:3" x14ac:dyDescent="0.25">
      <c r="A432" s="2" t="str">
        <f ca="1">IFERROR(__xludf.DUMMYFUNCTION("""COMPUTED_VALUE"""),"air-wing-token")</f>
        <v>air-wing-token</v>
      </c>
      <c r="B432" s="2" t="str">
        <f ca="1">IFERROR(__xludf.DUMMYFUNCTION("""COMPUTED_VALUE"""),"awt")</f>
        <v>awt</v>
      </c>
      <c r="C432" s="2" t="str">
        <f ca="1">IFERROR(__xludf.DUMMYFUNCTION("""COMPUTED_VALUE"""),"Air Wing Token")</f>
        <v>Air Wing Token</v>
      </c>
    </row>
    <row r="433" spans="1:3" x14ac:dyDescent="0.25">
      <c r="A433" s="2" t="str">
        <f ca="1">IFERROR(__xludf.DUMMYFUNCTION("""COMPUTED_VALUE"""),"aiscii")</f>
        <v>aiscii</v>
      </c>
      <c r="B433" s="2" t="str">
        <f ca="1">IFERROR(__xludf.DUMMYFUNCTION("""COMPUTED_VALUE"""),"aiscii")</f>
        <v>aiscii</v>
      </c>
      <c r="C433" s="2" t="str">
        <f ca="1">IFERROR(__xludf.DUMMYFUNCTION("""COMPUTED_VALUE"""),"AISCII")</f>
        <v>AISCII</v>
      </c>
    </row>
    <row r="434" spans="1:3" x14ac:dyDescent="0.25">
      <c r="A434" s="2" t="str">
        <f ca="1">IFERROR(__xludf.DUMMYFUNCTION("""COMPUTED_VALUE"""),"aishare")</f>
        <v>aishare</v>
      </c>
      <c r="B434" s="2" t="str">
        <f ca="1">IFERROR(__xludf.DUMMYFUNCTION("""COMPUTED_VALUE"""),"aishare")</f>
        <v>aishare</v>
      </c>
      <c r="C434" s="2" t="str">
        <f ca="1">IFERROR(__xludf.DUMMYFUNCTION("""COMPUTED_VALUE"""),"AIShare")</f>
        <v>AIShare</v>
      </c>
    </row>
    <row r="435" spans="1:3" x14ac:dyDescent="0.25">
      <c r="A435" s="2" t="str">
        <f ca="1">IFERROR(__xludf.DUMMYFUNCTION("""COMPUTED_VALUE"""),"aishiba")</f>
        <v>aishiba</v>
      </c>
      <c r="B435" s="2" t="str">
        <f ca="1">IFERROR(__xludf.DUMMYFUNCTION("""COMPUTED_VALUE"""),"shibai")</f>
        <v>shibai</v>
      </c>
      <c r="C435" s="2" t="str">
        <f ca="1">IFERROR(__xludf.DUMMYFUNCTION("""COMPUTED_VALUE"""),"AiShiba")</f>
        <v>AiShiba</v>
      </c>
    </row>
    <row r="436" spans="1:3" x14ac:dyDescent="0.25">
      <c r="A436" s="2" t="str">
        <f ca="1">IFERROR(__xludf.DUMMYFUNCTION("""COMPUTED_VALUE"""),"aisignal")</f>
        <v>aisignal</v>
      </c>
      <c r="B436" s="2" t="str">
        <f ca="1">IFERROR(__xludf.DUMMYFUNCTION("""COMPUTED_VALUE"""),"aisig")</f>
        <v>aisig</v>
      </c>
      <c r="C436" s="2" t="str">
        <f ca="1">IFERROR(__xludf.DUMMYFUNCTION("""COMPUTED_VALUE"""),"AISignal")</f>
        <v>AISignal</v>
      </c>
    </row>
    <row r="437" spans="1:3" x14ac:dyDescent="0.25">
      <c r="A437" s="2" t="str">
        <f ca="1">IFERROR(__xludf.DUMMYFUNCTION("""COMPUTED_VALUE"""),"aisociety")</f>
        <v>aisociety</v>
      </c>
      <c r="B437" s="2" t="str">
        <f ca="1">IFERROR(__xludf.DUMMYFUNCTION("""COMPUTED_VALUE"""),"ais")</f>
        <v>ais</v>
      </c>
      <c r="C437" s="2" t="str">
        <f ca="1">IFERROR(__xludf.DUMMYFUNCTION("""COMPUTED_VALUE"""),"AISociety")</f>
        <v>AISociety</v>
      </c>
    </row>
    <row r="438" spans="1:3" x14ac:dyDescent="0.25">
      <c r="A438" s="2" t="str">
        <f ca="1">IFERROR(__xludf.DUMMYFUNCTION("""COMPUTED_VALUE"""),"ai-supreme")</f>
        <v>ai-supreme</v>
      </c>
      <c r="B438" s="2" t="str">
        <f ca="1">IFERROR(__xludf.DUMMYFUNCTION("""COMPUTED_VALUE"""),"aisp")</f>
        <v>aisp</v>
      </c>
      <c r="C438" s="2" t="str">
        <f ca="1">IFERROR(__xludf.DUMMYFUNCTION("""COMPUTED_VALUE"""),"AI Supreme")</f>
        <v>AI Supreme</v>
      </c>
    </row>
    <row r="439" spans="1:3" x14ac:dyDescent="0.25">
      <c r="A439" s="2" t="str">
        <f ca="1">IFERROR(__xludf.DUMMYFUNCTION("""COMPUTED_VALUE"""),"ai-surf")</f>
        <v>ai-surf</v>
      </c>
      <c r="B439" s="2" t="str">
        <f ca="1">IFERROR(__xludf.DUMMYFUNCTION("""COMPUTED_VALUE"""),"aisc")</f>
        <v>aisc</v>
      </c>
      <c r="C439" s="2" t="str">
        <f ca="1">IFERROR(__xludf.DUMMYFUNCTION("""COMPUTED_VALUE"""),"AI Surf")</f>
        <v>AI Surf</v>
      </c>
    </row>
    <row r="440" spans="1:3" x14ac:dyDescent="0.25">
      <c r="A440" s="2" t="str">
        <f ca="1">IFERROR(__xludf.DUMMYFUNCTION("""COMPUTED_VALUE"""),"aiswap")</f>
        <v>aiswap</v>
      </c>
      <c r="B440" s="2" t="str">
        <f ca="1">IFERROR(__xludf.DUMMYFUNCTION("""COMPUTED_VALUE"""),"aiswap")</f>
        <v>aiswap</v>
      </c>
      <c r="C440" s="2" t="str">
        <f ca="1">IFERROR(__xludf.DUMMYFUNCTION("""COMPUTED_VALUE"""),"AISwap")</f>
        <v>AISwap</v>
      </c>
    </row>
    <row r="441" spans="1:3" x14ac:dyDescent="0.25">
      <c r="A441" s="2" t="str">
        <f ca="1">IFERROR(__xludf.DUMMYFUNCTION("""COMPUTED_VALUE"""),"aitaxbot")</f>
        <v>aitaxbot</v>
      </c>
      <c r="B441" s="2" t="str">
        <f ca="1">IFERROR(__xludf.DUMMYFUNCTION("""COMPUTED_VALUE"""),"aitax")</f>
        <v>aitax</v>
      </c>
      <c r="C441" s="2" t="str">
        <f ca="1">IFERROR(__xludf.DUMMYFUNCTION("""COMPUTED_VALUE"""),"AITaxBot")</f>
        <v>AITaxBot</v>
      </c>
    </row>
    <row r="442" spans="1:3" x14ac:dyDescent="0.25">
      <c r="A442" s="2" t="str">
        <f ca="1">IFERROR(__xludf.DUMMYFUNCTION("""COMPUTED_VALUE"""),"aitom")</f>
        <v>aitom</v>
      </c>
      <c r="B442" s="2" t="str">
        <f ca="1">IFERROR(__xludf.DUMMYFUNCTION("""COMPUTED_VALUE"""),"aitom")</f>
        <v>aitom</v>
      </c>
      <c r="C442" s="2" t="str">
        <f ca="1">IFERROR(__xludf.DUMMYFUNCTION("""COMPUTED_VALUE"""),"AITom")</f>
        <v>AITom</v>
      </c>
    </row>
    <row r="443" spans="1:3" x14ac:dyDescent="0.25">
      <c r="A443" s="2" t="str">
        <f ca="1">IFERROR(__xludf.DUMMYFUNCTION("""COMPUTED_VALUE"""),"ait-protocol")</f>
        <v>ait-protocol</v>
      </c>
      <c r="B443" s="2" t="str">
        <f ca="1">IFERROR(__xludf.DUMMYFUNCTION("""COMPUTED_VALUE"""),"ait")</f>
        <v>ait</v>
      </c>
      <c r="C443" s="2" t="str">
        <f ca="1">IFERROR(__xludf.DUMMYFUNCTION("""COMPUTED_VALUE"""),"AIT Protocol")</f>
        <v>AIT Protocol</v>
      </c>
    </row>
    <row r="444" spans="1:3" x14ac:dyDescent="0.25">
      <c r="A444" s="2" t="str">
        <f ca="1">IFERROR(__xludf.DUMMYFUNCTION("""COMPUTED_VALUE"""),"aittcoin")</f>
        <v>aittcoin</v>
      </c>
      <c r="B444" s="2" t="str">
        <f ca="1">IFERROR(__xludf.DUMMYFUNCTION("""COMPUTED_VALUE"""),"aitt")</f>
        <v>aitt</v>
      </c>
      <c r="C444" s="2" t="str">
        <f ca="1">IFERROR(__xludf.DUMMYFUNCTION("""COMPUTED_VALUE"""),"Aittcoin")</f>
        <v>Aittcoin</v>
      </c>
    </row>
    <row r="445" spans="1:3" x14ac:dyDescent="0.25">
      <c r="A445" s="2" t="str">
        <f ca="1">IFERROR(__xludf.DUMMYFUNCTION("""COMPUTED_VALUE"""),"aivoice")</f>
        <v>aivoice</v>
      </c>
      <c r="B445" s="2" t="str">
        <f ca="1">IFERROR(__xludf.DUMMYFUNCTION("""COMPUTED_VALUE"""),"aiv")</f>
        <v>aiv</v>
      </c>
      <c r="C445" s="2" t="str">
        <f ca="1">IFERROR(__xludf.DUMMYFUNCTION("""COMPUTED_VALUE"""),"AIVOICE")</f>
        <v>AIVOICE</v>
      </c>
    </row>
    <row r="446" spans="1:3" x14ac:dyDescent="0.25">
      <c r="A446" s="2" t="str">
        <f ca="1">IFERROR(__xludf.DUMMYFUNCTION("""COMPUTED_VALUE"""),"ai-waifu-2")</f>
        <v>ai-waifu-2</v>
      </c>
      <c r="B446" s="2" t="str">
        <f ca="1">IFERROR(__xludf.DUMMYFUNCTION("""COMPUTED_VALUE"""),"wai")</f>
        <v>wai</v>
      </c>
      <c r="C446" s="2" t="str">
        <f ca="1">IFERROR(__xludf.DUMMYFUNCTION("""COMPUTED_VALUE"""),"AI Waifu")</f>
        <v>AI Waifu</v>
      </c>
    </row>
    <row r="447" spans="1:3" x14ac:dyDescent="0.25">
      <c r="A447" s="2" t="str">
        <f ca="1">IFERROR(__xludf.DUMMYFUNCTION("""COMPUTED_VALUE"""),"aiwork")</f>
        <v>aiwork</v>
      </c>
      <c r="B447" s="2" t="str">
        <f ca="1">IFERROR(__xludf.DUMMYFUNCTION("""COMPUTED_VALUE"""),"awo")</f>
        <v>awo</v>
      </c>
      <c r="C447" s="2" t="str">
        <f ca="1">IFERROR(__xludf.DUMMYFUNCTION("""COMPUTED_VALUE"""),"AiWork")</f>
        <v>AiWork</v>
      </c>
    </row>
    <row r="448" spans="1:3" x14ac:dyDescent="0.25">
      <c r="A448" s="2" t="str">
        <f ca="1">IFERROR(__xludf.DUMMYFUNCTION("""COMPUTED_VALUE"""),"ai-x")</f>
        <v>ai-x</v>
      </c>
      <c r="B448" s="2" t="str">
        <f ca="1">IFERROR(__xludf.DUMMYFUNCTION("""COMPUTED_VALUE"""),"x")</f>
        <v>x</v>
      </c>
      <c r="C448" s="2" t="str">
        <f ca="1">IFERROR(__xludf.DUMMYFUNCTION("""COMPUTED_VALUE"""),"AI-X")</f>
        <v>AI-X</v>
      </c>
    </row>
    <row r="449" spans="1:3" x14ac:dyDescent="0.25">
      <c r="A449" s="2" t="str">
        <f ca="1">IFERROR(__xludf.DUMMYFUNCTION("""COMPUTED_VALUE"""),"ajna-protocol")</f>
        <v>ajna-protocol</v>
      </c>
      <c r="B449" s="2" t="str">
        <f ca="1">IFERROR(__xludf.DUMMYFUNCTION("""COMPUTED_VALUE"""),"ajna")</f>
        <v>ajna</v>
      </c>
      <c r="C449" s="2" t="str">
        <f ca="1">IFERROR(__xludf.DUMMYFUNCTION("""COMPUTED_VALUE"""),"Ajna Protocol")</f>
        <v>Ajna Protocol</v>
      </c>
    </row>
    <row r="450" spans="1:3" x14ac:dyDescent="0.25">
      <c r="A450" s="2" t="str">
        <f ca="1">IFERROR(__xludf.DUMMYFUNCTION("""COMPUTED_VALUE"""),"ajuna-network")</f>
        <v>ajuna-network</v>
      </c>
      <c r="B450" s="2" t="str">
        <f ca="1">IFERROR(__xludf.DUMMYFUNCTION("""COMPUTED_VALUE"""),"baju")</f>
        <v>baju</v>
      </c>
      <c r="C450" s="2" t="str">
        <f ca="1">IFERROR(__xludf.DUMMYFUNCTION("""COMPUTED_VALUE"""),"Bajun Network")</f>
        <v>Bajun Network</v>
      </c>
    </row>
    <row r="451" spans="1:3" x14ac:dyDescent="0.25">
      <c r="A451" s="2" t="str">
        <f ca="1">IFERROR(__xludf.DUMMYFUNCTION("""COMPUTED_VALUE"""),"ajuna-network-2")</f>
        <v>ajuna-network-2</v>
      </c>
      <c r="B451" s="2" t="str">
        <f ca="1">IFERROR(__xludf.DUMMYFUNCTION("""COMPUTED_VALUE"""),"ajun")</f>
        <v>ajun</v>
      </c>
      <c r="C451" s="2" t="str">
        <f ca="1">IFERROR(__xludf.DUMMYFUNCTION("""COMPUTED_VALUE"""),"Ajuna Network")</f>
        <v>Ajuna Network</v>
      </c>
    </row>
    <row r="452" spans="1:3" x14ac:dyDescent="0.25">
      <c r="A452" s="2" t="str">
        <f ca="1">IFERROR(__xludf.DUMMYFUNCTION("""COMPUTED_VALUE"""),"akamaru")</f>
        <v>akamaru</v>
      </c>
      <c r="B452" s="2" t="str">
        <f ca="1">IFERROR(__xludf.DUMMYFUNCTION("""COMPUTED_VALUE"""),"aku")</f>
        <v>aku</v>
      </c>
      <c r="C452" s="2" t="str">
        <f ca="1">IFERROR(__xludf.DUMMYFUNCTION("""COMPUTED_VALUE"""),"Akamaru")</f>
        <v>Akamaru</v>
      </c>
    </row>
    <row r="453" spans="1:3" x14ac:dyDescent="0.25">
      <c r="A453" s="2" t="str">
        <f ca="1">IFERROR(__xludf.DUMMYFUNCTION("""COMPUTED_VALUE"""),"akashalife")</f>
        <v>akashalife</v>
      </c>
      <c r="B453" s="2" t="str">
        <f ca="1">IFERROR(__xludf.DUMMYFUNCTION("""COMPUTED_VALUE"""),"ak1111")</f>
        <v>ak1111</v>
      </c>
      <c r="C453" s="2" t="str">
        <f ca="1">IFERROR(__xludf.DUMMYFUNCTION("""COMPUTED_VALUE"""),"Akashalife")</f>
        <v>Akashalife</v>
      </c>
    </row>
    <row r="454" spans="1:3" x14ac:dyDescent="0.25">
      <c r="A454" s="2" t="str">
        <f ca="1">IFERROR(__xludf.DUMMYFUNCTION("""COMPUTED_VALUE"""),"akash-network")</f>
        <v>akash-network</v>
      </c>
      <c r="B454" s="2" t="str">
        <f ca="1">IFERROR(__xludf.DUMMYFUNCTION("""COMPUTED_VALUE"""),"akt")</f>
        <v>akt</v>
      </c>
      <c r="C454" s="2" t="str">
        <f ca="1">IFERROR(__xludf.DUMMYFUNCTION("""COMPUTED_VALUE"""),"Akash Network")</f>
        <v>Akash Network</v>
      </c>
    </row>
    <row r="455" spans="1:3" x14ac:dyDescent="0.25">
      <c r="A455" s="2" t="str">
        <f ca="1">IFERROR(__xludf.DUMMYFUNCTION("""COMPUTED_VALUE"""),"aki-protocol")</f>
        <v>aki-protocol</v>
      </c>
      <c r="B455" s="2" t="str">
        <f ca="1">IFERROR(__xludf.DUMMYFUNCTION("""COMPUTED_VALUE"""),"aki")</f>
        <v>aki</v>
      </c>
      <c r="C455" s="2" t="str">
        <f ca="1">IFERROR(__xludf.DUMMYFUNCTION("""COMPUTED_VALUE"""),"Aki Network")</f>
        <v>Aki Network</v>
      </c>
    </row>
    <row r="456" spans="1:3" x14ac:dyDescent="0.25">
      <c r="A456" s="2" t="str">
        <f ca="1">IFERROR(__xludf.DUMMYFUNCTION("""COMPUTED_VALUE"""),"akita-inu")</f>
        <v>akita-inu</v>
      </c>
      <c r="B456" s="2" t="str">
        <f ca="1">IFERROR(__xludf.DUMMYFUNCTION("""COMPUTED_VALUE"""),"akita")</f>
        <v>akita</v>
      </c>
      <c r="C456" s="2" t="str">
        <f ca="1">IFERROR(__xludf.DUMMYFUNCTION("""COMPUTED_VALUE"""),"Akita Inu")</f>
        <v>Akita Inu</v>
      </c>
    </row>
    <row r="457" spans="1:3" x14ac:dyDescent="0.25">
      <c r="A457" s="2" t="str">
        <f ca="1">IFERROR(__xludf.DUMMYFUNCTION("""COMPUTED_VALUE"""),"akita-inu-2")</f>
        <v>akita-inu-2</v>
      </c>
      <c r="B457" s="2" t="str">
        <f ca="1">IFERROR(__xludf.DUMMYFUNCTION("""COMPUTED_VALUE"""),"akt")</f>
        <v>akt</v>
      </c>
      <c r="C457" s="2" t="str">
        <f ca="1">IFERROR(__xludf.DUMMYFUNCTION("""COMPUTED_VALUE"""),"Akita Inu")</f>
        <v>Akita Inu</v>
      </c>
    </row>
    <row r="458" spans="1:3" x14ac:dyDescent="0.25">
      <c r="A458" s="2" t="str">
        <f ca="1">IFERROR(__xludf.DUMMYFUNCTION("""COMPUTED_VALUE"""),"akita-inu-3")</f>
        <v>akita-inu-3</v>
      </c>
      <c r="B458" s="2" t="str">
        <f ca="1">IFERROR(__xludf.DUMMYFUNCTION("""COMPUTED_VALUE"""),"akita")</f>
        <v>akita</v>
      </c>
      <c r="C458" s="2" t="str">
        <f ca="1">IFERROR(__xludf.DUMMYFUNCTION("""COMPUTED_VALUE"""),"Akita Inu")</f>
        <v>Akita Inu</v>
      </c>
    </row>
    <row r="459" spans="1:3" x14ac:dyDescent="0.25">
      <c r="A459" s="2" t="str">
        <f ca="1">IFERROR(__xludf.DUMMYFUNCTION("""COMPUTED_VALUE"""),"akita-inu-4")</f>
        <v>akita-inu-4</v>
      </c>
      <c r="B459" s="2" t="str">
        <f ca="1">IFERROR(__xludf.DUMMYFUNCTION("""COMPUTED_VALUE"""),"akita")</f>
        <v>akita</v>
      </c>
      <c r="C459" s="2" t="str">
        <f ca="1">IFERROR(__xludf.DUMMYFUNCTION("""COMPUTED_VALUE"""),"Akita Inu")</f>
        <v>Akita Inu</v>
      </c>
    </row>
    <row r="460" spans="1:3" x14ac:dyDescent="0.25">
      <c r="A460" s="2" t="str">
        <f ca="1">IFERROR(__xludf.DUMMYFUNCTION("""COMPUTED_VALUE"""),"akita-inu-asa")</f>
        <v>akita-inu-asa</v>
      </c>
      <c r="B460" s="2" t="str">
        <f ca="1">IFERROR(__xludf.DUMMYFUNCTION("""COMPUTED_VALUE"""),"akta")</f>
        <v>akta</v>
      </c>
      <c r="C460" s="2" t="str">
        <f ca="1">IFERROR(__xludf.DUMMYFUNCTION("""COMPUTED_VALUE"""),"Akita Inu ASA")</f>
        <v>Akita Inu ASA</v>
      </c>
    </row>
    <row r="461" spans="1:3" x14ac:dyDescent="0.25">
      <c r="A461" s="2" t="str">
        <f ca="1">IFERROR(__xludf.DUMMYFUNCTION("""COMPUTED_VALUE"""),"akitavax")</f>
        <v>akitavax</v>
      </c>
      <c r="B461" s="2" t="str">
        <f ca="1">IFERROR(__xludf.DUMMYFUNCTION("""COMPUTED_VALUE"""),"akitax")</f>
        <v>akitax</v>
      </c>
      <c r="C461" s="2" t="str">
        <f ca="1">IFERROR(__xludf.DUMMYFUNCTION("""COMPUTED_VALUE"""),"Akitavax")</f>
        <v>Akitavax</v>
      </c>
    </row>
    <row r="462" spans="1:3" x14ac:dyDescent="0.25">
      <c r="A462" s="2" t="str">
        <f ca="1">IFERROR(__xludf.DUMMYFUNCTION("""COMPUTED_VALUE"""),"akiverse-governance-token")</f>
        <v>akiverse-governance-token</v>
      </c>
      <c r="B462" s="2" t="str">
        <f ca="1">IFERROR(__xludf.DUMMYFUNCTION("""COMPUTED_VALUE"""),"akv")</f>
        <v>akv</v>
      </c>
      <c r="C462" s="2" t="str">
        <f ca="1">IFERROR(__xludf.DUMMYFUNCTION("""COMPUTED_VALUE"""),"Akiverse Governance Token")</f>
        <v>Akiverse Governance Token</v>
      </c>
    </row>
    <row r="463" spans="1:3" x14ac:dyDescent="0.25">
      <c r="A463" s="2" t="str">
        <f ca="1">IFERROR(__xludf.DUMMYFUNCTION("""COMPUTED_VALUE"""),"akropolis")</f>
        <v>akropolis</v>
      </c>
      <c r="B463" s="2" t="str">
        <f ca="1">IFERROR(__xludf.DUMMYFUNCTION("""COMPUTED_VALUE"""),"akro")</f>
        <v>akro</v>
      </c>
      <c r="C463" s="2" t="str">
        <f ca="1">IFERROR(__xludf.DUMMYFUNCTION("""COMPUTED_VALUE"""),"Akropolis")</f>
        <v>Akropolis</v>
      </c>
    </row>
    <row r="464" spans="1:3" x14ac:dyDescent="0.25">
      <c r="A464" s="2" t="str">
        <f ca="1">IFERROR(__xludf.DUMMYFUNCTION("""COMPUTED_VALUE"""),"akropolis-delphi")</f>
        <v>akropolis-delphi</v>
      </c>
      <c r="B464" s="2" t="str">
        <f ca="1">IFERROR(__xludf.DUMMYFUNCTION("""COMPUTED_VALUE"""),"adel")</f>
        <v>adel</v>
      </c>
      <c r="C464" s="2" t="str">
        <f ca="1">IFERROR(__xludf.DUMMYFUNCTION("""COMPUTED_VALUE"""),"Delphi")</f>
        <v>Delphi</v>
      </c>
    </row>
    <row r="465" spans="1:3" x14ac:dyDescent="0.25">
      <c r="A465" s="2" t="str">
        <f ca="1">IFERROR(__xludf.DUMMYFUNCTION("""COMPUTED_VALUE"""),"aktionariat-alan-frei-company-tokenized-shares")</f>
        <v>aktionariat-alan-frei-company-tokenized-shares</v>
      </c>
      <c r="B465" s="2" t="str">
        <f ca="1">IFERROR(__xludf.DUMMYFUNCTION("""COMPUTED_VALUE"""),"afs")</f>
        <v>afs</v>
      </c>
      <c r="C465" s="2" t="str">
        <f ca="1">IFERROR(__xludf.DUMMYFUNCTION("""COMPUTED_VALUE"""),"Aktionariat Alan Frei Company Tokenized Shares")</f>
        <v>Aktionariat Alan Frei Company Tokenized Shares</v>
      </c>
    </row>
    <row r="466" spans="1:3" x14ac:dyDescent="0.25">
      <c r="A466" s="2" t="str">
        <f ca="1">IFERROR(__xludf.DUMMYFUNCTION("""COMPUTED_VALUE"""),"aktionariat-axelra-early-stage-ag-tokenized-shares")</f>
        <v>aktionariat-axelra-early-stage-ag-tokenized-shares</v>
      </c>
      <c r="B466" s="2" t="str">
        <f ca="1">IFERROR(__xludf.DUMMYFUNCTION("""COMPUTED_VALUE"""),"axras")</f>
        <v>axras</v>
      </c>
      <c r="C466" s="2" t="str">
        <f ca="1">IFERROR(__xludf.DUMMYFUNCTION("""COMPUTED_VALUE"""),"Aktionariat Axelra Early Stage AG Tokenized Shares")</f>
        <v>Aktionariat Axelra Early Stage AG Tokenized Shares</v>
      </c>
    </row>
    <row r="467" spans="1:3" x14ac:dyDescent="0.25">
      <c r="A467" s="2" t="str">
        <f ca="1">IFERROR(__xludf.DUMMYFUNCTION("""COMPUTED_VALUE"""),"aktionariat-bee-digital-growth-ag-tokenized-shares")</f>
        <v>aktionariat-bee-digital-growth-ag-tokenized-shares</v>
      </c>
      <c r="B467" s="2" t="str">
        <f ca="1">IFERROR(__xludf.DUMMYFUNCTION("""COMPUTED_VALUE"""),"bees")</f>
        <v>bees</v>
      </c>
      <c r="C467" s="2" t="str">
        <f ca="1">IFERROR(__xludf.DUMMYFUNCTION("""COMPUTED_VALUE"""),"Aktionariat BEE Digital Growth AG Tokenized Shares")</f>
        <v>Aktionariat BEE Digital Growth AG Tokenized Shares</v>
      </c>
    </row>
    <row r="468" spans="1:3" x14ac:dyDescent="0.25">
      <c r="A468" s="2" t="str">
        <f ca="1">IFERROR(__xludf.DUMMYFUNCTION("""COMPUTED_VALUE"""),"aktionariat-carnault-ag-tokenized-shares")</f>
        <v>aktionariat-carnault-ag-tokenized-shares</v>
      </c>
      <c r="B468" s="2" t="str">
        <f ca="1">IFERROR(__xludf.DUMMYFUNCTION("""COMPUTED_VALUE"""),"cas")</f>
        <v>cas</v>
      </c>
      <c r="C468" s="2" t="str">
        <f ca="1">IFERROR(__xludf.DUMMYFUNCTION("""COMPUTED_VALUE"""),"Aktionariat Carnault AG Tokenized Shares")</f>
        <v>Aktionariat Carnault AG Tokenized Shares</v>
      </c>
    </row>
    <row r="469" spans="1:3" x14ac:dyDescent="0.25">
      <c r="A469" s="2" t="str">
        <f ca="1">IFERROR(__xludf.DUMMYFUNCTION("""COMPUTED_VALUE"""),"aktionariat-clever-forever-education-ag-tokenized-shares")</f>
        <v>aktionariat-clever-forever-education-ag-tokenized-shares</v>
      </c>
      <c r="B469" s="2" t="str">
        <f ca="1">IFERROR(__xludf.DUMMYFUNCTION("""COMPUTED_VALUE"""),"cfes")</f>
        <v>cfes</v>
      </c>
      <c r="C469" s="2" t="str">
        <f ca="1">IFERROR(__xludf.DUMMYFUNCTION("""COMPUTED_VALUE"""),"Aktionariat Clever Forever Education AG Tokenized Shares")</f>
        <v>Aktionariat Clever Forever Education AG Tokenized Shares</v>
      </c>
    </row>
    <row r="470" spans="1:3" x14ac:dyDescent="0.25">
      <c r="A470" s="2" t="str">
        <f ca="1">IFERROR(__xludf.DUMMYFUNCTION("""COMPUTED_VALUE"""),"aktionariat-ddc-schweiz-ag-tokenized-shares")</f>
        <v>aktionariat-ddc-schweiz-ag-tokenized-shares</v>
      </c>
      <c r="B470" s="2" t="str">
        <f ca="1">IFERROR(__xludf.DUMMYFUNCTION("""COMPUTED_VALUE"""),"ddcs")</f>
        <v>ddcs</v>
      </c>
      <c r="C470" s="2" t="str">
        <f ca="1">IFERROR(__xludf.DUMMYFUNCTION("""COMPUTED_VALUE"""),"Aktionariat DDC Schweiz AG Tokenized Shares")</f>
        <v>Aktionariat DDC Schweiz AG Tokenized Shares</v>
      </c>
    </row>
    <row r="471" spans="1:3" x14ac:dyDescent="0.25">
      <c r="A471" s="2" t="str">
        <f ca="1">IFERROR(__xludf.DUMMYFUNCTION("""COMPUTED_VALUE"""),"aktionariat-fieldoo-ag-tokenized-shares")</f>
        <v>aktionariat-fieldoo-ag-tokenized-shares</v>
      </c>
      <c r="B471" s="2" t="str">
        <f ca="1">IFERROR(__xludf.DUMMYFUNCTION("""COMPUTED_VALUE"""),"fdos")</f>
        <v>fdos</v>
      </c>
      <c r="C471" s="2" t="str">
        <f ca="1">IFERROR(__xludf.DUMMYFUNCTION("""COMPUTED_VALUE"""),"Aktionariat Fieldoo AG Tokenized Shares")</f>
        <v>Aktionariat Fieldoo AG Tokenized Shares</v>
      </c>
    </row>
    <row r="472" spans="1:3" x14ac:dyDescent="0.25">
      <c r="A472" s="2" t="str">
        <f ca="1">IFERROR(__xludf.DUMMYFUNCTION("""COMPUTED_VALUE"""),"aktionariat-finelli-studios-ag-tokenized-shares")</f>
        <v>aktionariat-finelli-studios-ag-tokenized-shares</v>
      </c>
      <c r="B472" s="2" t="str">
        <f ca="1">IFERROR(__xludf.DUMMYFUNCTION("""COMPUTED_VALUE"""),"fnls")</f>
        <v>fnls</v>
      </c>
      <c r="C472" s="2" t="str">
        <f ca="1">IFERROR(__xludf.DUMMYFUNCTION("""COMPUTED_VALUE"""),"Aktionariat Finelli Studios AG Tokenized Shares")</f>
        <v>Aktionariat Finelli Studios AG Tokenized Shares</v>
      </c>
    </row>
    <row r="473" spans="1:3" x14ac:dyDescent="0.25">
      <c r="A473" s="2" t="str">
        <f ca="1">IFERROR(__xludf.DUMMYFUNCTION("""COMPUTED_VALUE"""),"aktionariat-green-consensus-ag-tokenized-shares")</f>
        <v>aktionariat-green-consensus-ag-tokenized-shares</v>
      </c>
      <c r="B473" s="2" t="str">
        <f ca="1">IFERROR(__xludf.DUMMYFUNCTION("""COMPUTED_VALUE"""),"dgcs")</f>
        <v>dgcs</v>
      </c>
      <c r="C473" s="2" t="str">
        <f ca="1">IFERROR(__xludf.DUMMYFUNCTION("""COMPUTED_VALUE"""),"Aktionariat Green Consensus AG Tokenized Shares")</f>
        <v>Aktionariat Green Consensus AG Tokenized Shares</v>
      </c>
    </row>
    <row r="474" spans="1:3" x14ac:dyDescent="0.25">
      <c r="A474" s="2" t="str">
        <f ca="1">IFERROR(__xludf.DUMMYFUNCTION("""COMPUTED_VALUE"""),"aktionariat-green-monkey-club-ag-tokenized-shares")</f>
        <v>aktionariat-green-monkey-club-ag-tokenized-shares</v>
      </c>
      <c r="B474" s="2" t="str">
        <f ca="1">IFERROR(__xludf.DUMMYFUNCTION("""COMPUTED_VALUE"""),"gmcs")</f>
        <v>gmcs</v>
      </c>
      <c r="C474" s="2" t="str">
        <f ca="1">IFERROR(__xludf.DUMMYFUNCTION("""COMPUTED_VALUE"""),"Aktionariat Green Monkey Club AG Tokenized Shares")</f>
        <v>Aktionariat Green Monkey Club AG Tokenized Shares</v>
      </c>
    </row>
    <row r="475" spans="1:3" x14ac:dyDescent="0.25">
      <c r="A475" s="2" t="str">
        <f ca="1">IFERROR(__xludf.DUMMYFUNCTION("""COMPUTED_VALUE"""),"aktionariat-sia-swiss-influencer-award-ag-tokenized-shares")</f>
        <v>aktionariat-sia-swiss-influencer-award-ag-tokenized-shares</v>
      </c>
      <c r="B475" s="2" t="str">
        <f ca="1">IFERROR(__xludf.DUMMYFUNCTION("""COMPUTED_VALUE"""),"sias")</f>
        <v>sias</v>
      </c>
      <c r="C475" s="2" t="str">
        <f ca="1">IFERROR(__xludf.DUMMYFUNCTION("""COMPUTED_VALUE"""),"Aktionariat SIA Swiss Influencer Award AG Tokenized Shares")</f>
        <v>Aktionariat SIA Swiss Influencer Award AG Tokenized Shares</v>
      </c>
    </row>
    <row r="476" spans="1:3" x14ac:dyDescent="0.25">
      <c r="A476" s="2" t="str">
        <f ca="1">IFERROR(__xludf.DUMMYFUNCTION("""COMPUTED_VALUE"""),"aktionariat-sportsparadise-switzerland-ag-tokenized-shares")</f>
        <v>aktionariat-sportsparadise-switzerland-ag-tokenized-shares</v>
      </c>
      <c r="B476" s="2" t="str">
        <f ca="1">IFERROR(__xludf.DUMMYFUNCTION("""COMPUTED_VALUE"""),"spos")</f>
        <v>spos</v>
      </c>
      <c r="C476" s="2" t="str">
        <f ca="1">IFERROR(__xludf.DUMMYFUNCTION("""COMPUTED_VALUE"""),"Aktionariat Sportsparadise Switzerland AG Tokenized Shares")</f>
        <v>Aktionariat Sportsparadise Switzerland AG Tokenized Shares</v>
      </c>
    </row>
    <row r="477" spans="1:3" x14ac:dyDescent="0.25">
      <c r="A477" s="2" t="str">
        <f ca="1">IFERROR(__xludf.DUMMYFUNCTION("""COMPUTED_VALUE"""),"aktionariat-tbo-co-comon-accelerator-holding-ag-tokenized-shares")</f>
        <v>aktionariat-tbo-co-comon-accelerator-holding-ag-tokenized-shares</v>
      </c>
      <c r="B477" s="2" t="str">
        <f ca="1">IFERROR(__xludf.DUMMYFUNCTION("""COMPUTED_VALUE"""),"tbos")</f>
        <v>tbos</v>
      </c>
      <c r="C477" s="2" t="str">
        <f ca="1">IFERROR(__xludf.DUMMYFUNCTION("""COMPUTED_VALUE"""),"Aktionariat TBo c/o Comon Accelerator Holding AG Tokenized Shares")</f>
        <v>Aktionariat TBo c/o Comon Accelerator Holding AG Tokenized Shares</v>
      </c>
    </row>
    <row r="478" spans="1:3" x14ac:dyDescent="0.25">
      <c r="A478" s="2" t="str">
        <f ca="1">IFERROR(__xludf.DUMMYFUNCTION("""COMPUTED_VALUE"""),"aktionariat-tv-plus-ag-tokenized-shares")</f>
        <v>aktionariat-tv-plus-ag-tokenized-shares</v>
      </c>
      <c r="B478" s="2" t="str">
        <f ca="1">IFERROR(__xludf.DUMMYFUNCTION("""COMPUTED_VALUE"""),"tvpls")</f>
        <v>tvpls</v>
      </c>
      <c r="C478" s="2" t="str">
        <f ca="1">IFERROR(__xludf.DUMMYFUNCTION("""COMPUTED_VALUE"""),"Aktionariat TV PLUS AG Tokenized Shares")</f>
        <v>Aktionariat TV PLUS AG Tokenized Shares</v>
      </c>
    </row>
    <row r="479" spans="1:3" x14ac:dyDescent="0.25">
      <c r="A479" s="2" t="str">
        <f ca="1">IFERROR(__xludf.DUMMYFUNCTION("""COMPUTED_VALUE"""),"aktionariat-vereign-ag-tokenized-shares")</f>
        <v>aktionariat-vereign-ag-tokenized-shares</v>
      </c>
      <c r="B479" s="2" t="str">
        <f ca="1">IFERROR(__xludf.DUMMYFUNCTION("""COMPUTED_VALUE"""),"vrgns")</f>
        <v>vrgns</v>
      </c>
      <c r="C479" s="2" t="str">
        <f ca="1">IFERROR(__xludf.DUMMYFUNCTION("""COMPUTED_VALUE"""),"Aktionariat Vereign AG Tokenized Shares")</f>
        <v>Aktionariat Vereign AG Tokenized Shares</v>
      </c>
    </row>
    <row r="480" spans="1:3" x14ac:dyDescent="0.25">
      <c r="A480" s="2" t="str">
        <f ca="1">IFERROR(__xludf.DUMMYFUNCTION("""COMPUTED_VALUE"""),"alaaddin-ai")</f>
        <v>alaaddin-ai</v>
      </c>
      <c r="B480" s="2" t="str">
        <f ca="1">IFERROR(__xludf.DUMMYFUNCTION("""COMPUTED_VALUE"""),"aldin")</f>
        <v>aldin</v>
      </c>
      <c r="C480" s="3" t="str">
        <f ca="1">IFERROR(__xludf.DUMMYFUNCTION("""COMPUTED_VALUE"""),"Alaaddin.ai")</f>
        <v>Alaaddin.ai</v>
      </c>
    </row>
    <row r="481" spans="1:3" x14ac:dyDescent="0.25">
      <c r="A481" s="2" t="str">
        <f ca="1">IFERROR(__xludf.DUMMYFUNCTION("""COMPUTED_VALUE"""),"aladdin-dao")</f>
        <v>aladdin-dao</v>
      </c>
      <c r="B481" s="2" t="str">
        <f ca="1">IFERROR(__xludf.DUMMYFUNCTION("""COMPUTED_VALUE"""),"ald")</f>
        <v>ald</v>
      </c>
      <c r="C481" s="2" t="str">
        <f ca="1">IFERROR(__xludf.DUMMYFUNCTION("""COMPUTED_VALUE"""),"Aladdin DAO")</f>
        <v>Aladdin DAO</v>
      </c>
    </row>
    <row r="482" spans="1:3" x14ac:dyDescent="0.25">
      <c r="A482" s="2" t="str">
        <f ca="1">IFERROR(__xludf.DUMMYFUNCTION("""COMPUTED_VALUE"""),"aladdin-rusd")</f>
        <v>aladdin-rusd</v>
      </c>
      <c r="B482" s="2" t="str">
        <f ca="1">IFERROR(__xludf.DUMMYFUNCTION("""COMPUTED_VALUE"""),"arusd")</f>
        <v>arusd</v>
      </c>
      <c r="C482" s="2" t="str">
        <f ca="1">IFERROR(__xludf.DUMMYFUNCTION("""COMPUTED_VALUE"""),"Aladdin rUSD")</f>
        <v>Aladdin rUSD</v>
      </c>
    </row>
    <row r="483" spans="1:3" x14ac:dyDescent="0.25">
      <c r="A483" s="2" t="str">
        <f ca="1">IFERROR(__xludf.DUMMYFUNCTION("""COMPUTED_VALUE"""),"aladdin-sdcrv")</f>
        <v>aladdin-sdcrv</v>
      </c>
      <c r="B483" s="2" t="str">
        <f ca="1">IFERROR(__xludf.DUMMYFUNCTION("""COMPUTED_VALUE"""),"asdcrv")</f>
        <v>asdcrv</v>
      </c>
      <c r="C483" s="2" t="str">
        <f ca="1">IFERROR(__xludf.DUMMYFUNCTION("""COMPUTED_VALUE"""),"Aladdin sdCRV")</f>
        <v>Aladdin sdCRV</v>
      </c>
    </row>
    <row r="484" spans="1:3" x14ac:dyDescent="0.25">
      <c r="A484" s="2" t="str">
        <f ca="1">IFERROR(__xludf.DUMMYFUNCTION("""COMPUTED_VALUE"""),"alan-the-alien")</f>
        <v>alan-the-alien</v>
      </c>
      <c r="B484" s="2" t="str">
        <f ca="1">IFERROR(__xludf.DUMMYFUNCTION("""COMPUTED_VALUE"""),"alan")</f>
        <v>alan</v>
      </c>
      <c r="C484" s="2" t="str">
        <f ca="1">IFERROR(__xludf.DUMMYFUNCTION("""COMPUTED_VALUE"""),"Alan the Alien")</f>
        <v>Alan the Alien</v>
      </c>
    </row>
    <row r="485" spans="1:3" x14ac:dyDescent="0.25">
      <c r="A485" s="2" t="str">
        <f ca="1">IFERROR(__xludf.DUMMYFUNCTION("""COMPUTED_VALUE"""),"alanyaspor-fan-token")</f>
        <v>alanyaspor-fan-token</v>
      </c>
      <c r="B485" s="2" t="str">
        <f ca="1">IFERROR(__xludf.DUMMYFUNCTION("""COMPUTED_VALUE"""),"ala")</f>
        <v>ala</v>
      </c>
      <c r="C485" s="2" t="str">
        <f ca="1">IFERROR(__xludf.DUMMYFUNCTION("""COMPUTED_VALUE"""),"Alanyaspor Fan Token")</f>
        <v>Alanyaspor Fan Token</v>
      </c>
    </row>
    <row r="486" spans="1:3" x14ac:dyDescent="0.25">
      <c r="A486" s="2" t="str">
        <f ca="1">IFERROR(__xludf.DUMMYFUNCTION("""COMPUTED_VALUE"""),"alaska-gold-rush")</f>
        <v>alaska-gold-rush</v>
      </c>
      <c r="B486" s="2" t="str">
        <f ca="1">IFERROR(__xludf.DUMMYFUNCTION("""COMPUTED_VALUE"""),"carat")</f>
        <v>carat</v>
      </c>
      <c r="C486" s="2" t="str">
        <f ca="1">IFERROR(__xludf.DUMMYFUNCTION("""COMPUTED_VALUE"""),"Alaska Gold Rush")</f>
        <v>Alaska Gold Rush</v>
      </c>
    </row>
    <row r="487" spans="1:3" x14ac:dyDescent="0.25">
      <c r="A487" s="2" t="str">
        <f ca="1">IFERROR(__xludf.DUMMYFUNCTION("""COMPUTED_VALUE"""),"alaya")</f>
        <v>alaya</v>
      </c>
      <c r="B487" s="2" t="str">
        <f ca="1">IFERROR(__xludf.DUMMYFUNCTION("""COMPUTED_VALUE"""),"atp")</f>
        <v>atp</v>
      </c>
      <c r="C487" s="2" t="str">
        <f ca="1">IFERROR(__xludf.DUMMYFUNCTION("""COMPUTED_VALUE"""),"Alaya")</f>
        <v>Alaya</v>
      </c>
    </row>
    <row r="488" spans="1:3" x14ac:dyDescent="0.25">
      <c r="A488" s="2" t="str">
        <f ca="1">IFERROR(__xludf.DUMMYFUNCTION("""COMPUTED_VALUE"""),"albedo")</f>
        <v>albedo</v>
      </c>
      <c r="B488" s="2" t="str">
        <f ca="1">IFERROR(__xludf.DUMMYFUNCTION("""COMPUTED_VALUE"""),"albedo")</f>
        <v>albedo</v>
      </c>
      <c r="C488" s="2" t="str">
        <f ca="1">IFERROR(__xludf.DUMMYFUNCTION("""COMPUTED_VALUE"""),"ALBEDO")</f>
        <v>ALBEDO</v>
      </c>
    </row>
    <row r="489" spans="1:3" x14ac:dyDescent="0.25">
      <c r="A489" s="2" t="str">
        <f ca="1">IFERROR(__xludf.DUMMYFUNCTION("""COMPUTED_VALUE"""),"albemarle-meme-token")</f>
        <v>albemarle-meme-token</v>
      </c>
      <c r="B489" s="2" t="str">
        <f ca="1">IFERROR(__xludf.DUMMYFUNCTION("""COMPUTED_VALUE"""),"albemarle")</f>
        <v>albemarle</v>
      </c>
      <c r="C489" s="2" t="str">
        <f ca="1">IFERROR(__xludf.DUMMYFUNCTION("""COMPUTED_VALUE"""),"Albemarle Meme Token")</f>
        <v>Albemarle Meme Token</v>
      </c>
    </row>
    <row r="490" spans="1:3" x14ac:dyDescent="0.25">
      <c r="A490" s="2" t="str">
        <f ca="1">IFERROR(__xludf.DUMMYFUNCTION("""COMPUTED_VALUE"""),"albert")</f>
        <v>albert</v>
      </c>
      <c r="B490" s="2" t="str">
        <f ca="1">IFERROR(__xludf.DUMMYFUNCTION("""COMPUTED_VALUE"""),"albert")</f>
        <v>albert</v>
      </c>
      <c r="C490" s="2" t="str">
        <f ca="1">IFERROR(__xludf.DUMMYFUNCTION("""COMPUTED_VALUE"""),"Albert")</f>
        <v>Albert</v>
      </c>
    </row>
    <row r="491" spans="1:3" x14ac:dyDescent="0.25">
      <c r="A491" s="2" t="str">
        <f ca="1">IFERROR(__xludf.DUMMYFUNCTION("""COMPUTED_VALUE"""),"albert-alien")</f>
        <v>albert-alien</v>
      </c>
      <c r="B491" s="2" t="str">
        <f ca="1">IFERROR(__xludf.DUMMYFUNCTION("""COMPUTED_VALUE"""),"albert")</f>
        <v>albert</v>
      </c>
      <c r="C491" s="2" t="str">
        <f ca="1">IFERROR(__xludf.DUMMYFUNCTION("""COMPUTED_VALUE"""),"Albert The Alien")</f>
        <v>Albert The Alien</v>
      </c>
    </row>
    <row r="492" spans="1:3" x14ac:dyDescent="0.25">
      <c r="A492" s="2" t="str">
        <f ca="1">IFERROR(__xludf.DUMMYFUNCTION("""COMPUTED_VALUE"""),"albert-euro-2024")</f>
        <v>albert-euro-2024</v>
      </c>
      <c r="B492" s="2" t="str">
        <f ca="1">IFERROR(__xludf.DUMMYFUNCTION("""COMPUTED_VALUE"""),"albert")</f>
        <v>albert</v>
      </c>
      <c r="C492" s="2" t="str">
        <f ca="1">IFERROR(__xludf.DUMMYFUNCTION("""COMPUTED_VALUE"""),"Albert Euro 2024")</f>
        <v>Albert Euro 2024</v>
      </c>
    </row>
    <row r="493" spans="1:3" x14ac:dyDescent="0.25">
      <c r="A493" s="2" t="str">
        <f ca="1">IFERROR(__xludf.DUMMYFUNCTION("""COMPUTED_VALUE"""),"alchemist")</f>
        <v>alchemist</v>
      </c>
      <c r="B493" s="2" t="str">
        <f ca="1">IFERROR(__xludf.DUMMYFUNCTION("""COMPUTED_VALUE"""),"mist")</f>
        <v>mist</v>
      </c>
      <c r="C493" s="2" t="str">
        <f ca="1">IFERROR(__xludf.DUMMYFUNCTION("""COMPUTED_VALUE"""),"Alchemist")</f>
        <v>Alchemist</v>
      </c>
    </row>
    <row r="494" spans="1:3" x14ac:dyDescent="0.25">
      <c r="A494" s="2" t="str">
        <f ca="1">IFERROR(__xludf.DUMMYFUNCTION("""COMPUTED_VALUE"""),"alchemix")</f>
        <v>alchemix</v>
      </c>
      <c r="B494" s="2" t="str">
        <f ca="1">IFERROR(__xludf.DUMMYFUNCTION("""COMPUTED_VALUE"""),"alcx")</f>
        <v>alcx</v>
      </c>
      <c r="C494" s="2" t="str">
        <f ca="1">IFERROR(__xludf.DUMMYFUNCTION("""COMPUTED_VALUE"""),"Alchemix")</f>
        <v>Alchemix</v>
      </c>
    </row>
    <row r="495" spans="1:3" x14ac:dyDescent="0.25">
      <c r="A495" s="2" t="str">
        <f ca="1">IFERROR(__xludf.DUMMYFUNCTION("""COMPUTED_VALUE"""),"alchemix-eth")</f>
        <v>alchemix-eth</v>
      </c>
      <c r="B495" s="2" t="str">
        <f ca="1">IFERROR(__xludf.DUMMYFUNCTION("""COMPUTED_VALUE"""),"aleth")</f>
        <v>aleth</v>
      </c>
      <c r="C495" s="2" t="str">
        <f ca="1">IFERROR(__xludf.DUMMYFUNCTION("""COMPUTED_VALUE"""),"Alchemix ETH")</f>
        <v>Alchemix ETH</v>
      </c>
    </row>
    <row r="496" spans="1:3" x14ac:dyDescent="0.25">
      <c r="A496" s="2" t="str">
        <f ca="1">IFERROR(__xludf.DUMMYFUNCTION("""COMPUTED_VALUE"""),"alchemix-usd")</f>
        <v>alchemix-usd</v>
      </c>
      <c r="B496" s="2" t="str">
        <f ca="1">IFERROR(__xludf.DUMMYFUNCTION("""COMPUTED_VALUE"""),"alusd")</f>
        <v>alusd</v>
      </c>
      <c r="C496" s="2" t="str">
        <f ca="1">IFERROR(__xludf.DUMMYFUNCTION("""COMPUTED_VALUE"""),"Alchemix USD")</f>
        <v>Alchemix USD</v>
      </c>
    </row>
    <row r="497" spans="1:3" x14ac:dyDescent="0.25">
      <c r="A497" s="2" t="str">
        <f ca="1">IFERROR(__xludf.DUMMYFUNCTION("""COMPUTED_VALUE"""),"alchemy-pay")</f>
        <v>alchemy-pay</v>
      </c>
      <c r="B497" s="2" t="str">
        <f ca="1">IFERROR(__xludf.DUMMYFUNCTION("""COMPUTED_VALUE"""),"ach")</f>
        <v>ach</v>
      </c>
      <c r="C497" s="2" t="str">
        <f ca="1">IFERROR(__xludf.DUMMYFUNCTION("""COMPUTED_VALUE"""),"Alchemy Pay")</f>
        <v>Alchemy Pay</v>
      </c>
    </row>
    <row r="498" spans="1:3" x14ac:dyDescent="0.25">
      <c r="A498" s="2" t="str">
        <f ca="1">IFERROR(__xludf.DUMMYFUNCTION("""COMPUTED_VALUE"""),"alcor-ibc-bridged-usdt-wax")</f>
        <v>alcor-ibc-bridged-usdt-wax</v>
      </c>
      <c r="B498" s="2" t="str">
        <f ca="1">IFERROR(__xludf.DUMMYFUNCTION("""COMPUTED_VALUE"""),"usdt")</f>
        <v>usdt</v>
      </c>
      <c r="C498" s="2" t="str">
        <f ca="1">IFERROR(__xludf.DUMMYFUNCTION("""COMPUTED_VALUE"""),"Alcor IBC Bridged USDT (WAX)")</f>
        <v>Alcor IBC Bridged USDT (WAX)</v>
      </c>
    </row>
    <row r="499" spans="1:3" x14ac:dyDescent="0.25">
      <c r="A499" s="2" t="str">
        <f ca="1">IFERROR(__xludf.DUMMYFUNCTION("""COMPUTED_VALUE"""),"aldrin")</f>
        <v>aldrin</v>
      </c>
      <c r="B499" s="2" t="str">
        <f ca="1">IFERROR(__xludf.DUMMYFUNCTION("""COMPUTED_VALUE"""),"rin")</f>
        <v>rin</v>
      </c>
      <c r="C499" s="2" t="str">
        <f ca="1">IFERROR(__xludf.DUMMYFUNCTION("""COMPUTED_VALUE"""),"Aldrin")</f>
        <v>Aldrin</v>
      </c>
    </row>
    <row r="500" spans="1:3" x14ac:dyDescent="0.25">
      <c r="A500" s="2" t="str">
        <f ca="1">IFERROR(__xludf.DUMMYFUNCTION("""COMPUTED_VALUE"""),"alea")</f>
        <v>alea</v>
      </c>
      <c r="B500" s="2" t="str">
        <f ca="1">IFERROR(__xludf.DUMMYFUNCTION("""COMPUTED_VALUE"""),"alea")</f>
        <v>alea</v>
      </c>
      <c r="C500" s="2" t="str">
        <f ca="1">IFERROR(__xludf.DUMMYFUNCTION("""COMPUTED_VALUE"""),"Alea")</f>
        <v>Alea</v>
      </c>
    </row>
    <row r="501" spans="1:3" x14ac:dyDescent="0.25">
      <c r="A501" s="2" t="str">
        <f ca="1">IFERROR(__xludf.DUMMYFUNCTION("""COMPUTED_VALUE"""),"aleo")</f>
        <v>aleo</v>
      </c>
      <c r="B501" s="2" t="str">
        <f ca="1">IFERROR(__xludf.DUMMYFUNCTION("""COMPUTED_VALUE"""),"aleo")</f>
        <v>aleo</v>
      </c>
      <c r="C501" s="2" t="str">
        <f ca="1">IFERROR(__xludf.DUMMYFUNCTION("""COMPUTED_VALUE"""),"ALEO")</f>
        <v>ALEO</v>
      </c>
    </row>
    <row r="502" spans="1:3" x14ac:dyDescent="0.25">
      <c r="A502" s="2" t="str">
        <f ca="1">IFERROR(__xludf.DUMMYFUNCTION("""COMPUTED_VALUE"""),"aleph")</f>
        <v>aleph</v>
      </c>
      <c r="B502" s="2" t="str">
        <f ca="1">IFERROR(__xludf.DUMMYFUNCTION("""COMPUTED_VALUE"""),"aleph")</f>
        <v>aleph</v>
      </c>
      <c r="C502" s="3" t="str">
        <f ca="1">IFERROR(__xludf.DUMMYFUNCTION("""COMPUTED_VALUE"""),"Aleph.im")</f>
        <v>Aleph.im</v>
      </c>
    </row>
    <row r="503" spans="1:3" x14ac:dyDescent="0.25">
      <c r="A503" s="2" t="str">
        <f ca="1">IFERROR(__xludf.DUMMYFUNCTION("""COMPUTED_VALUE"""),"aleph-im-wormhole")</f>
        <v>aleph-im-wormhole</v>
      </c>
      <c r="B503" s="2" t="str">
        <f ca="1">IFERROR(__xludf.DUMMYFUNCTION("""COMPUTED_VALUE"""),"aleph")</f>
        <v>aleph</v>
      </c>
      <c r="C503" s="2" t="str">
        <f ca="1">IFERROR(__xludf.DUMMYFUNCTION("""COMPUTED_VALUE"""),"Aleph.im (Wormhole)")</f>
        <v>Aleph.im (Wormhole)</v>
      </c>
    </row>
    <row r="504" spans="1:3" x14ac:dyDescent="0.25">
      <c r="A504" s="2" t="str">
        <f ca="1">IFERROR(__xludf.DUMMYFUNCTION("""COMPUTED_VALUE"""),"alephium")</f>
        <v>alephium</v>
      </c>
      <c r="B504" s="2" t="str">
        <f ca="1">IFERROR(__xludf.DUMMYFUNCTION("""COMPUTED_VALUE"""),"alph")</f>
        <v>alph</v>
      </c>
      <c r="C504" s="2" t="str">
        <f ca="1">IFERROR(__xludf.DUMMYFUNCTION("""COMPUTED_VALUE"""),"Alephium")</f>
        <v>Alephium</v>
      </c>
    </row>
    <row r="505" spans="1:3" x14ac:dyDescent="0.25">
      <c r="A505" s="2" t="str">
        <f ca="1">IFERROR(__xludf.DUMMYFUNCTION("""COMPUTED_VALUE"""),"aleph-zero")</f>
        <v>aleph-zero</v>
      </c>
      <c r="B505" s="2" t="str">
        <f ca="1">IFERROR(__xludf.DUMMYFUNCTION("""COMPUTED_VALUE"""),"azero")</f>
        <v>azero</v>
      </c>
      <c r="C505" s="2" t="str">
        <f ca="1">IFERROR(__xludf.DUMMYFUNCTION("""COMPUTED_VALUE"""),"Aleph Zero")</f>
        <v>Aleph Zero</v>
      </c>
    </row>
    <row r="506" spans="1:3" x14ac:dyDescent="0.25">
      <c r="A506" s="2" t="str">
        <f ca="1">IFERROR(__xludf.DUMMYFUNCTION("""COMPUTED_VALUE"""),"alethea-artificial-liquid-intelligence-token")</f>
        <v>alethea-artificial-liquid-intelligence-token</v>
      </c>
      <c r="B506" s="2" t="str">
        <f ca="1">IFERROR(__xludf.DUMMYFUNCTION("""COMPUTED_VALUE"""),"ali")</f>
        <v>ali</v>
      </c>
      <c r="C506" s="2" t="str">
        <f ca="1">IFERROR(__xludf.DUMMYFUNCTION("""COMPUTED_VALUE"""),"Artificial Liquid Intelligence")</f>
        <v>Artificial Liquid Intelligence</v>
      </c>
    </row>
    <row r="507" spans="1:3" x14ac:dyDescent="0.25">
      <c r="A507" s="2" t="str">
        <f ca="1">IFERROR(__xludf.DUMMYFUNCTION("""COMPUTED_VALUE"""),"alexgo")</f>
        <v>alexgo</v>
      </c>
      <c r="B507" s="2" t="str">
        <f ca="1">IFERROR(__xludf.DUMMYFUNCTION("""COMPUTED_VALUE"""),"alex")</f>
        <v>alex</v>
      </c>
      <c r="C507" s="2" t="str">
        <f ca="1">IFERROR(__xludf.DUMMYFUNCTION("""COMPUTED_VALUE"""),"ALEX Lab")</f>
        <v>ALEX Lab</v>
      </c>
    </row>
    <row r="508" spans="1:3" x14ac:dyDescent="0.25">
      <c r="A508" s="2" t="str">
        <f ca="1">IFERROR(__xludf.DUMMYFUNCTION("""COMPUTED_VALUE"""),"alexis")</f>
        <v>alexis</v>
      </c>
      <c r="B508" s="2" t="str">
        <f ca="1">IFERROR(__xludf.DUMMYFUNCTION("""COMPUTED_VALUE"""),"alexis")</f>
        <v>alexis</v>
      </c>
      <c r="C508" s="2" t="str">
        <f ca="1">IFERROR(__xludf.DUMMYFUNCTION("""COMPUTED_VALUE"""),"ALEXIS")</f>
        <v>ALEXIS</v>
      </c>
    </row>
    <row r="509" spans="1:3" x14ac:dyDescent="0.25">
      <c r="A509" s="2" t="str">
        <f ca="1">IFERROR(__xludf.DUMMYFUNCTION("""COMPUTED_VALUE"""),"alex-wrapped-usdt")</f>
        <v>alex-wrapped-usdt</v>
      </c>
      <c r="B509" s="2" t="str">
        <f ca="1">IFERROR(__xludf.DUMMYFUNCTION("""COMPUTED_VALUE"""),"susdt")</f>
        <v>susdt</v>
      </c>
      <c r="C509" s="2" t="str">
        <f ca="1">IFERROR(__xludf.DUMMYFUNCTION("""COMPUTED_VALUE"""),"Bridged Tether (Alex Bridge)")</f>
        <v>Bridged Tether (Alex Bridge)</v>
      </c>
    </row>
    <row r="510" spans="1:3" x14ac:dyDescent="0.25">
      <c r="A510" s="2" t="str">
        <f ca="1">IFERROR(__xludf.DUMMYFUNCTION("""COMPUTED_VALUE"""),"alf")</f>
        <v>alf</v>
      </c>
      <c r="B510" s="2" t="str">
        <f ca="1">IFERROR(__xludf.DUMMYFUNCTION("""COMPUTED_VALUE"""),"alf")</f>
        <v>alf</v>
      </c>
      <c r="C510" s="2" t="str">
        <f ca="1">IFERROR(__xludf.DUMMYFUNCTION("""COMPUTED_VALUE"""),"ALF")</f>
        <v>ALF</v>
      </c>
    </row>
    <row r="511" spans="1:3" x14ac:dyDescent="0.25">
      <c r="A511" s="2" t="str">
        <f ca="1">IFERROR(__xludf.DUMMYFUNCTION("""COMPUTED_VALUE"""),"alfa-romeo-racing-orlen-fan-token")</f>
        <v>alfa-romeo-racing-orlen-fan-token</v>
      </c>
      <c r="B511" s="2" t="str">
        <f ca="1">IFERROR(__xludf.DUMMYFUNCTION("""COMPUTED_VALUE"""),"sauber")</f>
        <v>sauber</v>
      </c>
      <c r="C511" s="2" t="str">
        <f ca="1">IFERROR(__xludf.DUMMYFUNCTION("""COMPUTED_VALUE"""),"Alfa Romeo Racing ORLEN Fan Token")</f>
        <v>Alfa Romeo Racing ORLEN Fan Token</v>
      </c>
    </row>
    <row r="512" spans="1:3" x14ac:dyDescent="0.25">
      <c r="A512" s="2" t="str">
        <f ca="1">IFERROR(__xludf.DUMMYFUNCTION("""COMPUTED_VALUE"""),"alfa-society")</f>
        <v>alfa-society</v>
      </c>
      <c r="B512" s="2" t="str">
        <f ca="1">IFERROR(__xludf.DUMMYFUNCTION("""COMPUTED_VALUE"""),"alfa")</f>
        <v>alfa</v>
      </c>
      <c r="C512" s="2" t="str">
        <f ca="1">IFERROR(__xludf.DUMMYFUNCTION("""COMPUTED_VALUE"""),"alfa.society")</f>
        <v>alfa.society</v>
      </c>
    </row>
    <row r="513" spans="1:3" x14ac:dyDescent="0.25">
      <c r="A513" s="2" t="str">
        <f ca="1">IFERROR(__xludf.DUMMYFUNCTION("""COMPUTED_VALUE"""),"algebra")</f>
        <v>algebra</v>
      </c>
      <c r="B513" s="2" t="str">
        <f ca="1">IFERROR(__xludf.DUMMYFUNCTION("""COMPUTED_VALUE"""),"algb")</f>
        <v>algb</v>
      </c>
      <c r="C513" s="2" t="str">
        <f ca="1">IFERROR(__xludf.DUMMYFUNCTION("""COMPUTED_VALUE"""),"Algebra")</f>
        <v>Algebra</v>
      </c>
    </row>
    <row r="514" spans="1:3" x14ac:dyDescent="0.25">
      <c r="A514" s="2" t="str">
        <f ca="1">IFERROR(__xludf.DUMMYFUNCTION("""COMPUTED_VALUE"""),"algo-casino-chips")</f>
        <v>algo-casino-chips</v>
      </c>
      <c r="B514" s="2" t="str">
        <f ca="1">IFERROR(__xludf.DUMMYFUNCTION("""COMPUTED_VALUE"""),"chip")</f>
        <v>chip</v>
      </c>
      <c r="C514" s="2" t="str">
        <f ca="1">IFERROR(__xludf.DUMMYFUNCTION("""COMPUTED_VALUE"""),"Algo-Casino Chips")</f>
        <v>Algo-Casino Chips</v>
      </c>
    </row>
    <row r="515" spans="1:3" x14ac:dyDescent="0.25">
      <c r="A515" s="2" t="str">
        <f ca="1">IFERROR(__xludf.DUMMYFUNCTION("""COMPUTED_VALUE"""),"algomint")</f>
        <v>algomint</v>
      </c>
      <c r="B515" s="2" t="str">
        <f ca="1">IFERROR(__xludf.DUMMYFUNCTION("""COMPUTED_VALUE"""),"gomint")</f>
        <v>gomint</v>
      </c>
      <c r="C515" s="2" t="str">
        <f ca="1">IFERROR(__xludf.DUMMYFUNCTION("""COMPUTED_VALUE"""),"Algomint")</f>
        <v>Algomint</v>
      </c>
    </row>
    <row r="516" spans="1:3" x14ac:dyDescent="0.25">
      <c r="A516" s="2" t="str">
        <f ca="1">IFERROR(__xludf.DUMMYFUNCTION("""COMPUTED_VALUE"""),"algorand")</f>
        <v>algorand</v>
      </c>
      <c r="B516" s="2" t="str">
        <f ca="1">IFERROR(__xludf.DUMMYFUNCTION("""COMPUTED_VALUE"""),"algo")</f>
        <v>algo</v>
      </c>
      <c r="C516" s="2" t="str">
        <f ca="1">IFERROR(__xludf.DUMMYFUNCTION("""COMPUTED_VALUE"""),"Algorand")</f>
        <v>Algorand</v>
      </c>
    </row>
    <row r="517" spans="1:3" x14ac:dyDescent="0.25">
      <c r="A517" s="2" t="str">
        <f ca="1">IFERROR(__xludf.DUMMYFUNCTION("""COMPUTED_VALUE"""),"algostable")</f>
        <v>algostable</v>
      </c>
      <c r="B517" s="2" t="str">
        <f ca="1">IFERROR(__xludf.DUMMYFUNCTION("""COMPUTED_VALUE"""),"stbl")</f>
        <v>stbl</v>
      </c>
      <c r="C517" s="2" t="str">
        <f ca="1">IFERROR(__xludf.DUMMYFUNCTION("""COMPUTED_VALUE"""),"AlgoStable")</f>
        <v>AlgoStable</v>
      </c>
    </row>
    <row r="518" spans="1:3" x14ac:dyDescent="0.25">
      <c r="A518" s="2" t="str">
        <f ca="1">IFERROR(__xludf.DUMMYFUNCTION("""COMPUTED_VALUE"""),"algowave")</f>
        <v>algowave</v>
      </c>
      <c r="B518" s="2" t="str">
        <f ca="1">IFERROR(__xludf.DUMMYFUNCTION("""COMPUTED_VALUE"""),"algo")</f>
        <v>algo</v>
      </c>
      <c r="C518" s="2" t="str">
        <f ca="1">IFERROR(__xludf.DUMMYFUNCTION("""COMPUTED_VALUE"""),"Algowave")</f>
        <v>Algowave</v>
      </c>
    </row>
    <row r="519" spans="1:3" x14ac:dyDescent="0.25">
      <c r="A519" s="2" t="str">
        <f ca="1">IFERROR(__xludf.DUMMYFUNCTION("""COMPUTED_VALUE"""),"alibabacoin")</f>
        <v>alibabacoin</v>
      </c>
      <c r="B519" s="2" t="str">
        <f ca="1">IFERROR(__xludf.DUMMYFUNCTION("""COMPUTED_VALUE"""),"abbc")</f>
        <v>abbc</v>
      </c>
      <c r="C519" s="2" t="str">
        <f ca="1">IFERROR(__xludf.DUMMYFUNCTION("""COMPUTED_VALUE"""),"ABBC")</f>
        <v>ABBC</v>
      </c>
    </row>
    <row r="520" spans="1:3" x14ac:dyDescent="0.25">
      <c r="A520" s="2" t="str">
        <f ca="1">IFERROR(__xludf.DUMMYFUNCTION("""COMPUTED_VALUE"""),"alibaba-tokenized-stock-defichain")</f>
        <v>alibaba-tokenized-stock-defichain</v>
      </c>
      <c r="B520" s="2" t="str">
        <f ca="1">IFERROR(__xludf.DUMMYFUNCTION("""COMPUTED_VALUE"""),"dbaba")</f>
        <v>dbaba</v>
      </c>
      <c r="C520" s="2" t="str">
        <f ca="1">IFERROR(__xludf.DUMMYFUNCTION("""COMPUTED_VALUE"""),"Alibaba Tokenized Stock Defichain")</f>
        <v>Alibaba Tokenized Stock Defichain</v>
      </c>
    </row>
    <row r="521" spans="1:3" x14ac:dyDescent="0.25">
      <c r="A521" s="2" t="str">
        <f ca="1">IFERROR(__xludf.DUMMYFUNCTION("""COMPUTED_VALUE"""),"alice-ai")</f>
        <v>alice-ai</v>
      </c>
      <c r="B521" s="2" t="str">
        <f ca="1">IFERROR(__xludf.DUMMYFUNCTION("""COMPUTED_VALUE"""),"alice")</f>
        <v>alice</v>
      </c>
      <c r="C521" s="2" t="str">
        <f ca="1">IFERROR(__xludf.DUMMYFUNCTION("""COMPUTED_VALUE"""),"Alice AI")</f>
        <v>Alice AI</v>
      </c>
    </row>
    <row r="522" spans="1:3" x14ac:dyDescent="0.25">
      <c r="A522" s="2" t="str">
        <f ca="1">IFERROR(__xludf.DUMMYFUNCTION("""COMPUTED_VALUE"""),"alicenet")</f>
        <v>alicenet</v>
      </c>
      <c r="B522" s="2" t="str">
        <f ca="1">IFERROR(__xludf.DUMMYFUNCTION("""COMPUTED_VALUE"""),"alca")</f>
        <v>alca</v>
      </c>
      <c r="C522" s="2" t="str">
        <f ca="1">IFERROR(__xludf.DUMMYFUNCTION("""COMPUTED_VALUE"""),"AliceNet")</f>
        <v>AliceNet</v>
      </c>
    </row>
    <row r="523" spans="1:3" x14ac:dyDescent="0.25">
      <c r="A523" s="2" t="str">
        <f ca="1">IFERROR(__xludf.DUMMYFUNCTION("""COMPUTED_VALUE"""),"alickshundra-occasional-cortex")</f>
        <v>alickshundra-occasional-cortex</v>
      </c>
      <c r="B523" s="2" t="str">
        <f ca="1">IFERROR(__xludf.DUMMYFUNCTION("""COMPUTED_VALUE"""),"aoc")</f>
        <v>aoc</v>
      </c>
      <c r="C523" s="2" t="str">
        <f ca="1">IFERROR(__xludf.DUMMYFUNCTION("""COMPUTED_VALUE"""),"Alickshundra Occasional-Cortex")</f>
        <v>Alickshundra Occasional-Cortex</v>
      </c>
    </row>
    <row r="524" spans="1:3" x14ac:dyDescent="0.25">
      <c r="A524" s="2" t="str">
        <f ca="1">IFERROR(__xludf.DUMMYFUNCTION("""COMPUTED_VALUE"""),"alien")</f>
        <v>alien</v>
      </c>
      <c r="B524" s="2" t="str">
        <f ca="1">IFERROR(__xludf.DUMMYFUNCTION("""COMPUTED_VALUE"""),"alien")</f>
        <v>alien</v>
      </c>
      <c r="C524" s="2" t="str">
        <f ca="1">IFERROR(__xludf.DUMMYFUNCTION("""COMPUTED_VALUE"""),"Alien")</f>
        <v>Alien</v>
      </c>
    </row>
    <row r="525" spans="1:3" x14ac:dyDescent="0.25">
      <c r="A525" s="2" t="str">
        <f ca="1">IFERROR(__xludf.DUMMYFUNCTION("""COMPUTED_VALUE"""),"alienb")</f>
        <v>alienb</v>
      </c>
      <c r="B525" s="2" t="str">
        <f ca="1">IFERROR(__xludf.DUMMYFUNCTION("""COMPUTED_VALUE"""),"alienb")</f>
        <v>alienb</v>
      </c>
      <c r="C525" s="2" t="str">
        <f ca="1">IFERROR(__xludf.DUMMYFUNCTION("""COMPUTED_VALUE"""),"AlienB")</f>
        <v>AlienB</v>
      </c>
    </row>
    <row r="526" spans="1:3" x14ac:dyDescent="0.25">
      <c r="A526" s="2" t="str">
        <f ca="1">IFERROR(__xludf.DUMMYFUNCTION("""COMPUTED_VALUE"""),"alienbase")</f>
        <v>alienbase</v>
      </c>
      <c r="B526" s="2" t="str">
        <f ca="1">IFERROR(__xludf.DUMMYFUNCTION("""COMPUTED_VALUE"""),"alb")</f>
        <v>alb</v>
      </c>
      <c r="C526" s="2" t="str">
        <f ca="1">IFERROR(__xludf.DUMMYFUNCTION("""COMPUTED_VALUE"""),"Alien Base")</f>
        <v>Alien Base</v>
      </c>
    </row>
    <row r="527" spans="1:3" x14ac:dyDescent="0.25">
      <c r="A527" s="2" t="str">
        <f ca="1">IFERROR(__xludf.DUMMYFUNCTION("""COMPUTED_VALUE"""),"alien-chicken-farm")</f>
        <v>alien-chicken-farm</v>
      </c>
      <c r="B527" s="2" t="str">
        <f ca="1">IFERROR(__xludf.DUMMYFUNCTION("""COMPUTED_VALUE"""),"acf")</f>
        <v>acf</v>
      </c>
      <c r="C527" s="2" t="str">
        <f ca="1">IFERROR(__xludf.DUMMYFUNCTION("""COMPUTED_VALUE"""),"Alien Chicken Farm")</f>
        <v>Alien Chicken Farm</v>
      </c>
    </row>
    <row r="528" spans="1:3" x14ac:dyDescent="0.25">
      <c r="A528" s="2" t="str">
        <f ca="1">IFERROR(__xludf.DUMMYFUNCTION("""COMPUTED_VALUE"""),"alienfi")</f>
        <v>alienfi</v>
      </c>
      <c r="B528" s="2" t="str">
        <f ca="1">IFERROR(__xludf.DUMMYFUNCTION("""COMPUTED_VALUE"""),"alien")</f>
        <v>alien</v>
      </c>
      <c r="C528" s="2" t="str">
        <f ca="1">IFERROR(__xludf.DUMMYFUNCTION("""COMPUTED_VALUE"""),"AlienFi")</f>
        <v>AlienFi</v>
      </c>
    </row>
    <row r="529" spans="1:3" x14ac:dyDescent="0.25">
      <c r="A529" s="2" t="str">
        <f ca="1">IFERROR(__xludf.DUMMYFUNCTION("""COMPUTED_VALUE"""),"alien-finance")</f>
        <v>alien-finance</v>
      </c>
      <c r="B529" s="2" t="str">
        <f ca="1">IFERROR(__xludf.DUMMYFUNCTION("""COMPUTED_VALUE"""),"alien")</f>
        <v>alien</v>
      </c>
      <c r="C529" s="2" t="str">
        <f ca="1">IFERROR(__xludf.DUMMYFUNCTION("""COMPUTED_VALUE"""),"Alien Finance")</f>
        <v>Alien Finance</v>
      </c>
    </row>
    <row r="530" spans="1:3" x14ac:dyDescent="0.25">
      <c r="A530" s="2" t="str">
        <f ca="1">IFERROR(__xludf.DUMMYFUNCTION("""COMPUTED_VALUE"""),"alienform")</f>
        <v>alienform</v>
      </c>
      <c r="B530" s="2" t="str">
        <f ca="1">IFERROR(__xludf.DUMMYFUNCTION("""COMPUTED_VALUE"""),"a4m")</f>
        <v>a4m</v>
      </c>
      <c r="C530" s="2" t="str">
        <f ca="1">IFERROR(__xludf.DUMMYFUNCTION("""COMPUTED_VALUE"""),"AlienForm")</f>
        <v>AlienForm</v>
      </c>
    </row>
    <row r="531" spans="1:3" x14ac:dyDescent="0.25">
      <c r="A531" s="2" t="str">
        <f ca="1">IFERROR(__xludf.DUMMYFUNCTION("""COMPUTED_VALUE"""),"alienswap")</f>
        <v>alienswap</v>
      </c>
      <c r="B531" s="2" t="str">
        <f ca="1">IFERROR(__xludf.DUMMYFUNCTION("""COMPUTED_VALUE"""),"alien")</f>
        <v>alien</v>
      </c>
      <c r="C531" s="2" t="str">
        <f ca="1">IFERROR(__xludf.DUMMYFUNCTION("""COMPUTED_VALUE"""),"AlienSwap")</f>
        <v>AlienSwap</v>
      </c>
    </row>
    <row r="532" spans="1:3" x14ac:dyDescent="0.25">
      <c r="A532" s="2" t="str">
        <f ca="1">IFERROR(__xludf.DUMMYFUNCTION("""COMPUTED_VALUE"""),"alien-worlds")</f>
        <v>alien-worlds</v>
      </c>
      <c r="B532" s="2" t="str">
        <f ca="1">IFERROR(__xludf.DUMMYFUNCTION("""COMPUTED_VALUE"""),"tlm")</f>
        <v>tlm</v>
      </c>
      <c r="C532" s="2" t="str">
        <f ca="1">IFERROR(__xludf.DUMMYFUNCTION("""COMPUTED_VALUE"""),"Alien Worlds")</f>
        <v>Alien Worlds</v>
      </c>
    </row>
    <row r="533" spans="1:3" x14ac:dyDescent="0.25">
      <c r="A533" s="2" t="str">
        <f ca="1">IFERROR(__xludf.DUMMYFUNCTION("""COMPUTED_VALUE"""),"alif-coin")</f>
        <v>alif-coin</v>
      </c>
      <c r="B533" s="2" t="str">
        <f ca="1">IFERROR(__xludf.DUMMYFUNCTION("""COMPUTED_VALUE"""),"alif")</f>
        <v>alif</v>
      </c>
      <c r="C533" s="2" t="str">
        <f ca="1">IFERROR(__xludf.DUMMYFUNCTION("""COMPUTED_VALUE"""),"AliF Coin")</f>
        <v>AliF Coin</v>
      </c>
    </row>
    <row r="534" spans="1:3" x14ac:dyDescent="0.25">
      <c r="A534" s="2" t="str">
        <f ca="1">IFERROR(__xludf.DUMMYFUNCTION("""COMPUTED_VALUE"""),"alink-ai")</f>
        <v>alink-ai</v>
      </c>
      <c r="B534" s="2" t="str">
        <f ca="1">IFERROR(__xludf.DUMMYFUNCTION("""COMPUTED_VALUE"""),"alink")</f>
        <v>alink</v>
      </c>
      <c r="C534" s="2" t="str">
        <f ca="1">IFERROR(__xludf.DUMMYFUNCTION("""COMPUTED_VALUE"""),"ALINK AI")</f>
        <v>ALINK AI</v>
      </c>
    </row>
    <row r="535" spans="1:3" x14ac:dyDescent="0.25">
      <c r="A535" s="2" t="str">
        <f ca="1">IFERROR(__xludf.DUMMYFUNCTION("""COMPUTED_VALUE"""),"alita")</f>
        <v>alita</v>
      </c>
      <c r="B535" s="2" t="str">
        <f ca="1">IFERROR(__xludf.DUMMYFUNCTION("""COMPUTED_VALUE"""),"ali")</f>
        <v>ali</v>
      </c>
      <c r="C535" s="2" t="str">
        <f ca="1">IFERROR(__xludf.DUMMYFUNCTION("""COMPUTED_VALUE"""),"Alita")</f>
        <v>Alita</v>
      </c>
    </row>
    <row r="536" spans="1:3" x14ac:dyDescent="0.25">
      <c r="A536" s="2" t="str">
        <f ca="1">IFERROR(__xludf.DUMMYFUNCTION("""COMPUTED_VALUE"""),"alita-2")</f>
        <v>alita-2</v>
      </c>
      <c r="B536" s="2" t="str">
        <f ca="1">IFERROR(__xludf.DUMMYFUNCTION("""COMPUTED_VALUE"""),"alme")</f>
        <v>alme</v>
      </c>
      <c r="C536" s="2" t="str">
        <f ca="1">IFERROR(__xludf.DUMMYFUNCTION("""COMPUTED_VALUE"""),"ALITA")</f>
        <v>ALITA</v>
      </c>
    </row>
    <row r="537" spans="1:3" x14ac:dyDescent="0.25">
      <c r="A537" s="2" t="str">
        <f ca="1">IFERROR(__xludf.DUMMYFUNCTION("""COMPUTED_VALUE"""),"alitaai")</f>
        <v>alitaai</v>
      </c>
      <c r="B537" s="2" t="str">
        <f ca="1">IFERROR(__xludf.DUMMYFUNCTION("""COMPUTED_VALUE"""),"alita")</f>
        <v>alita</v>
      </c>
      <c r="C537" s="2" t="str">
        <f ca="1">IFERROR(__xludf.DUMMYFUNCTION("""COMPUTED_VALUE"""),"AlitaAI")</f>
        <v>AlitaAI</v>
      </c>
    </row>
    <row r="538" spans="1:3" x14ac:dyDescent="0.25">
      <c r="A538" s="2" t="str">
        <f ca="1">IFERROR(__xludf.DUMMYFUNCTION("""COMPUTED_VALUE"""),"alita-gold")</f>
        <v>alita-gold</v>
      </c>
      <c r="B538" s="2" t="str">
        <f ca="1">IFERROR(__xludf.DUMMYFUNCTION("""COMPUTED_VALUE"""),"alita")</f>
        <v>alita</v>
      </c>
      <c r="C538" s="2" t="str">
        <f ca="1">IFERROR(__xludf.DUMMYFUNCTION("""COMPUTED_VALUE"""),"ALITA GOLD")</f>
        <v>ALITA GOLD</v>
      </c>
    </row>
    <row r="539" spans="1:3" x14ac:dyDescent="0.25">
      <c r="A539" s="2" t="str">
        <f ca="1">IFERROR(__xludf.DUMMYFUNCTION("""COMPUTED_VALUE"""),"alitas")</f>
        <v>alitas</v>
      </c>
      <c r="B539" s="2" t="str">
        <f ca="1">IFERROR(__xludf.DUMMYFUNCTION("""COMPUTED_VALUE"""),"alt")</f>
        <v>alt</v>
      </c>
      <c r="C539" s="2" t="str">
        <f ca="1">IFERROR(__xludf.DUMMYFUNCTION("""COMPUTED_VALUE"""),"Alitas")</f>
        <v>Alitas</v>
      </c>
    </row>
    <row r="540" spans="1:3" x14ac:dyDescent="0.25">
      <c r="A540" s="2" t="str">
        <f ca="1">IFERROR(__xludf.DUMMYFUNCTION("""COMPUTED_VALUE"""),"alium-finance")</f>
        <v>alium-finance</v>
      </c>
      <c r="B540" s="2" t="str">
        <f ca="1">IFERROR(__xludf.DUMMYFUNCTION("""COMPUTED_VALUE"""),"alm")</f>
        <v>alm</v>
      </c>
      <c r="C540" s="2" t="str">
        <f ca="1">IFERROR(__xludf.DUMMYFUNCTION("""COMPUTED_VALUE"""),"Alium Finance")</f>
        <v>Alium Finance</v>
      </c>
    </row>
    <row r="541" spans="1:3" x14ac:dyDescent="0.25">
      <c r="A541" s="2" t="str">
        <f ca="1">IFERROR(__xludf.DUMMYFUNCTION("""COMPUTED_VALUE"""),"alkimi")</f>
        <v>alkimi</v>
      </c>
      <c r="B541" s="2" t="str">
        <f ca="1">IFERROR(__xludf.DUMMYFUNCTION("""COMPUTED_VALUE"""),"$ads")</f>
        <v>$ads</v>
      </c>
      <c r="C541" s="2" t="str">
        <f ca="1">IFERROR(__xludf.DUMMYFUNCTION("""COMPUTED_VALUE"""),"Alkimi")</f>
        <v>Alkimi</v>
      </c>
    </row>
    <row r="542" spans="1:3" x14ac:dyDescent="0.25">
      <c r="A542" s="2" t="str">
        <f ca="1">IFERROR(__xludf.DUMMYFUNCTION("""COMPUTED_VALUE"""),"all-art")</f>
        <v>all-art</v>
      </c>
      <c r="B542" s="2" t="str">
        <f ca="1">IFERROR(__xludf.DUMMYFUNCTION("""COMPUTED_VALUE"""),"aart")</f>
        <v>aart</v>
      </c>
      <c r="C542" s="2" t="str">
        <f ca="1">IFERROR(__xludf.DUMMYFUNCTION("""COMPUTED_VALUE"""),"ALL.ART")</f>
        <v>ALL.ART</v>
      </c>
    </row>
    <row r="543" spans="1:3" x14ac:dyDescent="0.25">
      <c r="A543" s="2" t="str">
        <f ca="1">IFERROR(__xludf.DUMMYFUNCTION("""COMPUTED_VALUE"""),"allbridge")</f>
        <v>allbridge</v>
      </c>
      <c r="B543" s="2" t="str">
        <f ca="1">IFERROR(__xludf.DUMMYFUNCTION("""COMPUTED_VALUE"""),"abr")</f>
        <v>abr</v>
      </c>
      <c r="C543" s="2" t="str">
        <f ca="1">IFERROR(__xludf.DUMMYFUNCTION("""COMPUTED_VALUE"""),"Allbridge")</f>
        <v>Allbridge</v>
      </c>
    </row>
    <row r="544" spans="1:3" x14ac:dyDescent="0.25">
      <c r="A544" s="2" t="str">
        <f ca="1">IFERROR(__xludf.DUMMYFUNCTION("""COMPUTED_VALUE"""),"allbridge-bridged-eth-fuse")</f>
        <v>allbridge-bridged-eth-fuse</v>
      </c>
      <c r="B544" s="2" t="str">
        <f ca="1">IFERROR(__xludf.DUMMYFUNCTION("""COMPUTED_VALUE"""),"aeeth")</f>
        <v>aeeth</v>
      </c>
      <c r="C544" s="2" t="str">
        <f ca="1">IFERROR(__xludf.DUMMYFUNCTION("""COMPUTED_VALUE"""),"Allbridge Bridged ETH (Fuse)")</f>
        <v>Allbridge Bridged ETH (Fuse)</v>
      </c>
    </row>
    <row r="545" spans="1:3" x14ac:dyDescent="0.25">
      <c r="A545" s="2" t="str">
        <f ca="1">IFERROR(__xludf.DUMMYFUNCTION("""COMPUTED_VALUE"""),"allbridge-bridged-sol-fantom")</f>
        <v>allbridge-bridged-sol-fantom</v>
      </c>
      <c r="B545" s="2" t="str">
        <f ca="1">IFERROR(__xludf.DUMMYFUNCTION("""COMPUTED_VALUE"""),"sol")</f>
        <v>sol</v>
      </c>
      <c r="C545" s="2" t="str">
        <f ca="1">IFERROR(__xludf.DUMMYFUNCTION("""COMPUTED_VALUE"""),"Allbridge Bridged SOL (Fantom)")</f>
        <v>Allbridge Bridged SOL (Fantom)</v>
      </c>
    </row>
    <row r="546" spans="1:3" x14ac:dyDescent="0.25">
      <c r="A546" s="2" t="str">
        <f ca="1">IFERROR(__xludf.DUMMYFUNCTION("""COMPUTED_VALUE"""),"allbridge-bridged-sol-fuse")</f>
        <v>allbridge-bridged-sol-fuse</v>
      </c>
      <c r="B546" s="2" t="str">
        <f ca="1">IFERROR(__xludf.DUMMYFUNCTION("""COMPUTED_VALUE"""),"assol")</f>
        <v>assol</v>
      </c>
      <c r="C546" s="2" t="str">
        <f ca="1">IFERROR(__xludf.DUMMYFUNCTION("""COMPUTED_VALUE"""),"Allbridge Bridged SOL (Fuse)")</f>
        <v>Allbridge Bridged SOL (Fuse)</v>
      </c>
    </row>
    <row r="547" spans="1:3" x14ac:dyDescent="0.25">
      <c r="A547" s="2" t="str">
        <f ca="1">IFERROR(__xludf.DUMMYFUNCTION("""COMPUTED_VALUE"""),"allbridge-bridged-sol-near-protocol")</f>
        <v>allbridge-bridged-sol-near-protocol</v>
      </c>
      <c r="B547" s="2" t="str">
        <f ca="1">IFERROR(__xludf.DUMMYFUNCTION("""COMPUTED_VALUE"""),"sol")</f>
        <v>sol</v>
      </c>
      <c r="C547" s="2" t="str">
        <f ca="1">IFERROR(__xludf.DUMMYFUNCTION("""COMPUTED_VALUE"""),"Allbridge Bridged SOL (Near Protocol)")</f>
        <v>Allbridge Bridged SOL (Near Protocol)</v>
      </c>
    </row>
    <row r="548" spans="1:3" x14ac:dyDescent="0.25">
      <c r="A548" s="2" t="str">
        <f ca="1">IFERROR(__xludf.DUMMYFUNCTION("""COMPUTED_VALUE"""),"allbridge-bridged-usdc-fuse")</f>
        <v>allbridge-bridged-usdc-fuse</v>
      </c>
      <c r="B548" s="2" t="str">
        <f ca="1">IFERROR(__xludf.DUMMYFUNCTION("""COMPUTED_VALUE"""),"asusdc")</f>
        <v>asusdc</v>
      </c>
      <c r="C548" s="2" t="str">
        <f ca="1">IFERROR(__xludf.DUMMYFUNCTION("""COMPUTED_VALUE"""),"Allbridge Bridged USDC (Fuse)")</f>
        <v>Allbridge Bridged USDC (Fuse)</v>
      </c>
    </row>
    <row r="549" spans="1:3" x14ac:dyDescent="0.25">
      <c r="A549" s="2" t="str">
        <f ca="1">IFERROR(__xludf.DUMMYFUNCTION("""COMPUTED_VALUE"""),"allbridge-bridged-usdc-stacks")</f>
        <v>allbridge-bridged-usdc-stacks</v>
      </c>
      <c r="B549" s="2" t="str">
        <f ca="1">IFERROR(__xludf.DUMMYFUNCTION("""COMPUTED_VALUE"""),"aeusdc")</f>
        <v>aeusdc</v>
      </c>
      <c r="C549" s="2" t="str">
        <f ca="1">IFERROR(__xludf.DUMMYFUNCTION("""COMPUTED_VALUE"""),"Allbridge Bridged USDC (Stacks)")</f>
        <v>Allbridge Bridged USDC (Stacks)</v>
      </c>
    </row>
    <row r="550" spans="1:3" x14ac:dyDescent="0.25">
      <c r="A550" s="2" t="str">
        <f ca="1">IFERROR(__xludf.DUMMYFUNCTION("""COMPUTED_VALUE"""),"all-cat-no-brakes")</f>
        <v>all-cat-no-brakes</v>
      </c>
      <c r="B550" s="2" t="str">
        <f ca="1">IFERROR(__xludf.DUMMYFUNCTION("""COMPUTED_VALUE"""),"allcat")</f>
        <v>allcat</v>
      </c>
      <c r="C550" s="2" t="str">
        <f ca="1">IFERROR(__xludf.DUMMYFUNCTION("""COMPUTED_VALUE"""),"All Cat No Brakes")</f>
        <v>All Cat No Brakes</v>
      </c>
    </row>
    <row r="551" spans="1:3" x14ac:dyDescent="0.25">
      <c r="A551" s="2" t="str">
        <f ca="1">IFERROR(__xludf.DUMMYFUNCTION("""COMPUTED_VALUE"""),"alldomains")</f>
        <v>alldomains</v>
      </c>
      <c r="B551" s="2" t="str">
        <f ca="1">IFERROR(__xludf.DUMMYFUNCTION("""COMPUTED_VALUE"""),"all")</f>
        <v>all</v>
      </c>
      <c r="C551" s="2" t="str">
        <f ca="1">IFERROR(__xludf.DUMMYFUNCTION("""COMPUTED_VALUE"""),"AllDomains")</f>
        <v>AllDomains</v>
      </c>
    </row>
    <row r="552" spans="1:3" x14ac:dyDescent="0.25">
      <c r="A552" s="2" t="str">
        <f ca="1">IFERROR(__xludf.DUMMYFUNCTION("""COMPUTED_VALUE"""),"allianceblock-nexera")</f>
        <v>allianceblock-nexera</v>
      </c>
      <c r="B552" s="2" t="str">
        <f ca="1">IFERROR(__xludf.DUMMYFUNCTION("""COMPUTED_VALUE"""),"nxra")</f>
        <v>nxra</v>
      </c>
      <c r="C552" s="2" t="str">
        <f ca="1">IFERROR(__xludf.DUMMYFUNCTION("""COMPUTED_VALUE"""),"AllianceBlock Nexera")</f>
        <v>AllianceBlock Nexera</v>
      </c>
    </row>
    <row r="553" spans="1:3" x14ac:dyDescent="0.25">
      <c r="A553" s="2" t="str">
        <f ca="1">IFERROR(__xludf.DUMMYFUNCTION("""COMPUTED_VALUE"""),"alliance-fan-token")</f>
        <v>alliance-fan-token</v>
      </c>
      <c r="B553" s="2" t="str">
        <f ca="1">IFERROR(__xludf.DUMMYFUNCTION("""COMPUTED_VALUE"""),"all")</f>
        <v>all</v>
      </c>
      <c r="C553" s="2" t="str">
        <f ca="1">IFERROR(__xludf.DUMMYFUNCTION("""COMPUTED_VALUE"""),"Alliance Fan Token")</f>
        <v>Alliance Fan Token</v>
      </c>
    </row>
    <row r="554" spans="1:3" x14ac:dyDescent="0.25">
      <c r="A554" s="2" t="str">
        <f ca="1">IFERROR(__xludf.DUMMYFUNCTION("""COMPUTED_VALUE"""),"all-in")</f>
        <v>all-in</v>
      </c>
      <c r="B554" s="2" t="str">
        <f ca="1">IFERROR(__xludf.DUMMYFUNCTION("""COMPUTED_VALUE"""),"allin")</f>
        <v>allin</v>
      </c>
      <c r="C554" s="2" t="str">
        <f ca="1">IFERROR(__xludf.DUMMYFUNCTION("""COMPUTED_VALUE"""),"All In")</f>
        <v>All In</v>
      </c>
    </row>
    <row r="555" spans="1:3" x14ac:dyDescent="0.25">
      <c r="A555" s="2" t="str">
        <f ca="1">IFERROR(__xludf.DUMMYFUNCTION("""COMPUTED_VALUE"""),"all-in-one-wallet")</f>
        <v>all-in-one-wallet</v>
      </c>
      <c r="B555" s="2" t="str">
        <f ca="1">IFERROR(__xludf.DUMMYFUNCTION("""COMPUTED_VALUE"""),"aio")</f>
        <v>aio</v>
      </c>
      <c r="C555" s="2" t="str">
        <f ca="1">IFERROR(__xludf.DUMMYFUNCTION("""COMPUTED_VALUE"""),"All In One Wallet")</f>
        <v>All In One Wallet</v>
      </c>
    </row>
    <row r="556" spans="1:3" x14ac:dyDescent="0.25">
      <c r="A556" s="2" t="str">
        <f ca="1">IFERROR(__xludf.DUMMYFUNCTION("""COMPUTED_VALUE"""),"alloy-tether")</f>
        <v>alloy-tether</v>
      </c>
      <c r="B556" s="2" t="str">
        <f ca="1">IFERROR(__xludf.DUMMYFUNCTION("""COMPUTED_VALUE"""),"ausdt")</f>
        <v>ausdt</v>
      </c>
      <c r="C556" s="2" t="str">
        <f ca="1">IFERROR(__xludf.DUMMYFUNCTION("""COMPUTED_VALUE"""),"Alloy Tether")</f>
        <v>Alloy Tether</v>
      </c>
    </row>
    <row r="557" spans="1:3" x14ac:dyDescent="0.25">
      <c r="A557" s="2" t="str">
        <f ca="1">IFERROR(__xludf.DUMMYFUNCTION("""COMPUTED_VALUE"""),"allsafe")</f>
        <v>allsafe</v>
      </c>
      <c r="B557" s="2" t="str">
        <f ca="1">IFERROR(__xludf.DUMMYFUNCTION("""COMPUTED_VALUE"""),"asafe")</f>
        <v>asafe</v>
      </c>
      <c r="C557" s="2" t="str">
        <f ca="1">IFERROR(__xludf.DUMMYFUNCTION("""COMPUTED_VALUE"""),"AllSafe")</f>
        <v>AllSafe</v>
      </c>
    </row>
    <row r="558" spans="1:3" x14ac:dyDescent="0.25">
      <c r="A558" s="2" t="str">
        <f ca="1">IFERROR(__xludf.DUMMYFUNCTION("""COMPUTED_VALUE"""),"all-street-bets")</f>
        <v>all-street-bets</v>
      </c>
      <c r="B558" s="2" t="str">
        <f ca="1">IFERROR(__xludf.DUMMYFUNCTION("""COMPUTED_VALUE"""),"bets")</f>
        <v>bets</v>
      </c>
      <c r="C558" s="2" t="str">
        <f ca="1">IFERROR(__xludf.DUMMYFUNCTION("""COMPUTED_VALUE"""),"All Street Bets")</f>
        <v>All Street Bets</v>
      </c>
    </row>
    <row r="559" spans="1:3" x14ac:dyDescent="0.25">
      <c r="A559" s="2" t="str">
        <f ca="1">IFERROR(__xludf.DUMMYFUNCTION("""COMPUTED_VALUE"""),"all-time-high-degen")</f>
        <v>all-time-high-degen</v>
      </c>
      <c r="B559" s="2" t="str">
        <f ca="1">IFERROR(__xludf.DUMMYFUNCTION("""COMPUTED_VALUE"""),"ath")</f>
        <v>ath</v>
      </c>
      <c r="C559" s="2" t="str">
        <f ca="1">IFERROR(__xludf.DUMMYFUNCTION("""COMPUTED_VALUE"""),"All Time High")</f>
        <v>All Time High</v>
      </c>
    </row>
    <row r="560" spans="1:3" x14ac:dyDescent="0.25">
      <c r="A560" s="2" t="str">
        <f ca="1">IFERROR(__xludf.DUMMYFUNCTION("""COMPUTED_VALUE"""),"alltoscan")</f>
        <v>alltoscan</v>
      </c>
      <c r="B560" s="2" t="str">
        <f ca="1">IFERROR(__xludf.DUMMYFUNCTION("""COMPUTED_VALUE"""),"ats")</f>
        <v>ats</v>
      </c>
      <c r="C560" s="2" t="str">
        <f ca="1">IFERROR(__xludf.DUMMYFUNCTION("""COMPUTED_VALUE"""),"Alltoscan")</f>
        <v>Alltoscan</v>
      </c>
    </row>
    <row r="561" spans="1:3" x14ac:dyDescent="0.25">
      <c r="A561" s="2" t="str">
        <f ca="1">IFERROR(__xludf.DUMMYFUNCTION("""COMPUTED_VALUE"""),"ally")</f>
        <v>ally</v>
      </c>
      <c r="B561" s="2" t="str">
        <f ca="1">IFERROR(__xludf.DUMMYFUNCTION("""COMPUTED_VALUE"""),"aly")</f>
        <v>aly</v>
      </c>
      <c r="C561" s="2" t="str">
        <f ca="1">IFERROR(__xludf.DUMMYFUNCTION("""COMPUTED_VALUE"""),"Ally")</f>
        <v>Ally</v>
      </c>
    </row>
    <row r="562" spans="1:3" x14ac:dyDescent="0.25">
      <c r="A562" s="2" t="str">
        <f ca="1">IFERROR(__xludf.DUMMYFUNCTION("""COMPUTED_VALUE"""),"all-your-base")</f>
        <v>all-your-base</v>
      </c>
      <c r="B562" s="2" t="str">
        <f ca="1">IFERROR(__xludf.DUMMYFUNCTION("""COMPUTED_VALUE"""),"yobase")</f>
        <v>yobase</v>
      </c>
      <c r="C562" s="2" t="str">
        <f ca="1">IFERROR(__xludf.DUMMYFUNCTION("""COMPUTED_VALUE"""),"All Your Base")</f>
        <v>All Your Base</v>
      </c>
    </row>
    <row r="563" spans="1:3" x14ac:dyDescent="0.25">
      <c r="A563" s="2" t="str">
        <f ca="1">IFERROR(__xludf.DUMMYFUNCTION("""COMPUTED_VALUE"""),"all-your-base-2")</f>
        <v>all-your-base-2</v>
      </c>
      <c r="B563" s="2" t="str">
        <f ca="1">IFERROR(__xludf.DUMMYFUNCTION("""COMPUTED_VALUE"""),"ayb")</f>
        <v>ayb</v>
      </c>
      <c r="C563" s="2" t="str">
        <f ca="1">IFERROR(__xludf.DUMMYFUNCTION("""COMPUTED_VALUE"""),"All Your Base")</f>
        <v>All Your Base</v>
      </c>
    </row>
    <row r="564" spans="1:3" x14ac:dyDescent="0.25">
      <c r="A564" s="2" t="str">
        <f ca="1">IFERROR(__xludf.DUMMYFUNCTION("""COMPUTED_VALUE"""),"alman")</f>
        <v>alman</v>
      </c>
      <c r="B564" s="2" t="str">
        <f ca="1">IFERROR(__xludf.DUMMYFUNCTION("""COMPUTED_VALUE"""),"alman")</f>
        <v>alman</v>
      </c>
      <c r="C564" s="2" t="str">
        <f ca="1">IFERROR(__xludf.DUMMYFUNCTION("""COMPUTED_VALUE"""),"Alman")</f>
        <v>Alman</v>
      </c>
    </row>
    <row r="565" spans="1:3" x14ac:dyDescent="0.25">
      <c r="A565" s="2" t="str">
        <f ca="1">IFERROR(__xludf.DUMMYFUNCTION("""COMPUTED_VALUE"""),"alongside-crypto-market-index")</f>
        <v>alongside-crypto-market-index</v>
      </c>
      <c r="B565" s="2" t="str">
        <f ca="1">IFERROR(__xludf.DUMMYFUNCTION("""COMPUTED_VALUE"""),"amkt")</f>
        <v>amkt</v>
      </c>
      <c r="C565" s="2" t="str">
        <f ca="1">IFERROR(__xludf.DUMMYFUNCTION("""COMPUTED_VALUE"""),"Alongside Crypto Market Index")</f>
        <v>Alongside Crypto Market Index</v>
      </c>
    </row>
    <row r="566" spans="1:3" x14ac:dyDescent="0.25">
      <c r="A566" s="2" t="str">
        <f ca="1">IFERROR(__xludf.DUMMYFUNCTION("""COMPUTED_VALUE"""),"alpaca")</f>
        <v>alpaca</v>
      </c>
      <c r="B566" s="2" t="str">
        <f ca="1">IFERROR(__xludf.DUMMYFUNCTION("""COMPUTED_VALUE"""),"alpa")</f>
        <v>alpa</v>
      </c>
      <c r="C566" s="2" t="str">
        <f ca="1">IFERROR(__xludf.DUMMYFUNCTION("""COMPUTED_VALUE"""),"Alpaca City")</f>
        <v>Alpaca City</v>
      </c>
    </row>
    <row r="567" spans="1:3" x14ac:dyDescent="0.25">
      <c r="A567" s="2" t="str">
        <f ca="1">IFERROR(__xludf.DUMMYFUNCTION("""COMPUTED_VALUE"""),"alpaca-finance")</f>
        <v>alpaca-finance</v>
      </c>
      <c r="B567" s="2" t="str">
        <f ca="1">IFERROR(__xludf.DUMMYFUNCTION("""COMPUTED_VALUE"""),"alpaca")</f>
        <v>alpaca</v>
      </c>
      <c r="C567" s="2" t="str">
        <f ca="1">IFERROR(__xludf.DUMMYFUNCTION("""COMPUTED_VALUE"""),"Alpaca Finance")</f>
        <v>Alpaca Finance</v>
      </c>
    </row>
    <row r="568" spans="1:3" x14ac:dyDescent="0.25">
      <c r="A568" s="2" t="str">
        <f ca="1">IFERROR(__xludf.DUMMYFUNCTION("""COMPUTED_VALUE"""),"alpha-2")</f>
        <v>alpha-2</v>
      </c>
      <c r="B568" s="2" t="str">
        <f ca="1">IFERROR(__xludf.DUMMYFUNCTION("""COMPUTED_VALUE"""),"alpha")</f>
        <v>alpha</v>
      </c>
      <c r="C568" s="2" t="str">
        <f ca="1">IFERROR(__xludf.DUMMYFUNCTION("""COMPUTED_VALUE"""),"ALPHA")</f>
        <v>ALPHA</v>
      </c>
    </row>
    <row r="569" spans="1:3" x14ac:dyDescent="0.25">
      <c r="A569" s="2" t="str">
        <f ca="1">IFERROR(__xludf.DUMMYFUNCTION("""COMPUTED_VALUE"""),"alpha-3")</f>
        <v>alpha-3</v>
      </c>
      <c r="B569" s="2" t="str">
        <f ca="1">IFERROR(__xludf.DUMMYFUNCTION("""COMPUTED_VALUE"""),"alpha")</f>
        <v>alpha</v>
      </c>
      <c r="C569" s="2" t="str">
        <f ca="1">IFERROR(__xludf.DUMMYFUNCTION("""COMPUTED_VALUE"""),"Alpha")</f>
        <v>Alpha</v>
      </c>
    </row>
    <row r="570" spans="1:3" x14ac:dyDescent="0.25">
      <c r="A570" s="2" t="str">
        <f ca="1">IFERROR(__xludf.DUMMYFUNCTION("""COMPUTED_VALUE"""),"alpha-ai")</f>
        <v>alpha-ai</v>
      </c>
      <c r="B570" s="2" t="str">
        <f ca="1">IFERROR(__xludf.DUMMYFUNCTION("""COMPUTED_VALUE"""),"alpha ai")</f>
        <v>alpha ai</v>
      </c>
      <c r="C570" s="2" t="str">
        <f ca="1">IFERROR(__xludf.DUMMYFUNCTION("""COMPUTED_VALUE"""),"Alpha Ai")</f>
        <v>Alpha Ai</v>
      </c>
    </row>
    <row r="571" spans="1:3" x14ac:dyDescent="0.25">
      <c r="A571" s="2" t="str">
        <f ca="1">IFERROR(__xludf.DUMMYFUNCTION("""COMPUTED_VALUE"""),"alpha-fi")</f>
        <v>alpha-fi</v>
      </c>
      <c r="B571" s="2" t="str">
        <f ca="1">IFERROR(__xludf.DUMMYFUNCTION("""COMPUTED_VALUE"""),"alpha")</f>
        <v>alpha</v>
      </c>
      <c r="C571" s="2" t="str">
        <f ca="1">IFERROR(__xludf.DUMMYFUNCTION("""COMPUTED_VALUE"""),"Alpha Fi")</f>
        <v>Alpha Fi</v>
      </c>
    </row>
    <row r="572" spans="1:3" x14ac:dyDescent="0.25">
      <c r="A572" s="2" t="str">
        <f ca="1">IFERROR(__xludf.DUMMYFUNCTION("""COMPUTED_VALUE"""),"alpha-finance")</f>
        <v>alpha-finance</v>
      </c>
      <c r="B572" s="2" t="str">
        <f ca="1">IFERROR(__xludf.DUMMYFUNCTION("""COMPUTED_VALUE"""),"alpha")</f>
        <v>alpha</v>
      </c>
      <c r="C572" s="2" t="str">
        <f ca="1">IFERROR(__xludf.DUMMYFUNCTION("""COMPUTED_VALUE"""),"Stella")</f>
        <v>Stella</v>
      </c>
    </row>
    <row r="573" spans="1:3" x14ac:dyDescent="0.25">
      <c r="A573" s="2" t="str">
        <f ca="1">IFERROR(__xludf.DUMMYFUNCTION("""COMPUTED_VALUE"""),"alpha-gardeners")</f>
        <v>alpha-gardeners</v>
      </c>
      <c r="B573" s="2" t="str">
        <f ca="1">IFERROR(__xludf.DUMMYFUNCTION("""COMPUTED_VALUE"""),"ag")</f>
        <v>ag</v>
      </c>
      <c r="C573" s="2" t="str">
        <f ca="1">IFERROR(__xludf.DUMMYFUNCTION("""COMPUTED_VALUE"""),"Alpha Gardeners")</f>
        <v>Alpha Gardeners</v>
      </c>
    </row>
    <row r="574" spans="1:3" x14ac:dyDescent="0.25">
      <c r="A574" s="2" t="str">
        <f ca="1">IFERROR(__xludf.DUMMYFUNCTION("""COMPUTED_VALUE"""),"alphakek-ai")</f>
        <v>alphakek-ai</v>
      </c>
      <c r="B574" s="2" t="str">
        <f ca="1">IFERROR(__xludf.DUMMYFUNCTION("""COMPUTED_VALUE"""),"aikek")</f>
        <v>aikek</v>
      </c>
      <c r="C574" s="3" t="str">
        <f ca="1">IFERROR(__xludf.DUMMYFUNCTION("""COMPUTED_VALUE"""),"AlphaKEK.AI")</f>
        <v>AlphaKEK.AI</v>
      </c>
    </row>
    <row r="575" spans="1:3" x14ac:dyDescent="0.25">
      <c r="A575" s="2" t="str">
        <f ca="1">IFERROR(__xludf.DUMMYFUNCTION("""COMPUTED_VALUE"""),"alphanova")</f>
        <v>alphanova</v>
      </c>
      <c r="B575" s="2" t="str">
        <f ca="1">IFERROR(__xludf.DUMMYFUNCTION("""COMPUTED_VALUE"""),"anva")</f>
        <v>anva</v>
      </c>
      <c r="C575" s="2" t="str">
        <f ca="1">IFERROR(__xludf.DUMMYFUNCTION("""COMPUTED_VALUE"""),"AlphaNova")</f>
        <v>AlphaNova</v>
      </c>
    </row>
    <row r="576" spans="1:3" x14ac:dyDescent="0.25">
      <c r="A576" s="2" t="str">
        <f ca="1">IFERROR(__xludf.DUMMYFUNCTION("""COMPUTED_VALUE"""),"alpha-quark-token")</f>
        <v>alpha-quark-token</v>
      </c>
      <c r="B576" s="2" t="str">
        <f ca="1">IFERROR(__xludf.DUMMYFUNCTION("""COMPUTED_VALUE"""),"aqt")</f>
        <v>aqt</v>
      </c>
      <c r="C576" s="2" t="str">
        <f ca="1">IFERROR(__xludf.DUMMYFUNCTION("""COMPUTED_VALUE"""),"Alpha Quark")</f>
        <v>Alpha Quark</v>
      </c>
    </row>
    <row r="577" spans="1:3" x14ac:dyDescent="0.25">
      <c r="A577" s="2" t="str">
        <f ca="1">IFERROR(__xludf.DUMMYFUNCTION("""COMPUTED_VALUE"""),"alpha-rabbit")</f>
        <v>alpha-rabbit</v>
      </c>
      <c r="B577" s="2" t="str">
        <f ca="1">IFERROR(__xludf.DUMMYFUNCTION("""COMPUTED_VALUE"""),"arabbit")</f>
        <v>arabbit</v>
      </c>
      <c r="C577" s="2" t="str">
        <f ca="1">IFERROR(__xludf.DUMMYFUNCTION("""COMPUTED_VALUE"""),"Alpha Rabbit")</f>
        <v>Alpha Rabbit</v>
      </c>
    </row>
    <row r="578" spans="1:3" x14ac:dyDescent="0.25">
      <c r="A578" s="2" t="str">
        <f ca="1">IFERROR(__xludf.DUMMYFUNCTION("""COMPUTED_VALUE"""),"alpha-radar-bot")</f>
        <v>alpha-radar-bot</v>
      </c>
      <c r="B578" s="2" t="str">
        <f ca="1">IFERROR(__xludf.DUMMYFUNCTION("""COMPUTED_VALUE"""),"arbot")</f>
        <v>arbot</v>
      </c>
      <c r="C578" s="2" t="str">
        <f ca="1">IFERROR(__xludf.DUMMYFUNCTION("""COMPUTED_VALUE"""),"Alpha Radar AI")</f>
        <v>Alpha Radar AI</v>
      </c>
    </row>
    <row r="579" spans="1:3" x14ac:dyDescent="0.25">
      <c r="A579" s="2" t="str">
        <f ca="1">IFERROR(__xludf.DUMMYFUNCTION("""COMPUTED_VALUE"""),"alphascan")</f>
        <v>alphascan</v>
      </c>
      <c r="B579" s="2" t="str">
        <f ca="1">IFERROR(__xludf.DUMMYFUNCTION("""COMPUTED_VALUE"""),"ascn")</f>
        <v>ascn</v>
      </c>
      <c r="C579" s="2" t="str">
        <f ca="1">IFERROR(__xludf.DUMMYFUNCTION("""COMPUTED_VALUE"""),"AlphaScan AI")</f>
        <v>AlphaScan AI</v>
      </c>
    </row>
    <row r="580" spans="1:3" x14ac:dyDescent="0.25">
      <c r="A580" s="2" t="str">
        <f ca="1">IFERROR(__xludf.DUMMYFUNCTION("""COMPUTED_VALUE"""),"alpha-shards")</f>
        <v>alpha-shards</v>
      </c>
      <c r="B580" s="2" t="str">
        <f ca="1">IFERROR(__xludf.DUMMYFUNCTION("""COMPUTED_VALUE"""),"alpha")</f>
        <v>alpha</v>
      </c>
      <c r="C580" s="2" t="str">
        <f ca="1">IFERROR(__xludf.DUMMYFUNCTION("""COMPUTED_VALUE"""),"Alpha Shards")</f>
        <v>Alpha Shards</v>
      </c>
    </row>
    <row r="581" spans="1:3" x14ac:dyDescent="0.25">
      <c r="A581" s="2" t="str">
        <f ca="1">IFERROR(__xludf.DUMMYFUNCTION("""COMPUTED_VALUE"""),"alpha-shares-v2")</f>
        <v>alpha-shares-v2</v>
      </c>
      <c r="B581" s="2" t="str">
        <f ca="1">IFERROR(__xludf.DUMMYFUNCTION("""COMPUTED_VALUE"""),"$alpha")</f>
        <v>$alpha</v>
      </c>
      <c r="C581" s="2" t="str">
        <f ca="1">IFERROR(__xludf.DUMMYFUNCTION("""COMPUTED_VALUE"""),"Alpha Shares V2")</f>
        <v>Alpha Shares V2</v>
      </c>
    </row>
    <row r="582" spans="1:3" x14ac:dyDescent="0.25">
      <c r="A582" s="2" t="str">
        <f ca="1">IFERROR(__xludf.DUMMYFUNCTION("""COMPUTED_VALUE"""),"alphpad")</f>
        <v>alphpad</v>
      </c>
      <c r="B582" s="2" t="str">
        <f ca="1">IFERROR(__xludf.DUMMYFUNCTION("""COMPUTED_VALUE"""),"apad")</f>
        <v>apad</v>
      </c>
      <c r="C582" s="2" t="str">
        <f ca="1">IFERROR(__xludf.DUMMYFUNCTION("""COMPUTED_VALUE"""),"AlphPad")</f>
        <v>AlphPad</v>
      </c>
    </row>
    <row r="583" spans="1:3" x14ac:dyDescent="0.25">
      <c r="A583" s="2" t="str">
        <f ca="1">IFERROR(__xludf.DUMMYFUNCTION("""COMPUTED_VALUE"""),"alphr")</f>
        <v>alphr</v>
      </c>
      <c r="B583" s="2" t="str">
        <f ca="1">IFERROR(__xludf.DUMMYFUNCTION("""COMPUTED_VALUE"""),"alphr")</f>
        <v>alphr</v>
      </c>
      <c r="C583" s="2" t="str">
        <f ca="1">IFERROR(__xludf.DUMMYFUNCTION("""COMPUTED_VALUE"""),"Alphr")</f>
        <v>Alphr</v>
      </c>
    </row>
    <row r="584" spans="1:3" x14ac:dyDescent="0.25">
      <c r="A584" s="2" t="str">
        <f ca="1">IFERROR(__xludf.DUMMYFUNCTION("""COMPUTED_VALUE"""),"alpine-f1-team-fan-token")</f>
        <v>alpine-f1-team-fan-token</v>
      </c>
      <c r="B584" s="2" t="str">
        <f ca="1">IFERROR(__xludf.DUMMYFUNCTION("""COMPUTED_VALUE"""),"alpine")</f>
        <v>alpine</v>
      </c>
      <c r="C584" s="2" t="str">
        <f ca="1">IFERROR(__xludf.DUMMYFUNCTION("""COMPUTED_VALUE"""),"Alpine F1 Team Fan Token")</f>
        <v>Alpine F1 Team Fan Token</v>
      </c>
    </row>
    <row r="585" spans="1:3" x14ac:dyDescent="0.25">
      <c r="A585" s="2" t="str">
        <f ca="1">IFERROR(__xludf.DUMMYFUNCTION("""COMPUTED_VALUE"""),"altair")</f>
        <v>altair</v>
      </c>
      <c r="B585" s="2" t="str">
        <f ca="1">IFERROR(__xludf.DUMMYFUNCTION("""COMPUTED_VALUE"""),"air")</f>
        <v>air</v>
      </c>
      <c r="C585" s="2" t="str">
        <f ca="1">IFERROR(__xludf.DUMMYFUNCTION("""COMPUTED_VALUE"""),"Altair")</f>
        <v>Altair</v>
      </c>
    </row>
    <row r="586" spans="1:3" x14ac:dyDescent="0.25">
      <c r="A586" s="2" t="str">
        <f ca="1">IFERROR(__xludf.DUMMYFUNCTION("""COMPUTED_VALUE"""),"altava")</f>
        <v>altava</v>
      </c>
      <c r="B586" s="2" t="str">
        <f ca="1">IFERROR(__xludf.DUMMYFUNCTION("""COMPUTED_VALUE"""),"tava")</f>
        <v>tava</v>
      </c>
      <c r="C586" s="2" t="str">
        <f ca="1">IFERROR(__xludf.DUMMYFUNCTION("""COMPUTED_VALUE"""),"ALTAVA")</f>
        <v>ALTAVA</v>
      </c>
    </row>
    <row r="587" spans="1:3" x14ac:dyDescent="0.25">
      <c r="A587" s="2" t="str">
        <f ca="1">IFERROR(__xludf.DUMMYFUNCTION("""COMPUTED_VALUE"""),"altbase")</f>
        <v>altbase</v>
      </c>
      <c r="B587" s="2" t="str">
        <f ca="1">IFERROR(__xludf.DUMMYFUNCTION("""COMPUTED_VALUE"""),"altb")</f>
        <v>altb</v>
      </c>
      <c r="C587" s="2" t="str">
        <f ca="1">IFERROR(__xludf.DUMMYFUNCTION("""COMPUTED_VALUE"""),"Altbase")</f>
        <v>Altbase</v>
      </c>
    </row>
    <row r="588" spans="1:3" x14ac:dyDescent="0.25">
      <c r="A588" s="2" t="str">
        <f ca="1">IFERROR(__xludf.DUMMYFUNCTION("""COMPUTED_VALUE"""),"altcoinist-token")</f>
        <v>altcoinist-token</v>
      </c>
      <c r="B588" s="2" t="str">
        <f ca="1">IFERROR(__xludf.DUMMYFUNCTION("""COMPUTED_VALUE"""),"altt")</f>
        <v>altt</v>
      </c>
      <c r="C588" s="2" t="str">
        <f ca="1">IFERROR(__xludf.DUMMYFUNCTION("""COMPUTED_VALUE"""),"Altcoinist Token")</f>
        <v>Altcoinist Token</v>
      </c>
    </row>
    <row r="589" spans="1:3" x14ac:dyDescent="0.25">
      <c r="A589" s="2" t="str">
        <f ca="1">IFERROR(__xludf.DUMMYFUNCTION("""COMPUTED_VALUE"""),"altctrl")</f>
        <v>altctrl</v>
      </c>
      <c r="B589" s="2" t="str">
        <f ca="1">IFERROR(__xludf.DUMMYFUNCTION("""COMPUTED_VALUE"""),"ctrl")</f>
        <v>ctrl</v>
      </c>
      <c r="C589" s="2" t="str">
        <f ca="1">IFERROR(__xludf.DUMMYFUNCTION("""COMPUTED_VALUE"""),"AltCTRL")</f>
        <v>AltCTRL</v>
      </c>
    </row>
    <row r="590" spans="1:3" x14ac:dyDescent="0.25">
      <c r="A590" s="2" t="str">
        <f ca="1">IFERROR(__xludf.DUMMYFUNCTION("""COMPUTED_VALUE"""),"alter")</f>
        <v>alter</v>
      </c>
      <c r="B590" s="2" t="str">
        <f ca="1">IFERROR(__xludf.DUMMYFUNCTION("""COMPUTED_VALUE"""),"alter")</f>
        <v>alter</v>
      </c>
      <c r="C590" s="2" t="str">
        <f ca="1">IFERROR(__xludf.DUMMYFUNCTION("""COMPUTED_VALUE"""),"Alter")</f>
        <v>Alter</v>
      </c>
    </row>
    <row r="591" spans="1:3" x14ac:dyDescent="0.25">
      <c r="A591" s="2" t="str">
        <f ca="1">IFERROR(__xludf.DUMMYFUNCTION("""COMPUTED_VALUE"""),"altered-state-token")</f>
        <v>altered-state-token</v>
      </c>
      <c r="B591" s="2" t="str">
        <f ca="1">IFERROR(__xludf.DUMMYFUNCTION("""COMPUTED_VALUE"""),"asto")</f>
        <v>asto</v>
      </c>
      <c r="C591" s="2" t="str">
        <f ca="1">IFERROR(__xludf.DUMMYFUNCTION("""COMPUTED_VALUE"""),"Altered State Machine")</f>
        <v>Altered State Machine</v>
      </c>
    </row>
    <row r="592" spans="1:3" x14ac:dyDescent="0.25">
      <c r="A592" s="2" t="str">
        <f ca="1">IFERROR(__xludf.DUMMYFUNCTION("""COMPUTED_VALUE"""),"althea")</f>
        <v>althea</v>
      </c>
      <c r="B592" s="2" t="str">
        <f ca="1">IFERROR(__xludf.DUMMYFUNCTION("""COMPUTED_VALUE"""),"althea")</f>
        <v>althea</v>
      </c>
      <c r="C592" s="2" t="str">
        <f ca="1">IFERROR(__xludf.DUMMYFUNCTION("""COMPUTED_VALUE"""),"ALTHEA")</f>
        <v>ALTHEA</v>
      </c>
    </row>
    <row r="593" spans="1:3" x14ac:dyDescent="0.25">
      <c r="A593" s="2" t="str">
        <f ca="1">IFERROR(__xludf.DUMMYFUNCTION("""COMPUTED_VALUE"""),"altitude")</f>
        <v>altitude</v>
      </c>
      <c r="B593" s="2" t="str">
        <f ca="1">IFERROR(__xludf.DUMMYFUNCTION("""COMPUTED_VALUE"""),"altd")</f>
        <v>altd</v>
      </c>
      <c r="C593" s="2" t="str">
        <f ca="1">IFERROR(__xludf.DUMMYFUNCTION("""COMPUTED_VALUE"""),"Altitude")</f>
        <v>Altitude</v>
      </c>
    </row>
    <row r="594" spans="1:3" x14ac:dyDescent="0.25">
      <c r="A594" s="2" t="str">
        <f ca="1">IFERROR(__xludf.DUMMYFUNCTION("""COMPUTED_VALUE"""),"altlayer")</f>
        <v>altlayer</v>
      </c>
      <c r="B594" s="2" t="str">
        <f ca="1">IFERROR(__xludf.DUMMYFUNCTION("""COMPUTED_VALUE"""),"alt")</f>
        <v>alt</v>
      </c>
      <c r="C594" s="2" t="str">
        <f ca="1">IFERROR(__xludf.DUMMYFUNCTION("""COMPUTED_VALUE"""),"AltLayer")</f>
        <v>AltLayer</v>
      </c>
    </row>
    <row r="595" spans="1:3" x14ac:dyDescent="0.25">
      <c r="A595" s="2" t="str">
        <f ca="1">IFERROR(__xludf.DUMMYFUNCTION("""COMPUTED_VALUE"""),"altoken")</f>
        <v>altoken</v>
      </c>
      <c r="B595" s="2" t="str">
        <f ca="1">IFERROR(__xludf.DUMMYFUNCTION("""COMPUTED_VALUE"""),"aken")</f>
        <v>aken</v>
      </c>
      <c r="C595" s="2" t="str">
        <f ca="1">IFERROR(__xludf.DUMMYFUNCTION("""COMPUTED_VALUE"""),"ALTOKEN")</f>
        <v>ALTOKEN</v>
      </c>
    </row>
    <row r="596" spans="1:3" x14ac:dyDescent="0.25">
      <c r="A596" s="2" t="str">
        <f ca="1">IFERROR(__xludf.DUMMYFUNCTION("""COMPUTED_VALUE"""),"altranium")</f>
        <v>altranium</v>
      </c>
      <c r="B596" s="2" t="str">
        <f ca="1">IFERROR(__xludf.DUMMYFUNCTION("""COMPUTED_VALUE"""),"altr")</f>
        <v>altr</v>
      </c>
      <c r="C596" s="2" t="str">
        <f ca="1">IFERROR(__xludf.DUMMYFUNCTION("""COMPUTED_VALUE"""),"Altranium")</f>
        <v>Altranium</v>
      </c>
    </row>
    <row r="597" spans="1:3" x14ac:dyDescent="0.25">
      <c r="A597" s="2" t="str">
        <f ca="1">IFERROR(__xludf.DUMMYFUNCTION("""COMPUTED_VALUE"""),"altsignals")</f>
        <v>altsignals</v>
      </c>
      <c r="B597" s="2" t="str">
        <f ca="1">IFERROR(__xludf.DUMMYFUNCTION("""COMPUTED_VALUE"""),"asi")</f>
        <v>asi</v>
      </c>
      <c r="C597" s="2" t="str">
        <f ca="1">IFERROR(__xludf.DUMMYFUNCTION("""COMPUTED_VALUE"""),"AltSignals")</f>
        <v>AltSignals</v>
      </c>
    </row>
    <row r="598" spans="1:3" x14ac:dyDescent="0.25">
      <c r="A598" s="2" t="str">
        <f ca="1">IFERROR(__xludf.DUMMYFUNCTION("""COMPUTED_VALUE"""),"altura")</f>
        <v>altura</v>
      </c>
      <c r="B598" s="2" t="str">
        <f ca="1">IFERROR(__xludf.DUMMYFUNCTION("""COMPUTED_VALUE"""),"alu")</f>
        <v>alu</v>
      </c>
      <c r="C598" s="2" t="str">
        <f ca="1">IFERROR(__xludf.DUMMYFUNCTION("""COMPUTED_VALUE"""),"Altura")</f>
        <v>Altura</v>
      </c>
    </row>
    <row r="599" spans="1:3" x14ac:dyDescent="0.25">
      <c r="A599" s="2" t="str">
        <f ca="1">IFERROR(__xludf.DUMMYFUNCTION("""COMPUTED_VALUE"""),"aluna")</f>
        <v>aluna</v>
      </c>
      <c r="B599" s="2" t="str">
        <f ca="1">IFERROR(__xludf.DUMMYFUNCTION("""COMPUTED_VALUE"""),"aln")</f>
        <v>aln</v>
      </c>
      <c r="C599" s="2" t="str">
        <f ca="1">IFERROR(__xludf.DUMMYFUNCTION("""COMPUTED_VALUE"""),"Aluna")</f>
        <v>Aluna</v>
      </c>
    </row>
    <row r="600" spans="1:3" x14ac:dyDescent="0.25">
      <c r="A600" s="2" t="str">
        <f ca="1">IFERROR(__xludf.DUMMYFUNCTION("""COMPUTED_VALUE"""),"alux-jownes")</f>
        <v>alux-jownes</v>
      </c>
      <c r="B600" s="2" t="str">
        <f ca="1">IFERROR(__xludf.DUMMYFUNCTION("""COMPUTED_VALUE"""),"jownes")</f>
        <v>jownes</v>
      </c>
      <c r="C600" s="2" t="str">
        <f ca="1">IFERROR(__xludf.DUMMYFUNCTION("""COMPUTED_VALUE"""),"Alux Jownes")</f>
        <v>Alux Jownes</v>
      </c>
    </row>
    <row r="601" spans="1:3" x14ac:dyDescent="0.25">
      <c r="A601" s="2" t="str">
        <f ca="1">IFERROR(__xludf.DUMMYFUNCTION("""COMPUTED_VALUE"""),"alva")</f>
        <v>alva</v>
      </c>
      <c r="B601" s="2" t="str">
        <f ca="1">IFERROR(__xludf.DUMMYFUNCTION("""COMPUTED_VALUE"""),"aa")</f>
        <v>aa</v>
      </c>
      <c r="C601" s="2" t="str">
        <f ca="1">IFERROR(__xludf.DUMMYFUNCTION("""COMPUTED_VALUE"""),"ALVA")</f>
        <v>ALVA</v>
      </c>
    </row>
    <row r="602" spans="1:3" x14ac:dyDescent="0.25">
      <c r="A602" s="2" t="str">
        <f ca="1">IFERROR(__xludf.DUMMYFUNCTION("""COMPUTED_VALUE"""),"alvara-protocol")</f>
        <v>alvara-protocol</v>
      </c>
      <c r="B602" s="2" t="str">
        <f ca="1">IFERROR(__xludf.DUMMYFUNCTION("""COMPUTED_VALUE"""),"alva")</f>
        <v>alva</v>
      </c>
      <c r="C602" s="2" t="str">
        <f ca="1">IFERROR(__xludf.DUMMYFUNCTION("""COMPUTED_VALUE"""),"Alvara Protocol")</f>
        <v>Alvara Protocol</v>
      </c>
    </row>
    <row r="603" spans="1:3" x14ac:dyDescent="0.25">
      <c r="A603" s="2" t="str">
        <f ca="1">IFERROR(__xludf.DUMMYFUNCTION("""COMPUTED_VALUE"""),"alvey-chain")</f>
        <v>alvey-chain</v>
      </c>
      <c r="B603" s="2" t="str">
        <f ca="1">IFERROR(__xludf.DUMMYFUNCTION("""COMPUTED_VALUE"""),"walv")</f>
        <v>walv</v>
      </c>
      <c r="C603" s="2" t="str">
        <f ca="1">IFERROR(__xludf.DUMMYFUNCTION("""COMPUTED_VALUE"""),"Alvey Chain")</f>
        <v>Alvey Chain</v>
      </c>
    </row>
    <row r="604" spans="1:3" x14ac:dyDescent="0.25">
      <c r="A604" s="2" t="str">
        <f ca="1">IFERROR(__xludf.DUMMYFUNCTION("""COMPUTED_VALUE"""),"alxai")</f>
        <v>alxai</v>
      </c>
      <c r="B604" s="2" t="str">
        <f ca="1">IFERROR(__xludf.DUMMYFUNCTION("""COMPUTED_VALUE"""),"alxai")</f>
        <v>alxai</v>
      </c>
      <c r="C604" s="2" t="str">
        <f ca="1">IFERROR(__xludf.DUMMYFUNCTION("""COMPUTED_VALUE"""),"alXAI")</f>
        <v>alXAI</v>
      </c>
    </row>
    <row r="605" spans="1:3" x14ac:dyDescent="0.25">
      <c r="A605" s="2" t="str">
        <f ca="1">IFERROR(__xludf.DUMMYFUNCTION("""COMPUTED_VALUE"""),"amar-token")</f>
        <v>amar-token</v>
      </c>
      <c r="B605" s="2" t="str">
        <f ca="1">IFERROR(__xludf.DUMMYFUNCTION("""COMPUTED_VALUE"""),"amar")</f>
        <v>amar</v>
      </c>
      <c r="C605" s="2" t="str">
        <f ca="1">IFERROR(__xludf.DUMMYFUNCTION("""COMPUTED_VALUE"""),"Amar Token")</f>
        <v>Amar Token</v>
      </c>
    </row>
    <row r="606" spans="1:3" x14ac:dyDescent="0.25">
      <c r="A606" s="2" t="str">
        <f ca="1">IFERROR(__xludf.DUMMYFUNCTION("""COMPUTED_VALUE"""),"amasa")</f>
        <v>amasa</v>
      </c>
      <c r="B606" s="2" t="str">
        <f ca="1">IFERROR(__xludf.DUMMYFUNCTION("""COMPUTED_VALUE"""),"amas")</f>
        <v>amas</v>
      </c>
      <c r="C606" s="2" t="str">
        <f ca="1">IFERROR(__xludf.DUMMYFUNCTION("""COMPUTED_VALUE"""),"Amasa")</f>
        <v>Amasa</v>
      </c>
    </row>
    <row r="607" spans="1:3" x14ac:dyDescent="0.25">
      <c r="A607" s="2" t="str">
        <f ca="1">IFERROR(__xludf.DUMMYFUNCTION("""COMPUTED_VALUE"""),"amateras")</f>
        <v>amateras</v>
      </c>
      <c r="B607" s="2" t="str">
        <f ca="1">IFERROR(__xludf.DUMMYFUNCTION("""COMPUTED_VALUE"""),"amt")</f>
        <v>amt</v>
      </c>
      <c r="C607" s="2" t="str">
        <f ca="1">IFERROR(__xludf.DUMMYFUNCTION("""COMPUTED_VALUE"""),"Amateras")</f>
        <v>Amateras</v>
      </c>
    </row>
    <row r="608" spans="1:3" x14ac:dyDescent="0.25">
      <c r="A608" s="2" t="str">
        <f ca="1">IFERROR(__xludf.DUMMYFUNCTION("""COMPUTED_VALUE"""),"amaterasufi-izanagi")</f>
        <v>amaterasufi-izanagi</v>
      </c>
      <c r="B608" s="2" t="str">
        <f ca="1">IFERROR(__xludf.DUMMYFUNCTION("""COMPUTED_VALUE"""),"iza")</f>
        <v>iza</v>
      </c>
      <c r="C608" s="2" t="str">
        <f ca="1">IFERROR(__xludf.DUMMYFUNCTION("""COMPUTED_VALUE"""),"AmaterasuFi Izanagi")</f>
        <v>AmaterasuFi Izanagi</v>
      </c>
    </row>
    <row r="609" spans="1:3" x14ac:dyDescent="0.25">
      <c r="A609" s="2" t="str">
        <f ca="1">IFERROR(__xludf.DUMMYFUNCTION("""COMPUTED_VALUE"""),"amaterasu-omikami")</f>
        <v>amaterasu-omikami</v>
      </c>
      <c r="B609" s="2" t="str">
        <f ca="1">IFERROR(__xludf.DUMMYFUNCTION("""COMPUTED_VALUE"""),"omikami")</f>
        <v>omikami</v>
      </c>
      <c r="C609" s="2" t="str">
        <f ca="1">IFERROR(__xludf.DUMMYFUNCTION("""COMPUTED_VALUE"""),"AMATERASU OMIKAMI")</f>
        <v>AMATERASU OMIKAMI</v>
      </c>
    </row>
    <row r="610" spans="1:3" x14ac:dyDescent="0.25">
      <c r="A610" s="2" t="str">
        <f ca="1">IFERROR(__xludf.DUMMYFUNCTION("""COMPUTED_VALUE"""),"amax")</f>
        <v>amax</v>
      </c>
      <c r="B610" s="2" t="str">
        <f ca="1">IFERROR(__xludf.DUMMYFUNCTION("""COMPUTED_VALUE"""),"$amax")</f>
        <v>$amax</v>
      </c>
      <c r="C610" s="2" t="str">
        <f ca="1">IFERROR(__xludf.DUMMYFUNCTION("""COMPUTED_VALUE"""),"AMAX")</f>
        <v>AMAX</v>
      </c>
    </row>
    <row r="611" spans="1:3" x14ac:dyDescent="0.25">
      <c r="A611" s="2" t="str">
        <f ca="1">IFERROR(__xludf.DUMMYFUNCTION("""COMPUTED_VALUE"""),"amazingteamdao")</f>
        <v>amazingteamdao</v>
      </c>
      <c r="B611" s="2" t="str">
        <f ca="1">IFERROR(__xludf.DUMMYFUNCTION("""COMPUTED_VALUE"""),"amazingteam")</f>
        <v>amazingteam</v>
      </c>
      <c r="C611" s="2" t="str">
        <f ca="1">IFERROR(__xludf.DUMMYFUNCTION("""COMPUTED_VALUE"""),"AmazingTeamDAO")</f>
        <v>AmazingTeamDAO</v>
      </c>
    </row>
    <row r="612" spans="1:3" x14ac:dyDescent="0.25">
      <c r="A612" s="2" t="str">
        <f ca="1">IFERROR(__xludf.DUMMYFUNCTION("""COMPUTED_VALUE"""),"amazon-tokenized-stock-defichain")</f>
        <v>amazon-tokenized-stock-defichain</v>
      </c>
      <c r="B612" s="2" t="str">
        <f ca="1">IFERROR(__xludf.DUMMYFUNCTION("""COMPUTED_VALUE"""),"damzn")</f>
        <v>damzn</v>
      </c>
      <c r="C612" s="2" t="str">
        <f ca="1">IFERROR(__xludf.DUMMYFUNCTION("""COMPUTED_VALUE"""),"Amazon Tokenized Stock Defichain")</f>
        <v>Amazon Tokenized Stock Defichain</v>
      </c>
    </row>
    <row r="613" spans="1:3" x14ac:dyDescent="0.25">
      <c r="A613" s="2" t="str">
        <f ca="1">IFERROR(__xludf.DUMMYFUNCTION("""COMPUTED_VALUE"""),"amazy")</f>
        <v>amazy</v>
      </c>
      <c r="B613" s="2" t="str">
        <f ca="1">IFERROR(__xludf.DUMMYFUNCTION("""COMPUTED_VALUE"""),"azy")</f>
        <v>azy</v>
      </c>
      <c r="C613" s="2" t="str">
        <f ca="1">IFERROR(__xludf.DUMMYFUNCTION("""COMPUTED_VALUE"""),"Amazy")</f>
        <v>Amazy</v>
      </c>
    </row>
    <row r="614" spans="1:3" x14ac:dyDescent="0.25">
      <c r="A614" s="2" t="str">
        <f ca="1">IFERROR(__xludf.DUMMYFUNCTION("""COMPUTED_VALUE"""),"amber")</f>
        <v>amber</v>
      </c>
      <c r="B614" s="2" t="str">
        <f ca="1">IFERROR(__xludf.DUMMYFUNCTION("""COMPUTED_VALUE"""),"amb")</f>
        <v>amb</v>
      </c>
      <c r="C614" s="2" t="str">
        <f ca="1">IFERROR(__xludf.DUMMYFUNCTION("""COMPUTED_VALUE"""),"AirDAO")</f>
        <v>AirDAO</v>
      </c>
    </row>
    <row r="615" spans="1:3" x14ac:dyDescent="0.25">
      <c r="A615" s="2" t="str">
        <f ca="1">IFERROR(__xludf.DUMMYFUNCTION("""COMPUTED_VALUE"""),"amberdao")</f>
        <v>amberdao</v>
      </c>
      <c r="B615" s="2" t="str">
        <f ca="1">IFERROR(__xludf.DUMMYFUNCTION("""COMPUTED_VALUE"""),"amber")</f>
        <v>amber</v>
      </c>
      <c r="C615" s="2" t="str">
        <f ca="1">IFERROR(__xludf.DUMMYFUNCTION("""COMPUTED_VALUE"""),"AmberDAO")</f>
        <v>AmberDAO</v>
      </c>
    </row>
    <row r="616" spans="1:3" x14ac:dyDescent="0.25">
      <c r="A616" s="2" t="str">
        <f ca="1">IFERROR(__xludf.DUMMYFUNCTION("""COMPUTED_VALUE"""),"ambire-wallet")</f>
        <v>ambire-wallet</v>
      </c>
      <c r="B616" s="2" t="str">
        <f ca="1">IFERROR(__xludf.DUMMYFUNCTION("""COMPUTED_VALUE"""),"wallet")</f>
        <v>wallet</v>
      </c>
      <c r="C616" s="2" t="str">
        <f ca="1">IFERROR(__xludf.DUMMYFUNCTION("""COMPUTED_VALUE"""),"Ambire Wallet")</f>
        <v>Ambire Wallet</v>
      </c>
    </row>
    <row r="617" spans="1:3" x14ac:dyDescent="0.25">
      <c r="A617" s="2" t="str">
        <f ca="1">IFERROR(__xludf.DUMMYFUNCTION("""COMPUTED_VALUE"""),"ambit-finance")</f>
        <v>ambit-finance</v>
      </c>
      <c r="B617" s="2" t="str">
        <f ca="1">IFERROR(__xludf.DUMMYFUNCTION("""COMPUTED_VALUE"""),"ambt")</f>
        <v>ambt</v>
      </c>
      <c r="C617" s="2" t="str">
        <f ca="1">IFERROR(__xludf.DUMMYFUNCTION("""COMPUTED_VALUE"""),"Ambit Finance")</f>
        <v>Ambit Finance</v>
      </c>
    </row>
    <row r="618" spans="1:3" x14ac:dyDescent="0.25">
      <c r="A618" s="2" t="str">
        <f ca="1">IFERROR(__xludf.DUMMYFUNCTION("""COMPUTED_VALUE"""),"ambit-usd")</f>
        <v>ambit-usd</v>
      </c>
      <c r="B618" s="2" t="str">
        <f ca="1">IFERROR(__xludf.DUMMYFUNCTION("""COMPUTED_VALUE"""),"ausd")</f>
        <v>ausd</v>
      </c>
      <c r="C618" s="2" t="str">
        <f ca="1">IFERROR(__xludf.DUMMYFUNCTION("""COMPUTED_VALUE"""),"Ambit USD")</f>
        <v>Ambit USD</v>
      </c>
    </row>
    <row r="619" spans="1:3" x14ac:dyDescent="0.25">
      <c r="A619" s="2" t="str">
        <f ca="1">IFERROR(__xludf.DUMMYFUNCTION("""COMPUTED_VALUE"""),"ambo")</f>
        <v>ambo</v>
      </c>
      <c r="B619" s="2" t="str">
        <f ca="1">IFERROR(__xludf.DUMMYFUNCTION("""COMPUTED_VALUE"""),"ambo")</f>
        <v>ambo</v>
      </c>
      <c r="C619" s="2" t="str">
        <f ca="1">IFERROR(__xludf.DUMMYFUNCTION("""COMPUTED_VALUE"""),"AMBO")</f>
        <v>AMBO</v>
      </c>
    </row>
    <row r="620" spans="1:3" x14ac:dyDescent="0.25">
      <c r="A620" s="2" t="str">
        <f ca="1">IFERROR(__xludf.DUMMYFUNCTION("""COMPUTED_VALUE"""),"ambra")</f>
        <v>ambra</v>
      </c>
      <c r="B620" s="2" t="str">
        <f ca="1">IFERROR(__xludf.DUMMYFUNCTION("""COMPUTED_VALUE"""),"ambr")</f>
        <v>ambr</v>
      </c>
      <c r="C620" s="2" t="str">
        <f ca="1">IFERROR(__xludf.DUMMYFUNCTION("""COMPUTED_VALUE"""),"Ambra")</f>
        <v>Ambra</v>
      </c>
    </row>
    <row r="621" spans="1:3" x14ac:dyDescent="0.25">
      <c r="A621" s="2" t="str">
        <f ca="1">IFERROR(__xludf.DUMMYFUNCTION("""COMPUTED_VALUE"""),"amc")</f>
        <v>amc</v>
      </c>
      <c r="B621" s="2" t="str">
        <f ca="1">IFERROR(__xludf.DUMMYFUNCTION("""COMPUTED_VALUE"""),"amc")</f>
        <v>amc</v>
      </c>
      <c r="C621" s="2" t="str">
        <f ca="1">IFERROR(__xludf.DUMMYFUNCTION("""COMPUTED_VALUE"""),"AMC")</f>
        <v>AMC</v>
      </c>
    </row>
    <row r="622" spans="1:3" x14ac:dyDescent="0.25">
      <c r="A622" s="2" t="str">
        <f ca="1">IFERROR(__xludf.DUMMYFUNCTION("""COMPUTED_VALUE"""),"amc-2")</f>
        <v>amc-2</v>
      </c>
      <c r="B622" s="2" t="str">
        <f ca="1">IFERROR(__xludf.DUMMYFUNCTION("""COMPUTED_VALUE"""),"amc")</f>
        <v>amc</v>
      </c>
      <c r="C622" s="2" t="str">
        <f ca="1">IFERROR(__xludf.DUMMYFUNCTION("""COMPUTED_VALUE"""),"AMC")</f>
        <v>AMC</v>
      </c>
    </row>
    <row r="623" spans="1:3" x14ac:dyDescent="0.25">
      <c r="A623" s="2" t="str">
        <f ca="1">IFERROR(__xludf.DUMMYFUNCTION("""COMPUTED_VALUE"""),"amc-3")</f>
        <v>amc-3</v>
      </c>
      <c r="B623" s="2" t="str">
        <f ca="1">IFERROR(__xludf.DUMMYFUNCTION("""COMPUTED_VALUE"""),"amc")</f>
        <v>amc</v>
      </c>
      <c r="C623" s="2" t="str">
        <f ca="1">IFERROR(__xludf.DUMMYFUNCTION("""COMPUTED_VALUE"""),"AMC")</f>
        <v>AMC</v>
      </c>
    </row>
    <row r="624" spans="1:3" x14ac:dyDescent="0.25">
      <c r="A624" s="2" t="str">
        <f ca="1">IFERROR(__xludf.DUMMYFUNCTION("""COMPUTED_VALUE"""),"amepay")</f>
        <v>amepay</v>
      </c>
      <c r="B624" s="2" t="str">
        <f ca="1">IFERROR(__xludf.DUMMYFUNCTION("""COMPUTED_VALUE"""),"ame")</f>
        <v>ame</v>
      </c>
      <c r="C624" s="2" t="str">
        <f ca="1">IFERROR(__xludf.DUMMYFUNCTION("""COMPUTED_VALUE"""),"AME Chain")</f>
        <v>AME Chain</v>
      </c>
    </row>
    <row r="625" spans="1:3" x14ac:dyDescent="0.25">
      <c r="A625" s="2" t="str">
        <f ca="1">IFERROR(__xludf.DUMMYFUNCTION("""COMPUTED_VALUE"""),"america1776")</f>
        <v>america1776</v>
      </c>
      <c r="B625" s="2" t="str">
        <f ca="1">IFERROR(__xludf.DUMMYFUNCTION("""COMPUTED_VALUE"""),"america")</f>
        <v>america</v>
      </c>
      <c r="C625" s="2" t="str">
        <f ca="1">IFERROR(__xludf.DUMMYFUNCTION("""COMPUTED_VALUE"""),"America1776")</f>
        <v>America1776</v>
      </c>
    </row>
    <row r="626" spans="1:3" x14ac:dyDescent="0.25">
      <c r="A626" s="2" t="str">
        <f ca="1">IFERROR(__xludf.DUMMYFUNCTION("""COMPUTED_VALUE"""),"american-coin")</f>
        <v>american-coin</v>
      </c>
      <c r="B626" s="2" t="str">
        <f ca="1">IFERROR(__xludf.DUMMYFUNCTION("""COMPUTED_VALUE"""),"usa")</f>
        <v>usa</v>
      </c>
      <c r="C626" s="2" t="str">
        <f ca="1">IFERROR(__xludf.DUMMYFUNCTION("""COMPUTED_VALUE"""),"American Coin")</f>
        <v>American Coin</v>
      </c>
    </row>
    <row r="627" spans="1:3" x14ac:dyDescent="0.25">
      <c r="A627" s="2" t="str">
        <f ca="1">IFERROR(__xludf.DUMMYFUNCTION("""COMPUTED_VALUE"""),"american-pepe")</f>
        <v>american-pepe</v>
      </c>
      <c r="B627" s="2" t="str">
        <f ca="1">IFERROR(__xludf.DUMMYFUNCTION("""COMPUTED_VALUE"""),"uspepe")</f>
        <v>uspepe</v>
      </c>
      <c r="C627" s="2" t="str">
        <f ca="1">IFERROR(__xludf.DUMMYFUNCTION("""COMPUTED_VALUE"""),"American Pepe")</f>
        <v>American Pepe</v>
      </c>
    </row>
    <row r="628" spans="1:3" x14ac:dyDescent="0.25">
      <c r="A628" s="2" t="str">
        <f ca="1">IFERROR(__xludf.DUMMYFUNCTION("""COMPUTED_VALUE"""),"american-shiba")</f>
        <v>american-shiba</v>
      </c>
      <c r="B628" s="2" t="str">
        <f ca="1">IFERROR(__xludf.DUMMYFUNCTION("""COMPUTED_VALUE"""),"ushiba")</f>
        <v>ushiba</v>
      </c>
      <c r="C628" s="2" t="str">
        <f ca="1">IFERROR(__xludf.DUMMYFUNCTION("""COMPUTED_VALUE"""),"American Shiba")</f>
        <v>American Shiba</v>
      </c>
    </row>
    <row r="629" spans="1:3" x14ac:dyDescent="0.25">
      <c r="A629" s="2" t="str">
        <f ca="1">IFERROR(__xludf.DUMMYFUNCTION("""COMPUTED_VALUE"""),"america-pac")</f>
        <v>america-pac</v>
      </c>
      <c r="B629" s="2" t="str">
        <f ca="1">IFERROR(__xludf.DUMMYFUNCTION("""COMPUTED_VALUE"""),"pac")</f>
        <v>pac</v>
      </c>
      <c r="C629" s="2" t="str">
        <f ca="1">IFERROR(__xludf.DUMMYFUNCTION("""COMPUTED_VALUE"""),"America Pac")</f>
        <v>America Pac</v>
      </c>
    </row>
    <row r="630" spans="1:3" x14ac:dyDescent="0.25">
      <c r="A630" s="2" t="str">
        <f ca="1">IFERROR(__xludf.DUMMYFUNCTION("""COMPUTED_VALUE"""),"amino")</f>
        <v>amino</v>
      </c>
      <c r="B630" s="2" t="str">
        <f ca="1">IFERROR(__xludf.DUMMYFUNCTION("""COMPUTED_VALUE"""),"$amo")</f>
        <v>$amo</v>
      </c>
      <c r="C630" s="2" t="str">
        <f ca="1">IFERROR(__xludf.DUMMYFUNCTION("""COMPUTED_VALUE"""),"Amino")</f>
        <v>Amino</v>
      </c>
    </row>
    <row r="631" spans="1:3" x14ac:dyDescent="0.25">
      <c r="A631" s="2" t="str">
        <f ca="1">IFERROR(__xludf.DUMMYFUNCTION("""COMPUTED_VALUE"""),"ammx")</f>
        <v>ammx</v>
      </c>
      <c r="B631" s="2" t="str">
        <f ca="1">IFERROR(__xludf.DUMMYFUNCTION("""COMPUTED_VALUE"""),"ammx")</f>
        <v>ammx</v>
      </c>
      <c r="C631" s="2" t="str">
        <f ca="1">IFERROR(__xludf.DUMMYFUNCTION("""COMPUTED_VALUE"""),"AMMX")</f>
        <v>AMMX</v>
      </c>
    </row>
    <row r="632" spans="1:3" x14ac:dyDescent="0.25">
      <c r="A632" s="2" t="str">
        <f ca="1">IFERROR(__xludf.DUMMYFUNCTION("""COMPUTED_VALUE"""),"ammyi-coin")</f>
        <v>ammyi-coin</v>
      </c>
      <c r="B632" s="2" t="str">
        <f ca="1">IFERROR(__xludf.DUMMYFUNCTION("""COMPUTED_VALUE"""),"ami")</f>
        <v>ami</v>
      </c>
      <c r="C632" s="2" t="str">
        <f ca="1">IFERROR(__xludf.DUMMYFUNCTION("""COMPUTED_VALUE"""),"AMMYI Coin")</f>
        <v>AMMYI Coin</v>
      </c>
    </row>
    <row r="633" spans="1:3" x14ac:dyDescent="0.25">
      <c r="A633" s="2" t="str">
        <f ca="1">IFERROR(__xludf.DUMMYFUNCTION("""COMPUTED_VALUE"""),"amnis-aptos")</f>
        <v>amnis-aptos</v>
      </c>
      <c r="B633" s="2" t="str">
        <f ca="1">IFERROR(__xludf.DUMMYFUNCTION("""COMPUTED_VALUE"""),"amapt")</f>
        <v>amapt</v>
      </c>
      <c r="C633" s="2" t="str">
        <f ca="1">IFERROR(__xludf.DUMMYFUNCTION("""COMPUTED_VALUE"""),"Amnis Aptos")</f>
        <v>Amnis Aptos</v>
      </c>
    </row>
    <row r="634" spans="1:3" x14ac:dyDescent="0.25">
      <c r="A634" s="2" t="str">
        <f ca="1">IFERROR(__xludf.DUMMYFUNCTION("""COMPUTED_VALUE"""),"amnis-staked-aptos-coin")</f>
        <v>amnis-staked-aptos-coin</v>
      </c>
      <c r="B634" s="2" t="str">
        <f ca="1">IFERROR(__xludf.DUMMYFUNCTION("""COMPUTED_VALUE"""),"stapt")</f>
        <v>stapt</v>
      </c>
      <c r="C634" s="2" t="str">
        <f ca="1">IFERROR(__xludf.DUMMYFUNCTION("""COMPUTED_VALUE"""),"Amnis Staked Aptos Coin")</f>
        <v>Amnis Staked Aptos Coin</v>
      </c>
    </row>
    <row r="635" spans="1:3" x14ac:dyDescent="0.25">
      <c r="A635" s="2" t="str">
        <f ca="1">IFERROR(__xludf.DUMMYFUNCTION("""COMPUTED_VALUE"""),"amo")</f>
        <v>amo</v>
      </c>
      <c r="B635" s="2" t="str">
        <f ca="1">IFERROR(__xludf.DUMMYFUNCTION("""COMPUTED_VALUE"""),"amo")</f>
        <v>amo</v>
      </c>
      <c r="C635" s="2" t="str">
        <f ca="1">IFERROR(__xludf.DUMMYFUNCTION("""COMPUTED_VALUE"""),"AMO Coin")</f>
        <v>AMO Coin</v>
      </c>
    </row>
    <row r="636" spans="1:3" x14ac:dyDescent="0.25">
      <c r="A636" s="2" t="str">
        <f ca="1">IFERROR(__xludf.DUMMYFUNCTION("""COMPUTED_VALUE"""),"amond")</f>
        <v>amond</v>
      </c>
      <c r="B636" s="2" t="str">
        <f ca="1">IFERROR(__xludf.DUMMYFUNCTION("""COMPUTED_VALUE"""),"amon")</f>
        <v>amon</v>
      </c>
      <c r="C636" s="2" t="str">
        <f ca="1">IFERROR(__xludf.DUMMYFUNCTION("""COMPUTED_VALUE"""),"AmonD")</f>
        <v>AmonD</v>
      </c>
    </row>
    <row r="637" spans="1:3" x14ac:dyDescent="0.25">
      <c r="A637" s="2" t="str">
        <f ca="1">IFERROR(__xludf.DUMMYFUNCTION("""COMPUTED_VALUE"""),"amped-finance")</f>
        <v>amped-finance</v>
      </c>
      <c r="B637" s="2" t="str">
        <f ca="1">IFERROR(__xludf.DUMMYFUNCTION("""COMPUTED_VALUE"""),"amp")</f>
        <v>amp</v>
      </c>
      <c r="C637" s="2" t="str">
        <f ca="1">IFERROR(__xludf.DUMMYFUNCTION("""COMPUTED_VALUE"""),"Amped Finance")</f>
        <v>Amped Finance</v>
      </c>
    </row>
    <row r="638" spans="1:3" x14ac:dyDescent="0.25">
      <c r="A638" s="2" t="str">
        <f ca="1">IFERROR(__xludf.DUMMYFUNCTION("""COMPUTED_VALUE"""),"amperechain")</f>
        <v>amperechain</v>
      </c>
      <c r="B638" s="2" t="str">
        <f ca="1">IFERROR(__xludf.DUMMYFUNCTION("""COMPUTED_VALUE"""),"ampere")</f>
        <v>ampere</v>
      </c>
      <c r="C638" s="2" t="str">
        <f ca="1">IFERROR(__xludf.DUMMYFUNCTION("""COMPUTED_VALUE"""),"AmpereChain")</f>
        <v>AmpereChain</v>
      </c>
    </row>
    <row r="639" spans="1:3" x14ac:dyDescent="0.25">
      <c r="A639" s="2" t="str">
        <f ca="1">IFERROR(__xludf.DUMMYFUNCTION("""COMPUTED_VALUE"""),"ampleforth")</f>
        <v>ampleforth</v>
      </c>
      <c r="B639" s="2" t="str">
        <f ca="1">IFERROR(__xludf.DUMMYFUNCTION("""COMPUTED_VALUE"""),"ampl")</f>
        <v>ampl</v>
      </c>
      <c r="C639" s="2" t="str">
        <f ca="1">IFERROR(__xludf.DUMMYFUNCTION("""COMPUTED_VALUE"""),"Ampleforth")</f>
        <v>Ampleforth</v>
      </c>
    </row>
    <row r="640" spans="1:3" x14ac:dyDescent="0.25">
      <c r="A640" s="2" t="str">
        <f ca="1">IFERROR(__xludf.DUMMYFUNCTION("""COMPUTED_VALUE"""),"ampleforth-governance-token")</f>
        <v>ampleforth-governance-token</v>
      </c>
      <c r="B640" s="2" t="str">
        <f ca="1">IFERROR(__xludf.DUMMYFUNCTION("""COMPUTED_VALUE"""),"forth")</f>
        <v>forth</v>
      </c>
      <c r="C640" s="2" t="str">
        <f ca="1">IFERROR(__xludf.DUMMYFUNCTION("""COMPUTED_VALUE"""),"Ampleforth Governance")</f>
        <v>Ampleforth Governance</v>
      </c>
    </row>
    <row r="641" spans="1:3" x14ac:dyDescent="0.25">
      <c r="A641" s="2" t="str">
        <f ca="1">IFERROR(__xludf.DUMMYFUNCTION("""COMPUTED_VALUE"""),"amplifi-dao")</f>
        <v>amplifi-dao</v>
      </c>
      <c r="B641" s="2" t="str">
        <f ca="1">IFERROR(__xludf.DUMMYFUNCTION("""COMPUTED_VALUE"""),"agg")</f>
        <v>agg</v>
      </c>
      <c r="C641" s="2" t="str">
        <f ca="1">IFERROR(__xludf.DUMMYFUNCTION("""COMPUTED_VALUE"""),"AmpliFi DAO")</f>
        <v>AmpliFi DAO</v>
      </c>
    </row>
    <row r="642" spans="1:3" x14ac:dyDescent="0.25">
      <c r="A642" s="2" t="str">
        <f ca="1">IFERROR(__xludf.DUMMYFUNCTION("""COMPUTED_VALUE"""),"amp-token")</f>
        <v>amp-token</v>
      </c>
      <c r="B642" s="2" t="str">
        <f ca="1">IFERROR(__xludf.DUMMYFUNCTION("""COMPUTED_VALUE"""),"amp")</f>
        <v>amp</v>
      </c>
      <c r="C642" s="2" t="str">
        <f ca="1">IFERROR(__xludf.DUMMYFUNCTION("""COMPUTED_VALUE"""),"Amp")</f>
        <v>Amp</v>
      </c>
    </row>
    <row r="643" spans="1:3" x14ac:dyDescent="0.25">
      <c r="A643" s="2" t="str">
        <f ca="1">IFERROR(__xludf.DUMMYFUNCTION("""COMPUTED_VALUE"""),"amulet-protocol")</f>
        <v>amulet-protocol</v>
      </c>
      <c r="B643" s="2" t="str">
        <f ca="1">IFERROR(__xludf.DUMMYFUNCTION("""COMPUTED_VALUE"""),"amu")</f>
        <v>amu</v>
      </c>
      <c r="C643" s="2" t="str">
        <f ca="1">IFERROR(__xludf.DUMMYFUNCTION("""COMPUTED_VALUE"""),"Amulet Protocol")</f>
        <v>Amulet Protocol</v>
      </c>
    </row>
    <row r="644" spans="1:3" x14ac:dyDescent="0.25">
      <c r="A644" s="2" t="str">
        <f ca="1">IFERROR(__xludf.DUMMYFUNCTION("""COMPUTED_VALUE"""),"amulet-staked-sol-2")</f>
        <v>amulet-staked-sol-2</v>
      </c>
      <c r="B644" s="2" t="str">
        <f ca="1">IFERROR(__xludf.DUMMYFUNCTION("""COMPUTED_VALUE"""),"amtsol")</f>
        <v>amtsol</v>
      </c>
      <c r="C644" s="2" t="str">
        <f ca="1">IFERROR(__xludf.DUMMYFUNCTION("""COMPUTED_VALUE"""),"Amulet Staked SOL")</f>
        <v>Amulet Staked SOL</v>
      </c>
    </row>
    <row r="645" spans="1:3" x14ac:dyDescent="0.25">
      <c r="A645" s="2" t="str">
        <f ca="1">IFERROR(__xludf.DUMMYFUNCTION("""COMPUTED_VALUE"""),"anagata")</f>
        <v>anagata</v>
      </c>
      <c r="B645" s="2" t="str">
        <f ca="1">IFERROR(__xludf.DUMMYFUNCTION("""COMPUTED_VALUE"""),"aha")</f>
        <v>aha</v>
      </c>
      <c r="C645" s="2" t="str">
        <f ca="1">IFERROR(__xludf.DUMMYFUNCTION("""COMPUTED_VALUE"""),"Anagata")</f>
        <v>Anagata</v>
      </c>
    </row>
    <row r="646" spans="1:3" x14ac:dyDescent="0.25">
      <c r="A646" s="2" t="str">
        <f ca="1">IFERROR(__xludf.DUMMYFUNCTION("""COMPUTED_VALUE"""),"analos")</f>
        <v>analos</v>
      </c>
      <c r="B646" s="2" t="str">
        <f ca="1">IFERROR(__xludf.DUMMYFUNCTION("""COMPUTED_VALUE"""),"analos")</f>
        <v>analos</v>
      </c>
      <c r="C646" s="2" t="str">
        <f ca="1">IFERROR(__xludf.DUMMYFUNCTION("""COMPUTED_VALUE"""),"analoS")</f>
        <v>analoS</v>
      </c>
    </row>
    <row r="647" spans="1:3" x14ac:dyDescent="0.25">
      <c r="A647" s="2" t="str">
        <f ca="1">IFERROR(__xludf.DUMMYFUNCTION("""COMPUTED_VALUE"""),"analysoor")</f>
        <v>analysoor</v>
      </c>
      <c r="B647" s="2" t="str">
        <f ca="1">IFERROR(__xludf.DUMMYFUNCTION("""COMPUTED_VALUE"""),"zero")</f>
        <v>zero</v>
      </c>
      <c r="C647" s="2" t="str">
        <f ca="1">IFERROR(__xludf.DUMMYFUNCTION("""COMPUTED_VALUE"""),"Analysoor")</f>
        <v>Analysoor</v>
      </c>
    </row>
    <row r="648" spans="1:3" x14ac:dyDescent="0.25">
      <c r="A648" s="2" t="str">
        <f ca="1">IFERROR(__xludf.DUMMYFUNCTION("""COMPUTED_VALUE"""),"anarcho-catbus")</f>
        <v>anarcho-catbus</v>
      </c>
      <c r="B648" s="2" t="str">
        <f ca="1">IFERROR(__xludf.DUMMYFUNCTION("""COMPUTED_VALUE"""),"🖕")</f>
        <v>🖕</v>
      </c>
      <c r="C648" s="2" t="str">
        <f ca="1">IFERROR(__xludf.DUMMYFUNCTION("""COMPUTED_VALUE"""),"ANARCHO•CATBUS")</f>
        <v>ANARCHO•CATBUS</v>
      </c>
    </row>
    <row r="649" spans="1:3" x14ac:dyDescent="0.25">
      <c r="A649" s="2" t="str">
        <f ca="1">IFERROR(__xludf.DUMMYFUNCTION("""COMPUTED_VALUE"""),"anarchy")</f>
        <v>anarchy</v>
      </c>
      <c r="B649" s="2" t="str">
        <f ca="1">IFERROR(__xludf.DUMMYFUNCTION("""COMPUTED_VALUE"""),"anarchy")</f>
        <v>anarchy</v>
      </c>
      <c r="C649" s="2" t="str">
        <f ca="1">IFERROR(__xludf.DUMMYFUNCTION("""COMPUTED_VALUE"""),"Anarchy")</f>
        <v>Anarchy</v>
      </c>
    </row>
    <row r="650" spans="1:3" x14ac:dyDescent="0.25">
      <c r="A650" s="2" t="str">
        <f ca="1">IFERROR(__xludf.DUMMYFUNCTION("""COMPUTED_VALUE"""),"anchored-coins-chf")</f>
        <v>anchored-coins-chf</v>
      </c>
      <c r="B650" s="2" t="str">
        <f ca="1">IFERROR(__xludf.DUMMYFUNCTION("""COMPUTED_VALUE"""),"achf")</f>
        <v>achf</v>
      </c>
      <c r="C650" s="2" t="str">
        <f ca="1">IFERROR(__xludf.DUMMYFUNCTION("""COMPUTED_VALUE"""),"Anchored Coins ACHF")</f>
        <v>Anchored Coins ACHF</v>
      </c>
    </row>
    <row r="651" spans="1:3" x14ac:dyDescent="0.25">
      <c r="A651" s="2" t="str">
        <f ca="1">IFERROR(__xludf.DUMMYFUNCTION("""COMPUTED_VALUE"""),"anchored-coins-eur")</f>
        <v>anchored-coins-eur</v>
      </c>
      <c r="B651" s="2" t="str">
        <f ca="1">IFERROR(__xludf.DUMMYFUNCTION("""COMPUTED_VALUE"""),"aeur")</f>
        <v>aeur</v>
      </c>
      <c r="C651" s="2" t="str">
        <f ca="1">IFERROR(__xludf.DUMMYFUNCTION("""COMPUTED_VALUE"""),"Anchored Coins AEUR")</f>
        <v>Anchored Coins AEUR</v>
      </c>
    </row>
    <row r="652" spans="1:3" x14ac:dyDescent="0.25">
      <c r="A652" s="2" t="str">
        <f ca="1">IFERROR(__xludf.DUMMYFUNCTION("""COMPUTED_VALUE"""),"anchor-protocol")</f>
        <v>anchor-protocol</v>
      </c>
      <c r="B652" s="2" t="str">
        <f ca="1">IFERROR(__xludf.DUMMYFUNCTION("""COMPUTED_VALUE"""),"anc")</f>
        <v>anc</v>
      </c>
      <c r="C652" s="2" t="str">
        <f ca="1">IFERROR(__xludf.DUMMYFUNCTION("""COMPUTED_VALUE"""),"Anchor Protocol")</f>
        <v>Anchor Protocol</v>
      </c>
    </row>
    <row r="653" spans="1:3" x14ac:dyDescent="0.25">
      <c r="A653" s="2" t="str">
        <f ca="1">IFERROR(__xludf.DUMMYFUNCTION("""COMPUTED_VALUE"""),"anchorswap")</f>
        <v>anchorswap</v>
      </c>
      <c r="B653" s="2" t="str">
        <f ca="1">IFERROR(__xludf.DUMMYFUNCTION("""COMPUTED_VALUE"""),"anchor")</f>
        <v>anchor</v>
      </c>
      <c r="C653" s="2" t="str">
        <f ca="1">IFERROR(__xludf.DUMMYFUNCTION("""COMPUTED_VALUE"""),"AnchorSwap")</f>
        <v>AnchorSwap</v>
      </c>
    </row>
    <row r="654" spans="1:3" x14ac:dyDescent="0.25">
      <c r="A654" s="2" t="str">
        <f ca="1">IFERROR(__xludf.DUMMYFUNCTION("""COMPUTED_VALUE"""),"ancient8")</f>
        <v>ancient8</v>
      </c>
      <c r="B654" s="2" t="str">
        <f ca="1">IFERROR(__xludf.DUMMYFUNCTION("""COMPUTED_VALUE"""),"a8")</f>
        <v>a8</v>
      </c>
      <c r="C654" s="2" t="str">
        <f ca="1">IFERROR(__xludf.DUMMYFUNCTION("""COMPUTED_VALUE"""),"Ancient8")</f>
        <v>Ancient8</v>
      </c>
    </row>
    <row r="655" spans="1:3" x14ac:dyDescent="0.25">
      <c r="A655" s="2" t="str">
        <f ca="1">IFERROR(__xludf.DUMMYFUNCTION("""COMPUTED_VALUE"""),"ancient-world")</f>
        <v>ancient-world</v>
      </c>
      <c r="B655" s="2" t="str">
        <f ca="1">IFERROR(__xludf.DUMMYFUNCTION("""COMPUTED_VALUE"""),"taw")</f>
        <v>taw</v>
      </c>
      <c r="C655" s="2" t="str">
        <f ca="1">IFERROR(__xludf.DUMMYFUNCTION("""COMPUTED_VALUE"""),"Ancient World")</f>
        <v>Ancient World</v>
      </c>
    </row>
    <row r="656" spans="1:3" x14ac:dyDescent="0.25">
      <c r="A656" s="2" t="str">
        <f ca="1">IFERROR(__xludf.DUMMYFUNCTION("""COMPUTED_VALUE"""),"andi")</f>
        <v>andi</v>
      </c>
      <c r="B656" s="2" t="str">
        <f ca="1">IFERROR(__xludf.DUMMYFUNCTION("""COMPUTED_VALUE"""),"andi")</f>
        <v>andi</v>
      </c>
      <c r="C656" s="2" t="str">
        <f ca="1">IFERROR(__xludf.DUMMYFUNCTION("""COMPUTED_VALUE"""),"Andi")</f>
        <v>Andi</v>
      </c>
    </row>
    <row r="657" spans="1:3" x14ac:dyDescent="0.25">
      <c r="A657" s="2" t="str">
        <f ca="1">IFERROR(__xludf.DUMMYFUNCTION("""COMPUTED_VALUE"""),"andrea-von-speed")</f>
        <v>andrea-von-speed</v>
      </c>
      <c r="B657" s="2" t="str">
        <f ca="1">IFERROR(__xludf.DUMMYFUNCTION("""COMPUTED_VALUE"""),"vonspeed")</f>
        <v>vonspeed</v>
      </c>
      <c r="C657" s="2" t="str">
        <f ca="1">IFERROR(__xludf.DUMMYFUNCTION("""COMPUTED_VALUE"""),"Andrea Von Speed")</f>
        <v>Andrea Von Speed</v>
      </c>
    </row>
    <row r="658" spans="1:3" x14ac:dyDescent="0.25">
      <c r="A658" s="2" t="str">
        <f ca="1">IFERROR(__xludf.DUMMYFUNCTION("""COMPUTED_VALUE"""),"andromeda-2")</f>
        <v>andromeda-2</v>
      </c>
      <c r="B658" s="2" t="str">
        <f ca="1">IFERROR(__xludf.DUMMYFUNCTION("""COMPUTED_VALUE"""),"andr")</f>
        <v>andr</v>
      </c>
      <c r="C658" s="2" t="str">
        <f ca="1">IFERROR(__xludf.DUMMYFUNCTION("""COMPUTED_VALUE"""),"Andromeda")</f>
        <v>Andromeda</v>
      </c>
    </row>
    <row r="659" spans="1:3" x14ac:dyDescent="0.25">
      <c r="A659" s="2" t="str">
        <f ca="1">IFERROR(__xludf.DUMMYFUNCTION("""COMPUTED_VALUE"""),"anduschain")</f>
        <v>anduschain</v>
      </c>
      <c r="B659" s="2" t="str">
        <f ca="1">IFERROR(__xludf.DUMMYFUNCTION("""COMPUTED_VALUE"""),"deb")</f>
        <v>deb</v>
      </c>
      <c r="C659" s="2" t="str">
        <f ca="1">IFERROR(__xludf.DUMMYFUNCTION("""COMPUTED_VALUE"""),"AndUsChain")</f>
        <v>AndUsChain</v>
      </c>
    </row>
    <row r="660" spans="1:3" x14ac:dyDescent="0.25">
      <c r="A660" s="2" t="str">
        <f ca="1">IFERROR(__xludf.DUMMYFUNCTION("""COMPUTED_VALUE"""),"andy")</f>
        <v>andy</v>
      </c>
      <c r="B660" s="2" t="str">
        <f ca="1">IFERROR(__xludf.DUMMYFUNCTION("""COMPUTED_VALUE"""),"andy")</f>
        <v>andy</v>
      </c>
      <c r="C660" s="2" t="str">
        <f ca="1">IFERROR(__xludf.DUMMYFUNCTION("""COMPUTED_VALUE"""),"Andy")</f>
        <v>Andy</v>
      </c>
    </row>
    <row r="661" spans="1:3" x14ac:dyDescent="0.25">
      <c r="A661" s="2" t="str">
        <f ca="1">IFERROR(__xludf.DUMMYFUNCTION("""COMPUTED_VALUE"""),"andy-2")</f>
        <v>andy-2</v>
      </c>
      <c r="B661" s="2" t="str">
        <f ca="1">IFERROR(__xludf.DUMMYFUNCTION("""COMPUTED_VALUE"""),"andy")</f>
        <v>andy</v>
      </c>
      <c r="C661" s="2" t="str">
        <f ca="1">IFERROR(__xludf.DUMMYFUNCTION("""COMPUTED_VALUE"""),"Andy")</f>
        <v>Andy</v>
      </c>
    </row>
    <row r="662" spans="1:3" x14ac:dyDescent="0.25">
      <c r="A662" s="2" t="str">
        <f ca="1">IFERROR(__xludf.DUMMYFUNCTION("""COMPUTED_VALUE"""),"andy-3")</f>
        <v>andy-3</v>
      </c>
      <c r="B662" s="2" t="str">
        <f ca="1">IFERROR(__xludf.DUMMYFUNCTION("""COMPUTED_VALUE"""),"andy")</f>
        <v>andy</v>
      </c>
      <c r="C662" s="2" t="str">
        <f ca="1">IFERROR(__xludf.DUMMYFUNCTION("""COMPUTED_VALUE"""),"Andy")</f>
        <v>Andy</v>
      </c>
    </row>
    <row r="663" spans="1:3" x14ac:dyDescent="0.25">
      <c r="A663" s="2" t="str">
        <f ca="1">IFERROR(__xludf.DUMMYFUNCTION("""COMPUTED_VALUE"""),"andy-alter-ego")</f>
        <v>andy-alter-ego</v>
      </c>
      <c r="B663" s="2" t="str">
        <f ca="1">IFERROR(__xludf.DUMMYFUNCTION("""COMPUTED_VALUE"""),"badcat")</f>
        <v>badcat</v>
      </c>
      <c r="C663" s="2" t="str">
        <f ca="1">IFERROR(__xludf.DUMMYFUNCTION("""COMPUTED_VALUE"""),"Andy Alter Ego")</f>
        <v>Andy Alter Ego</v>
      </c>
    </row>
    <row r="664" spans="1:3" x14ac:dyDescent="0.25">
      <c r="A664" s="2" t="str">
        <f ca="1">IFERROR(__xludf.DUMMYFUNCTION("""COMPUTED_VALUE"""),"andy-bsc")</f>
        <v>andy-bsc</v>
      </c>
      <c r="B664" s="2" t="str">
        <f ca="1">IFERROR(__xludf.DUMMYFUNCTION("""COMPUTED_VALUE"""),"andy")</f>
        <v>andy</v>
      </c>
      <c r="C664" s="2" t="str">
        <f ca="1">IFERROR(__xludf.DUMMYFUNCTION("""COMPUTED_VALUE"""),"Andy Bsc")</f>
        <v>Andy Bsc</v>
      </c>
    </row>
    <row r="665" spans="1:3" x14ac:dyDescent="0.25">
      <c r="A665" s="2" t="str">
        <f ca="1">IFERROR(__xludf.DUMMYFUNCTION("""COMPUTED_VALUE"""),"andyerc")</f>
        <v>andyerc</v>
      </c>
      <c r="B665" s="2" t="str">
        <f ca="1">IFERROR(__xludf.DUMMYFUNCTION("""COMPUTED_VALUE"""),"andy")</f>
        <v>andy</v>
      </c>
      <c r="C665" s="2" t="str">
        <f ca="1">IFERROR(__xludf.DUMMYFUNCTION("""COMPUTED_VALUE"""),"AndyBlast")</f>
        <v>AndyBlast</v>
      </c>
    </row>
    <row r="666" spans="1:3" x14ac:dyDescent="0.25">
      <c r="A666" s="2" t="str">
        <f ca="1">IFERROR(__xludf.DUMMYFUNCTION("""COMPUTED_VALUE"""),"andy-erc")</f>
        <v>andy-erc</v>
      </c>
      <c r="B666" s="2" t="str">
        <f ca="1">IFERROR(__xludf.DUMMYFUNCTION("""COMPUTED_VALUE"""),"andy")</f>
        <v>andy</v>
      </c>
      <c r="C666" s="2" t="str">
        <f ca="1">IFERROR(__xludf.DUMMYFUNCTION("""COMPUTED_VALUE"""),"aNDY")</f>
        <v>aNDY</v>
      </c>
    </row>
    <row r="667" spans="1:3" x14ac:dyDescent="0.25">
      <c r="A667" s="2" t="str">
        <f ca="1">IFERROR(__xludf.DUMMYFUNCTION("""COMPUTED_VALUE"""),"andy-on-base")</f>
        <v>andy-on-base</v>
      </c>
      <c r="B667" s="2" t="str">
        <f ca="1">IFERROR(__xludf.DUMMYFUNCTION("""COMPUTED_VALUE"""),"andy")</f>
        <v>andy</v>
      </c>
      <c r="C667" s="2" t="str">
        <f ca="1">IFERROR(__xludf.DUMMYFUNCTION("""COMPUTED_VALUE"""),"Andy")</f>
        <v>Andy</v>
      </c>
    </row>
    <row r="668" spans="1:3" x14ac:dyDescent="0.25">
      <c r="A668" s="2" t="str">
        <f ca="1">IFERROR(__xludf.DUMMYFUNCTION("""COMPUTED_VALUE"""),"andy-on-eth")</f>
        <v>andy-on-eth</v>
      </c>
      <c r="B668" s="2" t="str">
        <f ca="1">IFERROR(__xludf.DUMMYFUNCTION("""COMPUTED_VALUE"""),"andy")</f>
        <v>andy</v>
      </c>
      <c r="C668" s="2" t="str">
        <f ca="1">IFERROR(__xludf.DUMMYFUNCTION("""COMPUTED_VALUE"""),"Andy on ETH")</f>
        <v>Andy on ETH</v>
      </c>
    </row>
    <row r="669" spans="1:3" x14ac:dyDescent="0.25">
      <c r="A669" s="2" t="str">
        <f ca="1">IFERROR(__xludf.DUMMYFUNCTION("""COMPUTED_VALUE"""),"andy-on-sol")</f>
        <v>andy-on-sol</v>
      </c>
      <c r="B669" s="2" t="str">
        <f ca="1">IFERROR(__xludf.DUMMYFUNCTION("""COMPUTED_VALUE"""),"andy")</f>
        <v>andy</v>
      </c>
      <c r="C669" s="2" t="str">
        <f ca="1">IFERROR(__xludf.DUMMYFUNCTION("""COMPUTED_VALUE"""),"Andy on SOL")</f>
        <v>Andy on SOL</v>
      </c>
    </row>
    <row r="670" spans="1:3" x14ac:dyDescent="0.25">
      <c r="A670" s="2" t="str">
        <f ca="1">IFERROR(__xludf.DUMMYFUNCTION("""COMPUTED_VALUE"""),"andy-s-cat")</f>
        <v>andy-s-cat</v>
      </c>
      <c r="B670" s="2" t="str">
        <f ca="1">IFERROR(__xludf.DUMMYFUNCTION("""COMPUTED_VALUE"""),"candy")</f>
        <v>candy</v>
      </c>
      <c r="C670" s="2" t="str">
        <f ca="1">IFERROR(__xludf.DUMMYFUNCTION("""COMPUTED_VALUE"""),"Andy's Cat")</f>
        <v>Andy's Cat</v>
      </c>
    </row>
    <row r="671" spans="1:3" x14ac:dyDescent="0.25">
      <c r="A671" s="2" t="str">
        <f ca="1">IFERROR(__xludf.DUMMYFUNCTION("""COMPUTED_VALUE"""),"andy-the-wisguy")</f>
        <v>andy-the-wisguy</v>
      </c>
      <c r="B671" s="2" t="str">
        <f ca="1">IFERROR(__xludf.DUMMYFUNCTION("""COMPUTED_VALUE"""),"andy")</f>
        <v>andy</v>
      </c>
      <c r="C671" s="2" t="str">
        <f ca="1">IFERROR(__xludf.DUMMYFUNCTION("""COMPUTED_VALUE"""),"ANDY ETH")</f>
        <v>ANDY ETH</v>
      </c>
    </row>
    <row r="672" spans="1:3" x14ac:dyDescent="0.25">
      <c r="A672" s="2" t="str">
        <f ca="1">IFERROR(__xludf.DUMMYFUNCTION("""COMPUTED_VALUE"""),"angle-protocol")</f>
        <v>angle-protocol</v>
      </c>
      <c r="B672" s="2" t="str">
        <f ca="1">IFERROR(__xludf.DUMMYFUNCTION("""COMPUTED_VALUE"""),"angle")</f>
        <v>angle</v>
      </c>
      <c r="C672" s="2" t="str">
        <f ca="1">IFERROR(__xludf.DUMMYFUNCTION("""COMPUTED_VALUE"""),"ANGLE")</f>
        <v>ANGLE</v>
      </c>
    </row>
    <row r="673" spans="1:3" x14ac:dyDescent="0.25">
      <c r="A673" s="2" t="str">
        <f ca="1">IFERROR(__xludf.DUMMYFUNCTION("""COMPUTED_VALUE"""),"angle-staked-agusd")</f>
        <v>angle-staked-agusd</v>
      </c>
      <c r="B673" s="2" t="str">
        <f ca="1">IFERROR(__xludf.DUMMYFUNCTION("""COMPUTED_VALUE"""),"stusd")</f>
        <v>stusd</v>
      </c>
      <c r="C673" s="2" t="str">
        <f ca="1">IFERROR(__xludf.DUMMYFUNCTION("""COMPUTED_VALUE"""),"Angle Staked USDA")</f>
        <v>Angle Staked USDA</v>
      </c>
    </row>
    <row r="674" spans="1:3" x14ac:dyDescent="0.25">
      <c r="A674" s="2" t="str">
        <f ca="1">IFERROR(__xludf.DUMMYFUNCTION("""COMPUTED_VALUE"""),"angle-usd")</f>
        <v>angle-usd</v>
      </c>
      <c r="B674" s="2" t="str">
        <f ca="1">IFERROR(__xludf.DUMMYFUNCTION("""COMPUTED_VALUE"""),"usda")</f>
        <v>usda</v>
      </c>
      <c r="C674" s="2" t="str">
        <f ca="1">IFERROR(__xludf.DUMMYFUNCTION("""COMPUTED_VALUE"""),"USDA")</f>
        <v>USDA</v>
      </c>
    </row>
    <row r="675" spans="1:3" x14ac:dyDescent="0.25">
      <c r="A675" s="2" t="str">
        <f ca="1">IFERROR(__xludf.DUMMYFUNCTION("""COMPUTED_VALUE"""),"angola")</f>
        <v>angola</v>
      </c>
      <c r="B675" s="2" t="str">
        <f ca="1">IFERROR(__xludf.DUMMYFUNCTION("""COMPUTED_VALUE"""),"agla")</f>
        <v>agla</v>
      </c>
      <c r="C675" s="2" t="str">
        <f ca="1">IFERROR(__xludf.DUMMYFUNCTION("""COMPUTED_VALUE"""),"Angola")</f>
        <v>Angola</v>
      </c>
    </row>
    <row r="676" spans="1:3" x14ac:dyDescent="0.25">
      <c r="A676" s="2" t="str">
        <f ca="1">IFERROR(__xludf.DUMMYFUNCTION("""COMPUTED_VALUE"""),"angryb")</f>
        <v>angryb</v>
      </c>
      <c r="B676" s="2" t="str">
        <f ca="1">IFERROR(__xludf.DUMMYFUNCTION("""COMPUTED_VALUE"""),"anb")</f>
        <v>anb</v>
      </c>
      <c r="C676" s="2" t="str">
        <f ca="1">IFERROR(__xludf.DUMMYFUNCTION("""COMPUTED_VALUE"""),"Angryb")</f>
        <v>Angryb</v>
      </c>
    </row>
    <row r="677" spans="1:3" x14ac:dyDescent="0.25">
      <c r="A677" s="2" t="str">
        <f ca="1">IFERROR(__xludf.DUMMYFUNCTION("""COMPUTED_VALUE"""),"angry-bulls-club")</f>
        <v>angry-bulls-club</v>
      </c>
      <c r="B677" s="2" t="str">
        <f ca="1">IFERROR(__xludf.DUMMYFUNCTION("""COMPUTED_VALUE"""),"abc")</f>
        <v>abc</v>
      </c>
      <c r="C677" s="2" t="str">
        <f ca="1">IFERROR(__xludf.DUMMYFUNCTION("""COMPUTED_VALUE"""),"Angry Bulls Club")</f>
        <v>Angry Bulls Club</v>
      </c>
    </row>
    <row r="678" spans="1:3" x14ac:dyDescent="0.25">
      <c r="A678" s="2" t="str">
        <f ca="1">IFERROR(__xludf.DUMMYFUNCTION("""COMPUTED_VALUE"""),"angryslerf")</f>
        <v>angryslerf</v>
      </c>
      <c r="B678" s="2" t="str">
        <f ca="1">IFERROR(__xludf.DUMMYFUNCTION("""COMPUTED_VALUE"""),"angryslerf")</f>
        <v>angryslerf</v>
      </c>
      <c r="C678" s="2" t="str">
        <f ca="1">IFERROR(__xludf.DUMMYFUNCTION("""COMPUTED_VALUE"""),"AngrySlerf")</f>
        <v>AngrySlerf</v>
      </c>
    </row>
    <row r="679" spans="1:3" x14ac:dyDescent="0.25">
      <c r="A679" s="2" t="str">
        <f ca="1">IFERROR(__xludf.DUMMYFUNCTION("""COMPUTED_VALUE"""),"anima")</f>
        <v>anima</v>
      </c>
      <c r="B679" s="2" t="str">
        <f ca="1">IFERROR(__xludf.DUMMYFUNCTION("""COMPUTED_VALUE"""),"anima")</f>
        <v>anima</v>
      </c>
      <c r="C679" s="2" t="str">
        <f ca="1">IFERROR(__xludf.DUMMYFUNCTION("""COMPUTED_VALUE"""),"ANIMA")</f>
        <v>ANIMA</v>
      </c>
    </row>
    <row r="680" spans="1:3" x14ac:dyDescent="0.25">
      <c r="A680" s="2" t="str">
        <f ca="1">IFERROR(__xludf.DUMMYFUNCTION("""COMPUTED_VALUE"""),"animal-concerts-token")</f>
        <v>animal-concerts-token</v>
      </c>
      <c r="B680" s="2" t="str">
        <f ca="1">IFERROR(__xludf.DUMMYFUNCTION("""COMPUTED_VALUE"""),"anml")</f>
        <v>anml</v>
      </c>
      <c r="C680" s="2" t="str">
        <f ca="1">IFERROR(__xludf.DUMMYFUNCTION("""COMPUTED_VALUE"""),"Animal Concerts")</f>
        <v>Animal Concerts</v>
      </c>
    </row>
    <row r="681" spans="1:3" x14ac:dyDescent="0.25">
      <c r="A681" s="2" t="str">
        <f ca="1">IFERROR(__xludf.DUMMYFUNCTION("""COMPUTED_VALUE"""),"animalia")</f>
        <v>animalia</v>
      </c>
      <c r="B681" s="2" t="str">
        <f ca="1">IFERROR(__xludf.DUMMYFUNCTION("""COMPUTED_VALUE"""),"anim")</f>
        <v>anim</v>
      </c>
      <c r="C681" s="2" t="str">
        <f ca="1">IFERROR(__xludf.DUMMYFUNCTION("""COMPUTED_VALUE"""),"Animalia")</f>
        <v>Animalia</v>
      </c>
    </row>
    <row r="682" spans="1:3" x14ac:dyDescent="0.25">
      <c r="A682" s="2" t="str">
        <f ca="1">IFERROR(__xludf.DUMMYFUNCTION("""COMPUTED_VALUE"""),"animated")</f>
        <v>animated</v>
      </c>
      <c r="B682" s="2" t="str">
        <f ca="1">IFERROR(__xludf.DUMMYFUNCTION("""COMPUTED_VALUE"""),"am")</f>
        <v>am</v>
      </c>
      <c r="C682" s="2" t="str">
        <f ca="1">IFERROR(__xludf.DUMMYFUNCTION("""COMPUTED_VALUE"""),"Animated")</f>
        <v>Animated</v>
      </c>
    </row>
    <row r="683" spans="1:3" x14ac:dyDescent="0.25">
      <c r="A683" s="2" t="str">
        <f ca="1">IFERROR(__xludf.DUMMYFUNCTION("""COMPUTED_VALUE"""),"anime-base")</f>
        <v>anime-base</v>
      </c>
      <c r="B683" s="2" t="str">
        <f ca="1">IFERROR(__xludf.DUMMYFUNCTION("""COMPUTED_VALUE"""),"anime")</f>
        <v>anime</v>
      </c>
      <c r="C683" s="2" t="str">
        <f ca="1">IFERROR(__xludf.DUMMYFUNCTION("""COMPUTED_VALUE"""),"Anime")</f>
        <v>Anime</v>
      </c>
    </row>
    <row r="684" spans="1:3" x14ac:dyDescent="0.25">
      <c r="A684" s="2" t="str">
        <f ca="1">IFERROR(__xludf.DUMMYFUNCTION("""COMPUTED_VALUE"""),"animeswap")</f>
        <v>animeswap</v>
      </c>
      <c r="B684" s="2" t="str">
        <f ca="1">IFERROR(__xludf.DUMMYFUNCTION("""COMPUTED_VALUE"""),"ani")</f>
        <v>ani</v>
      </c>
      <c r="C684" s="2" t="str">
        <f ca="1">IFERROR(__xludf.DUMMYFUNCTION("""COMPUTED_VALUE"""),"AnimeSwap")</f>
        <v>AnimeSwap</v>
      </c>
    </row>
    <row r="685" spans="1:3" x14ac:dyDescent="0.25">
      <c r="A685" s="2" t="str">
        <f ca="1">IFERROR(__xludf.DUMMYFUNCTION("""COMPUTED_VALUE"""),"anime-token")</f>
        <v>anime-token</v>
      </c>
      <c r="B685" s="2" t="str">
        <f ca="1">IFERROR(__xludf.DUMMYFUNCTION("""COMPUTED_VALUE"""),"ani")</f>
        <v>ani</v>
      </c>
      <c r="C685" s="2" t="str">
        <f ca="1">IFERROR(__xludf.DUMMYFUNCTION("""COMPUTED_VALUE"""),"Anime")</f>
        <v>Anime</v>
      </c>
    </row>
    <row r="686" spans="1:3" x14ac:dyDescent="0.25">
      <c r="A686" s="2" t="str">
        <f ca="1">IFERROR(__xludf.DUMMYFUNCTION("""COMPUTED_VALUE"""),"anita-max-wynn")</f>
        <v>anita-max-wynn</v>
      </c>
      <c r="B686" s="2" t="str">
        <f ca="1">IFERROR(__xludf.DUMMYFUNCTION("""COMPUTED_VALUE"""),"wynn")</f>
        <v>wynn</v>
      </c>
      <c r="C686" s="2" t="str">
        <f ca="1">IFERROR(__xludf.DUMMYFUNCTION("""COMPUTED_VALUE"""),"Anita Max Wynn")</f>
        <v>Anita Max Wynn</v>
      </c>
    </row>
    <row r="687" spans="1:3" x14ac:dyDescent="0.25">
      <c r="A687" s="2" t="str">
        <f ca="1">IFERROR(__xludf.DUMMYFUNCTION("""COMPUTED_VALUE"""),"ankaragucu-fan-token")</f>
        <v>ankaragucu-fan-token</v>
      </c>
      <c r="B687" s="2" t="str">
        <f ca="1">IFERROR(__xludf.DUMMYFUNCTION("""COMPUTED_VALUE"""),"anka")</f>
        <v>anka</v>
      </c>
      <c r="C687" s="2" t="str">
        <f ca="1">IFERROR(__xludf.DUMMYFUNCTION("""COMPUTED_VALUE"""),"Ankaragücü Fan Token")</f>
        <v>Ankaragücü Fan Token</v>
      </c>
    </row>
    <row r="688" spans="1:3" x14ac:dyDescent="0.25">
      <c r="A688" s="2" t="str">
        <f ca="1">IFERROR(__xludf.DUMMYFUNCTION("""COMPUTED_VALUE"""),"ankr")</f>
        <v>ankr</v>
      </c>
      <c r="B688" s="2" t="str">
        <f ca="1">IFERROR(__xludf.DUMMYFUNCTION("""COMPUTED_VALUE"""),"ankr")</f>
        <v>ankr</v>
      </c>
      <c r="C688" s="2" t="str">
        <f ca="1">IFERROR(__xludf.DUMMYFUNCTION("""COMPUTED_VALUE"""),"Ankr Network")</f>
        <v>Ankr Network</v>
      </c>
    </row>
    <row r="689" spans="1:3" x14ac:dyDescent="0.25">
      <c r="A689" s="2" t="str">
        <f ca="1">IFERROR(__xludf.DUMMYFUNCTION("""COMPUTED_VALUE"""),"ankreth")</f>
        <v>ankreth</v>
      </c>
      <c r="B689" s="2" t="str">
        <f ca="1">IFERROR(__xludf.DUMMYFUNCTION("""COMPUTED_VALUE"""),"ankreth")</f>
        <v>ankreth</v>
      </c>
      <c r="C689" s="2" t="str">
        <f ca="1">IFERROR(__xludf.DUMMYFUNCTION("""COMPUTED_VALUE"""),"Ankr Staked ETH")</f>
        <v>Ankr Staked ETH</v>
      </c>
    </row>
    <row r="690" spans="1:3" x14ac:dyDescent="0.25">
      <c r="A690" s="2" t="str">
        <f ca="1">IFERROR(__xludf.DUMMYFUNCTION("""COMPUTED_VALUE"""),"ankr-reward-bearing-ftm")</f>
        <v>ankr-reward-bearing-ftm</v>
      </c>
      <c r="B690" s="2" t="str">
        <f ca="1">IFERROR(__xludf.DUMMYFUNCTION("""COMPUTED_VALUE"""),"ankrftm")</f>
        <v>ankrftm</v>
      </c>
      <c r="C690" s="2" t="str">
        <f ca="1">IFERROR(__xludf.DUMMYFUNCTION("""COMPUTED_VALUE"""),"Ankr Staked FTM")</f>
        <v>Ankr Staked FTM</v>
      </c>
    </row>
    <row r="691" spans="1:3" x14ac:dyDescent="0.25">
      <c r="A691" s="2" t="str">
        <f ca="1">IFERROR(__xludf.DUMMYFUNCTION("""COMPUTED_VALUE"""),"ankr-reward-earning-matic")</f>
        <v>ankr-reward-earning-matic</v>
      </c>
      <c r="B691" s="2" t="str">
        <f ca="1">IFERROR(__xludf.DUMMYFUNCTION("""COMPUTED_VALUE"""),"ankrmatic")</f>
        <v>ankrmatic</v>
      </c>
      <c r="C691" s="2" t="str">
        <f ca="1">IFERROR(__xludf.DUMMYFUNCTION("""COMPUTED_VALUE"""),"Ankr Staked MATIC")</f>
        <v>Ankr Staked MATIC</v>
      </c>
    </row>
    <row r="692" spans="1:3" x14ac:dyDescent="0.25">
      <c r="A692" s="2" t="str">
        <f ca="1">IFERROR(__xludf.DUMMYFUNCTION("""COMPUTED_VALUE"""),"ankr-staked-bnb")</f>
        <v>ankr-staked-bnb</v>
      </c>
      <c r="B692" s="2" t="str">
        <f ca="1">IFERROR(__xludf.DUMMYFUNCTION("""COMPUTED_VALUE"""),"ankrbnb")</f>
        <v>ankrbnb</v>
      </c>
      <c r="C692" s="2" t="str">
        <f ca="1">IFERROR(__xludf.DUMMYFUNCTION("""COMPUTED_VALUE"""),"Ankr Staked BNB")</f>
        <v>Ankr Staked BNB</v>
      </c>
    </row>
    <row r="693" spans="1:3" x14ac:dyDescent="0.25">
      <c r="A693" s="2" t="str">
        <f ca="1">IFERROR(__xludf.DUMMYFUNCTION("""COMPUTED_VALUE"""),"ankr-staked-flow")</f>
        <v>ankr-staked-flow</v>
      </c>
      <c r="B693" s="2" t="str">
        <f ca="1">IFERROR(__xludf.DUMMYFUNCTION("""COMPUTED_VALUE"""),"ankrflow")</f>
        <v>ankrflow</v>
      </c>
      <c r="C693" s="2" t="str">
        <f ca="1">IFERROR(__xludf.DUMMYFUNCTION("""COMPUTED_VALUE"""),"Ankr Staked FLOW")</f>
        <v>Ankr Staked FLOW</v>
      </c>
    </row>
    <row r="694" spans="1:3" x14ac:dyDescent="0.25">
      <c r="A694" s="2" t="str">
        <f ca="1">IFERROR(__xludf.DUMMYFUNCTION("""COMPUTED_VALUE"""),"anokas-network")</f>
        <v>anokas-network</v>
      </c>
      <c r="B694" s="2" t="str">
        <f ca="1">IFERROR(__xludf.DUMMYFUNCTION("""COMPUTED_VALUE"""),"anok")</f>
        <v>anok</v>
      </c>
      <c r="C694" s="2" t="str">
        <f ca="1">IFERROR(__xludf.DUMMYFUNCTION("""COMPUTED_VALUE"""),"Anokas Network")</f>
        <v>Anokas Network</v>
      </c>
    </row>
    <row r="695" spans="1:3" x14ac:dyDescent="0.25">
      <c r="A695" s="2" t="str">
        <f ca="1">IFERROR(__xludf.DUMMYFUNCTION("""COMPUTED_VALUE"""),"anomus-coin")</f>
        <v>anomus-coin</v>
      </c>
      <c r="B695" s="2" t="str">
        <f ca="1">IFERROR(__xludf.DUMMYFUNCTION("""COMPUTED_VALUE"""),"anom")</f>
        <v>anom</v>
      </c>
      <c r="C695" s="2" t="str">
        <f ca="1">IFERROR(__xludf.DUMMYFUNCTION("""COMPUTED_VALUE"""),"Anomus Coin")</f>
        <v>Anomus Coin</v>
      </c>
    </row>
    <row r="696" spans="1:3" x14ac:dyDescent="0.25">
      <c r="A696" s="2" t="str">
        <f ca="1">IFERROR(__xludf.DUMMYFUNCTION("""COMPUTED_VALUE"""),"anon")</f>
        <v>anon</v>
      </c>
      <c r="B696" s="2" t="str">
        <f ca="1">IFERROR(__xludf.DUMMYFUNCTION("""COMPUTED_VALUE"""),"anon")</f>
        <v>anon</v>
      </c>
      <c r="C696" s="2" t="str">
        <f ca="1">IFERROR(__xludf.DUMMYFUNCTION("""COMPUTED_VALUE"""),"ANON")</f>
        <v>ANON</v>
      </c>
    </row>
    <row r="697" spans="1:3" x14ac:dyDescent="0.25">
      <c r="A697" s="2" t="str">
        <f ca="1">IFERROR(__xludf.DUMMYFUNCTION("""COMPUTED_VALUE"""),"anonfi")</f>
        <v>anonfi</v>
      </c>
      <c r="B697" s="2" t="str">
        <f ca="1">IFERROR(__xludf.DUMMYFUNCTION("""COMPUTED_VALUE"""),"anon")</f>
        <v>anon</v>
      </c>
      <c r="C697" s="2" t="str">
        <f ca="1">IFERROR(__xludf.DUMMYFUNCTION("""COMPUTED_VALUE"""),"AnonFi")</f>
        <v>AnonFi</v>
      </c>
    </row>
    <row r="698" spans="1:3" x14ac:dyDescent="0.25">
      <c r="A698" s="2" t="str">
        <f ca="1">IFERROR(__xludf.DUMMYFUNCTION("""COMPUTED_VALUE"""),"anon-inu")</f>
        <v>anon-inu</v>
      </c>
      <c r="B698" s="2" t="str">
        <f ca="1">IFERROR(__xludf.DUMMYFUNCTION("""COMPUTED_VALUE"""),"ainu")</f>
        <v>ainu</v>
      </c>
      <c r="C698" s="2" t="str">
        <f ca="1">IFERROR(__xludf.DUMMYFUNCTION("""COMPUTED_VALUE"""),"Anon Inu")</f>
        <v>Anon Inu</v>
      </c>
    </row>
    <row r="699" spans="1:3" x14ac:dyDescent="0.25">
      <c r="A699" s="2" t="str">
        <f ca="1">IFERROR(__xludf.DUMMYFUNCTION("""COMPUTED_VALUE"""),"anontech")</f>
        <v>anontech</v>
      </c>
      <c r="B699" s="2" t="str">
        <f ca="1">IFERROR(__xludf.DUMMYFUNCTION("""COMPUTED_VALUE"""),"atec")</f>
        <v>atec</v>
      </c>
      <c r="C699" s="2" t="str">
        <f ca="1">IFERROR(__xludf.DUMMYFUNCTION("""COMPUTED_VALUE"""),"AnonTech")</f>
        <v>AnonTech</v>
      </c>
    </row>
    <row r="700" spans="1:3" x14ac:dyDescent="0.25">
      <c r="A700" s="2" t="str">
        <f ca="1">IFERROR(__xludf.DUMMYFUNCTION("""COMPUTED_VALUE"""),"anon-ton")</f>
        <v>anon-ton</v>
      </c>
      <c r="B700" s="2" t="str">
        <f ca="1">IFERROR(__xludf.DUMMYFUNCTION("""COMPUTED_VALUE"""),"anon")</f>
        <v>anon</v>
      </c>
      <c r="C700" s="2" t="str">
        <f ca="1">IFERROR(__xludf.DUMMYFUNCTION("""COMPUTED_VALUE"""),"ANON")</f>
        <v>ANON</v>
      </c>
    </row>
    <row r="701" spans="1:3" x14ac:dyDescent="0.25">
      <c r="A701" s="2" t="str">
        <f ca="1">IFERROR(__xludf.DUMMYFUNCTION("""COMPUTED_VALUE"""),"anonymous")</f>
        <v>anonymous</v>
      </c>
      <c r="B701" s="2" t="str">
        <f ca="1">IFERROR(__xludf.DUMMYFUNCTION("""COMPUTED_VALUE"""),"anon")</f>
        <v>anon</v>
      </c>
      <c r="C701" s="2" t="str">
        <f ca="1">IFERROR(__xludf.DUMMYFUNCTION("""COMPUTED_VALUE"""),"Anonymous")</f>
        <v>Anonymous</v>
      </c>
    </row>
    <row r="702" spans="1:3" x14ac:dyDescent="0.25">
      <c r="A702" s="2" t="str">
        <f ca="1">IFERROR(__xludf.DUMMYFUNCTION("""COMPUTED_VALUE"""),"another-world")</f>
        <v>another-world</v>
      </c>
      <c r="B702" s="2" t="str">
        <f ca="1">IFERROR(__xludf.DUMMYFUNCTION("""COMPUTED_VALUE"""),"awm")</f>
        <v>awm</v>
      </c>
      <c r="C702" s="2" t="str">
        <f ca="1">IFERROR(__xludf.DUMMYFUNCTION("""COMPUTED_VALUE"""),"Another World")</f>
        <v>Another World</v>
      </c>
    </row>
    <row r="703" spans="1:3" x14ac:dyDescent="0.25">
      <c r="A703" s="2" t="str">
        <f ca="1">IFERROR(__xludf.DUMMYFUNCTION("""COMPUTED_VALUE"""),"ansem-s-cat")</f>
        <v>ansem-s-cat</v>
      </c>
      <c r="B703" s="2" t="str">
        <f ca="1">IFERROR(__xludf.DUMMYFUNCTION("""COMPUTED_VALUE"""),"hobbes")</f>
        <v>hobbes</v>
      </c>
      <c r="C703" s="2" t="str">
        <f ca="1">IFERROR(__xludf.DUMMYFUNCTION("""COMPUTED_VALUE"""),"Ansem's Cat")</f>
        <v>Ansem's Cat</v>
      </c>
    </row>
    <row r="704" spans="1:3" x14ac:dyDescent="0.25">
      <c r="A704" s="2" t="str">
        <f ca="1">IFERROR(__xludf.DUMMYFUNCTION("""COMPUTED_VALUE"""),"ansem-wif-photographer")</f>
        <v>ansem-wif-photographer</v>
      </c>
      <c r="B704" s="2" t="str">
        <f ca="1">IFERROR(__xludf.DUMMYFUNCTION("""COMPUTED_VALUE"""),"awp")</f>
        <v>awp</v>
      </c>
      <c r="C704" s="2" t="str">
        <f ca="1">IFERROR(__xludf.DUMMYFUNCTION("""COMPUTED_VALUE"""),"Ansem Wif Photographer")</f>
        <v>Ansem Wif Photographer</v>
      </c>
    </row>
    <row r="705" spans="1:3" x14ac:dyDescent="0.25">
      <c r="A705" s="2" t="str">
        <f ca="1">IFERROR(__xludf.DUMMYFUNCTION("""COMPUTED_VALUE"""),"ansom")</f>
        <v>ansom</v>
      </c>
      <c r="B705" s="2" t="str">
        <f ca="1">IFERROR(__xludf.DUMMYFUNCTION("""COMPUTED_VALUE"""),"ansom")</f>
        <v>ansom</v>
      </c>
      <c r="C705" s="2" t="str">
        <f ca="1">IFERROR(__xludf.DUMMYFUNCTION("""COMPUTED_VALUE"""),"Ansom")</f>
        <v>Ansom</v>
      </c>
    </row>
    <row r="706" spans="1:3" x14ac:dyDescent="0.25">
      <c r="A706" s="2" t="str">
        <f ca="1">IFERROR(__xludf.DUMMYFUNCTION("""COMPUTED_VALUE"""),"answer-governance")</f>
        <v>answer-governance</v>
      </c>
      <c r="B706" s="2" t="str">
        <f ca="1">IFERROR(__xludf.DUMMYFUNCTION("""COMPUTED_VALUE"""),"agov")</f>
        <v>agov</v>
      </c>
      <c r="C706" s="2" t="str">
        <f ca="1">IFERROR(__xludf.DUMMYFUNCTION("""COMPUTED_VALUE"""),"Answer Governance")</f>
        <v>Answer Governance</v>
      </c>
    </row>
    <row r="707" spans="1:3" x14ac:dyDescent="0.25">
      <c r="A707" s="2" t="str">
        <f ca="1">IFERROR(__xludf.DUMMYFUNCTION("""COMPUTED_VALUE"""),"antara-raiders-royals")</f>
        <v>antara-raiders-royals</v>
      </c>
      <c r="B707" s="2" t="str">
        <f ca="1">IFERROR(__xludf.DUMMYFUNCTION("""COMPUTED_VALUE"""),"antt")</f>
        <v>antt</v>
      </c>
      <c r="C707" s="2" t="str">
        <f ca="1">IFERROR(__xludf.DUMMYFUNCTION("""COMPUTED_VALUE"""),"Antara Token")</f>
        <v>Antara Token</v>
      </c>
    </row>
    <row r="708" spans="1:3" x14ac:dyDescent="0.25">
      <c r="A708" s="2" t="str">
        <f ca="1">IFERROR(__xludf.DUMMYFUNCTION("""COMPUTED_VALUE"""),"antfarm-governance-token")</f>
        <v>antfarm-governance-token</v>
      </c>
      <c r="B708" s="2" t="str">
        <f ca="1">IFERROR(__xludf.DUMMYFUNCTION("""COMPUTED_VALUE"""),"agt")</f>
        <v>agt</v>
      </c>
      <c r="C708" s="2" t="str">
        <f ca="1">IFERROR(__xludf.DUMMYFUNCTION("""COMPUTED_VALUE"""),"Antfarm Governance Token")</f>
        <v>Antfarm Governance Token</v>
      </c>
    </row>
    <row r="709" spans="1:3" x14ac:dyDescent="0.25">
      <c r="A709" s="2" t="str">
        <f ca="1">IFERROR(__xludf.DUMMYFUNCTION("""COMPUTED_VALUE"""),"antfarm-token")</f>
        <v>antfarm-token</v>
      </c>
      <c r="B709" s="2" t="str">
        <f ca="1">IFERROR(__xludf.DUMMYFUNCTION("""COMPUTED_VALUE"""),"atf")</f>
        <v>atf</v>
      </c>
      <c r="C709" s="2" t="str">
        <f ca="1">IFERROR(__xludf.DUMMYFUNCTION("""COMPUTED_VALUE"""),"Antfarm Token")</f>
        <v>Antfarm Token</v>
      </c>
    </row>
    <row r="710" spans="1:3" x14ac:dyDescent="0.25">
      <c r="A710" s="2" t="str">
        <f ca="1">IFERROR(__xludf.DUMMYFUNCTION("""COMPUTED_VALUE"""),"antimatter")</f>
        <v>antimatter</v>
      </c>
      <c r="B710" s="2" t="str">
        <f ca="1">IFERROR(__xludf.DUMMYFUNCTION("""COMPUTED_VALUE"""),"tune")</f>
        <v>tune</v>
      </c>
      <c r="C710" s="2" t="str">
        <f ca="1">IFERROR(__xludf.DUMMYFUNCTION("""COMPUTED_VALUE"""),"Bitune")</f>
        <v>Bitune</v>
      </c>
    </row>
    <row r="711" spans="1:3" x14ac:dyDescent="0.25">
      <c r="A711" s="2" t="str">
        <f ca="1">IFERROR(__xludf.DUMMYFUNCTION("""COMPUTED_VALUE"""),"antmons")</f>
        <v>antmons</v>
      </c>
      <c r="B711" s="2" t="str">
        <f ca="1">IFERROR(__xludf.DUMMYFUNCTION("""COMPUTED_VALUE"""),"ams")</f>
        <v>ams</v>
      </c>
      <c r="C711" s="2" t="str">
        <f ca="1">IFERROR(__xludf.DUMMYFUNCTION("""COMPUTED_VALUE"""),"Antmons")</f>
        <v>Antmons</v>
      </c>
    </row>
    <row r="712" spans="1:3" x14ac:dyDescent="0.25">
      <c r="A712" s="2" t="str">
        <f ca="1">IFERROR(__xludf.DUMMYFUNCTION("""COMPUTED_VALUE"""),"antofy")</f>
        <v>antofy</v>
      </c>
      <c r="B712" s="2" t="str">
        <f ca="1">IFERROR(__xludf.DUMMYFUNCTION("""COMPUTED_VALUE"""),"abn")</f>
        <v>abn</v>
      </c>
      <c r="C712" s="2" t="str">
        <f ca="1">IFERROR(__xludf.DUMMYFUNCTION("""COMPUTED_VALUE"""),"Antofy")</f>
        <v>Antofy</v>
      </c>
    </row>
    <row r="713" spans="1:3" x14ac:dyDescent="0.25">
      <c r="A713" s="2" t="str">
        <f ca="1">IFERROR(__xludf.DUMMYFUNCTION("""COMPUTED_VALUE"""),"anydex")</f>
        <v>anydex</v>
      </c>
      <c r="B713" s="2" t="str">
        <f ca="1">IFERROR(__xludf.DUMMYFUNCTION("""COMPUTED_VALUE"""),"adx")</f>
        <v>adx</v>
      </c>
      <c r="C713" s="2" t="str">
        <f ca="1">IFERROR(__xludf.DUMMYFUNCTION("""COMPUTED_VALUE"""),"AnyDex")</f>
        <v>AnyDex</v>
      </c>
    </row>
    <row r="714" spans="1:3" x14ac:dyDescent="0.25">
      <c r="A714" s="2" t="str">
        <f ca="1">IFERROR(__xludf.DUMMYFUNCTION("""COMPUTED_VALUE"""),"any-inu")</f>
        <v>any-inu</v>
      </c>
      <c r="B714" s="2" t="str">
        <f ca="1">IFERROR(__xludf.DUMMYFUNCTION("""COMPUTED_VALUE"""),"ai")</f>
        <v>ai</v>
      </c>
      <c r="C714" s="2" t="str">
        <f ca="1">IFERROR(__xludf.DUMMYFUNCTION("""COMPUTED_VALUE"""),"Any Inu")</f>
        <v>Any Inu</v>
      </c>
    </row>
    <row r="715" spans="1:3" x14ac:dyDescent="0.25">
      <c r="A715" s="2" t="str">
        <f ca="1">IFERROR(__xludf.DUMMYFUNCTION("""COMPUTED_VALUE"""),"anypad")</f>
        <v>anypad</v>
      </c>
      <c r="B715" s="2" t="str">
        <f ca="1">IFERROR(__xludf.DUMMYFUNCTION("""COMPUTED_VALUE"""),"apad")</f>
        <v>apad</v>
      </c>
      <c r="C715" s="2" t="str">
        <f ca="1">IFERROR(__xludf.DUMMYFUNCTION("""COMPUTED_VALUE"""),"Anypad")</f>
        <v>Anypad</v>
      </c>
    </row>
    <row r="716" spans="1:3" x14ac:dyDescent="0.25">
      <c r="A716" s="2" t="str">
        <f ca="1">IFERROR(__xludf.DUMMYFUNCTION("""COMPUTED_VALUE"""),"anyswap")</f>
        <v>anyswap</v>
      </c>
      <c r="B716" s="2" t="str">
        <f ca="1">IFERROR(__xludf.DUMMYFUNCTION("""COMPUTED_VALUE"""),"any")</f>
        <v>any</v>
      </c>
      <c r="C716" s="2" t="str">
        <f ca="1">IFERROR(__xludf.DUMMYFUNCTION("""COMPUTED_VALUE"""),"Anyswap")</f>
        <v>Anyswap</v>
      </c>
    </row>
    <row r="717" spans="1:3" x14ac:dyDescent="0.25">
      <c r="A717" s="2" t="str">
        <f ca="1">IFERROR(__xludf.DUMMYFUNCTION("""COMPUTED_VALUE"""),"anzen-staked-usdz")</f>
        <v>anzen-staked-usdz</v>
      </c>
      <c r="B717" s="2" t="str">
        <f ca="1">IFERROR(__xludf.DUMMYFUNCTION("""COMPUTED_VALUE"""),"susdz")</f>
        <v>susdz</v>
      </c>
      <c r="C717" s="2" t="str">
        <f ca="1">IFERROR(__xludf.DUMMYFUNCTION("""COMPUTED_VALUE"""),"Anzen Staked USDz")</f>
        <v>Anzen Staked USDz</v>
      </c>
    </row>
    <row r="718" spans="1:3" x14ac:dyDescent="0.25">
      <c r="A718" s="2" t="str">
        <f ca="1">IFERROR(__xludf.DUMMYFUNCTION("""COMPUTED_VALUE"""),"anzen-usdz")</f>
        <v>anzen-usdz</v>
      </c>
      <c r="B718" s="2" t="str">
        <f ca="1">IFERROR(__xludf.DUMMYFUNCTION("""COMPUTED_VALUE"""),"usdz")</f>
        <v>usdz</v>
      </c>
      <c r="C718" s="2" t="str">
        <f ca="1">IFERROR(__xludf.DUMMYFUNCTION("""COMPUTED_VALUE"""),"Anzen USDz")</f>
        <v>Anzen USDz</v>
      </c>
    </row>
    <row r="719" spans="1:3" x14ac:dyDescent="0.25">
      <c r="A719" s="2" t="str">
        <f ca="1">IFERROR(__xludf.DUMMYFUNCTION("""COMPUTED_VALUE"""),"ao-computer")</f>
        <v>ao-computer</v>
      </c>
      <c r="B719" s="2" t="str">
        <f ca="1">IFERROR(__xludf.DUMMYFUNCTION("""COMPUTED_VALUE"""),"ao")</f>
        <v>ao</v>
      </c>
      <c r="C719" s="2" t="str">
        <f ca="1">IFERROR(__xludf.DUMMYFUNCTION("""COMPUTED_VALUE"""),"ao Computer")</f>
        <v>ao Computer</v>
      </c>
    </row>
    <row r="720" spans="1:3" x14ac:dyDescent="0.25">
      <c r="A720" s="2" t="str">
        <f ca="1">IFERROR(__xludf.DUMMYFUNCTION("""COMPUTED_VALUE"""),"aok")</f>
        <v>aok</v>
      </c>
      <c r="B720" s="2" t="str">
        <f ca="1">IFERROR(__xludf.DUMMYFUNCTION("""COMPUTED_VALUE"""),"aok")</f>
        <v>aok</v>
      </c>
      <c r="C720" s="2" t="str">
        <f ca="1">IFERROR(__xludf.DUMMYFUNCTION("""COMPUTED_VALUE"""),"AOK")</f>
        <v>AOK</v>
      </c>
    </row>
    <row r="721" spans="1:3" x14ac:dyDescent="0.25">
      <c r="A721" s="2" t="str">
        <f ca="1">IFERROR(__xludf.DUMMYFUNCTION("""COMPUTED_VALUE"""),"apass-coin")</f>
        <v>apass-coin</v>
      </c>
      <c r="B721" s="2" t="str">
        <f ca="1">IFERROR(__xludf.DUMMYFUNCTION("""COMPUTED_VALUE"""),"apc")</f>
        <v>apc</v>
      </c>
      <c r="C721" s="2" t="str">
        <f ca="1">IFERROR(__xludf.DUMMYFUNCTION("""COMPUTED_VALUE"""),"APass Coin")</f>
        <v>APass Coin</v>
      </c>
    </row>
    <row r="722" spans="1:3" x14ac:dyDescent="0.25">
      <c r="A722" s="2" t="str">
        <f ca="1">IFERROR(__xludf.DUMMYFUNCTION("""COMPUTED_VALUE"""),"ape-2")</f>
        <v>ape-2</v>
      </c>
      <c r="B722" s="2" t="str">
        <f ca="1">IFERROR(__xludf.DUMMYFUNCTION("""COMPUTED_VALUE"""),"ape")</f>
        <v>ape</v>
      </c>
      <c r="C722" s="2" t="str">
        <f ca="1">IFERROR(__xludf.DUMMYFUNCTION("""COMPUTED_VALUE"""),"APE")</f>
        <v>APE</v>
      </c>
    </row>
    <row r="723" spans="1:3" x14ac:dyDescent="0.25">
      <c r="A723" s="2" t="str">
        <f ca="1">IFERROR(__xludf.DUMMYFUNCTION("""COMPUTED_VALUE"""),"ape-3")</f>
        <v>ape-3</v>
      </c>
      <c r="B723" s="2" t="str">
        <f ca="1">IFERROR(__xludf.DUMMYFUNCTION("""COMPUTED_VALUE"""),"ape")</f>
        <v>ape</v>
      </c>
      <c r="C723" s="2" t="str">
        <f ca="1">IFERROR(__xludf.DUMMYFUNCTION("""COMPUTED_VALUE"""),"Ape")</f>
        <v>Ape</v>
      </c>
    </row>
    <row r="724" spans="1:3" x14ac:dyDescent="0.25">
      <c r="A724" s="2" t="str">
        <f ca="1">IFERROR(__xludf.DUMMYFUNCTION("""COMPUTED_VALUE"""),"ape-4")</f>
        <v>ape-4</v>
      </c>
      <c r="B724" s="2" t="str">
        <f ca="1">IFERROR(__xludf.DUMMYFUNCTION("""COMPUTED_VALUE"""),"ape")</f>
        <v>ape</v>
      </c>
      <c r="C724" s="2" t="str">
        <f ca="1">IFERROR(__xludf.DUMMYFUNCTION("""COMPUTED_VALUE"""),"Ape")</f>
        <v>Ape</v>
      </c>
    </row>
    <row r="725" spans="1:3" x14ac:dyDescent="0.25">
      <c r="A725" s="2" t="str">
        <f ca="1">IFERROR(__xludf.DUMMYFUNCTION("""COMPUTED_VALUE"""),"ape-and-pepe")</f>
        <v>ape-and-pepe</v>
      </c>
      <c r="B725" s="2" t="str">
        <f ca="1">IFERROR(__xludf.DUMMYFUNCTION("""COMPUTED_VALUE"""),"apepe")</f>
        <v>apepe</v>
      </c>
      <c r="C725" s="2" t="str">
        <f ca="1">IFERROR(__xludf.DUMMYFUNCTION("""COMPUTED_VALUE"""),"Ape and Pepe")</f>
        <v>Ape and Pepe</v>
      </c>
    </row>
    <row r="726" spans="1:3" x14ac:dyDescent="0.25">
      <c r="A726" s="2" t="str">
        <f ca="1">IFERROR(__xludf.DUMMYFUNCTION("""COMPUTED_VALUE"""),"apecoin")</f>
        <v>apecoin</v>
      </c>
      <c r="B726" s="2" t="str">
        <f ca="1">IFERROR(__xludf.DUMMYFUNCTION("""COMPUTED_VALUE"""),"ape")</f>
        <v>ape</v>
      </c>
      <c r="C726" s="2" t="str">
        <f ca="1">IFERROR(__xludf.DUMMYFUNCTION("""COMPUTED_VALUE"""),"ApeCoin")</f>
        <v>ApeCoin</v>
      </c>
    </row>
    <row r="727" spans="1:3" x14ac:dyDescent="0.25">
      <c r="A727" s="2" t="str">
        <f ca="1">IFERROR(__xludf.DUMMYFUNCTION("""COMPUTED_VALUE"""),"aped")</f>
        <v>aped</v>
      </c>
      <c r="B727" s="2" t="str">
        <f ca="1">IFERROR(__xludf.DUMMYFUNCTION("""COMPUTED_VALUE"""),"aped")</f>
        <v>aped</v>
      </c>
      <c r="C727" s="2" t="str">
        <f ca="1">IFERROR(__xludf.DUMMYFUNCTION("""COMPUTED_VALUE"""),"Aped")</f>
        <v>Aped</v>
      </c>
    </row>
    <row r="728" spans="1:3" x14ac:dyDescent="0.25">
      <c r="A728" s="2" t="str">
        <f ca="1">IFERROR(__xludf.DUMMYFUNCTION("""COMPUTED_VALUE"""),"aped-2")</f>
        <v>aped-2</v>
      </c>
      <c r="B728" s="2" t="str">
        <f ca="1">IFERROR(__xludf.DUMMYFUNCTION("""COMPUTED_VALUE"""),"aped")</f>
        <v>aped</v>
      </c>
      <c r="C728" s="2" t="str">
        <f ca="1">IFERROR(__xludf.DUMMYFUNCTION("""COMPUTED_VALUE"""),"Aped")</f>
        <v>Aped</v>
      </c>
    </row>
    <row r="729" spans="1:3" x14ac:dyDescent="0.25">
      <c r="A729" s="2" t="str">
        <f ca="1">IFERROR(__xludf.DUMMYFUNCTION("""COMPUTED_VALUE"""),"aped-3")</f>
        <v>aped-3</v>
      </c>
      <c r="B729" s="2" t="str">
        <f ca="1">IFERROR(__xludf.DUMMYFUNCTION("""COMPUTED_VALUE"""),"aped")</f>
        <v>aped</v>
      </c>
      <c r="C729" s="2" t="str">
        <f ca="1">IFERROR(__xludf.DUMMYFUNCTION("""COMPUTED_VALUE"""),"Aped")</f>
        <v>Aped</v>
      </c>
    </row>
    <row r="730" spans="1:3" x14ac:dyDescent="0.25">
      <c r="A730" s="2" t="str">
        <f ca="1">IFERROR(__xludf.DUMMYFUNCTION("""COMPUTED_VALUE"""),"apeiron-anima")</f>
        <v>apeiron-anima</v>
      </c>
      <c r="B730" s="2" t="str">
        <f ca="1">IFERROR(__xludf.DUMMYFUNCTION("""COMPUTED_VALUE"""),"anima")</f>
        <v>anima</v>
      </c>
      <c r="C730" s="2" t="str">
        <f ca="1">IFERROR(__xludf.DUMMYFUNCTION("""COMPUTED_VALUE"""),"Anima")</f>
        <v>Anima</v>
      </c>
    </row>
    <row r="731" spans="1:3" x14ac:dyDescent="0.25">
      <c r="A731" s="2" t="str">
        <f ca="1">IFERROR(__xludf.DUMMYFUNCTION("""COMPUTED_VALUE"""),"apeironnft")</f>
        <v>apeironnft</v>
      </c>
      <c r="B731" s="2" t="str">
        <f ca="1">IFERROR(__xludf.DUMMYFUNCTION("""COMPUTED_VALUE"""),"aprs")</f>
        <v>aprs</v>
      </c>
      <c r="C731" s="2" t="str">
        <f ca="1">IFERROR(__xludf.DUMMYFUNCTION("""COMPUTED_VALUE"""),"Apeiron")</f>
        <v>Apeiron</v>
      </c>
    </row>
    <row r="732" spans="1:3" x14ac:dyDescent="0.25">
      <c r="A732" s="2" t="str">
        <f ca="1">IFERROR(__xludf.DUMMYFUNCTION("""COMPUTED_VALUE"""),"ape-lol")</f>
        <v>ape-lol</v>
      </c>
      <c r="B732" s="2" t="str">
        <f ca="1">IFERROR(__xludf.DUMMYFUNCTION("""COMPUTED_VALUE"""),"ape")</f>
        <v>ape</v>
      </c>
      <c r="C732" s="2" t="str">
        <f ca="1">IFERROR(__xludf.DUMMYFUNCTION("""COMPUTED_VALUE"""),"Ape.lol")</f>
        <v>Ape.lol</v>
      </c>
    </row>
    <row r="733" spans="1:3" x14ac:dyDescent="0.25">
      <c r="A733" s="2" t="str">
        <f ca="1">IFERROR(__xludf.DUMMYFUNCTION("""COMPUTED_VALUE"""),"apenft")</f>
        <v>apenft</v>
      </c>
      <c r="B733" s="2" t="str">
        <f ca="1">IFERROR(__xludf.DUMMYFUNCTION("""COMPUTED_VALUE"""),"nft")</f>
        <v>nft</v>
      </c>
      <c r="C733" s="2" t="str">
        <f ca="1">IFERROR(__xludf.DUMMYFUNCTION("""COMPUTED_VALUE"""),"APENFT")</f>
        <v>APENFT</v>
      </c>
    </row>
    <row r="734" spans="1:3" x14ac:dyDescent="0.25">
      <c r="A734" s="2" t="str">
        <f ca="1">IFERROR(__xludf.DUMMYFUNCTION("""COMPUTED_VALUE"""),"apepudgyclonexazukimilady")</f>
        <v>apepudgyclonexazukimilady</v>
      </c>
      <c r="B734" s="2" t="str">
        <f ca="1">IFERROR(__xludf.DUMMYFUNCTION("""COMPUTED_VALUE"""),"nft")</f>
        <v>nft</v>
      </c>
      <c r="C734" s="2" t="str">
        <f ca="1">IFERROR(__xludf.DUMMYFUNCTION("""COMPUTED_VALUE"""),"ApePudgyCloneXAzukiMilady")</f>
        <v>ApePudgyCloneXAzukiMilady</v>
      </c>
    </row>
    <row r="735" spans="1:3" x14ac:dyDescent="0.25">
      <c r="A735" s="2" t="str">
        <f ca="1">IFERROR(__xludf.DUMMYFUNCTION("""COMPUTED_VALUE"""),"aperture-finance")</f>
        <v>aperture-finance</v>
      </c>
      <c r="B735" s="2" t="str">
        <f ca="1">IFERROR(__xludf.DUMMYFUNCTION("""COMPUTED_VALUE"""),"aptr")</f>
        <v>aptr</v>
      </c>
      <c r="C735" s="2" t="str">
        <f ca="1">IFERROR(__xludf.DUMMYFUNCTION("""COMPUTED_VALUE"""),"Aperture Finance")</f>
        <v>Aperture Finance</v>
      </c>
    </row>
    <row r="736" spans="1:3" x14ac:dyDescent="0.25">
      <c r="A736" s="2" t="str">
        <f ca="1">IFERROR(__xludf.DUMMYFUNCTION("""COMPUTED_VALUE"""),"apes-2")</f>
        <v>apes-2</v>
      </c>
      <c r="B736" s="2" t="str">
        <f ca="1">IFERROR(__xludf.DUMMYFUNCTION("""COMPUTED_VALUE"""),"apes")</f>
        <v>apes</v>
      </c>
      <c r="C736" s="2" t="str">
        <f ca="1">IFERROR(__xludf.DUMMYFUNCTION("""COMPUTED_VALUE"""),"APES")</f>
        <v>APES</v>
      </c>
    </row>
    <row r="737" spans="1:3" x14ac:dyDescent="0.25">
      <c r="A737" s="2" t="str">
        <f ca="1">IFERROR(__xludf.DUMMYFUNCTION("""COMPUTED_VALUE"""),"apescreener")</f>
        <v>apescreener</v>
      </c>
      <c r="B737" s="2" t="str">
        <f ca="1">IFERROR(__xludf.DUMMYFUNCTION("""COMPUTED_VALUE"""),"apes")</f>
        <v>apes</v>
      </c>
      <c r="C737" s="2" t="str">
        <f ca="1">IFERROR(__xludf.DUMMYFUNCTION("""COMPUTED_VALUE"""),"ApeScreener")</f>
        <v>ApeScreener</v>
      </c>
    </row>
    <row r="738" spans="1:3" x14ac:dyDescent="0.25">
      <c r="A738" s="2" t="str">
        <f ca="1">IFERROR(__xludf.DUMMYFUNCTION("""COMPUTED_VALUE"""),"apes-go-bananas")</f>
        <v>apes-go-bananas</v>
      </c>
      <c r="B738" s="2" t="str">
        <f ca="1">IFERROR(__xludf.DUMMYFUNCTION("""COMPUTED_VALUE"""),"agb")</f>
        <v>agb</v>
      </c>
      <c r="C738" s="2" t="str">
        <f ca="1">IFERROR(__xludf.DUMMYFUNCTION("""COMPUTED_VALUE"""),"Apes Go Bananas")</f>
        <v>Apes Go Bananas</v>
      </c>
    </row>
    <row r="739" spans="1:3" x14ac:dyDescent="0.25">
      <c r="A739" s="2" t="str">
        <f ca="1">IFERROR(__xludf.DUMMYFUNCTION("""COMPUTED_VALUE"""),"apeswap-finance")</f>
        <v>apeswap-finance</v>
      </c>
      <c r="B739" s="2" t="str">
        <f ca="1">IFERROR(__xludf.DUMMYFUNCTION("""COMPUTED_VALUE"""),"banana")</f>
        <v>banana</v>
      </c>
      <c r="C739" s="2" t="str">
        <f ca="1">IFERROR(__xludf.DUMMYFUNCTION("""COMPUTED_VALUE"""),"ApeSwap")</f>
        <v>ApeSwap</v>
      </c>
    </row>
    <row r="740" spans="1:3" x14ac:dyDescent="0.25">
      <c r="A740" s="2" t="str">
        <f ca="1">IFERROR(__xludf.DUMMYFUNCTION("""COMPUTED_VALUE"""),"apetardio")</f>
        <v>apetardio</v>
      </c>
      <c r="B740" s="2" t="str">
        <f ca="1">IFERROR(__xludf.DUMMYFUNCTION("""COMPUTED_VALUE"""),"apetardio")</f>
        <v>apetardio</v>
      </c>
      <c r="C740" s="2" t="str">
        <f ca="1">IFERROR(__xludf.DUMMYFUNCTION("""COMPUTED_VALUE"""),"Apetardio")</f>
        <v>Apetardio</v>
      </c>
    </row>
    <row r="741" spans="1:3" x14ac:dyDescent="0.25">
      <c r="A741" s="2" t="str">
        <f ca="1">IFERROR(__xludf.DUMMYFUNCTION("""COMPUTED_VALUE"""),"apetos")</f>
        <v>apetos</v>
      </c>
      <c r="B741" s="2" t="str">
        <f ca="1">IFERROR(__xludf.DUMMYFUNCTION("""COMPUTED_VALUE"""),"ape")</f>
        <v>ape</v>
      </c>
      <c r="C741" s="2" t="str">
        <f ca="1">IFERROR(__xludf.DUMMYFUNCTION("""COMPUTED_VALUE"""),"Apetos")</f>
        <v>Apetos</v>
      </c>
    </row>
    <row r="742" spans="1:3" x14ac:dyDescent="0.25">
      <c r="A742" s="2" t="str">
        <f ca="1">IFERROR(__xludf.DUMMYFUNCTION("""COMPUTED_VALUE"""),"apewifhat")</f>
        <v>apewifhat</v>
      </c>
      <c r="B742" s="2" t="str">
        <f ca="1">IFERROR(__xludf.DUMMYFUNCTION("""COMPUTED_VALUE"""),"apewifhat")</f>
        <v>apewifhat</v>
      </c>
      <c r="C742" s="2" t="str">
        <f ca="1">IFERROR(__xludf.DUMMYFUNCTION("""COMPUTED_VALUE"""),"ApeWifHat")</f>
        <v>ApeWifHat</v>
      </c>
    </row>
    <row r="743" spans="1:3" x14ac:dyDescent="0.25">
      <c r="A743" s="2" t="str">
        <f ca="1">IFERROR(__xludf.DUMMYFUNCTION("""COMPUTED_VALUE"""),"apex-3")</f>
        <v>apex-3</v>
      </c>
      <c r="B743" s="2" t="str">
        <f ca="1">IFERROR(__xludf.DUMMYFUNCTION("""COMPUTED_VALUE"""),"apex")</f>
        <v>apex</v>
      </c>
      <c r="C743" s="2" t="str">
        <f ca="1">IFERROR(__xludf.DUMMYFUNCTION("""COMPUTED_VALUE"""),"ApeX")</f>
        <v>ApeX</v>
      </c>
    </row>
    <row r="744" spans="1:3" x14ac:dyDescent="0.25">
      <c r="A744" s="2" t="str">
        <f ca="1">IFERROR(__xludf.DUMMYFUNCTION("""COMPUTED_VALUE"""),"apexit-finance")</f>
        <v>apexit-finance</v>
      </c>
      <c r="B744" s="2" t="str">
        <f ca="1">IFERROR(__xludf.DUMMYFUNCTION("""COMPUTED_VALUE"""),"apex")</f>
        <v>apex</v>
      </c>
      <c r="C744" s="2" t="str">
        <f ca="1">IFERROR(__xludf.DUMMYFUNCTION("""COMPUTED_VALUE"""),"ApeXit Finance")</f>
        <v>ApeXit Finance</v>
      </c>
    </row>
    <row r="745" spans="1:3" x14ac:dyDescent="0.25">
      <c r="A745" s="2" t="str">
        <f ca="1">IFERROR(__xludf.DUMMYFUNCTION("""COMPUTED_VALUE"""),"apex-token-2")</f>
        <v>apex-token-2</v>
      </c>
      <c r="B745" s="2" t="str">
        <f ca="1">IFERROR(__xludf.DUMMYFUNCTION("""COMPUTED_VALUE"""),"apex")</f>
        <v>apex</v>
      </c>
      <c r="C745" s="2" t="str">
        <f ca="1">IFERROR(__xludf.DUMMYFUNCTION("""COMPUTED_VALUE"""),"ApeX")</f>
        <v>ApeX</v>
      </c>
    </row>
    <row r="746" spans="1:3" x14ac:dyDescent="0.25">
      <c r="A746" s="2" t="str">
        <f ca="1">IFERROR(__xludf.DUMMYFUNCTION("""COMPUTED_VALUE"""),"apf-coin")</f>
        <v>apf-coin</v>
      </c>
      <c r="B746" s="2" t="str">
        <f ca="1">IFERROR(__xludf.DUMMYFUNCTION("""COMPUTED_VALUE"""),"apfc")</f>
        <v>apfc</v>
      </c>
      <c r="C746" s="2" t="str">
        <f ca="1">IFERROR(__xludf.DUMMYFUNCTION("""COMPUTED_VALUE"""),"APF coin")</f>
        <v>APF coin</v>
      </c>
    </row>
    <row r="747" spans="1:3" x14ac:dyDescent="0.25">
      <c r="A747" s="2" t="str">
        <f ca="1">IFERROR(__xludf.DUMMYFUNCTION("""COMPUTED_VALUE"""),"api3")</f>
        <v>api3</v>
      </c>
      <c r="B747" s="2" t="str">
        <f ca="1">IFERROR(__xludf.DUMMYFUNCTION("""COMPUTED_VALUE"""),"api3")</f>
        <v>api3</v>
      </c>
      <c r="C747" s="2" t="str">
        <f ca="1">IFERROR(__xludf.DUMMYFUNCTION("""COMPUTED_VALUE"""),"API3")</f>
        <v>API3</v>
      </c>
    </row>
    <row r="748" spans="1:3" x14ac:dyDescent="0.25">
      <c r="A748" s="2" t="str">
        <f ca="1">IFERROR(__xludf.DUMMYFUNCTION("""COMPUTED_VALUE"""),"apidae")</f>
        <v>apidae</v>
      </c>
      <c r="B748" s="2" t="str">
        <f ca="1">IFERROR(__xludf.DUMMYFUNCTION("""COMPUTED_VALUE"""),"apt")</f>
        <v>apt</v>
      </c>
      <c r="C748" s="2" t="str">
        <f ca="1">IFERROR(__xludf.DUMMYFUNCTION("""COMPUTED_VALUE"""),"Apidae")</f>
        <v>Apidae</v>
      </c>
    </row>
    <row r="749" spans="1:3" x14ac:dyDescent="0.25">
      <c r="A749" s="2" t="str">
        <f ca="1">IFERROR(__xludf.DUMMYFUNCTION("""COMPUTED_VALUE"""),"apillon")</f>
        <v>apillon</v>
      </c>
      <c r="B749" s="2" t="str">
        <f ca="1">IFERROR(__xludf.DUMMYFUNCTION("""COMPUTED_VALUE"""),"nctr")</f>
        <v>nctr</v>
      </c>
      <c r="C749" s="2" t="str">
        <f ca="1">IFERROR(__xludf.DUMMYFUNCTION("""COMPUTED_VALUE"""),"Apillon")</f>
        <v>Apillon</v>
      </c>
    </row>
    <row r="750" spans="1:3" x14ac:dyDescent="0.25">
      <c r="A750" s="2" t="str">
        <f ca="1">IFERROR(__xludf.DUMMYFUNCTION("""COMPUTED_VALUE"""),"apin-pulse")</f>
        <v>apin-pulse</v>
      </c>
      <c r="B750" s="2" t="str">
        <f ca="1">IFERROR(__xludf.DUMMYFUNCTION("""COMPUTED_VALUE"""),"apc")</f>
        <v>apc</v>
      </c>
      <c r="C750" s="2" t="str">
        <f ca="1">IFERROR(__xludf.DUMMYFUNCTION("""COMPUTED_VALUE"""),"Apin Pulse")</f>
        <v>Apin Pulse</v>
      </c>
    </row>
    <row r="751" spans="1:3" x14ac:dyDescent="0.25">
      <c r="A751" s="2" t="str">
        <f ca="1">IFERROR(__xludf.DUMMYFUNCTION("""COMPUTED_VALUE"""),"apm-coin")</f>
        <v>apm-coin</v>
      </c>
      <c r="B751" s="2" t="str">
        <f ca="1">IFERROR(__xludf.DUMMYFUNCTION("""COMPUTED_VALUE"""),"apm")</f>
        <v>apm</v>
      </c>
      <c r="C751" s="2" t="str">
        <f ca="1">IFERROR(__xludf.DUMMYFUNCTION("""COMPUTED_VALUE"""),"apM Coin")</f>
        <v>apM Coin</v>
      </c>
    </row>
    <row r="752" spans="1:3" x14ac:dyDescent="0.25">
      <c r="A752" s="2" t="str">
        <f ca="1">IFERROR(__xludf.DUMMYFUNCTION("""COMPUTED_VALUE"""),"apollo")</f>
        <v>apollo</v>
      </c>
      <c r="B752" s="2" t="str">
        <f ca="1">IFERROR(__xludf.DUMMYFUNCTION("""COMPUTED_VALUE"""),"apl")</f>
        <v>apl</v>
      </c>
      <c r="C752" s="2" t="str">
        <f ca="1">IFERROR(__xludf.DUMMYFUNCTION("""COMPUTED_VALUE"""),"Apollo")</f>
        <v>Apollo</v>
      </c>
    </row>
    <row r="753" spans="1:3" x14ac:dyDescent="0.25">
      <c r="A753" s="2" t="str">
        <f ca="1">IFERROR(__xludf.DUMMYFUNCTION("""COMPUTED_VALUE"""),"apollo-2")</f>
        <v>apollo-2</v>
      </c>
      <c r="B753" s="2" t="str">
        <f ca="1">IFERROR(__xludf.DUMMYFUNCTION("""COMPUTED_VALUE"""),"apollo")</f>
        <v>apollo</v>
      </c>
      <c r="C753" s="2" t="str">
        <f ca="1">IFERROR(__xludf.DUMMYFUNCTION("""COMPUTED_VALUE"""),"Apollo")</f>
        <v>Apollo</v>
      </c>
    </row>
    <row r="754" spans="1:3" x14ac:dyDescent="0.25">
      <c r="A754" s="2" t="str">
        <f ca="1">IFERROR(__xludf.DUMMYFUNCTION("""COMPUTED_VALUE"""),"apollo-3")</f>
        <v>apollo-3</v>
      </c>
      <c r="B754" s="2" t="str">
        <f ca="1">IFERROR(__xludf.DUMMYFUNCTION("""COMPUTED_VALUE"""),"apollo")</f>
        <v>apollo</v>
      </c>
      <c r="C754" s="2" t="str">
        <f ca="1">IFERROR(__xludf.DUMMYFUNCTION("""COMPUTED_VALUE"""),"Apollo")</f>
        <v>Apollo</v>
      </c>
    </row>
    <row r="755" spans="1:3" x14ac:dyDescent="0.25">
      <c r="A755" s="2" t="str">
        <f ca="1">IFERROR(__xludf.DUMMYFUNCTION("""COMPUTED_VALUE"""),"apollo-caps")</f>
        <v>apollo-caps</v>
      </c>
      <c r="B755" s="2" t="str">
        <f ca="1">IFERROR(__xludf.DUMMYFUNCTION("""COMPUTED_VALUE"""),"ace")</f>
        <v>ace</v>
      </c>
      <c r="C755" s="2" t="str">
        <f ca="1">IFERROR(__xludf.DUMMYFUNCTION("""COMPUTED_VALUE"""),"Apollo Caps")</f>
        <v>Apollo Caps</v>
      </c>
    </row>
    <row r="756" spans="1:3" x14ac:dyDescent="0.25">
      <c r="A756" s="2" t="str">
        <f ca="1">IFERROR(__xludf.DUMMYFUNCTION("""COMPUTED_VALUE"""),"apollo-ftw")</f>
        <v>apollo-ftw</v>
      </c>
      <c r="B756" s="2" t="str">
        <f ca="1">IFERROR(__xludf.DUMMYFUNCTION("""COMPUTED_VALUE"""),"ftw")</f>
        <v>ftw</v>
      </c>
      <c r="C756" s="2" t="str">
        <f ca="1">IFERROR(__xludf.DUMMYFUNCTION("""COMPUTED_VALUE"""),"Apollo FTW")</f>
        <v>Apollo FTW</v>
      </c>
    </row>
    <row r="757" spans="1:3" x14ac:dyDescent="0.25">
      <c r="A757" s="2" t="str">
        <f ca="1">IFERROR(__xludf.DUMMYFUNCTION("""COMPUTED_VALUE"""),"apollo-name-service")</f>
        <v>apollo-name-service</v>
      </c>
      <c r="B757" s="2" t="str">
        <f ca="1">IFERROR(__xludf.DUMMYFUNCTION("""COMPUTED_VALUE"""),"ans")</f>
        <v>ans</v>
      </c>
      <c r="C757" s="2" t="str">
        <f ca="1">IFERROR(__xludf.DUMMYFUNCTION("""COMPUTED_VALUE"""),"Apollo Name Service")</f>
        <v>Apollo Name Service</v>
      </c>
    </row>
    <row r="758" spans="1:3" x14ac:dyDescent="0.25">
      <c r="A758" s="2" t="str">
        <f ca="1">IFERROR(__xludf.DUMMYFUNCTION("""COMPUTED_VALUE"""),"apollon-limassol")</f>
        <v>apollon-limassol</v>
      </c>
      <c r="B758" s="2" t="str">
        <f ca="1">IFERROR(__xludf.DUMMYFUNCTION("""COMPUTED_VALUE"""),"apl")</f>
        <v>apl</v>
      </c>
      <c r="C758" s="2" t="str">
        <f ca="1">IFERROR(__xludf.DUMMYFUNCTION("""COMPUTED_VALUE"""),"Apollon Limassol Fan Token")</f>
        <v>Apollon Limassol Fan Token</v>
      </c>
    </row>
    <row r="759" spans="1:3" x14ac:dyDescent="0.25">
      <c r="A759" s="2" t="str">
        <f ca="1">IFERROR(__xludf.DUMMYFUNCTION("""COMPUTED_VALUE"""),"apollo-protocol-ceres")</f>
        <v>apollo-protocol-ceres</v>
      </c>
      <c r="B759" s="2" t="str">
        <f ca="1">IFERROR(__xludf.DUMMYFUNCTION("""COMPUTED_VALUE"""),"apollo")</f>
        <v>apollo</v>
      </c>
      <c r="C759" s="2" t="str">
        <f ca="1">IFERROR(__xludf.DUMMYFUNCTION("""COMPUTED_VALUE"""),"Apollo Protocol")</f>
        <v>Apollo Protocol</v>
      </c>
    </row>
    <row r="760" spans="1:3" x14ac:dyDescent="0.25">
      <c r="A760" s="2" t="str">
        <f ca="1">IFERROR(__xludf.DUMMYFUNCTION("""COMPUTED_VALUE"""),"apollox-2")</f>
        <v>apollox-2</v>
      </c>
      <c r="B760" s="2" t="str">
        <f ca="1">IFERROR(__xludf.DUMMYFUNCTION("""COMPUTED_VALUE"""),"apx")</f>
        <v>apx</v>
      </c>
      <c r="C760" s="2" t="str">
        <f ca="1">IFERROR(__xludf.DUMMYFUNCTION("""COMPUTED_VALUE"""),"APX")</f>
        <v>APX</v>
      </c>
    </row>
    <row r="761" spans="1:3" x14ac:dyDescent="0.25">
      <c r="A761" s="2" t="str">
        <f ca="1">IFERROR(__xludf.DUMMYFUNCTION("""COMPUTED_VALUE"""),"appcoins")</f>
        <v>appcoins</v>
      </c>
      <c r="B761" s="2" t="str">
        <f ca="1">IFERROR(__xludf.DUMMYFUNCTION("""COMPUTED_VALUE"""),"appc")</f>
        <v>appc</v>
      </c>
      <c r="C761" s="2" t="str">
        <f ca="1">IFERROR(__xludf.DUMMYFUNCTION("""COMPUTED_VALUE"""),"AppCoins")</f>
        <v>AppCoins</v>
      </c>
    </row>
    <row r="762" spans="1:3" x14ac:dyDescent="0.25">
      <c r="A762" s="2" t="str">
        <f ca="1">IFERROR(__xludf.DUMMYFUNCTION("""COMPUTED_VALUE"""),"appics")</f>
        <v>appics</v>
      </c>
      <c r="B762" s="2" t="str">
        <f ca="1">IFERROR(__xludf.DUMMYFUNCTION("""COMPUTED_VALUE"""),"apx")</f>
        <v>apx</v>
      </c>
      <c r="C762" s="2" t="str">
        <f ca="1">IFERROR(__xludf.DUMMYFUNCTION("""COMPUTED_VALUE"""),"Appics")</f>
        <v>Appics</v>
      </c>
    </row>
    <row r="763" spans="1:3" x14ac:dyDescent="0.25">
      <c r="A763" s="2" t="str">
        <f ca="1">IFERROR(__xludf.DUMMYFUNCTION("""COMPUTED_VALUE"""),"apple-cat")</f>
        <v>apple-cat</v>
      </c>
      <c r="B763" s="2" t="str">
        <f ca="1">IFERROR(__xludf.DUMMYFUNCTION("""COMPUTED_VALUE"""),"$acat")</f>
        <v>$acat</v>
      </c>
      <c r="C763" s="2" t="str">
        <f ca="1">IFERROR(__xludf.DUMMYFUNCTION("""COMPUTED_VALUE"""),"Apple Cat")</f>
        <v>Apple Cat</v>
      </c>
    </row>
    <row r="764" spans="1:3" x14ac:dyDescent="0.25">
      <c r="A764" s="2" t="str">
        <f ca="1">IFERROR(__xludf.DUMMYFUNCTION("""COMPUTED_VALUE"""),"apple-pie")</f>
        <v>apple-pie</v>
      </c>
      <c r="B764" s="2" t="str">
        <f ca="1">IFERROR(__xludf.DUMMYFUNCTION("""COMPUTED_VALUE"""),"pie")</f>
        <v>pie</v>
      </c>
      <c r="C764" s="2" t="str">
        <f ca="1">IFERROR(__xludf.DUMMYFUNCTION("""COMPUTED_VALUE"""),"Apple Pie")</f>
        <v>Apple Pie</v>
      </c>
    </row>
    <row r="765" spans="1:3" x14ac:dyDescent="0.25">
      <c r="A765" s="2" t="str">
        <f ca="1">IFERROR(__xludf.DUMMYFUNCTION("""COMPUTED_VALUE"""),"apple-tokenized-stock-defichain")</f>
        <v>apple-tokenized-stock-defichain</v>
      </c>
      <c r="B765" s="2" t="str">
        <f ca="1">IFERROR(__xludf.DUMMYFUNCTION("""COMPUTED_VALUE"""),"daapl")</f>
        <v>daapl</v>
      </c>
      <c r="C765" s="2" t="str">
        <f ca="1">IFERROR(__xludf.DUMMYFUNCTION("""COMPUTED_VALUE"""),"Apple Tokenized Stock Defichain")</f>
        <v>Apple Tokenized Stock Defichain</v>
      </c>
    </row>
    <row r="766" spans="1:3" x14ac:dyDescent="0.25">
      <c r="A766" s="2" t="str">
        <f ca="1">IFERROR(__xludf.DUMMYFUNCTION("""COMPUTED_VALUE"""),"apricot")</f>
        <v>apricot</v>
      </c>
      <c r="B766" s="2" t="str">
        <f ca="1">IFERROR(__xludf.DUMMYFUNCTION("""COMPUTED_VALUE"""),"aprt")</f>
        <v>aprt</v>
      </c>
      <c r="C766" s="2" t="str">
        <f ca="1">IFERROR(__xludf.DUMMYFUNCTION("""COMPUTED_VALUE"""),"Apricot")</f>
        <v>Apricot</v>
      </c>
    </row>
    <row r="767" spans="1:3" x14ac:dyDescent="0.25">
      <c r="A767" s="2" t="str">
        <f ca="1">IFERROR(__xludf.DUMMYFUNCTION("""COMPUTED_VALUE"""),"april")</f>
        <v>april</v>
      </c>
      <c r="B767" s="2" t="str">
        <f ca="1">IFERROR(__xludf.DUMMYFUNCTION("""COMPUTED_VALUE"""),"april")</f>
        <v>april</v>
      </c>
      <c r="C767" s="2" t="str">
        <f ca="1">IFERROR(__xludf.DUMMYFUNCTION("""COMPUTED_VALUE"""),"April")</f>
        <v>April</v>
      </c>
    </row>
    <row r="768" spans="1:3" x14ac:dyDescent="0.25">
      <c r="A768" s="2" t="str">
        <f ca="1">IFERROR(__xludf.DUMMYFUNCTION("""COMPUTED_VALUE"""),"apron")</f>
        <v>apron</v>
      </c>
      <c r="B768" s="2" t="str">
        <f ca="1">IFERROR(__xludf.DUMMYFUNCTION("""COMPUTED_VALUE"""),"apn")</f>
        <v>apn</v>
      </c>
      <c r="C768" s="2" t="str">
        <f ca="1">IFERROR(__xludf.DUMMYFUNCTION("""COMPUTED_VALUE"""),"Apron")</f>
        <v>Apron</v>
      </c>
    </row>
    <row r="769" spans="1:3" x14ac:dyDescent="0.25">
      <c r="A769" s="2" t="str">
        <f ca="1">IFERROR(__xludf.DUMMYFUNCTION("""COMPUTED_VALUE"""),"apsis")</f>
        <v>apsis</v>
      </c>
      <c r="B769" s="2" t="str">
        <f ca="1">IFERROR(__xludf.DUMMYFUNCTION("""COMPUTED_VALUE"""),"aps")</f>
        <v>aps</v>
      </c>
      <c r="C769" s="2" t="str">
        <f ca="1">IFERROR(__xludf.DUMMYFUNCTION("""COMPUTED_VALUE"""),"Apsis")</f>
        <v>Apsis</v>
      </c>
    </row>
    <row r="770" spans="1:3" x14ac:dyDescent="0.25">
      <c r="A770" s="2" t="str">
        <f ca="1">IFERROR(__xludf.DUMMYFUNCTION("""COMPUTED_VALUE"""),"aptopad")</f>
        <v>aptopad</v>
      </c>
      <c r="B770" s="2" t="str">
        <f ca="1">IFERROR(__xludf.DUMMYFUNCTION("""COMPUTED_VALUE"""),"apd")</f>
        <v>apd</v>
      </c>
      <c r="C770" s="2" t="str">
        <f ca="1">IFERROR(__xludf.DUMMYFUNCTION("""COMPUTED_VALUE"""),"Aptopad")</f>
        <v>Aptopad</v>
      </c>
    </row>
    <row r="771" spans="1:3" x14ac:dyDescent="0.25">
      <c r="A771" s="2" t="str">
        <f ca="1">IFERROR(__xludf.DUMMYFUNCTION("""COMPUTED_VALUE"""),"aptos")</f>
        <v>aptos</v>
      </c>
      <c r="B771" s="2" t="str">
        <f ca="1">IFERROR(__xludf.DUMMYFUNCTION("""COMPUTED_VALUE"""),"apt")</f>
        <v>apt</v>
      </c>
      <c r="C771" s="2" t="str">
        <f ca="1">IFERROR(__xludf.DUMMYFUNCTION("""COMPUTED_VALUE"""),"Aptos")</f>
        <v>Aptos</v>
      </c>
    </row>
    <row r="772" spans="1:3" x14ac:dyDescent="0.25">
      <c r="A772" s="2" t="str">
        <f ca="1">IFERROR(__xludf.DUMMYFUNCTION("""COMPUTED_VALUE"""),"aptos-launch-token")</f>
        <v>aptos-launch-token</v>
      </c>
      <c r="B772" s="2" t="str">
        <f ca="1">IFERROR(__xludf.DUMMYFUNCTION("""COMPUTED_VALUE"""),"alt")</f>
        <v>alt</v>
      </c>
      <c r="C772" s="2" t="str">
        <f ca="1">IFERROR(__xludf.DUMMYFUNCTION("""COMPUTED_VALUE"""),"AptosLaunch Token")</f>
        <v>AptosLaunch Token</v>
      </c>
    </row>
    <row r="773" spans="1:3" x14ac:dyDescent="0.25">
      <c r="A773" s="2" t="str">
        <f ca="1">IFERROR(__xludf.DUMMYFUNCTION("""COMPUTED_VALUE"""),"apu-apustaja-base")</f>
        <v>apu-apustaja-base</v>
      </c>
      <c r="B773" s="2" t="str">
        <f ca="1">IFERROR(__xludf.DUMMYFUNCTION("""COMPUTED_VALUE"""),"apu")</f>
        <v>apu</v>
      </c>
      <c r="C773" s="2" t="str">
        <f ca="1">IFERROR(__xludf.DUMMYFUNCTION("""COMPUTED_VALUE"""),"Apu Apustaja")</f>
        <v>Apu Apustaja</v>
      </c>
    </row>
    <row r="774" spans="1:3" x14ac:dyDescent="0.25">
      <c r="A774" s="2" t="str">
        <f ca="1">IFERROR(__xludf.DUMMYFUNCTION("""COMPUTED_VALUE"""),"apu-gurl")</f>
        <v>apu-gurl</v>
      </c>
      <c r="B774" s="2" t="str">
        <f ca="1">IFERROR(__xludf.DUMMYFUNCTION("""COMPUTED_VALUE"""),"apugurl")</f>
        <v>apugurl</v>
      </c>
      <c r="C774" s="2" t="str">
        <f ca="1">IFERROR(__xludf.DUMMYFUNCTION("""COMPUTED_VALUE"""),"Apu Gurl")</f>
        <v>Apu Gurl</v>
      </c>
    </row>
    <row r="775" spans="1:3" x14ac:dyDescent="0.25">
      <c r="A775" s="2" t="str">
        <f ca="1">IFERROR(__xludf.DUMMYFUNCTION("""COMPUTED_VALUE"""),"apu-s-club")</f>
        <v>apu-s-club</v>
      </c>
      <c r="B775" s="2" t="str">
        <f ca="1">IFERROR(__xludf.DUMMYFUNCTION("""COMPUTED_VALUE"""),"apu")</f>
        <v>apu</v>
      </c>
      <c r="C775" s="2" t="str">
        <f ca="1">IFERROR(__xludf.DUMMYFUNCTION("""COMPUTED_VALUE"""),"Apu Apustaja")</f>
        <v>Apu Apustaja</v>
      </c>
    </row>
    <row r="776" spans="1:3" x14ac:dyDescent="0.25">
      <c r="A776" s="2" t="str">
        <f ca="1">IFERROR(__xludf.DUMMYFUNCTION("""COMPUTED_VALUE"""),"apwine")</f>
        <v>apwine</v>
      </c>
      <c r="B776" s="2" t="str">
        <f ca="1">IFERROR(__xludf.DUMMYFUNCTION("""COMPUTED_VALUE"""),"apw")</f>
        <v>apw</v>
      </c>
      <c r="C776" s="2" t="str">
        <f ca="1">IFERROR(__xludf.DUMMYFUNCTION("""COMPUTED_VALUE"""),"Spectra")</f>
        <v>Spectra</v>
      </c>
    </row>
    <row r="777" spans="1:3" x14ac:dyDescent="0.25">
      <c r="A777" s="2" t="str">
        <f ca="1">IFERROR(__xludf.DUMMYFUNCTION("""COMPUTED_VALUE"""),"apy-finance")</f>
        <v>apy-finance</v>
      </c>
      <c r="B777" s="2" t="str">
        <f ca="1">IFERROR(__xludf.DUMMYFUNCTION("""COMPUTED_VALUE"""),"apy")</f>
        <v>apy</v>
      </c>
      <c r="C777" s="2" t="str">
        <f ca="1">IFERROR(__xludf.DUMMYFUNCTION("""COMPUTED_VALUE"""),"APY.Finance")</f>
        <v>APY.Finance</v>
      </c>
    </row>
    <row r="778" spans="1:3" x14ac:dyDescent="0.25">
      <c r="A778" s="2" t="str">
        <f ca="1">IFERROR(__xludf.DUMMYFUNCTION("""COMPUTED_VALUE"""),"apyswap")</f>
        <v>apyswap</v>
      </c>
      <c r="B778" s="2" t="str">
        <f ca="1">IFERROR(__xludf.DUMMYFUNCTION("""COMPUTED_VALUE"""),"apys")</f>
        <v>apys</v>
      </c>
      <c r="C778" s="2" t="str">
        <f ca="1">IFERROR(__xludf.DUMMYFUNCTION("""COMPUTED_VALUE"""),"APYSwap")</f>
        <v>APYSwap</v>
      </c>
    </row>
    <row r="779" spans="1:3" x14ac:dyDescent="0.25">
      <c r="A779" s="2" t="str">
        <f ca="1">IFERROR(__xludf.DUMMYFUNCTION("""COMPUTED_VALUE"""),"apy-vision")</f>
        <v>apy-vision</v>
      </c>
      <c r="B779" s="2" t="str">
        <f ca="1">IFERROR(__xludf.DUMMYFUNCTION("""COMPUTED_VALUE"""),"vision")</f>
        <v>vision</v>
      </c>
      <c r="C779" s="2" t="str">
        <f ca="1">IFERROR(__xludf.DUMMYFUNCTION("""COMPUTED_VALUE"""),"APY.vision")</f>
        <v>APY.vision</v>
      </c>
    </row>
    <row r="780" spans="1:3" x14ac:dyDescent="0.25">
      <c r="A780" s="2" t="str">
        <f ca="1">IFERROR(__xludf.DUMMYFUNCTION("""COMPUTED_VALUE"""),"aqtis")</f>
        <v>aqtis</v>
      </c>
      <c r="B780" s="2" t="str">
        <f ca="1">IFERROR(__xludf.DUMMYFUNCTION("""COMPUTED_VALUE"""),"aqtis")</f>
        <v>aqtis</v>
      </c>
      <c r="C780" s="2" t="str">
        <f ca="1">IFERROR(__xludf.DUMMYFUNCTION("""COMPUTED_VALUE"""),"AQTIS")</f>
        <v>AQTIS</v>
      </c>
    </row>
    <row r="781" spans="1:3" x14ac:dyDescent="0.25">
      <c r="A781" s="2" t="str">
        <f ca="1">IFERROR(__xludf.DUMMYFUNCTION("""COMPUTED_VALUE"""),"aquadao")</f>
        <v>aquadao</v>
      </c>
      <c r="B781" s="2" t="str">
        <f ca="1">IFERROR(__xludf.DUMMYFUNCTION("""COMPUTED_VALUE"""),"$aqua")</f>
        <v>$aqua</v>
      </c>
      <c r="C781" s="2" t="str">
        <f ca="1">IFERROR(__xludf.DUMMYFUNCTION("""COMPUTED_VALUE"""),"AquaDAO")</f>
        <v>AquaDAO</v>
      </c>
    </row>
    <row r="782" spans="1:3" x14ac:dyDescent="0.25">
      <c r="A782" s="2" t="str">
        <f ca="1">IFERROR(__xludf.DUMMYFUNCTION("""COMPUTED_VALUE"""),"aqua-goat")</f>
        <v>aqua-goat</v>
      </c>
      <c r="B782" s="2" t="str">
        <f ca="1">IFERROR(__xludf.DUMMYFUNCTION("""COMPUTED_VALUE"""),"aquagoat")</f>
        <v>aquagoat</v>
      </c>
      <c r="C782" s="2" t="str">
        <f ca="1">IFERROR(__xludf.DUMMYFUNCTION("""COMPUTED_VALUE"""),"Aqua Goat")</f>
        <v>Aqua Goat</v>
      </c>
    </row>
    <row r="783" spans="1:3" x14ac:dyDescent="0.25">
      <c r="A783" s="2" t="str">
        <f ca="1">IFERROR(__xludf.DUMMYFUNCTION("""COMPUTED_VALUE"""),"aqualibre")</f>
        <v>aqualibre</v>
      </c>
      <c r="B783" s="2" t="str">
        <f ca="1">IFERROR(__xludf.DUMMYFUNCTION("""COMPUTED_VALUE"""),"aqla")</f>
        <v>aqla</v>
      </c>
      <c r="C783" s="2" t="str">
        <f ca="1">IFERROR(__xludf.DUMMYFUNCTION("""COMPUTED_VALUE"""),"Aqualibre")</f>
        <v>Aqualibre</v>
      </c>
    </row>
    <row r="784" spans="1:3" x14ac:dyDescent="0.25">
      <c r="A784" s="2" t="str">
        <f ca="1">IFERROR(__xludf.DUMMYFUNCTION("""COMPUTED_VALUE"""),"aquanee")</f>
        <v>aquanee</v>
      </c>
      <c r="B784" s="2" t="str">
        <f ca="1">IFERROR(__xludf.DUMMYFUNCTION("""COMPUTED_VALUE"""),"aqdc")</f>
        <v>aqdc</v>
      </c>
      <c r="C784" s="2" t="str">
        <f ca="1">IFERROR(__xludf.DUMMYFUNCTION("""COMPUTED_VALUE"""),"Aquanee")</f>
        <v>Aquanee</v>
      </c>
    </row>
    <row r="785" spans="1:3" x14ac:dyDescent="0.25">
      <c r="A785" s="2" t="str">
        <f ca="1">IFERROR(__xludf.DUMMYFUNCTION("""COMPUTED_VALUE"""),"aquari")</f>
        <v>aquari</v>
      </c>
      <c r="B785" s="2" t="str">
        <f ca="1">IFERROR(__xludf.DUMMYFUNCTION("""COMPUTED_VALUE"""),"aquari")</f>
        <v>aquari</v>
      </c>
      <c r="C785" s="2" t="str">
        <f ca="1">IFERROR(__xludf.DUMMYFUNCTION("""COMPUTED_VALUE"""),"Aquari")</f>
        <v>Aquari</v>
      </c>
    </row>
    <row r="786" spans="1:3" x14ac:dyDescent="0.25">
      <c r="A786" s="2" t="str">
        <f ca="1">IFERROR(__xludf.DUMMYFUNCTION("""COMPUTED_VALUE"""),"aquarius")</f>
        <v>aquarius</v>
      </c>
      <c r="B786" s="2" t="str">
        <f ca="1">IFERROR(__xludf.DUMMYFUNCTION("""COMPUTED_VALUE"""),"aqua")</f>
        <v>aqua</v>
      </c>
      <c r="C786" s="2" t="str">
        <f ca="1">IFERROR(__xludf.DUMMYFUNCTION("""COMPUTED_VALUE"""),"Aquarius")</f>
        <v>Aquarius</v>
      </c>
    </row>
    <row r="787" spans="1:3" x14ac:dyDescent="0.25">
      <c r="A787" s="2" t="str">
        <f ca="1">IFERROR(__xludf.DUMMYFUNCTION("""COMPUTED_VALUE"""),"aquarius-loan")</f>
        <v>aquarius-loan</v>
      </c>
      <c r="B787" s="2" t="str">
        <f ca="1">IFERROR(__xludf.DUMMYFUNCTION("""COMPUTED_VALUE"""),"ars")</f>
        <v>ars</v>
      </c>
      <c r="C787" s="2" t="str">
        <f ca="1">IFERROR(__xludf.DUMMYFUNCTION("""COMPUTED_VALUE"""),"Aquarius Loan")</f>
        <v>Aquarius Loan</v>
      </c>
    </row>
    <row r="788" spans="1:3" x14ac:dyDescent="0.25">
      <c r="A788" s="2" t="str">
        <f ca="1">IFERROR(__xludf.DUMMYFUNCTION("""COMPUTED_VALUE"""),"aquastake")</f>
        <v>aquastake</v>
      </c>
      <c r="B788" s="2" t="str">
        <f ca="1">IFERROR(__xludf.DUMMYFUNCTION("""COMPUTED_VALUE"""),"$aqua")</f>
        <v>$aqua</v>
      </c>
      <c r="C788" s="2" t="str">
        <f ca="1">IFERROR(__xludf.DUMMYFUNCTION("""COMPUTED_VALUE"""),"AquaStake")</f>
        <v>AquaStake</v>
      </c>
    </row>
    <row r="789" spans="1:3" x14ac:dyDescent="0.25">
      <c r="A789" s="2" t="str">
        <f ca="1">IFERROR(__xludf.DUMMYFUNCTION("""COMPUTED_VALUE"""),"aquathecoin")</f>
        <v>aquathecoin</v>
      </c>
      <c r="B789" s="2" t="str">
        <f ca="1">IFERROR(__xludf.DUMMYFUNCTION("""COMPUTED_VALUE"""),"aqua")</f>
        <v>aqua</v>
      </c>
      <c r="C789" s="2" t="str">
        <f ca="1">IFERROR(__xludf.DUMMYFUNCTION("""COMPUTED_VALUE"""),"Aquathecoin")</f>
        <v>Aquathecoin</v>
      </c>
    </row>
    <row r="790" spans="1:3" x14ac:dyDescent="0.25">
      <c r="A790" s="2" t="str">
        <f ca="1">IFERROR(__xludf.DUMMYFUNCTION("""COMPUTED_VALUE"""),"arab-cat")</f>
        <v>arab-cat</v>
      </c>
      <c r="B790" s="2" t="str">
        <f ca="1">IFERROR(__xludf.DUMMYFUNCTION("""COMPUTED_VALUE"""),"arab")</f>
        <v>arab</v>
      </c>
      <c r="C790" s="2" t="str">
        <f ca="1">IFERROR(__xludf.DUMMYFUNCTION("""COMPUTED_VALUE"""),"Arab cat")</f>
        <v>Arab cat</v>
      </c>
    </row>
    <row r="791" spans="1:3" x14ac:dyDescent="0.25">
      <c r="A791" s="2" t="str">
        <f ca="1">IFERROR(__xludf.DUMMYFUNCTION("""COMPUTED_VALUE"""),"arabianchain")</f>
        <v>arabianchain</v>
      </c>
      <c r="B791" s="2" t="str">
        <f ca="1">IFERROR(__xludf.DUMMYFUNCTION("""COMPUTED_VALUE"""),"dubx")</f>
        <v>dubx</v>
      </c>
      <c r="C791" s="2" t="str">
        <f ca="1">IFERROR(__xludf.DUMMYFUNCTION("""COMPUTED_VALUE"""),"ArabianChain")</f>
        <v>ArabianChain</v>
      </c>
    </row>
    <row r="792" spans="1:3" x14ac:dyDescent="0.25">
      <c r="A792" s="2" t="str">
        <f ca="1">IFERROR(__xludf.DUMMYFUNCTION("""COMPUTED_VALUE"""),"arabian-dragon")</f>
        <v>arabian-dragon</v>
      </c>
      <c r="B792" s="2" t="str">
        <f ca="1">IFERROR(__xludf.DUMMYFUNCTION("""COMPUTED_VALUE"""),"agon")</f>
        <v>agon</v>
      </c>
      <c r="C792" s="2" t="str">
        <f ca="1">IFERROR(__xludf.DUMMYFUNCTION("""COMPUTED_VALUE"""),"Arabian Dragon")</f>
        <v>Arabian Dragon</v>
      </c>
    </row>
    <row r="793" spans="1:3" x14ac:dyDescent="0.25">
      <c r="A793" s="2" t="str">
        <f ca="1">IFERROR(__xludf.DUMMYFUNCTION("""COMPUTED_VALUE"""),"arabic")</f>
        <v>arabic</v>
      </c>
      <c r="B793" s="2" t="str">
        <f ca="1">IFERROR(__xludf.DUMMYFUNCTION("""COMPUTED_VALUE"""),"abic")</f>
        <v>abic</v>
      </c>
      <c r="C793" s="2" t="str">
        <f ca="1">IFERROR(__xludf.DUMMYFUNCTION("""COMPUTED_VALUE"""),"Arabic")</f>
        <v>Arabic</v>
      </c>
    </row>
    <row r="794" spans="1:3" x14ac:dyDescent="0.25">
      <c r="A794" s="2" t="str">
        <f ca="1">IFERROR(__xludf.DUMMYFUNCTION("""COMPUTED_VALUE"""),"arable-protocol")</f>
        <v>arable-protocol</v>
      </c>
      <c r="B794" s="2" t="str">
        <f ca="1">IFERROR(__xludf.DUMMYFUNCTION("""COMPUTED_VALUE"""),"acre")</f>
        <v>acre</v>
      </c>
      <c r="C794" s="2" t="str">
        <f ca="1">IFERROR(__xludf.DUMMYFUNCTION("""COMPUTED_VALUE"""),"Arable Protocol")</f>
        <v>Arable Protocol</v>
      </c>
    </row>
    <row r="795" spans="1:3" x14ac:dyDescent="0.25">
      <c r="A795" s="2" t="str">
        <f ca="1">IFERROR(__xludf.DUMMYFUNCTION("""COMPUTED_VALUE"""),"arafi")</f>
        <v>arafi</v>
      </c>
      <c r="B795" s="2" t="str">
        <f ca="1">IFERROR(__xludf.DUMMYFUNCTION("""COMPUTED_VALUE"""),"ara")</f>
        <v>ara</v>
      </c>
      <c r="C795" s="2" t="str">
        <f ca="1">IFERROR(__xludf.DUMMYFUNCTION("""COMPUTED_VALUE"""),"AraFi")</f>
        <v>AraFi</v>
      </c>
    </row>
    <row r="796" spans="1:3" x14ac:dyDescent="0.25">
      <c r="A796" s="2" t="str">
        <f ca="1">IFERROR(__xludf.DUMMYFUNCTION("""COMPUTED_VALUE"""),"aragon")</f>
        <v>aragon</v>
      </c>
      <c r="B796" s="2" t="str">
        <f ca="1">IFERROR(__xludf.DUMMYFUNCTION("""COMPUTED_VALUE"""),"ant")</f>
        <v>ant</v>
      </c>
      <c r="C796" s="2" t="str">
        <f ca="1">IFERROR(__xludf.DUMMYFUNCTION("""COMPUTED_VALUE"""),"Aragon")</f>
        <v>Aragon</v>
      </c>
    </row>
    <row r="797" spans="1:3" x14ac:dyDescent="0.25">
      <c r="A797" s="2" t="str">
        <f ca="1">IFERROR(__xludf.DUMMYFUNCTION("""COMPUTED_VALUE"""),"ara-token")</f>
        <v>ara-token</v>
      </c>
      <c r="B797" s="2" t="str">
        <f ca="1">IFERROR(__xludf.DUMMYFUNCTION("""COMPUTED_VALUE"""),"ara")</f>
        <v>ara</v>
      </c>
      <c r="C797" s="2" t="str">
        <f ca="1">IFERROR(__xludf.DUMMYFUNCTION("""COMPUTED_VALUE"""),"Ara")</f>
        <v>Ara</v>
      </c>
    </row>
    <row r="798" spans="1:3" x14ac:dyDescent="0.25">
      <c r="A798" s="2" t="str">
        <f ca="1">IFERROR(__xludf.DUMMYFUNCTION("""COMPUTED_VALUE"""),"arbdoge-ai")</f>
        <v>arbdoge-ai</v>
      </c>
      <c r="B798" s="2" t="str">
        <f ca="1">IFERROR(__xludf.DUMMYFUNCTION("""COMPUTED_VALUE"""),"aidoge")</f>
        <v>aidoge</v>
      </c>
      <c r="C798" s="2" t="str">
        <f ca="1">IFERROR(__xludf.DUMMYFUNCTION("""COMPUTED_VALUE"""),"ArbDoge AI")</f>
        <v>ArbDoge AI</v>
      </c>
    </row>
    <row r="799" spans="1:3" x14ac:dyDescent="0.25">
      <c r="A799" s="2" t="str">
        <f ca="1">IFERROR(__xludf.DUMMYFUNCTION("""COMPUTED_VALUE"""),"arbidoge")</f>
        <v>arbidoge</v>
      </c>
      <c r="B799" s="2" t="str">
        <f ca="1">IFERROR(__xludf.DUMMYFUNCTION("""COMPUTED_VALUE"""),"adoge")</f>
        <v>adoge</v>
      </c>
      <c r="C799" s="2" t="str">
        <f ca="1">IFERROR(__xludf.DUMMYFUNCTION("""COMPUTED_VALUE"""),"ArbiDoge")</f>
        <v>ArbiDoge</v>
      </c>
    </row>
    <row r="800" spans="1:3" x14ac:dyDescent="0.25">
      <c r="A800" s="2" t="str">
        <f ca="1">IFERROR(__xludf.DUMMYFUNCTION("""COMPUTED_VALUE"""),"arbinauts")</f>
        <v>arbinauts</v>
      </c>
      <c r="B800" s="2" t="str">
        <f ca="1">IFERROR(__xludf.DUMMYFUNCTION("""COMPUTED_VALUE"""),"arbinauts")</f>
        <v>arbinauts</v>
      </c>
      <c r="C800" s="2" t="str">
        <f ca="1">IFERROR(__xludf.DUMMYFUNCTION("""COMPUTED_VALUE"""),"Arbinauts")</f>
        <v>Arbinauts</v>
      </c>
    </row>
    <row r="801" spans="1:3" x14ac:dyDescent="0.25">
      <c r="A801" s="2" t="str">
        <f ca="1">IFERROR(__xludf.DUMMYFUNCTION("""COMPUTED_VALUE"""),"arbinyan")</f>
        <v>arbinyan</v>
      </c>
      <c r="B801" s="2" t="str">
        <f ca="1">IFERROR(__xludf.DUMMYFUNCTION("""COMPUTED_VALUE"""),"nyan")</f>
        <v>nyan</v>
      </c>
      <c r="C801" s="2" t="str">
        <f ca="1">IFERROR(__xludf.DUMMYFUNCTION("""COMPUTED_VALUE"""),"ArbiNYAN")</f>
        <v>ArbiNYAN</v>
      </c>
    </row>
    <row r="802" spans="1:3" x14ac:dyDescent="0.25">
      <c r="A802" s="2" t="str">
        <f ca="1">IFERROR(__xludf.DUMMYFUNCTION("""COMPUTED_VALUE"""),"arbipad")</f>
        <v>arbipad</v>
      </c>
      <c r="B802" s="2" t="str">
        <f ca="1">IFERROR(__xludf.DUMMYFUNCTION("""COMPUTED_VALUE"""),"arbi")</f>
        <v>arbi</v>
      </c>
      <c r="C802" s="2" t="str">
        <f ca="1">IFERROR(__xludf.DUMMYFUNCTION("""COMPUTED_VALUE"""),"ArbiPad")</f>
        <v>ArbiPad</v>
      </c>
    </row>
    <row r="803" spans="1:3" x14ac:dyDescent="0.25">
      <c r="A803" s="2" t="str">
        <f ca="1">IFERROR(__xludf.DUMMYFUNCTION("""COMPUTED_VALUE"""),"arbismart-token")</f>
        <v>arbismart-token</v>
      </c>
      <c r="B803" s="2" t="str">
        <f ca="1">IFERROR(__xludf.DUMMYFUNCTION("""COMPUTED_VALUE"""),"rbis")</f>
        <v>rbis</v>
      </c>
      <c r="C803" s="2" t="str">
        <f ca="1">IFERROR(__xludf.DUMMYFUNCTION("""COMPUTED_VALUE"""),"ArbiSmart")</f>
        <v>ArbiSmart</v>
      </c>
    </row>
    <row r="804" spans="1:3" x14ac:dyDescent="0.25">
      <c r="A804" s="2" t="str">
        <f ca="1">IFERROR(__xludf.DUMMYFUNCTION("""COMPUTED_VALUE"""),"arbitrove-alp")</f>
        <v>arbitrove-alp</v>
      </c>
      <c r="B804" s="2" t="str">
        <f ca="1">IFERROR(__xludf.DUMMYFUNCTION("""COMPUTED_VALUE"""),"alp")</f>
        <v>alp</v>
      </c>
      <c r="C804" s="2" t="str">
        <f ca="1">IFERROR(__xludf.DUMMYFUNCTION("""COMPUTED_VALUE"""),"Arbitrove ALP")</f>
        <v>Arbitrove ALP</v>
      </c>
    </row>
    <row r="805" spans="1:3" x14ac:dyDescent="0.25">
      <c r="A805" s="2" t="str">
        <f ca="1">IFERROR(__xludf.DUMMYFUNCTION("""COMPUTED_VALUE"""),"arbitrum")</f>
        <v>arbitrum</v>
      </c>
      <c r="B805" s="2" t="str">
        <f ca="1">IFERROR(__xludf.DUMMYFUNCTION("""COMPUTED_VALUE"""),"arb")</f>
        <v>arb</v>
      </c>
      <c r="C805" s="2" t="str">
        <f ca="1">IFERROR(__xludf.DUMMYFUNCTION("""COMPUTED_VALUE"""),"Arbitrum")</f>
        <v>Arbitrum</v>
      </c>
    </row>
    <row r="806" spans="1:3" x14ac:dyDescent="0.25">
      <c r="A806" s="2" t="str">
        <f ca="1">IFERROR(__xludf.DUMMYFUNCTION("""COMPUTED_VALUE"""),"arbitrum-bridged-usdt-arbitrum")</f>
        <v>arbitrum-bridged-usdt-arbitrum</v>
      </c>
      <c r="B806" s="2" t="str">
        <f ca="1">IFERROR(__xludf.DUMMYFUNCTION("""COMPUTED_VALUE"""),"usdt")</f>
        <v>usdt</v>
      </c>
      <c r="C806" s="2" t="str">
        <f ca="1">IFERROR(__xludf.DUMMYFUNCTION("""COMPUTED_VALUE"""),"Arbitrum Bridged USDT (Arbitrum)")</f>
        <v>Arbitrum Bridged USDT (Arbitrum)</v>
      </c>
    </row>
    <row r="807" spans="1:3" x14ac:dyDescent="0.25">
      <c r="A807" s="2" t="str">
        <f ca="1">IFERROR(__xludf.DUMMYFUNCTION("""COMPUTED_VALUE"""),"arbitrum-bridged-wbtc-arbitrum-one")</f>
        <v>arbitrum-bridged-wbtc-arbitrum-one</v>
      </c>
      <c r="B807" s="2" t="str">
        <f ca="1">IFERROR(__xludf.DUMMYFUNCTION("""COMPUTED_VALUE"""),"wbtc")</f>
        <v>wbtc</v>
      </c>
      <c r="C807" s="2" t="str">
        <f ca="1">IFERROR(__xludf.DUMMYFUNCTION("""COMPUTED_VALUE"""),"Arbitrum Bridged WBTC (Arbitrum One)")</f>
        <v>Arbitrum Bridged WBTC (Arbitrum One)</v>
      </c>
    </row>
    <row r="808" spans="1:3" x14ac:dyDescent="0.25">
      <c r="A808" s="2" t="str">
        <f ca="1">IFERROR(__xludf.DUMMYFUNCTION("""COMPUTED_VALUE"""),"arbitrum-bridged-weth-arbitrum-nova")</f>
        <v>arbitrum-bridged-weth-arbitrum-nova</v>
      </c>
      <c r="B808" s="2" t="str">
        <f ca="1">IFERROR(__xludf.DUMMYFUNCTION("""COMPUTED_VALUE"""),"weth")</f>
        <v>weth</v>
      </c>
      <c r="C808" s="2" t="str">
        <f ca="1">IFERROR(__xludf.DUMMYFUNCTION("""COMPUTED_VALUE"""),"Arbitrum Bridged WETH (Arbitrum Nova)")</f>
        <v>Arbitrum Bridged WETH (Arbitrum Nova)</v>
      </c>
    </row>
    <row r="809" spans="1:3" x14ac:dyDescent="0.25">
      <c r="A809" s="2" t="str">
        <f ca="1">IFERROR(__xludf.DUMMYFUNCTION("""COMPUTED_VALUE"""),"arbitrum-bridged-weth-arbitrum-one")</f>
        <v>arbitrum-bridged-weth-arbitrum-one</v>
      </c>
      <c r="B809" s="2" t="str">
        <f ca="1">IFERROR(__xludf.DUMMYFUNCTION("""COMPUTED_VALUE"""),"weth")</f>
        <v>weth</v>
      </c>
      <c r="C809" s="2" t="str">
        <f ca="1">IFERROR(__xludf.DUMMYFUNCTION("""COMPUTED_VALUE"""),"Arbitrum Bridged WETH (Arbitrum One)")</f>
        <v>Arbitrum Bridged WETH (Arbitrum One)</v>
      </c>
    </row>
    <row r="810" spans="1:3" x14ac:dyDescent="0.25">
      <c r="A810" s="2" t="str">
        <f ca="1">IFERROR(__xludf.DUMMYFUNCTION("""COMPUTED_VALUE"""),"arbitrum-ecosystem-index")</f>
        <v>arbitrum-ecosystem-index</v>
      </c>
      <c r="B810" s="2" t="str">
        <f ca="1">IFERROR(__xludf.DUMMYFUNCTION("""COMPUTED_VALUE"""),"arbi")</f>
        <v>arbi</v>
      </c>
      <c r="C810" s="2" t="str">
        <f ca="1">IFERROR(__xludf.DUMMYFUNCTION("""COMPUTED_VALUE"""),"Arbitrum Ecosystem Index")</f>
        <v>Arbitrum Ecosystem Index</v>
      </c>
    </row>
    <row r="811" spans="1:3" x14ac:dyDescent="0.25">
      <c r="A811" s="2" t="str">
        <f ca="1">IFERROR(__xludf.DUMMYFUNCTION("""COMPUTED_VALUE"""),"arbitrum-exchange")</f>
        <v>arbitrum-exchange</v>
      </c>
      <c r="B811" s="2" t="str">
        <f ca="1">IFERROR(__xludf.DUMMYFUNCTION("""COMPUTED_VALUE"""),"arx")</f>
        <v>arx</v>
      </c>
      <c r="C811" s="2" t="str">
        <f ca="1">IFERROR(__xludf.DUMMYFUNCTION("""COMPUTED_VALUE"""),"Arbidex")</f>
        <v>Arbidex</v>
      </c>
    </row>
    <row r="812" spans="1:3" x14ac:dyDescent="0.25">
      <c r="A812" s="2" t="str">
        <f ca="1">IFERROR(__xludf.DUMMYFUNCTION("""COMPUTED_VALUE"""),"arbitrumpad")</f>
        <v>arbitrumpad</v>
      </c>
      <c r="B812" s="2" t="str">
        <f ca="1">IFERROR(__xludf.DUMMYFUNCTION("""COMPUTED_VALUE"""),"arbpad")</f>
        <v>arbpad</v>
      </c>
      <c r="C812" s="2" t="str">
        <f ca="1">IFERROR(__xludf.DUMMYFUNCTION("""COMPUTED_VALUE"""),"ArbitrumPad")</f>
        <v>ArbitrumPad</v>
      </c>
    </row>
    <row r="813" spans="1:3" x14ac:dyDescent="0.25">
      <c r="A813" s="2" t="str">
        <f ca="1">IFERROR(__xludf.DUMMYFUNCTION("""COMPUTED_VALUE"""),"arbius")</f>
        <v>arbius</v>
      </c>
      <c r="B813" s="2" t="str">
        <f ca="1">IFERROR(__xludf.DUMMYFUNCTION("""COMPUTED_VALUE"""),"aius")</f>
        <v>aius</v>
      </c>
      <c r="C813" s="2" t="str">
        <f ca="1">IFERROR(__xludf.DUMMYFUNCTION("""COMPUTED_VALUE"""),"Arbius")</f>
        <v>Arbius</v>
      </c>
    </row>
    <row r="814" spans="1:3" x14ac:dyDescent="0.25">
      <c r="A814" s="2" t="str">
        <f ca="1">IFERROR(__xludf.DUMMYFUNCTION("""COMPUTED_VALUE"""),"arb-protocol")</f>
        <v>arb-protocol</v>
      </c>
      <c r="B814" s="2" t="str">
        <f ca="1">IFERROR(__xludf.DUMMYFUNCTION("""COMPUTED_VALUE"""),"arb")</f>
        <v>arb</v>
      </c>
      <c r="C814" s="2" t="str">
        <f ca="1">IFERROR(__xludf.DUMMYFUNCTION("""COMPUTED_VALUE"""),"ARB Protocol")</f>
        <v>ARB Protocol</v>
      </c>
    </row>
    <row r="815" spans="1:3" x14ac:dyDescent="0.25">
      <c r="A815" s="2" t="str">
        <f ca="1">IFERROR(__xludf.DUMMYFUNCTION("""COMPUTED_VALUE"""),"arbswap")</f>
        <v>arbswap</v>
      </c>
      <c r="B815" s="2" t="str">
        <f ca="1">IFERROR(__xludf.DUMMYFUNCTION("""COMPUTED_VALUE"""),"arbs")</f>
        <v>arbs</v>
      </c>
      <c r="C815" s="2" t="str">
        <f ca="1">IFERROR(__xludf.DUMMYFUNCTION("""COMPUTED_VALUE"""),"Arbswap")</f>
        <v>Arbswap</v>
      </c>
    </row>
    <row r="816" spans="1:3" x14ac:dyDescent="0.25">
      <c r="A816" s="2" t="str">
        <f ca="1">IFERROR(__xludf.DUMMYFUNCTION("""COMPUTED_VALUE"""),"arbus")</f>
        <v>arbus</v>
      </c>
      <c r="B816" s="2" t="str">
        <f ca="1">IFERROR(__xludf.DUMMYFUNCTION("""COMPUTED_VALUE"""),"arbus")</f>
        <v>arbus</v>
      </c>
      <c r="C816" s="2" t="str">
        <f ca="1">IFERROR(__xludf.DUMMYFUNCTION("""COMPUTED_VALUE"""),"Arbus")</f>
        <v>Arbus</v>
      </c>
    </row>
    <row r="817" spans="1:3" x14ac:dyDescent="0.25">
      <c r="A817" s="2" t="str">
        <f ca="1">IFERROR(__xludf.DUMMYFUNCTION("""COMPUTED_VALUE"""),"arbuz")</f>
        <v>arbuz</v>
      </c>
      <c r="B817" s="2" t="str">
        <f ca="1">IFERROR(__xludf.DUMMYFUNCTION("""COMPUTED_VALUE"""),"arbuz")</f>
        <v>arbuz</v>
      </c>
      <c r="C817" s="2" t="str">
        <f ca="1">IFERROR(__xludf.DUMMYFUNCTION("""COMPUTED_VALUE"""),"ARBUZ")</f>
        <v>ARBUZ</v>
      </c>
    </row>
    <row r="818" spans="1:3" x14ac:dyDescent="0.25">
      <c r="A818" s="2" t="str">
        <f ca="1">IFERROR(__xludf.DUMMYFUNCTION("""COMPUTED_VALUE"""),"arc")</f>
        <v>arc</v>
      </c>
      <c r="B818" s="2" t="str">
        <f ca="1">IFERROR(__xludf.DUMMYFUNCTION("""COMPUTED_VALUE"""),"arc")</f>
        <v>arc</v>
      </c>
      <c r="C818" s="2" t="str">
        <f ca="1">IFERROR(__xludf.DUMMYFUNCTION("""COMPUTED_VALUE"""),"Arc")</f>
        <v>Arc</v>
      </c>
    </row>
    <row r="819" spans="1:3" x14ac:dyDescent="0.25">
      <c r="A819" s="2" t="str">
        <f ca="1">IFERROR(__xludf.DUMMYFUNCTION("""COMPUTED_VALUE"""),"arca")</f>
        <v>arca</v>
      </c>
      <c r="B819" s="2" t="str">
        <f ca="1">IFERROR(__xludf.DUMMYFUNCTION("""COMPUTED_VALUE"""),"arca")</f>
        <v>arca</v>
      </c>
      <c r="C819" s="2" t="str">
        <f ca="1">IFERROR(__xludf.DUMMYFUNCTION("""COMPUTED_VALUE"""),"ARCA")</f>
        <v>ARCA</v>
      </c>
    </row>
    <row r="820" spans="1:3" x14ac:dyDescent="0.25">
      <c r="A820" s="2" t="str">
        <f ca="1">IFERROR(__xludf.DUMMYFUNCTION("""COMPUTED_VALUE"""),"arcade-2")</f>
        <v>arcade-2</v>
      </c>
      <c r="B820" s="2" t="str">
        <f ca="1">IFERROR(__xludf.DUMMYFUNCTION("""COMPUTED_VALUE"""),"arc")</f>
        <v>arc</v>
      </c>
      <c r="C820" s="2" t="str">
        <f ca="1">IFERROR(__xludf.DUMMYFUNCTION("""COMPUTED_VALUE"""),"Arcade")</f>
        <v>Arcade</v>
      </c>
    </row>
    <row r="821" spans="1:3" x14ac:dyDescent="0.25">
      <c r="A821" s="2" t="str">
        <f ca="1">IFERROR(__xludf.DUMMYFUNCTION("""COMPUTED_VALUE"""),"arcadefi")</f>
        <v>arcadefi</v>
      </c>
      <c r="B821" s="2" t="str">
        <f ca="1">IFERROR(__xludf.DUMMYFUNCTION("""COMPUTED_VALUE"""),"arcade")</f>
        <v>arcade</v>
      </c>
      <c r="C821" s="2" t="str">
        <f ca="1">IFERROR(__xludf.DUMMYFUNCTION("""COMPUTED_VALUE"""),"ArcadeFi")</f>
        <v>ArcadeFi</v>
      </c>
    </row>
    <row r="822" spans="1:3" x14ac:dyDescent="0.25">
      <c r="A822" s="2" t="str">
        <f ca="1">IFERROR(__xludf.DUMMYFUNCTION("""COMPUTED_VALUE"""),"arcade-protocol")</f>
        <v>arcade-protocol</v>
      </c>
      <c r="B822" s="2" t="str">
        <f ca="1">IFERROR(__xludf.DUMMYFUNCTION("""COMPUTED_VALUE"""),"arcd")</f>
        <v>arcd</v>
      </c>
      <c r="C822" s="2" t="str">
        <f ca="1">IFERROR(__xludf.DUMMYFUNCTION("""COMPUTED_VALUE"""),"Arcade")</f>
        <v>Arcade</v>
      </c>
    </row>
    <row r="823" spans="1:3" x14ac:dyDescent="0.25">
      <c r="A823" s="2" t="str">
        <f ca="1">IFERROR(__xludf.DUMMYFUNCTION("""COMPUTED_VALUE"""),"arcadeum")</f>
        <v>arcadeum</v>
      </c>
      <c r="B823" s="2" t="str">
        <f ca="1">IFERROR(__xludf.DUMMYFUNCTION("""COMPUTED_VALUE"""),"arc")</f>
        <v>arc</v>
      </c>
      <c r="C823" s="2" t="str">
        <f ca="1">IFERROR(__xludf.DUMMYFUNCTION("""COMPUTED_VALUE"""),"Arcadeum")</f>
        <v>Arcadeum</v>
      </c>
    </row>
    <row r="824" spans="1:3" x14ac:dyDescent="0.25">
      <c r="A824" s="2" t="str">
        <f ca="1">IFERROR(__xludf.DUMMYFUNCTION("""COMPUTED_VALUE"""),"arcadium")</f>
        <v>arcadium</v>
      </c>
      <c r="B824" s="2" t="str">
        <f ca="1">IFERROR(__xludf.DUMMYFUNCTION("""COMPUTED_VALUE"""),"arcadium")</f>
        <v>arcadium</v>
      </c>
      <c r="C824" s="2" t="str">
        <f ca="1">IFERROR(__xludf.DUMMYFUNCTION("""COMPUTED_VALUE"""),"Arcadium")</f>
        <v>Arcadium</v>
      </c>
    </row>
    <row r="825" spans="1:3" x14ac:dyDescent="0.25">
      <c r="A825" s="2" t="str">
        <f ca="1">IFERROR(__xludf.DUMMYFUNCTION("""COMPUTED_VALUE"""),"arcana-2")</f>
        <v>arcana-2</v>
      </c>
      <c r="B825" s="2" t="str">
        <f ca="1">IFERROR(__xludf.DUMMYFUNCTION("""COMPUTED_VALUE"""),"arcusd")</f>
        <v>arcusd</v>
      </c>
      <c r="C825" s="2" t="str">
        <f ca="1">IFERROR(__xludf.DUMMYFUNCTION("""COMPUTED_VALUE"""),"Arcana arcUSD")</f>
        <v>Arcana arcUSD</v>
      </c>
    </row>
    <row r="826" spans="1:3" x14ac:dyDescent="0.25">
      <c r="A826" s="2" t="str">
        <f ca="1">IFERROR(__xludf.DUMMYFUNCTION("""COMPUTED_VALUE"""),"arcana-token")</f>
        <v>arcana-token</v>
      </c>
      <c r="B826" s="2" t="str">
        <f ca="1">IFERROR(__xludf.DUMMYFUNCTION("""COMPUTED_VALUE"""),"xar")</f>
        <v>xar</v>
      </c>
      <c r="C826" s="2" t="str">
        <f ca="1">IFERROR(__xludf.DUMMYFUNCTION("""COMPUTED_VALUE"""),"Arcana Network")</f>
        <v>Arcana Network</v>
      </c>
    </row>
    <row r="827" spans="1:3" x14ac:dyDescent="0.25">
      <c r="A827" s="2" t="str">
        <f ca="1">IFERROR(__xludf.DUMMYFUNCTION("""COMPUTED_VALUE"""),"arcblock")</f>
        <v>arcblock</v>
      </c>
      <c r="B827" s="2" t="str">
        <f ca="1">IFERROR(__xludf.DUMMYFUNCTION("""COMPUTED_VALUE"""),"abt")</f>
        <v>abt</v>
      </c>
      <c r="C827" s="2" t="str">
        <f ca="1">IFERROR(__xludf.DUMMYFUNCTION("""COMPUTED_VALUE"""),"Arcblock")</f>
        <v>Arcblock</v>
      </c>
    </row>
    <row r="828" spans="1:3" x14ac:dyDescent="0.25">
      <c r="A828" s="2" t="str">
        <f ca="1">IFERROR(__xludf.DUMMYFUNCTION("""COMPUTED_VALUE"""),"arch-aggressive-portfolio")</f>
        <v>arch-aggressive-portfolio</v>
      </c>
      <c r="B828" s="2" t="str">
        <f ca="1">IFERROR(__xludf.DUMMYFUNCTION("""COMPUTED_VALUE"""),"aagg")</f>
        <v>aagg</v>
      </c>
      <c r="C828" s="2" t="str">
        <f ca="1">IFERROR(__xludf.DUMMYFUNCTION("""COMPUTED_VALUE"""),"Arch Aggressive Portfolio")</f>
        <v>Arch Aggressive Portfolio</v>
      </c>
    </row>
    <row r="829" spans="1:3" x14ac:dyDescent="0.25">
      <c r="A829" s="2" t="str">
        <f ca="1">IFERROR(__xludf.DUMMYFUNCTION("""COMPUTED_VALUE"""),"archangel-token")</f>
        <v>archangel-token</v>
      </c>
      <c r="B829" s="2" t="str">
        <f ca="1">IFERROR(__xludf.DUMMYFUNCTION("""COMPUTED_VALUE"""),"archa")</f>
        <v>archa</v>
      </c>
      <c r="C829" s="2" t="str">
        <f ca="1">IFERROR(__xludf.DUMMYFUNCTION("""COMPUTED_VALUE"""),"ArchAngel")</f>
        <v>ArchAngel</v>
      </c>
    </row>
    <row r="830" spans="1:3" x14ac:dyDescent="0.25">
      <c r="A830" s="2" t="str">
        <f ca="1">IFERROR(__xludf.DUMMYFUNCTION("""COMPUTED_VALUE"""),"arch-balanced-portfolio")</f>
        <v>arch-balanced-portfolio</v>
      </c>
      <c r="B830" s="2" t="str">
        <f ca="1">IFERROR(__xludf.DUMMYFUNCTION("""COMPUTED_VALUE"""),"abal")</f>
        <v>abal</v>
      </c>
      <c r="C830" s="2" t="str">
        <f ca="1">IFERROR(__xludf.DUMMYFUNCTION("""COMPUTED_VALUE"""),"Arch Balanced Portfolio")</f>
        <v>Arch Balanced Portfolio</v>
      </c>
    </row>
    <row r="831" spans="1:3" x14ac:dyDescent="0.25">
      <c r="A831" s="2" t="str">
        <f ca="1">IFERROR(__xludf.DUMMYFUNCTION("""COMPUTED_VALUE"""),"archerswap-bow")</f>
        <v>archerswap-bow</v>
      </c>
      <c r="B831" s="2" t="str">
        <f ca="1">IFERROR(__xludf.DUMMYFUNCTION("""COMPUTED_VALUE"""),"bow")</f>
        <v>bow</v>
      </c>
      <c r="C831" s="2" t="str">
        <f ca="1">IFERROR(__xludf.DUMMYFUNCTION("""COMPUTED_VALUE"""),"Archerswap BOW")</f>
        <v>Archerswap BOW</v>
      </c>
    </row>
    <row r="832" spans="1:3" x14ac:dyDescent="0.25">
      <c r="A832" s="2" t="str">
        <f ca="1">IFERROR(__xludf.DUMMYFUNCTION("""COMPUTED_VALUE"""),"archerswap-hunter")</f>
        <v>archerswap-hunter</v>
      </c>
      <c r="B832" s="2" t="str">
        <f ca="1">IFERROR(__xludf.DUMMYFUNCTION("""COMPUTED_VALUE"""),"hunt")</f>
        <v>hunt</v>
      </c>
      <c r="C832" s="2" t="str">
        <f ca="1">IFERROR(__xludf.DUMMYFUNCTION("""COMPUTED_VALUE"""),"ArcherSwap Hunter")</f>
        <v>ArcherSwap Hunter</v>
      </c>
    </row>
    <row r="833" spans="1:3" x14ac:dyDescent="0.25">
      <c r="A833" s="2" t="str">
        <f ca="1">IFERROR(__xludf.DUMMYFUNCTION("""COMPUTED_VALUE"""),"archethic")</f>
        <v>archethic</v>
      </c>
      <c r="B833" s="2" t="str">
        <f ca="1">IFERROR(__xludf.DUMMYFUNCTION("""COMPUTED_VALUE"""),"uco")</f>
        <v>uco</v>
      </c>
      <c r="C833" s="2" t="str">
        <f ca="1">IFERROR(__xludf.DUMMYFUNCTION("""COMPUTED_VALUE"""),"Archethic")</f>
        <v>Archethic</v>
      </c>
    </row>
    <row r="834" spans="1:3" x14ac:dyDescent="0.25">
      <c r="A834" s="2" t="str">
        <f ca="1">IFERROR(__xludf.DUMMYFUNCTION("""COMPUTED_VALUE"""),"archimedes")</f>
        <v>archimedes</v>
      </c>
      <c r="B834" s="2" t="str">
        <f ca="1">IFERROR(__xludf.DUMMYFUNCTION("""COMPUTED_VALUE"""),"arch")</f>
        <v>arch</v>
      </c>
      <c r="C834" s="2" t="str">
        <f ca="1">IFERROR(__xludf.DUMMYFUNCTION("""COMPUTED_VALUE"""),"Archimedes Finance")</f>
        <v>Archimedes Finance</v>
      </c>
    </row>
    <row r="835" spans="1:3" x14ac:dyDescent="0.25">
      <c r="A835" s="2" t="str">
        <f ca="1">IFERROR(__xludf.DUMMYFUNCTION("""COMPUTED_VALUE"""),"architex")</f>
        <v>architex</v>
      </c>
      <c r="B835" s="2" t="str">
        <f ca="1">IFERROR(__xludf.DUMMYFUNCTION("""COMPUTED_VALUE"""),"arcx")</f>
        <v>arcx</v>
      </c>
      <c r="C835" s="2" t="str">
        <f ca="1">IFERROR(__xludf.DUMMYFUNCTION("""COMPUTED_VALUE"""),"Architex")</f>
        <v>Architex</v>
      </c>
    </row>
    <row r="836" spans="1:3" x14ac:dyDescent="0.25">
      <c r="A836" s="2" t="str">
        <f ca="1">IFERROR(__xludf.DUMMYFUNCTION("""COMPUTED_VALUE"""),"archi-token")</f>
        <v>archi-token</v>
      </c>
      <c r="B836" s="2" t="str">
        <f ca="1">IFERROR(__xludf.DUMMYFUNCTION("""COMPUTED_VALUE"""),"archi")</f>
        <v>archi</v>
      </c>
      <c r="C836" s="2" t="str">
        <f ca="1">IFERROR(__xludf.DUMMYFUNCTION("""COMPUTED_VALUE"""),"Archi Token")</f>
        <v>Archi Token</v>
      </c>
    </row>
    <row r="837" spans="1:3" x14ac:dyDescent="0.25">
      <c r="A837" s="2" t="str">
        <f ca="1">IFERROR(__xludf.DUMMYFUNCTION("""COMPUTED_VALUE"""),"archive-ai")</f>
        <v>archive-ai</v>
      </c>
      <c r="B837" s="2" t="str">
        <f ca="1">IFERROR(__xludf.DUMMYFUNCTION("""COMPUTED_VALUE"""),"arcai")</f>
        <v>arcai</v>
      </c>
      <c r="C837" s="2" t="str">
        <f ca="1">IFERROR(__xludf.DUMMYFUNCTION("""COMPUTED_VALUE"""),"Archive AI")</f>
        <v>Archive AI</v>
      </c>
    </row>
    <row r="838" spans="1:3" x14ac:dyDescent="0.25">
      <c r="A838" s="2" t="str">
        <f ca="1">IFERROR(__xludf.DUMMYFUNCTION("""COMPUTED_VALUE"""),"archloot")</f>
        <v>archloot</v>
      </c>
      <c r="B838" s="2" t="str">
        <f ca="1">IFERROR(__xludf.DUMMYFUNCTION("""COMPUTED_VALUE"""),"al")</f>
        <v>al</v>
      </c>
      <c r="C838" s="2" t="str">
        <f ca="1">IFERROR(__xludf.DUMMYFUNCTION("""COMPUTED_VALUE"""),"ArchLoot")</f>
        <v>ArchLoot</v>
      </c>
    </row>
    <row r="839" spans="1:3" x14ac:dyDescent="0.25">
      <c r="A839" s="2" t="str">
        <f ca="1">IFERROR(__xludf.DUMMYFUNCTION("""COMPUTED_VALUE"""),"archly-finance")</f>
        <v>archly-finance</v>
      </c>
      <c r="B839" s="2" t="str">
        <f ca="1">IFERROR(__xludf.DUMMYFUNCTION("""COMPUTED_VALUE"""),"arc")</f>
        <v>arc</v>
      </c>
      <c r="C839" s="2" t="str">
        <f ca="1">IFERROR(__xludf.DUMMYFUNCTION("""COMPUTED_VALUE"""),"Archly Finance")</f>
        <v>Archly Finance</v>
      </c>
    </row>
    <row r="840" spans="1:3" x14ac:dyDescent="0.25">
      <c r="A840" s="2" t="str">
        <f ca="1">IFERROR(__xludf.DUMMYFUNCTION("""COMPUTED_VALUE"""),"archway")</f>
        <v>archway</v>
      </c>
      <c r="B840" s="2" t="str">
        <f ca="1">IFERROR(__xludf.DUMMYFUNCTION("""COMPUTED_VALUE"""),"arch")</f>
        <v>arch</v>
      </c>
      <c r="C840" s="2" t="str">
        <f ca="1">IFERROR(__xludf.DUMMYFUNCTION("""COMPUTED_VALUE"""),"Archway")</f>
        <v>Archway</v>
      </c>
    </row>
    <row r="841" spans="1:3" x14ac:dyDescent="0.25">
      <c r="A841" s="2" t="str">
        <f ca="1">IFERROR(__xludf.DUMMYFUNCTION("""COMPUTED_VALUE"""),"arcona")</f>
        <v>arcona</v>
      </c>
      <c r="B841" s="2" t="str">
        <f ca="1">IFERROR(__xludf.DUMMYFUNCTION("""COMPUTED_VALUE"""),"arcona")</f>
        <v>arcona</v>
      </c>
      <c r="C841" s="2" t="str">
        <f ca="1">IFERROR(__xludf.DUMMYFUNCTION("""COMPUTED_VALUE"""),"Arcona")</f>
        <v>Arcona</v>
      </c>
    </row>
    <row r="842" spans="1:3" x14ac:dyDescent="0.25">
      <c r="A842" s="2" t="str">
        <f ca="1">IFERROR(__xludf.DUMMYFUNCTION("""COMPUTED_VALUE"""),"arcs")</f>
        <v>arcs</v>
      </c>
      <c r="B842" s="2" t="str">
        <f ca="1">IFERROR(__xludf.DUMMYFUNCTION("""COMPUTED_VALUE"""),"arx")</f>
        <v>arx</v>
      </c>
      <c r="C842" s="2" t="str">
        <f ca="1">IFERROR(__xludf.DUMMYFUNCTION("""COMPUTED_VALUE"""),"ARCS")</f>
        <v>ARCS</v>
      </c>
    </row>
    <row r="843" spans="1:3" x14ac:dyDescent="0.25">
      <c r="A843" s="2" t="str">
        <f ca="1">IFERROR(__xludf.DUMMYFUNCTION("""COMPUTED_VALUE"""),"ardana")</f>
        <v>ardana</v>
      </c>
      <c r="B843" s="2" t="str">
        <f ca="1">IFERROR(__xludf.DUMMYFUNCTION("""COMPUTED_VALUE"""),"dana")</f>
        <v>dana</v>
      </c>
      <c r="C843" s="2" t="str">
        <f ca="1">IFERROR(__xludf.DUMMYFUNCTION("""COMPUTED_VALUE"""),"Ardana")</f>
        <v>Ardana</v>
      </c>
    </row>
    <row r="844" spans="1:3" x14ac:dyDescent="0.25">
      <c r="A844" s="2" t="str">
        <f ca="1">IFERROR(__xludf.DUMMYFUNCTION("""COMPUTED_VALUE"""),"ardor")</f>
        <v>ardor</v>
      </c>
      <c r="B844" s="2" t="str">
        <f ca="1">IFERROR(__xludf.DUMMYFUNCTION("""COMPUTED_VALUE"""),"ardr")</f>
        <v>ardr</v>
      </c>
      <c r="C844" s="2" t="str">
        <f ca="1">IFERROR(__xludf.DUMMYFUNCTION("""COMPUTED_VALUE"""),"Ardor")</f>
        <v>Ardor</v>
      </c>
    </row>
    <row r="845" spans="1:3" x14ac:dyDescent="0.25">
      <c r="A845" s="2" t="str">
        <f ca="1">IFERROR(__xludf.DUMMYFUNCTION("""COMPUTED_VALUE"""),"aree-shards")</f>
        <v>aree-shards</v>
      </c>
      <c r="B845" s="2" t="str">
        <f ca="1">IFERROR(__xludf.DUMMYFUNCTION("""COMPUTED_VALUE"""),"aes")</f>
        <v>aes</v>
      </c>
      <c r="C845" s="2" t="str">
        <f ca="1">IFERROR(__xludf.DUMMYFUNCTION("""COMPUTED_VALUE"""),"Aree Shards")</f>
        <v>Aree Shards</v>
      </c>
    </row>
    <row r="846" spans="1:3" x14ac:dyDescent="0.25">
      <c r="A846" s="2" t="str">
        <f ca="1">IFERROR(__xludf.DUMMYFUNCTION("""COMPUTED_VALUE"""),"arena-token")</f>
        <v>arena-token</v>
      </c>
      <c r="B846" s="2" t="str">
        <f ca="1">IFERROR(__xludf.DUMMYFUNCTION("""COMPUTED_VALUE"""),"arena")</f>
        <v>arena</v>
      </c>
      <c r="C846" s="2" t="str">
        <f ca="1">IFERROR(__xludf.DUMMYFUNCTION("""COMPUTED_VALUE"""),"ArenaSwap")</f>
        <v>ArenaSwap</v>
      </c>
    </row>
    <row r="847" spans="1:3" x14ac:dyDescent="0.25">
      <c r="A847" s="2" t="str">
        <f ca="1">IFERROR(__xludf.DUMMYFUNCTION("""COMPUTED_VALUE"""),"areon-bridged-usdt-areon-network")</f>
        <v>areon-bridged-usdt-areon-network</v>
      </c>
      <c r="B847" s="2" t="str">
        <f ca="1">IFERROR(__xludf.DUMMYFUNCTION("""COMPUTED_VALUE"""),"usdt")</f>
        <v>usdt</v>
      </c>
      <c r="C847" s="2" t="str">
        <f ca="1">IFERROR(__xludf.DUMMYFUNCTION("""COMPUTED_VALUE"""),"Areon Bridged USDT (Areon Network)")</f>
        <v>Areon Bridged USDT (Areon Network)</v>
      </c>
    </row>
    <row r="848" spans="1:3" x14ac:dyDescent="0.25">
      <c r="A848" s="2" t="str">
        <f ca="1">IFERROR(__xludf.DUMMYFUNCTION("""COMPUTED_VALUE"""),"areon-network")</f>
        <v>areon-network</v>
      </c>
      <c r="B848" s="2" t="str">
        <f ca="1">IFERROR(__xludf.DUMMYFUNCTION("""COMPUTED_VALUE"""),"area")</f>
        <v>area</v>
      </c>
      <c r="C848" s="2" t="str">
        <f ca="1">IFERROR(__xludf.DUMMYFUNCTION("""COMPUTED_VALUE"""),"Areon Network")</f>
        <v>Areon Network</v>
      </c>
    </row>
    <row r="849" spans="1:3" x14ac:dyDescent="0.25">
      <c r="A849" s="2" t="str">
        <f ca="1">IFERROR(__xludf.DUMMYFUNCTION("""COMPUTED_VALUE"""),"ares3-network")</f>
        <v>ares3-network</v>
      </c>
      <c r="B849" s="2" t="str">
        <f ca="1">IFERROR(__xludf.DUMMYFUNCTION("""COMPUTED_VALUE"""),"ares")</f>
        <v>ares</v>
      </c>
      <c r="C849" s="2" t="str">
        <f ca="1">IFERROR(__xludf.DUMMYFUNCTION("""COMPUTED_VALUE"""),"Ares3 Network")</f>
        <v>Ares3 Network</v>
      </c>
    </row>
    <row r="850" spans="1:3" x14ac:dyDescent="0.25">
      <c r="A850" s="2" t="str">
        <f ca="1">IFERROR(__xludf.DUMMYFUNCTION("""COMPUTED_VALUE"""),"ares-protocol")</f>
        <v>ares-protocol</v>
      </c>
      <c r="B850" s="2" t="str">
        <f ca="1">IFERROR(__xludf.DUMMYFUNCTION("""COMPUTED_VALUE"""),"ares")</f>
        <v>ares</v>
      </c>
      <c r="C850" s="2" t="str">
        <f ca="1">IFERROR(__xludf.DUMMYFUNCTION("""COMPUTED_VALUE"""),"Ares Protocol")</f>
        <v>Ares Protocol</v>
      </c>
    </row>
    <row r="851" spans="1:3" x14ac:dyDescent="0.25">
      <c r="A851" s="2" t="str">
        <f ca="1">IFERROR(__xludf.DUMMYFUNCTION("""COMPUTED_VALUE"""),"argent")</f>
        <v>argent</v>
      </c>
      <c r="B851" s="2" t="str">
        <f ca="1">IFERROR(__xludf.DUMMYFUNCTION("""COMPUTED_VALUE"""),"arg")</f>
        <v>arg</v>
      </c>
      <c r="C851" s="2" t="str">
        <f ca="1">IFERROR(__xludf.DUMMYFUNCTION("""COMPUTED_VALUE"""),"Argent")</f>
        <v>Argent</v>
      </c>
    </row>
    <row r="852" spans="1:3" x14ac:dyDescent="0.25">
      <c r="A852" s="2" t="str">
        <f ca="1">IFERROR(__xludf.DUMMYFUNCTION("""COMPUTED_VALUE"""),"argentinacoin")</f>
        <v>argentinacoin</v>
      </c>
      <c r="B852" s="2" t="str">
        <f ca="1">IFERROR(__xludf.DUMMYFUNCTION("""COMPUTED_VALUE"""),"arg")</f>
        <v>arg</v>
      </c>
      <c r="C852" s="2" t="str">
        <f ca="1">IFERROR(__xludf.DUMMYFUNCTION("""COMPUTED_VALUE"""),"ArgentinaCoin")</f>
        <v>ArgentinaCoin</v>
      </c>
    </row>
    <row r="853" spans="1:3" x14ac:dyDescent="0.25">
      <c r="A853" s="2" t="str">
        <f ca="1">IFERROR(__xludf.DUMMYFUNCTION("""COMPUTED_VALUE"""),"argentine-football-association-fan-token")</f>
        <v>argentine-football-association-fan-token</v>
      </c>
      <c r="B853" s="2" t="str">
        <f ca="1">IFERROR(__xludf.DUMMYFUNCTION("""COMPUTED_VALUE"""),"arg")</f>
        <v>arg</v>
      </c>
      <c r="C853" s="2" t="str">
        <f ca="1">IFERROR(__xludf.DUMMYFUNCTION("""COMPUTED_VALUE"""),"Argentine Football Association Fan Token")</f>
        <v>Argentine Football Association Fan Token</v>
      </c>
    </row>
    <row r="854" spans="1:3" x14ac:dyDescent="0.25">
      <c r="A854" s="2" t="str">
        <f ca="1">IFERROR(__xludf.DUMMYFUNCTION("""COMPUTED_VALUE"""),"argo")</f>
        <v>argo</v>
      </c>
      <c r="B854" s="2" t="str">
        <f ca="1">IFERROR(__xludf.DUMMYFUNCTION("""COMPUTED_VALUE"""),"argo")</f>
        <v>argo</v>
      </c>
      <c r="C854" s="2" t="str">
        <f ca="1">IFERROR(__xludf.DUMMYFUNCTION("""COMPUTED_VALUE"""),"ArGoApp")</f>
        <v>ArGoApp</v>
      </c>
    </row>
    <row r="855" spans="1:3" x14ac:dyDescent="0.25">
      <c r="A855" s="2" t="str">
        <f ca="1">IFERROR(__xludf.DUMMYFUNCTION("""COMPUTED_VALUE"""),"argocoin")</f>
        <v>argocoin</v>
      </c>
      <c r="B855" s="2" t="str">
        <f ca="1">IFERROR(__xludf.DUMMYFUNCTION("""COMPUTED_VALUE"""),"agc")</f>
        <v>agc</v>
      </c>
      <c r="C855" s="2" t="str">
        <f ca="1">IFERROR(__xludf.DUMMYFUNCTION("""COMPUTED_VALUE"""),"Argocoin")</f>
        <v>Argocoin</v>
      </c>
    </row>
    <row r="856" spans="1:3" x14ac:dyDescent="0.25">
      <c r="A856" s="2" t="str">
        <f ca="1">IFERROR(__xludf.DUMMYFUNCTION("""COMPUTED_VALUE"""),"argo-finance")</f>
        <v>argo-finance</v>
      </c>
      <c r="B856" s="2" t="str">
        <f ca="1">IFERROR(__xludf.DUMMYFUNCTION("""COMPUTED_VALUE"""),"argo")</f>
        <v>argo</v>
      </c>
      <c r="C856" s="2" t="str">
        <f ca="1">IFERROR(__xludf.DUMMYFUNCTION("""COMPUTED_VALUE"""),"Argo Finance")</f>
        <v>Argo Finance</v>
      </c>
    </row>
    <row r="857" spans="1:3" x14ac:dyDescent="0.25">
      <c r="A857" s="2" t="str">
        <f ca="1">IFERROR(__xludf.DUMMYFUNCTION("""COMPUTED_VALUE"""),"argon")</f>
        <v>argon</v>
      </c>
      <c r="B857" s="2" t="str">
        <f ca="1">IFERROR(__xludf.DUMMYFUNCTION("""COMPUTED_VALUE"""),"argon")</f>
        <v>argon</v>
      </c>
      <c r="C857" s="2" t="str">
        <f ca="1">IFERROR(__xludf.DUMMYFUNCTION("""COMPUTED_VALUE"""),"Argon")</f>
        <v>Argon</v>
      </c>
    </row>
    <row r="858" spans="1:3" x14ac:dyDescent="0.25">
      <c r="A858" s="2" t="str">
        <f ca="1">IFERROR(__xludf.DUMMYFUNCTION("""COMPUTED_VALUE"""),"argonon-helium")</f>
        <v>argonon-helium</v>
      </c>
      <c r="B858" s="2" t="str">
        <f ca="1">IFERROR(__xludf.DUMMYFUNCTION("""COMPUTED_VALUE"""),"arg")</f>
        <v>arg</v>
      </c>
      <c r="C858" s="2" t="str">
        <f ca="1">IFERROR(__xludf.DUMMYFUNCTION("""COMPUTED_VALUE"""),"Argonon Helium")</f>
        <v>Argonon Helium</v>
      </c>
    </row>
    <row r="859" spans="1:3" x14ac:dyDescent="0.25">
      <c r="A859" s="2" t="str">
        <f ca="1">IFERROR(__xludf.DUMMYFUNCTION("""COMPUTED_VALUE"""),"argy-bargy-token")</f>
        <v>argy-bargy-token</v>
      </c>
      <c r="B859" s="2" t="str">
        <f ca="1">IFERROR(__xludf.DUMMYFUNCTION("""COMPUTED_VALUE"""),"argy")</f>
        <v>argy</v>
      </c>
      <c r="C859" s="2" t="str">
        <f ca="1">IFERROR(__xludf.DUMMYFUNCTION("""COMPUTED_VALUE"""),"Argy Bargy Token")</f>
        <v>Argy Bargy Token</v>
      </c>
    </row>
    <row r="860" spans="1:3" x14ac:dyDescent="0.25">
      <c r="A860" s="2" t="str">
        <f ca="1">IFERROR(__xludf.DUMMYFUNCTION("""COMPUTED_VALUE"""),"ari10")</f>
        <v>ari10</v>
      </c>
      <c r="B860" s="2" t="str">
        <f ca="1">IFERROR(__xludf.DUMMYFUNCTION("""COMPUTED_VALUE"""),"ari10")</f>
        <v>ari10</v>
      </c>
      <c r="C860" s="2" t="str">
        <f ca="1">IFERROR(__xludf.DUMMYFUNCTION("""COMPUTED_VALUE"""),"Ari10")</f>
        <v>Ari10</v>
      </c>
    </row>
    <row r="861" spans="1:3" x14ac:dyDescent="0.25">
      <c r="A861" s="2" t="str">
        <f ca="1">IFERROR(__xludf.DUMMYFUNCTION("""COMPUTED_VALUE"""),"aria-currency")</f>
        <v>aria-currency</v>
      </c>
      <c r="B861" s="2" t="str">
        <f ca="1">IFERROR(__xludf.DUMMYFUNCTION("""COMPUTED_VALUE"""),"ria")</f>
        <v>ria</v>
      </c>
      <c r="C861" s="2" t="str">
        <f ca="1">IFERROR(__xludf.DUMMYFUNCTION("""COMPUTED_VALUE"""),"aRIA Currency")</f>
        <v>aRIA Currency</v>
      </c>
    </row>
    <row r="862" spans="1:3" x14ac:dyDescent="0.25">
      <c r="A862" s="2" t="str">
        <f ca="1">IFERROR(__xludf.DUMMYFUNCTION("""COMPUTED_VALUE"""),"arianee")</f>
        <v>arianee</v>
      </c>
      <c r="B862" s="2" t="str">
        <f ca="1">IFERROR(__xludf.DUMMYFUNCTION("""COMPUTED_VALUE"""),"aria20")</f>
        <v>aria20</v>
      </c>
      <c r="C862" s="2" t="str">
        <f ca="1">IFERROR(__xludf.DUMMYFUNCTION("""COMPUTED_VALUE"""),"Arianee")</f>
        <v>Arianee</v>
      </c>
    </row>
    <row r="863" spans="1:3" x14ac:dyDescent="0.25">
      <c r="A863" s="2" t="str">
        <f ca="1">IFERROR(__xludf.DUMMYFUNCTION("""COMPUTED_VALUE"""),"arise-chikun")</f>
        <v>arise-chikun</v>
      </c>
      <c r="B863" s="2" t="str">
        <f ca="1">IFERROR(__xludf.DUMMYFUNCTION("""COMPUTED_VALUE"""),"chikun")</f>
        <v>chikun</v>
      </c>
      <c r="C863" s="2" t="str">
        <f ca="1">IFERROR(__xludf.DUMMYFUNCTION("""COMPUTED_VALUE"""),"Arise Chikun")</f>
        <v>Arise Chikun</v>
      </c>
    </row>
    <row r="864" spans="1:3" x14ac:dyDescent="0.25">
      <c r="A864" s="2" t="str">
        <f ca="1">IFERROR(__xludf.DUMMYFUNCTION("""COMPUTED_VALUE"""),"arithfi")</f>
        <v>arithfi</v>
      </c>
      <c r="B864" s="2" t="str">
        <f ca="1">IFERROR(__xludf.DUMMYFUNCTION("""COMPUTED_VALUE"""),"atf")</f>
        <v>atf</v>
      </c>
      <c r="C864" s="2" t="str">
        <f ca="1">IFERROR(__xludf.DUMMYFUNCTION("""COMPUTED_VALUE"""),"ArithFi")</f>
        <v>ArithFi</v>
      </c>
    </row>
    <row r="865" spans="1:3" x14ac:dyDescent="0.25">
      <c r="A865" s="2" t="str">
        <f ca="1">IFERROR(__xludf.DUMMYFUNCTION("""COMPUTED_VALUE"""),"ariva")</f>
        <v>ariva</v>
      </c>
      <c r="B865" s="2" t="str">
        <f ca="1">IFERROR(__xludf.DUMMYFUNCTION("""COMPUTED_VALUE"""),"arv")</f>
        <v>arv</v>
      </c>
      <c r="C865" s="2" t="str">
        <f ca="1">IFERROR(__xludf.DUMMYFUNCTION("""COMPUTED_VALUE"""),"Ariva")</f>
        <v>Ariva</v>
      </c>
    </row>
    <row r="866" spans="1:3" x14ac:dyDescent="0.25">
      <c r="A866" s="2" t="str">
        <f ca="1">IFERROR(__xludf.DUMMYFUNCTION("""COMPUTED_VALUE"""),"arix")</f>
        <v>arix</v>
      </c>
      <c r="B866" s="2" t="str">
        <f ca="1">IFERROR(__xludf.DUMMYFUNCTION("""COMPUTED_VALUE"""),"arix")</f>
        <v>arix</v>
      </c>
      <c r="C866" s="2" t="str">
        <f ca="1">IFERROR(__xludf.DUMMYFUNCTION("""COMPUTED_VALUE"""),"Arix")</f>
        <v>Arix</v>
      </c>
    </row>
    <row r="867" spans="1:3" x14ac:dyDescent="0.25">
      <c r="A867" s="2" t="str">
        <f ca="1">IFERROR(__xludf.DUMMYFUNCTION("""COMPUTED_VALUE"""),"arizona-iced-tea")</f>
        <v>arizona-iced-tea</v>
      </c>
      <c r="B867" s="2" t="str">
        <f ca="1">IFERROR(__xludf.DUMMYFUNCTION("""COMPUTED_VALUE"""),"99cents")</f>
        <v>99cents</v>
      </c>
      <c r="C867" s="2" t="str">
        <f ca="1">IFERROR(__xludf.DUMMYFUNCTION("""COMPUTED_VALUE"""),"Arizona Iced Tea")</f>
        <v>Arizona Iced Tea</v>
      </c>
    </row>
    <row r="868" spans="1:3" x14ac:dyDescent="0.25">
      <c r="A868" s="2" t="str">
        <f ca="1">IFERROR(__xludf.DUMMYFUNCTION("""COMPUTED_VALUE"""),"ark")</f>
        <v>ark</v>
      </c>
      <c r="B868" s="2" t="str">
        <f ca="1">IFERROR(__xludf.DUMMYFUNCTION("""COMPUTED_VALUE"""),"ark")</f>
        <v>ark</v>
      </c>
      <c r="C868" s="2" t="str">
        <f ca="1">IFERROR(__xludf.DUMMYFUNCTION("""COMPUTED_VALUE"""),"ARK")</f>
        <v>ARK</v>
      </c>
    </row>
    <row r="869" spans="1:3" x14ac:dyDescent="0.25">
      <c r="A869" s="2" t="str">
        <f ca="1">IFERROR(__xludf.DUMMYFUNCTION("""COMPUTED_VALUE"""),"arkadiko-protocol")</f>
        <v>arkadiko-protocol</v>
      </c>
      <c r="B869" s="2" t="str">
        <f ca="1">IFERROR(__xludf.DUMMYFUNCTION("""COMPUTED_VALUE"""),"diko")</f>
        <v>diko</v>
      </c>
      <c r="C869" s="2" t="str">
        <f ca="1">IFERROR(__xludf.DUMMYFUNCTION("""COMPUTED_VALUE"""),"Arkadiko")</f>
        <v>Arkadiko</v>
      </c>
    </row>
    <row r="870" spans="1:3" x14ac:dyDescent="0.25">
      <c r="A870" s="2" t="str">
        <f ca="1">IFERROR(__xludf.DUMMYFUNCTION("""COMPUTED_VALUE"""),"arken-finance")</f>
        <v>arken-finance</v>
      </c>
      <c r="B870" s="2" t="str">
        <f ca="1">IFERROR(__xludf.DUMMYFUNCTION("""COMPUTED_VALUE"""),"$arken")</f>
        <v>$arken</v>
      </c>
      <c r="C870" s="2" t="str">
        <f ca="1">IFERROR(__xludf.DUMMYFUNCTION("""COMPUTED_VALUE"""),"Arken Finance")</f>
        <v>Arken Finance</v>
      </c>
    </row>
    <row r="871" spans="1:3" x14ac:dyDescent="0.25">
      <c r="A871" s="2" t="str">
        <f ca="1">IFERROR(__xludf.DUMMYFUNCTION("""COMPUTED_VALUE"""),"arker-2")</f>
        <v>arker-2</v>
      </c>
      <c r="B871" s="2" t="str">
        <f ca="1">IFERROR(__xludf.DUMMYFUNCTION("""COMPUTED_VALUE"""),"arker")</f>
        <v>arker</v>
      </c>
      <c r="C871" s="2" t="str">
        <f ca="1">IFERROR(__xludf.DUMMYFUNCTION("""COMPUTED_VALUE"""),"Arker")</f>
        <v>Arker</v>
      </c>
    </row>
    <row r="872" spans="1:3" x14ac:dyDescent="0.25">
      <c r="A872" s="2" t="str">
        <f ca="1">IFERROR(__xludf.DUMMYFUNCTION("""COMPUTED_VALUE"""),"arkham")</f>
        <v>arkham</v>
      </c>
      <c r="B872" s="2" t="str">
        <f ca="1">IFERROR(__xludf.DUMMYFUNCTION("""COMPUTED_VALUE"""),"arkm")</f>
        <v>arkm</v>
      </c>
      <c r="C872" s="2" t="str">
        <f ca="1">IFERROR(__xludf.DUMMYFUNCTION("""COMPUTED_VALUE"""),"Arkham")</f>
        <v>Arkham</v>
      </c>
    </row>
    <row r="873" spans="1:3" x14ac:dyDescent="0.25">
      <c r="A873" s="2" t="str">
        <f ca="1">IFERROR(__xludf.DUMMYFUNCTION("""COMPUTED_VALUE"""),"ark-innovation-etf-defichain")</f>
        <v>ark-innovation-etf-defichain</v>
      </c>
      <c r="B873" s="2" t="str">
        <f ca="1">IFERROR(__xludf.DUMMYFUNCTION("""COMPUTED_VALUE"""),"darkk")</f>
        <v>darkk</v>
      </c>
      <c r="C873" s="2" t="str">
        <f ca="1">IFERROR(__xludf.DUMMYFUNCTION("""COMPUTED_VALUE"""),"ARK Innovation ETF Defichain")</f>
        <v>ARK Innovation ETF Defichain</v>
      </c>
    </row>
    <row r="874" spans="1:3" x14ac:dyDescent="0.25">
      <c r="A874" s="2" t="str">
        <f ca="1">IFERROR(__xludf.DUMMYFUNCTION("""COMPUTED_VALUE"""),"arkitech")</f>
        <v>arkitech</v>
      </c>
      <c r="B874" s="2" t="str">
        <f ca="1">IFERROR(__xludf.DUMMYFUNCTION("""COMPUTED_VALUE"""),"arki")</f>
        <v>arki</v>
      </c>
      <c r="C874" s="2" t="str">
        <f ca="1">IFERROR(__xludf.DUMMYFUNCTION("""COMPUTED_VALUE"""),"ArkiTech")</f>
        <v>ArkiTech</v>
      </c>
    </row>
    <row r="875" spans="1:3" x14ac:dyDescent="0.25">
      <c r="A875" s="2" t="str">
        <f ca="1">IFERROR(__xludf.DUMMYFUNCTION("""COMPUTED_VALUE"""),"arkreen-token")</f>
        <v>arkreen-token</v>
      </c>
      <c r="B875" s="2" t="str">
        <f ca="1">IFERROR(__xludf.DUMMYFUNCTION("""COMPUTED_VALUE"""),"akre")</f>
        <v>akre</v>
      </c>
      <c r="C875" s="2" t="str">
        <f ca="1">IFERROR(__xludf.DUMMYFUNCTION("""COMPUTED_VALUE"""),"Arkreen Token")</f>
        <v>Arkreen Token</v>
      </c>
    </row>
    <row r="876" spans="1:3" x14ac:dyDescent="0.25">
      <c r="A876" s="2" t="str">
        <f ca="1">IFERROR(__xludf.DUMMYFUNCTION("""COMPUTED_VALUE"""),"arkstart")</f>
        <v>arkstart</v>
      </c>
      <c r="B876" s="2" t="str">
        <f ca="1">IFERROR(__xludf.DUMMYFUNCTION("""COMPUTED_VALUE"""),"arks")</f>
        <v>arks</v>
      </c>
      <c r="C876" s="2" t="str">
        <f ca="1">IFERROR(__xludf.DUMMYFUNCTION("""COMPUTED_VALUE"""),"ArkStart")</f>
        <v>ArkStart</v>
      </c>
    </row>
    <row r="877" spans="1:3" x14ac:dyDescent="0.25">
      <c r="A877" s="2" t="str">
        <f ca="1">IFERROR(__xludf.DUMMYFUNCTION("""COMPUTED_VALUE"""),"arky")</f>
        <v>arky</v>
      </c>
      <c r="B877" s="2" t="str">
        <f ca="1">IFERROR(__xludf.DUMMYFUNCTION("""COMPUTED_VALUE"""),"arky")</f>
        <v>arky</v>
      </c>
      <c r="C877" s="2" t="str">
        <f ca="1">IFERROR(__xludf.DUMMYFUNCTION("""COMPUTED_VALUE"""),"Arky")</f>
        <v>Arky</v>
      </c>
    </row>
    <row r="878" spans="1:3" x14ac:dyDescent="0.25">
      <c r="A878" s="2" t="str">
        <f ca="1">IFERROR(__xludf.DUMMYFUNCTION("""COMPUTED_VALUE"""),"arma-block")</f>
        <v>arma-block</v>
      </c>
      <c r="B878" s="2" t="str">
        <f ca="1">IFERROR(__xludf.DUMMYFUNCTION("""COMPUTED_VALUE"""),"ab")</f>
        <v>ab</v>
      </c>
      <c r="C878" s="2" t="str">
        <f ca="1">IFERROR(__xludf.DUMMYFUNCTION("""COMPUTED_VALUE"""),"Arma Block")</f>
        <v>Arma Block</v>
      </c>
    </row>
    <row r="879" spans="1:3" x14ac:dyDescent="0.25">
      <c r="A879" s="2" t="str">
        <f ca="1">IFERROR(__xludf.DUMMYFUNCTION("""COMPUTED_VALUE"""),"armor")</f>
        <v>armor</v>
      </c>
      <c r="B879" s="2" t="str">
        <f ca="1">IFERROR(__xludf.DUMMYFUNCTION("""COMPUTED_VALUE"""),"armor")</f>
        <v>armor</v>
      </c>
      <c r="C879" s="2" t="str">
        <f ca="1">IFERROR(__xludf.DUMMYFUNCTION("""COMPUTED_VALUE"""),"ARMOR")</f>
        <v>ARMOR</v>
      </c>
    </row>
    <row r="880" spans="1:3" x14ac:dyDescent="0.25">
      <c r="A880" s="2" t="str">
        <f ca="1">IFERROR(__xludf.DUMMYFUNCTION("""COMPUTED_VALUE"""),"army-of-fortune-gem")</f>
        <v>army-of-fortune-gem</v>
      </c>
      <c r="B880" s="2" t="str">
        <f ca="1">IFERROR(__xludf.DUMMYFUNCTION("""COMPUTED_VALUE"""),"afg")</f>
        <v>afg</v>
      </c>
      <c r="C880" s="2" t="str">
        <f ca="1">IFERROR(__xludf.DUMMYFUNCTION("""COMPUTED_VALUE"""),"Army of Fortune Gem")</f>
        <v>Army of Fortune Gem</v>
      </c>
    </row>
    <row r="881" spans="1:3" x14ac:dyDescent="0.25">
      <c r="A881" s="2" t="str">
        <f ca="1">IFERROR(__xludf.DUMMYFUNCTION("""COMPUTED_VALUE"""),"army-of-fortune-metaverse")</f>
        <v>army-of-fortune-metaverse</v>
      </c>
      <c r="B881" s="2" t="str">
        <f ca="1">IFERROR(__xludf.DUMMYFUNCTION("""COMPUTED_VALUE"""),"afc")</f>
        <v>afc</v>
      </c>
      <c r="C881" s="2" t="str">
        <f ca="1">IFERROR(__xludf.DUMMYFUNCTION("""COMPUTED_VALUE"""),"Army of Fortune Metaverse")</f>
        <v>Army of Fortune Metaverse</v>
      </c>
    </row>
    <row r="882" spans="1:3" x14ac:dyDescent="0.25">
      <c r="A882" s="2" t="str">
        <f ca="1">IFERROR(__xludf.DUMMYFUNCTION("""COMPUTED_VALUE"""),"arnoya-classic")</f>
        <v>arnoya-classic</v>
      </c>
      <c r="B882" s="2" t="str">
        <f ca="1">IFERROR(__xludf.DUMMYFUNCTION("""COMPUTED_VALUE"""),"arnc")</f>
        <v>arnc</v>
      </c>
      <c r="C882" s="2" t="str">
        <f ca="1">IFERROR(__xludf.DUMMYFUNCTION("""COMPUTED_VALUE"""),"Arnoya classic")</f>
        <v>Arnoya classic</v>
      </c>
    </row>
    <row r="883" spans="1:3" x14ac:dyDescent="0.25">
      <c r="A883" s="2" t="str">
        <f ca="1">IFERROR(__xludf.DUMMYFUNCTION("""COMPUTED_VALUE"""),"arpa")</f>
        <v>arpa</v>
      </c>
      <c r="B883" s="2" t="str">
        <f ca="1">IFERROR(__xludf.DUMMYFUNCTION("""COMPUTED_VALUE"""),"arpa")</f>
        <v>arpa</v>
      </c>
      <c r="C883" s="2" t="str">
        <f ca="1">IFERROR(__xludf.DUMMYFUNCTION("""COMPUTED_VALUE"""),"ARPA")</f>
        <v>ARPA</v>
      </c>
    </row>
    <row r="884" spans="1:3" x14ac:dyDescent="0.25">
      <c r="A884" s="2" t="str">
        <f ca="1">IFERROR(__xludf.DUMMYFUNCTION("""COMPUTED_VALUE"""),"arqma")</f>
        <v>arqma</v>
      </c>
      <c r="B884" s="2" t="str">
        <f ca="1">IFERROR(__xludf.DUMMYFUNCTION("""COMPUTED_VALUE"""),"arq")</f>
        <v>arq</v>
      </c>
      <c r="C884" s="2" t="str">
        <f ca="1">IFERROR(__xludf.DUMMYFUNCTION("""COMPUTED_VALUE"""),"ArQmA")</f>
        <v>ArQmA</v>
      </c>
    </row>
    <row r="885" spans="1:3" x14ac:dyDescent="0.25">
      <c r="A885" s="2" t="str">
        <f ca="1">IFERROR(__xludf.DUMMYFUNCTION("""COMPUTED_VALUE"""),"arqx-ai")</f>
        <v>arqx-ai</v>
      </c>
      <c r="B885" s="2" t="str">
        <f ca="1">IFERROR(__xludf.DUMMYFUNCTION("""COMPUTED_VALUE"""),"arqx")</f>
        <v>arqx</v>
      </c>
      <c r="C885" s="2" t="str">
        <f ca="1">IFERROR(__xludf.DUMMYFUNCTION("""COMPUTED_VALUE"""),"ARQx AI")</f>
        <v>ARQx AI</v>
      </c>
    </row>
    <row r="886" spans="1:3" x14ac:dyDescent="0.25">
      <c r="A886" s="2" t="str">
        <f ca="1">IFERROR(__xludf.DUMMYFUNCTION("""COMPUTED_VALUE"""),"arrland-arrc")</f>
        <v>arrland-arrc</v>
      </c>
      <c r="B886" s="2" t="str">
        <f ca="1">IFERROR(__xludf.DUMMYFUNCTION("""COMPUTED_VALUE"""),"arrc")</f>
        <v>arrc</v>
      </c>
      <c r="C886" s="2" t="str">
        <f ca="1">IFERROR(__xludf.DUMMYFUNCTION("""COMPUTED_VALUE"""),"Arrland ARRC")</f>
        <v>Arrland ARRC</v>
      </c>
    </row>
    <row r="887" spans="1:3" x14ac:dyDescent="0.25">
      <c r="A887" s="2" t="str">
        <f ca="1">IFERROR(__xludf.DUMMYFUNCTION("""COMPUTED_VALUE"""),"arrland-rum")</f>
        <v>arrland-rum</v>
      </c>
      <c r="B887" s="2" t="str">
        <f ca="1">IFERROR(__xludf.DUMMYFUNCTION("""COMPUTED_VALUE"""),"rum")</f>
        <v>rum</v>
      </c>
      <c r="C887" s="2" t="str">
        <f ca="1">IFERROR(__xludf.DUMMYFUNCTION("""COMPUTED_VALUE"""),"Arrland RUM")</f>
        <v>Arrland RUM</v>
      </c>
    </row>
    <row r="888" spans="1:3" x14ac:dyDescent="0.25">
      <c r="A888" s="2" t="str">
        <f ca="1">IFERROR(__xludf.DUMMYFUNCTION("""COMPUTED_VALUE"""),"arrow-token")</f>
        <v>arrow-token</v>
      </c>
      <c r="B888" s="2" t="str">
        <f ca="1">IFERROR(__xludf.DUMMYFUNCTION("""COMPUTED_VALUE"""),"arrow")</f>
        <v>arrow</v>
      </c>
      <c r="C888" s="2" t="str">
        <f ca="1">IFERROR(__xludf.DUMMYFUNCTION("""COMPUTED_VALUE"""),"Arrow Token")</f>
        <v>Arrow Token</v>
      </c>
    </row>
    <row r="889" spans="1:3" x14ac:dyDescent="0.25">
      <c r="A889" s="2" t="str">
        <f ca="1">IFERROR(__xludf.DUMMYFUNCTION("""COMPUTED_VALUE"""),"arsenal-fan-token")</f>
        <v>arsenal-fan-token</v>
      </c>
      <c r="B889" s="2" t="str">
        <f ca="1">IFERROR(__xludf.DUMMYFUNCTION("""COMPUTED_VALUE"""),"afc")</f>
        <v>afc</v>
      </c>
      <c r="C889" s="2" t="str">
        <f ca="1">IFERROR(__xludf.DUMMYFUNCTION("""COMPUTED_VALUE"""),"Arsenal Fan Token")</f>
        <v>Arsenal Fan Token</v>
      </c>
    </row>
    <row r="890" spans="1:3" x14ac:dyDescent="0.25">
      <c r="A890" s="2" t="str">
        <f ca="1">IFERROR(__xludf.DUMMYFUNCTION("""COMPUTED_VALUE"""),"artbyte")</f>
        <v>artbyte</v>
      </c>
      <c r="B890" s="2" t="str">
        <f ca="1">IFERROR(__xludf.DUMMYFUNCTION("""COMPUTED_VALUE"""),"aby")</f>
        <v>aby</v>
      </c>
      <c r="C890" s="2" t="str">
        <f ca="1">IFERROR(__xludf.DUMMYFUNCTION("""COMPUTED_VALUE"""),"ArtByte")</f>
        <v>ArtByte</v>
      </c>
    </row>
    <row r="891" spans="1:3" x14ac:dyDescent="0.25">
      <c r="A891" s="2" t="str">
        <f ca="1">IFERROR(__xludf.DUMMYFUNCTION("""COMPUTED_VALUE"""),"artcoin")</f>
        <v>artcoin</v>
      </c>
      <c r="B891" s="2" t="str">
        <f ca="1">IFERROR(__xludf.DUMMYFUNCTION("""COMPUTED_VALUE"""),"ac")</f>
        <v>ac</v>
      </c>
      <c r="C891" s="2" t="str">
        <f ca="1">IFERROR(__xludf.DUMMYFUNCTION("""COMPUTED_VALUE"""),"ArtCoin")</f>
        <v>ArtCoin</v>
      </c>
    </row>
    <row r="892" spans="1:3" x14ac:dyDescent="0.25">
      <c r="A892" s="2" t="str">
        <f ca="1">IFERROR(__xludf.DUMMYFUNCTION("""COMPUTED_VALUE"""),"artcpaclub")</f>
        <v>artcpaclub</v>
      </c>
      <c r="B892" s="2" t="str">
        <f ca="1">IFERROR(__xludf.DUMMYFUNCTION("""COMPUTED_VALUE"""),"cpa-97530")</f>
        <v>cpa-97530</v>
      </c>
      <c r="C892" s="2" t="str">
        <f ca="1">IFERROR(__xludf.DUMMYFUNCTION("""COMPUTED_VALUE"""),"ArtCPAclub")</f>
        <v>ArtCPAclub</v>
      </c>
    </row>
    <row r="893" spans="1:3" x14ac:dyDescent="0.25">
      <c r="A893" s="2" t="str">
        <f ca="1">IFERROR(__xludf.DUMMYFUNCTION("""COMPUTED_VALUE"""),"art-de-finance")</f>
        <v>art-de-finance</v>
      </c>
      <c r="B893" s="2" t="str">
        <f ca="1">IFERROR(__xludf.DUMMYFUNCTION("""COMPUTED_VALUE"""),"adf")</f>
        <v>adf</v>
      </c>
      <c r="C893" s="2" t="str">
        <f ca="1">IFERROR(__xludf.DUMMYFUNCTION("""COMPUTED_VALUE"""),"Art de Finance")</f>
        <v>Art de Finance</v>
      </c>
    </row>
    <row r="894" spans="1:3" x14ac:dyDescent="0.25">
      <c r="A894" s="2" t="str">
        <f ca="1">IFERROR(__xludf.DUMMYFUNCTION("""COMPUTED_VALUE"""),"artem")</f>
        <v>artem</v>
      </c>
      <c r="B894" s="2" t="str">
        <f ca="1">IFERROR(__xludf.DUMMYFUNCTION("""COMPUTED_VALUE"""),"artem")</f>
        <v>artem</v>
      </c>
      <c r="C894" s="2" t="str">
        <f ca="1">IFERROR(__xludf.DUMMYFUNCTION("""COMPUTED_VALUE"""),"Artem")</f>
        <v>Artem</v>
      </c>
    </row>
    <row r="895" spans="1:3" x14ac:dyDescent="0.25">
      <c r="A895" s="2" t="str">
        <f ca="1">IFERROR(__xludf.DUMMYFUNCTION("""COMPUTED_VALUE"""),"artemis")</f>
        <v>artemis</v>
      </c>
      <c r="B895" s="2" t="str">
        <f ca="1">IFERROR(__xludf.DUMMYFUNCTION("""COMPUTED_VALUE"""),"mis")</f>
        <v>mis</v>
      </c>
      <c r="C895" s="2" t="str">
        <f ca="1">IFERROR(__xludf.DUMMYFUNCTION("""COMPUTED_VALUE"""),"Artemis")</f>
        <v>Artemis</v>
      </c>
    </row>
    <row r="896" spans="1:3" x14ac:dyDescent="0.25">
      <c r="A896" s="2" t="str">
        <f ca="1">IFERROR(__xludf.DUMMYFUNCTION("""COMPUTED_VALUE"""),"artemisai")</f>
        <v>artemisai</v>
      </c>
      <c r="B896" s="2" t="str">
        <f ca="1">IFERROR(__xludf.DUMMYFUNCTION("""COMPUTED_VALUE"""),"atai")</f>
        <v>atai</v>
      </c>
      <c r="C896" s="2" t="str">
        <f ca="1">IFERROR(__xludf.DUMMYFUNCTION("""COMPUTED_VALUE"""),"ArtemisAI")</f>
        <v>ArtemisAI</v>
      </c>
    </row>
    <row r="897" spans="1:3" x14ac:dyDescent="0.25">
      <c r="A897" s="2" t="str">
        <f ca="1">IFERROR(__xludf.DUMMYFUNCTION("""COMPUTED_VALUE"""),"artery")</f>
        <v>artery</v>
      </c>
      <c r="B897" s="2" t="str">
        <f ca="1">IFERROR(__xludf.DUMMYFUNCTION("""COMPUTED_VALUE"""),"artr")</f>
        <v>artr</v>
      </c>
      <c r="C897" s="2" t="str">
        <f ca="1">IFERROR(__xludf.DUMMYFUNCTION("""COMPUTED_VALUE"""),"Artery")</f>
        <v>Artery</v>
      </c>
    </row>
    <row r="898" spans="1:3" x14ac:dyDescent="0.25">
      <c r="A898" s="2" t="str">
        <f ca="1">IFERROR(__xludf.DUMMYFUNCTION("""COMPUTED_VALUE"""),"artfi")</f>
        <v>artfi</v>
      </c>
      <c r="B898" s="2" t="str">
        <f ca="1">IFERROR(__xludf.DUMMYFUNCTION("""COMPUTED_VALUE"""),"artfi")</f>
        <v>artfi</v>
      </c>
      <c r="C898" s="2" t="str">
        <f ca="1">IFERROR(__xludf.DUMMYFUNCTION("""COMPUTED_VALUE"""),"ARTFI")</f>
        <v>ARTFI</v>
      </c>
    </row>
    <row r="899" spans="1:3" x14ac:dyDescent="0.25">
      <c r="A899" s="2" t="str">
        <f ca="1">IFERROR(__xludf.DUMMYFUNCTION("""COMPUTED_VALUE"""),"arth")</f>
        <v>arth</v>
      </c>
      <c r="B899" s="2" t="str">
        <f ca="1">IFERROR(__xludf.DUMMYFUNCTION("""COMPUTED_VALUE"""),"arth")</f>
        <v>arth</v>
      </c>
      <c r="C899" s="2" t="str">
        <f ca="1">IFERROR(__xludf.DUMMYFUNCTION("""COMPUTED_VALUE"""),"ARTH")</f>
        <v>ARTH</v>
      </c>
    </row>
    <row r="900" spans="1:3" x14ac:dyDescent="0.25">
      <c r="A900" s="2" t="str">
        <f ca="1">IFERROR(__xludf.DUMMYFUNCTION("""COMPUTED_VALUE"""),"arthswap")</f>
        <v>arthswap</v>
      </c>
      <c r="B900" s="2" t="str">
        <f ca="1">IFERROR(__xludf.DUMMYFUNCTION("""COMPUTED_VALUE"""),"arsw")</f>
        <v>arsw</v>
      </c>
      <c r="C900" s="2" t="str">
        <f ca="1">IFERROR(__xludf.DUMMYFUNCTION("""COMPUTED_VALUE"""),"ArthSwap")</f>
        <v>ArthSwap</v>
      </c>
    </row>
    <row r="901" spans="1:3" x14ac:dyDescent="0.25">
      <c r="A901" s="2" t="str">
        <f ca="1">IFERROR(__xludf.DUMMYFUNCTION("""COMPUTED_VALUE"""),"artificial-idiot")</f>
        <v>artificial-idiot</v>
      </c>
      <c r="B901" s="2" t="str">
        <f ca="1">IFERROR(__xludf.DUMMYFUNCTION("""COMPUTED_VALUE"""),"aii")</f>
        <v>aii</v>
      </c>
      <c r="C901" s="2" t="str">
        <f ca="1">IFERROR(__xludf.DUMMYFUNCTION("""COMPUTED_VALUE"""),"Artificial idiot")</f>
        <v>Artificial idiot</v>
      </c>
    </row>
    <row r="902" spans="1:3" x14ac:dyDescent="0.25">
      <c r="A902" s="2" t="str">
        <f ca="1">IFERROR(__xludf.DUMMYFUNCTION("""COMPUTED_VALUE"""),"artificial-intelligence")</f>
        <v>artificial-intelligence</v>
      </c>
      <c r="B902" s="2" t="str">
        <f ca="1">IFERROR(__xludf.DUMMYFUNCTION("""COMPUTED_VALUE"""),"ai")</f>
        <v>ai</v>
      </c>
      <c r="C902" s="2" t="str">
        <f ca="1">IFERROR(__xludf.DUMMYFUNCTION("""COMPUTED_VALUE"""),"Artificial Intelligence")</f>
        <v>Artificial Intelligence</v>
      </c>
    </row>
    <row r="903" spans="1:3" x14ac:dyDescent="0.25">
      <c r="A903" s="2" t="str">
        <f ca="1">IFERROR(__xludf.DUMMYFUNCTION("""COMPUTED_VALUE"""),"artificial-neural-network-ordinals")</f>
        <v>artificial-neural-network-ordinals</v>
      </c>
      <c r="B903" s="2" t="str">
        <f ca="1">IFERROR(__xludf.DUMMYFUNCTION("""COMPUTED_VALUE"""),"ainn")</f>
        <v>ainn</v>
      </c>
      <c r="C903" s="2" t="str">
        <f ca="1">IFERROR(__xludf.DUMMYFUNCTION("""COMPUTED_VALUE"""),"Artificial Neural Network (Ordinals)")</f>
        <v>Artificial Neural Network (Ordinals)</v>
      </c>
    </row>
    <row r="904" spans="1:3" x14ac:dyDescent="0.25">
      <c r="A904" s="2" t="str">
        <f ca="1">IFERROR(__xludf.DUMMYFUNCTION("""COMPUTED_VALUE"""),"artizen")</f>
        <v>artizen</v>
      </c>
      <c r="B904" s="2" t="str">
        <f ca="1">IFERROR(__xludf.DUMMYFUNCTION("""COMPUTED_VALUE"""),"atnt")</f>
        <v>atnt</v>
      </c>
      <c r="C904" s="2" t="str">
        <f ca="1">IFERROR(__xludf.DUMMYFUNCTION("""COMPUTED_VALUE"""),"Artizen")</f>
        <v>Artizen</v>
      </c>
    </row>
    <row r="905" spans="1:3" x14ac:dyDescent="0.25">
      <c r="A905" s="2" t="str">
        <f ca="1">IFERROR(__xludf.DUMMYFUNCTION("""COMPUTED_VALUE"""),"artl")</f>
        <v>artl</v>
      </c>
      <c r="B905" s="2" t="str">
        <f ca="1">IFERROR(__xludf.DUMMYFUNCTION("""COMPUTED_VALUE"""),"artl")</f>
        <v>artl</v>
      </c>
      <c r="C905" s="2" t="str">
        <f ca="1">IFERROR(__xludf.DUMMYFUNCTION("""COMPUTED_VALUE"""),"ARTL")</f>
        <v>ARTL</v>
      </c>
    </row>
    <row r="906" spans="1:3" x14ac:dyDescent="0.25">
      <c r="A906" s="2" t="str">
        <f ca="1">IFERROR(__xludf.DUMMYFUNCTION("""COMPUTED_VALUE"""),"artmeta")</f>
        <v>artmeta</v>
      </c>
      <c r="B906" s="2" t="str">
        <f ca="1">IFERROR(__xludf.DUMMYFUNCTION("""COMPUTED_VALUE"""),"$mart")</f>
        <v>$mart</v>
      </c>
      <c r="C906" s="2" t="str">
        <f ca="1">IFERROR(__xludf.DUMMYFUNCTION("""COMPUTED_VALUE"""),"ArtMeta")</f>
        <v>ArtMeta</v>
      </c>
    </row>
    <row r="907" spans="1:3" x14ac:dyDescent="0.25">
      <c r="A907" s="2" t="str">
        <f ca="1">IFERROR(__xludf.DUMMYFUNCTION("""COMPUTED_VALUE"""),"artrade")</f>
        <v>artrade</v>
      </c>
      <c r="B907" s="2" t="str">
        <f ca="1">IFERROR(__xludf.DUMMYFUNCTION("""COMPUTED_VALUE"""),"atr")</f>
        <v>atr</v>
      </c>
      <c r="C907" s="2" t="str">
        <f ca="1">IFERROR(__xludf.DUMMYFUNCTION("""COMPUTED_VALUE"""),"Artrade")</f>
        <v>Artrade</v>
      </c>
    </row>
    <row r="908" spans="1:3" x14ac:dyDescent="0.25">
      <c r="A908" s="2" t="str">
        <f ca="1">IFERROR(__xludf.DUMMYFUNCTION("""COMPUTED_VALUE"""),"artx")</f>
        <v>artx</v>
      </c>
      <c r="B908" s="2" t="str">
        <f ca="1">IFERROR(__xludf.DUMMYFUNCTION("""COMPUTED_VALUE"""),"artx")</f>
        <v>artx</v>
      </c>
      <c r="C908" s="2" t="str">
        <f ca="1">IFERROR(__xludf.DUMMYFUNCTION("""COMPUTED_VALUE"""),"ARTX")</f>
        <v>ARTX</v>
      </c>
    </row>
    <row r="909" spans="1:3" x14ac:dyDescent="0.25">
      <c r="A909" s="2" t="str">
        <f ca="1">IFERROR(__xludf.DUMMYFUNCTION("""COMPUTED_VALUE"""),"artyfact")</f>
        <v>artyfact</v>
      </c>
      <c r="B909" s="2" t="str">
        <f ca="1">IFERROR(__xludf.DUMMYFUNCTION("""COMPUTED_VALUE"""),"arty")</f>
        <v>arty</v>
      </c>
      <c r="C909" s="2" t="str">
        <f ca="1">IFERROR(__xludf.DUMMYFUNCTION("""COMPUTED_VALUE"""),"Artyfact")</f>
        <v>Artyfact</v>
      </c>
    </row>
    <row r="910" spans="1:3" x14ac:dyDescent="0.25">
      <c r="A910" s="2" t="str">
        <f ca="1">IFERROR(__xludf.DUMMYFUNCTION("""COMPUTED_VALUE"""),"arweave")</f>
        <v>arweave</v>
      </c>
      <c r="B910" s="2" t="str">
        <f ca="1">IFERROR(__xludf.DUMMYFUNCTION("""COMPUTED_VALUE"""),"ar")</f>
        <v>ar</v>
      </c>
      <c r="C910" s="2" t="str">
        <f ca="1">IFERROR(__xludf.DUMMYFUNCTION("""COMPUTED_VALUE"""),"Arweave")</f>
        <v>Arweave</v>
      </c>
    </row>
    <row r="911" spans="1:3" x14ac:dyDescent="0.25">
      <c r="A911" s="2" t="str">
        <f ca="1">IFERROR(__xludf.DUMMYFUNCTION("""COMPUTED_VALUE"""),"aryacoin")</f>
        <v>aryacoin</v>
      </c>
      <c r="B911" s="2" t="str">
        <f ca="1">IFERROR(__xludf.DUMMYFUNCTION("""COMPUTED_VALUE"""),"aya")</f>
        <v>aya</v>
      </c>
      <c r="C911" s="2" t="str">
        <f ca="1">IFERROR(__xludf.DUMMYFUNCTION("""COMPUTED_VALUE"""),"Aryacoin")</f>
        <v>Aryacoin</v>
      </c>
    </row>
    <row r="912" spans="1:3" x14ac:dyDescent="0.25">
      <c r="A912" s="2" t="str">
        <f ca="1">IFERROR(__xludf.DUMMYFUNCTION("""COMPUTED_VALUE"""),"aryze-eeur")</f>
        <v>aryze-eeur</v>
      </c>
      <c r="B912" s="2" t="str">
        <f ca="1">IFERROR(__xludf.DUMMYFUNCTION("""COMPUTED_VALUE"""),"eeur")</f>
        <v>eeur</v>
      </c>
      <c r="C912" s="2" t="str">
        <f ca="1">IFERROR(__xludf.DUMMYFUNCTION("""COMPUTED_VALUE"""),"ARYZE eEUR")</f>
        <v>ARYZE eEUR</v>
      </c>
    </row>
    <row r="913" spans="1:3" x14ac:dyDescent="0.25">
      <c r="A913" s="2" t="str">
        <f ca="1">IFERROR(__xludf.DUMMYFUNCTION("""COMPUTED_VALUE"""),"aryze-egbp")</f>
        <v>aryze-egbp</v>
      </c>
      <c r="B913" s="2" t="str">
        <f ca="1">IFERROR(__xludf.DUMMYFUNCTION("""COMPUTED_VALUE"""),"egbp")</f>
        <v>egbp</v>
      </c>
      <c r="C913" s="2" t="str">
        <f ca="1">IFERROR(__xludf.DUMMYFUNCTION("""COMPUTED_VALUE"""),"ARYZE eGBP")</f>
        <v>ARYZE eGBP</v>
      </c>
    </row>
    <row r="914" spans="1:3" x14ac:dyDescent="0.25">
      <c r="A914" s="2" t="str">
        <f ca="1">IFERROR(__xludf.DUMMYFUNCTION("""COMPUTED_VALUE"""),"aryze-eusd")</f>
        <v>aryze-eusd</v>
      </c>
      <c r="B914" s="2" t="str">
        <f ca="1">IFERROR(__xludf.DUMMYFUNCTION("""COMPUTED_VALUE"""),"eusd")</f>
        <v>eusd</v>
      </c>
      <c r="C914" s="2" t="str">
        <f ca="1">IFERROR(__xludf.DUMMYFUNCTION("""COMPUTED_VALUE"""),"ARYZE eUSD")</f>
        <v>ARYZE eUSD</v>
      </c>
    </row>
    <row r="915" spans="1:3" x14ac:dyDescent="0.25">
      <c r="A915" s="2" t="str">
        <f ca="1">IFERROR(__xludf.DUMMYFUNCTION("""COMPUTED_VALUE"""),"asan-verse")</f>
        <v>asan-verse</v>
      </c>
      <c r="B915" s="2" t="str">
        <f ca="1">IFERROR(__xludf.DUMMYFUNCTION("""COMPUTED_VALUE"""),"asan")</f>
        <v>asan</v>
      </c>
      <c r="C915" s="2" t="str">
        <f ca="1">IFERROR(__xludf.DUMMYFUNCTION("""COMPUTED_VALUE"""),"ASAN VERSE")</f>
        <v>ASAN VERSE</v>
      </c>
    </row>
    <row r="916" spans="1:3" x14ac:dyDescent="0.25">
      <c r="A916" s="2" t="str">
        <f ca="1">IFERROR(__xludf.DUMMYFUNCTION("""COMPUTED_VALUE"""),"asap-sniper-bot")</f>
        <v>asap-sniper-bot</v>
      </c>
      <c r="B916" s="2" t="str">
        <f ca="1">IFERROR(__xludf.DUMMYFUNCTION("""COMPUTED_VALUE"""),"asap")</f>
        <v>asap</v>
      </c>
      <c r="C916" s="2" t="str">
        <f ca="1">IFERROR(__xludf.DUMMYFUNCTION("""COMPUTED_VALUE"""),"Asap Sniper Bot")</f>
        <v>Asap Sniper Bot</v>
      </c>
    </row>
    <row r="917" spans="1:3" x14ac:dyDescent="0.25">
      <c r="A917" s="2" t="str">
        <f ca="1">IFERROR(__xludf.DUMMYFUNCTION("""COMPUTED_VALUE"""),"asd")</f>
        <v>asd</v>
      </c>
      <c r="B917" s="2" t="str">
        <f ca="1">IFERROR(__xludf.DUMMYFUNCTION("""COMPUTED_VALUE"""),"asd")</f>
        <v>asd</v>
      </c>
      <c r="C917" s="2" t="str">
        <f ca="1">IFERROR(__xludf.DUMMYFUNCTION("""COMPUTED_VALUE"""),"AscendEx")</f>
        <v>AscendEx</v>
      </c>
    </row>
    <row r="918" spans="1:3" x14ac:dyDescent="0.25">
      <c r="A918" s="2" t="str">
        <f ca="1">IFERROR(__xludf.DUMMYFUNCTION("""COMPUTED_VALUE"""),"asdi")</f>
        <v>asdi</v>
      </c>
      <c r="B918" s="2" t="str">
        <f ca="1">IFERROR(__xludf.DUMMYFUNCTION("""COMPUTED_VALUE"""),"asdi")</f>
        <v>asdi</v>
      </c>
      <c r="C918" s="2" t="str">
        <f ca="1">IFERROR(__xludf.DUMMYFUNCTION("""COMPUTED_VALUE"""),"ASDI")</f>
        <v>ASDI</v>
      </c>
    </row>
    <row r="919" spans="1:3" x14ac:dyDescent="0.25">
      <c r="A919" s="2" t="str">
        <f ca="1">IFERROR(__xludf.DUMMYFUNCTION("""COMPUTED_VALUE"""),"asdi-reward")</f>
        <v>asdi-reward</v>
      </c>
      <c r="B919" s="2" t="str">
        <f ca="1">IFERROR(__xludf.DUMMYFUNCTION("""COMPUTED_VALUE"""),"asdir")</f>
        <v>asdir</v>
      </c>
      <c r="C919" s="2" t="str">
        <f ca="1">IFERROR(__xludf.DUMMYFUNCTION("""COMPUTED_VALUE"""),"ASDI Reward")</f>
        <v>ASDI Reward</v>
      </c>
    </row>
    <row r="920" spans="1:3" x14ac:dyDescent="0.25">
      <c r="A920" s="2" t="str">
        <f ca="1">IFERROR(__xludf.DUMMYFUNCTION("""COMPUTED_VALUE"""),"asgardx")</f>
        <v>asgardx</v>
      </c>
      <c r="B920" s="2" t="str">
        <f ca="1">IFERROR(__xludf.DUMMYFUNCTION("""COMPUTED_VALUE"""),"odin")</f>
        <v>odin</v>
      </c>
      <c r="C920" s="2" t="str">
        <f ca="1">IFERROR(__xludf.DUMMYFUNCTION("""COMPUTED_VALUE"""),"AsgardX")</f>
        <v>AsgardX</v>
      </c>
    </row>
    <row r="921" spans="1:3" x14ac:dyDescent="0.25">
      <c r="A921" s="2" t="str">
        <f ca="1">IFERROR(__xludf.DUMMYFUNCTION("""COMPUTED_VALUE"""),"ash")</f>
        <v>ash</v>
      </c>
      <c r="B921" s="2" t="str">
        <f ca="1">IFERROR(__xludf.DUMMYFUNCTION("""COMPUTED_VALUE"""),"ash")</f>
        <v>ash</v>
      </c>
      <c r="C921" s="2" t="str">
        <f ca="1">IFERROR(__xludf.DUMMYFUNCTION("""COMPUTED_VALUE"""),"ASH")</f>
        <v>ASH</v>
      </c>
    </row>
    <row r="922" spans="1:3" x14ac:dyDescent="0.25">
      <c r="A922" s="2" t="str">
        <f ca="1">IFERROR(__xludf.DUMMYFUNCTION("""COMPUTED_VALUE"""),"ash-dao")</f>
        <v>ash-dao</v>
      </c>
      <c r="B922" s="2" t="str">
        <f ca="1">IFERROR(__xludf.DUMMYFUNCTION("""COMPUTED_VALUE"""),"ash")</f>
        <v>ash</v>
      </c>
      <c r="C922" s="2" t="str">
        <f ca="1">IFERROR(__xludf.DUMMYFUNCTION("""COMPUTED_VALUE"""),"ASH DAO")</f>
        <v>ASH DAO</v>
      </c>
    </row>
    <row r="923" spans="1:3" x14ac:dyDescent="0.25">
      <c r="A923" s="2" t="str">
        <f ca="1">IFERROR(__xludf.DUMMYFUNCTION("""COMPUTED_VALUE"""),"ashswap")</f>
        <v>ashswap</v>
      </c>
      <c r="B923" s="2" t="str">
        <f ca="1">IFERROR(__xludf.DUMMYFUNCTION("""COMPUTED_VALUE"""),"ash")</f>
        <v>ash</v>
      </c>
      <c r="C923" s="2" t="str">
        <f ca="1">IFERROR(__xludf.DUMMYFUNCTION("""COMPUTED_VALUE"""),"AshSwap")</f>
        <v>AshSwap</v>
      </c>
    </row>
    <row r="924" spans="1:3" x14ac:dyDescent="0.25">
      <c r="A924" s="2" t="str">
        <f ca="1">IFERROR(__xludf.DUMMYFUNCTION("""COMPUTED_VALUE"""),"ash-token")</f>
        <v>ash-token</v>
      </c>
      <c r="B924" s="2" t="str">
        <f ca="1">IFERROR(__xludf.DUMMYFUNCTION("""COMPUTED_VALUE"""),"ash")</f>
        <v>ash</v>
      </c>
      <c r="C924" s="2" t="str">
        <f ca="1">IFERROR(__xludf.DUMMYFUNCTION("""COMPUTED_VALUE"""),"Ash Token")</f>
        <v>Ash Token</v>
      </c>
    </row>
    <row r="925" spans="1:3" x14ac:dyDescent="0.25">
      <c r="A925" s="2" t="str">
        <f ca="1">IFERROR(__xludf.DUMMYFUNCTION("""COMPUTED_VALUE"""),"asia-coin")</f>
        <v>asia-coin</v>
      </c>
      <c r="B925" s="2" t="str">
        <f ca="1">IFERROR(__xludf.DUMMYFUNCTION("""COMPUTED_VALUE"""),"asia")</f>
        <v>asia</v>
      </c>
      <c r="C925" s="2" t="str">
        <f ca="1">IFERROR(__xludf.DUMMYFUNCTION("""COMPUTED_VALUE"""),"Asia Coin")</f>
        <v>Asia Coin</v>
      </c>
    </row>
    <row r="926" spans="1:3" x14ac:dyDescent="0.25">
      <c r="A926" s="2" t="str">
        <f ca="1">IFERROR(__xludf.DUMMYFUNCTION("""COMPUTED_VALUE"""),"asian-mother")</f>
        <v>asian-mother</v>
      </c>
      <c r="B926" s="2" t="str">
        <f ca="1">IFERROR(__xludf.DUMMYFUNCTION("""COMPUTED_VALUE"""),"irene")</f>
        <v>irene</v>
      </c>
      <c r="C926" s="2" t="str">
        <f ca="1">IFERROR(__xludf.DUMMYFUNCTION("""COMPUTED_VALUE"""),"ASIAN MOTHER")</f>
        <v>ASIAN MOTHER</v>
      </c>
    </row>
    <row r="927" spans="1:3" x14ac:dyDescent="0.25">
      <c r="A927" s="2" t="str">
        <f ca="1">IFERROR(__xludf.DUMMYFUNCTION("""COMPUTED_VALUE"""),"asix")</f>
        <v>asix</v>
      </c>
      <c r="B927" s="2" t="str">
        <f ca="1">IFERROR(__xludf.DUMMYFUNCTION("""COMPUTED_VALUE"""),"asix")</f>
        <v>asix</v>
      </c>
      <c r="C927" s="2" t="str">
        <f ca="1">IFERROR(__xludf.DUMMYFUNCTION("""COMPUTED_VALUE"""),"ASIX")</f>
        <v>ASIX</v>
      </c>
    </row>
    <row r="928" spans="1:3" x14ac:dyDescent="0.25">
      <c r="A928" s="2" t="str">
        <f ca="1">IFERROR(__xludf.DUMMYFUNCTION("""COMPUTED_VALUE"""),"asmatch")</f>
        <v>asmatch</v>
      </c>
      <c r="B928" s="2" t="str">
        <f ca="1">IFERROR(__xludf.DUMMYFUNCTION("""COMPUTED_VALUE"""),"asm")</f>
        <v>asm</v>
      </c>
      <c r="C928" s="2" t="str">
        <f ca="1">IFERROR(__xludf.DUMMYFUNCTION("""COMPUTED_VALUE"""),"AsMatch")</f>
        <v>AsMatch</v>
      </c>
    </row>
    <row r="929" spans="1:3" x14ac:dyDescent="0.25">
      <c r="A929" s="2" t="str">
        <f ca="1">IFERROR(__xludf.DUMMYFUNCTION("""COMPUTED_VALUE"""),"as-monaco-fan-token")</f>
        <v>as-monaco-fan-token</v>
      </c>
      <c r="B929" s="2" t="str">
        <f ca="1">IFERROR(__xludf.DUMMYFUNCTION("""COMPUTED_VALUE"""),"asm")</f>
        <v>asm</v>
      </c>
      <c r="C929" s="2" t="str">
        <f ca="1">IFERROR(__xludf.DUMMYFUNCTION("""COMPUTED_VALUE"""),"AS Monaco Fan Token")</f>
        <v>AS Monaco Fan Token</v>
      </c>
    </row>
    <row r="930" spans="1:3" x14ac:dyDescent="0.25">
      <c r="A930" s="2" t="str">
        <f ca="1">IFERROR(__xludf.DUMMYFUNCTION("""COMPUTED_VALUE"""),"aso-finance")</f>
        <v>aso-finance</v>
      </c>
      <c r="B930" s="2" t="str">
        <f ca="1">IFERROR(__xludf.DUMMYFUNCTION("""COMPUTED_VALUE"""),"aso")</f>
        <v>aso</v>
      </c>
      <c r="C930" s="2" t="str">
        <f ca="1">IFERROR(__xludf.DUMMYFUNCTION("""COMPUTED_VALUE"""),"Aso Finance")</f>
        <v>Aso Finance</v>
      </c>
    </row>
    <row r="931" spans="1:3" x14ac:dyDescent="0.25">
      <c r="A931" s="2" t="str">
        <f ca="1">IFERROR(__xludf.DUMMYFUNCTION("""COMPUTED_VALUE"""),"aspo-world")</f>
        <v>aspo-world</v>
      </c>
      <c r="B931" s="2" t="str">
        <f ca="1">IFERROR(__xludf.DUMMYFUNCTION("""COMPUTED_VALUE"""),"aspo")</f>
        <v>aspo</v>
      </c>
      <c r="C931" s="2" t="str">
        <f ca="1">IFERROR(__xludf.DUMMYFUNCTION("""COMPUTED_VALUE"""),"ASPO World")</f>
        <v>ASPO World</v>
      </c>
    </row>
    <row r="932" spans="1:3" x14ac:dyDescent="0.25">
      <c r="A932" s="2" t="str">
        <f ca="1">IFERROR(__xludf.DUMMYFUNCTION("""COMPUTED_VALUE"""),"as-roma-fan-token")</f>
        <v>as-roma-fan-token</v>
      </c>
      <c r="B932" s="2" t="str">
        <f ca="1">IFERROR(__xludf.DUMMYFUNCTION("""COMPUTED_VALUE"""),"asr")</f>
        <v>asr</v>
      </c>
      <c r="C932" s="2" t="str">
        <f ca="1">IFERROR(__xludf.DUMMYFUNCTION("""COMPUTED_VALUE"""),"AS Roma Fan Token")</f>
        <v>AS Roma Fan Token</v>
      </c>
    </row>
    <row r="933" spans="1:3" x14ac:dyDescent="0.25">
      <c r="A933" s="2" t="str">
        <f ca="1">IFERROR(__xludf.DUMMYFUNCTION("""COMPUTED_VALUE"""),"assangedao")</f>
        <v>assangedao</v>
      </c>
      <c r="B933" s="2" t="str">
        <f ca="1">IFERROR(__xludf.DUMMYFUNCTION("""COMPUTED_VALUE"""),"justice")</f>
        <v>justice</v>
      </c>
      <c r="C933" s="2" t="str">
        <f ca="1">IFERROR(__xludf.DUMMYFUNCTION("""COMPUTED_VALUE"""),"AssangeDAO")</f>
        <v>AssangeDAO</v>
      </c>
    </row>
    <row r="934" spans="1:3" x14ac:dyDescent="0.25">
      <c r="A934" s="2" t="str">
        <f ca="1">IFERROR(__xludf.DUMMYFUNCTION("""COMPUTED_VALUE"""),"assemble-protocol")</f>
        <v>assemble-protocol</v>
      </c>
      <c r="B934" s="2" t="str">
        <f ca="1">IFERROR(__xludf.DUMMYFUNCTION("""COMPUTED_VALUE"""),"asm")</f>
        <v>asm</v>
      </c>
      <c r="C934" s="2" t="str">
        <f ca="1">IFERROR(__xludf.DUMMYFUNCTION("""COMPUTED_VALUE"""),"Assemble Protocol")</f>
        <v>Assemble Protocol</v>
      </c>
    </row>
    <row r="935" spans="1:3" x14ac:dyDescent="0.25">
      <c r="A935" s="2" t="str">
        <f ca="1">IFERROR(__xludf.DUMMYFUNCTION("""COMPUTED_VALUE"""),"assent-protocol")</f>
        <v>assent-protocol</v>
      </c>
      <c r="B935" s="2" t="str">
        <f ca="1">IFERROR(__xludf.DUMMYFUNCTION("""COMPUTED_VALUE"""),"asnt")</f>
        <v>asnt</v>
      </c>
      <c r="C935" s="2" t="str">
        <f ca="1">IFERROR(__xludf.DUMMYFUNCTION("""COMPUTED_VALUE"""),"Assent Protocol")</f>
        <v>Assent Protocol</v>
      </c>
    </row>
    <row r="936" spans="1:3" x14ac:dyDescent="0.25">
      <c r="A936" s="2" t="str">
        <f ca="1">IFERROR(__xludf.DUMMYFUNCTION("""COMPUTED_VALUE"""),"assetlink")</f>
        <v>assetlink</v>
      </c>
      <c r="B936" s="2" t="str">
        <f ca="1">IFERROR(__xludf.DUMMYFUNCTION("""COMPUTED_VALUE"""),"aset")</f>
        <v>aset</v>
      </c>
      <c r="C936" s="2" t="str">
        <f ca="1">IFERROR(__xludf.DUMMYFUNCTION("""COMPUTED_VALUE"""),"AssetLink")</f>
        <v>AssetLink</v>
      </c>
    </row>
    <row r="937" spans="1:3" x14ac:dyDescent="0.25">
      <c r="A937" s="2" t="str">
        <f ca="1">IFERROR(__xludf.DUMMYFUNCTION("""COMPUTED_VALUE"""),"assetmantle")</f>
        <v>assetmantle</v>
      </c>
      <c r="B937" s="2" t="str">
        <f ca="1">IFERROR(__xludf.DUMMYFUNCTION("""COMPUTED_VALUE"""),"mntl")</f>
        <v>mntl</v>
      </c>
      <c r="C937" s="2" t="str">
        <f ca="1">IFERROR(__xludf.DUMMYFUNCTION("""COMPUTED_VALUE"""),"AssetMantle")</f>
        <v>AssetMantle</v>
      </c>
    </row>
    <row r="938" spans="1:3" x14ac:dyDescent="0.25">
      <c r="A938" s="2" t="str">
        <f ca="1">IFERROR(__xludf.DUMMYFUNCTION("""COMPUTED_VALUE"""),"astar")</f>
        <v>astar</v>
      </c>
      <c r="B938" s="2" t="str">
        <f ca="1">IFERROR(__xludf.DUMMYFUNCTION("""COMPUTED_VALUE"""),"astr")</f>
        <v>astr</v>
      </c>
      <c r="C938" s="2" t="str">
        <f ca="1">IFERROR(__xludf.DUMMYFUNCTION("""COMPUTED_VALUE"""),"Astar")</f>
        <v>Astar</v>
      </c>
    </row>
    <row r="939" spans="1:3" x14ac:dyDescent="0.25">
      <c r="A939" s="2" t="str">
        <f ca="1">IFERROR(__xludf.DUMMYFUNCTION("""COMPUTED_VALUE"""),"astar-moonbeam")</f>
        <v>astar-moonbeam</v>
      </c>
      <c r="B939" s="2" t="str">
        <f ca="1">IFERROR(__xludf.DUMMYFUNCTION("""COMPUTED_VALUE"""),"$xcastr")</f>
        <v>$xcastr</v>
      </c>
      <c r="C939" s="2" t="str">
        <f ca="1">IFERROR(__xludf.DUMMYFUNCTION("""COMPUTED_VALUE"""),"Astar (Moonbeam)")</f>
        <v>Astar (Moonbeam)</v>
      </c>
    </row>
    <row r="940" spans="1:3" x14ac:dyDescent="0.25">
      <c r="A940" s="2" t="str">
        <f ca="1">IFERROR(__xludf.DUMMYFUNCTION("""COMPUTED_VALUE"""),"astarter")</f>
        <v>astarter</v>
      </c>
      <c r="B940" s="2" t="str">
        <f ca="1">IFERROR(__xludf.DUMMYFUNCTION("""COMPUTED_VALUE"""),"aa")</f>
        <v>aa</v>
      </c>
      <c r="C940" s="2" t="str">
        <f ca="1">IFERROR(__xludf.DUMMYFUNCTION("""COMPUTED_VALUE"""),"Astarter")</f>
        <v>Astarter</v>
      </c>
    </row>
    <row r="941" spans="1:3" x14ac:dyDescent="0.25">
      <c r="A941" s="2" t="str">
        <f ca="1">IFERROR(__xludf.DUMMYFUNCTION("""COMPUTED_VALUE"""),"astar-zkevm-bridged-weth-astar-zkevm")</f>
        <v>astar-zkevm-bridged-weth-astar-zkevm</v>
      </c>
      <c r="B941" s="2" t="str">
        <f ca="1">IFERROR(__xludf.DUMMYFUNCTION("""COMPUTED_VALUE"""),"weth")</f>
        <v>weth</v>
      </c>
      <c r="C941" s="2" t="str">
        <f ca="1">IFERROR(__xludf.DUMMYFUNCTION("""COMPUTED_VALUE"""),"Astar zkEVM Bridged WETH (Astar zkEVM)")</f>
        <v>Astar zkEVM Bridged WETH (Astar zkEVM)</v>
      </c>
    </row>
    <row r="942" spans="1:3" x14ac:dyDescent="0.25">
      <c r="A942" s="2" t="str">
        <f ca="1">IFERROR(__xludf.DUMMYFUNCTION("""COMPUTED_VALUE"""),"aster")</f>
        <v>aster</v>
      </c>
      <c r="B942" s="2" t="str">
        <f ca="1">IFERROR(__xludf.DUMMYFUNCTION("""COMPUTED_VALUE"""),"atc")</f>
        <v>atc</v>
      </c>
      <c r="C942" s="2" t="str">
        <f ca="1">IFERROR(__xludf.DUMMYFUNCTION("""COMPUTED_VALUE"""),"Aster")</f>
        <v>Aster</v>
      </c>
    </row>
    <row r="943" spans="1:3" x14ac:dyDescent="0.25">
      <c r="A943" s="2" t="str">
        <f ca="1">IFERROR(__xludf.DUMMYFUNCTION("""COMPUTED_VALUE"""),"asterix")</f>
        <v>asterix</v>
      </c>
      <c r="B943" s="2" t="str">
        <f ca="1">IFERROR(__xludf.DUMMYFUNCTION("""COMPUTED_VALUE"""),"astx")</f>
        <v>astx</v>
      </c>
      <c r="C943" s="2" t="str">
        <f ca="1">IFERROR(__xludf.DUMMYFUNCTION("""COMPUTED_VALUE"""),"Asterix")</f>
        <v>Asterix</v>
      </c>
    </row>
    <row r="944" spans="1:3" x14ac:dyDescent="0.25">
      <c r="A944" s="2" t="str">
        <f ca="1">IFERROR(__xludf.DUMMYFUNCTION("""COMPUTED_VALUE"""),"asteroids")</f>
        <v>asteroids</v>
      </c>
      <c r="B944" s="2" t="str">
        <f ca="1">IFERROR(__xludf.DUMMYFUNCTION("""COMPUTED_VALUE"""),"roids")</f>
        <v>roids</v>
      </c>
      <c r="C944" s="2" t="str">
        <f ca="1">IFERROR(__xludf.DUMMYFUNCTION("""COMPUTED_VALUE"""),"Asteroids")</f>
        <v>Asteroids</v>
      </c>
    </row>
    <row r="945" spans="1:3" x14ac:dyDescent="0.25">
      <c r="A945" s="2" t="str">
        <f ca="1">IFERROR(__xludf.DUMMYFUNCTION("""COMPUTED_VALUE"""),"asteroid-shiba")</f>
        <v>asteroid-shiba</v>
      </c>
      <c r="B945" s="2" t="str">
        <f ca="1">IFERROR(__xludf.DUMMYFUNCTION("""COMPUTED_VALUE"""),"asteroid")</f>
        <v>asteroid</v>
      </c>
      <c r="C945" s="2" t="str">
        <f ca="1">IFERROR(__xludf.DUMMYFUNCTION("""COMPUTED_VALUE"""),"Asteroid Shiba")</f>
        <v>Asteroid Shiba</v>
      </c>
    </row>
    <row r="946" spans="1:3" x14ac:dyDescent="0.25">
      <c r="A946" s="2" t="str">
        <f ca="1">IFERROR(__xludf.DUMMYFUNCTION("""COMPUTED_VALUE"""),"aston-martin-cognizant-fan-token")</f>
        <v>aston-martin-cognizant-fan-token</v>
      </c>
      <c r="B946" s="2" t="str">
        <f ca="1">IFERROR(__xludf.DUMMYFUNCTION("""COMPUTED_VALUE"""),"am")</f>
        <v>am</v>
      </c>
      <c r="C946" s="2" t="str">
        <f ca="1">IFERROR(__xludf.DUMMYFUNCTION("""COMPUTED_VALUE"""),"Aston Martin Cognizant Fan Token")</f>
        <v>Aston Martin Cognizant Fan Token</v>
      </c>
    </row>
    <row r="947" spans="1:3" x14ac:dyDescent="0.25">
      <c r="A947" s="2" t="str">
        <f ca="1">IFERROR(__xludf.DUMMYFUNCTION("""COMPUTED_VALUE"""),"aston-villa-fan-token")</f>
        <v>aston-villa-fan-token</v>
      </c>
      <c r="B947" s="2" t="str">
        <f ca="1">IFERROR(__xludf.DUMMYFUNCTION("""COMPUTED_VALUE"""),"avl")</f>
        <v>avl</v>
      </c>
      <c r="C947" s="2" t="str">
        <f ca="1">IFERROR(__xludf.DUMMYFUNCTION("""COMPUTED_VALUE"""),"Aston Villa Fan Token")</f>
        <v>Aston Villa Fan Token</v>
      </c>
    </row>
    <row r="948" spans="1:3" x14ac:dyDescent="0.25">
      <c r="A948" s="2" t="str">
        <f ca="1">IFERROR(__xludf.DUMMYFUNCTION("""COMPUTED_VALUE"""),"astraai")</f>
        <v>astraai</v>
      </c>
      <c r="B948" s="2" t="str">
        <f ca="1">IFERROR(__xludf.DUMMYFUNCTION("""COMPUTED_VALUE"""),"astra")</f>
        <v>astra</v>
      </c>
      <c r="C948" s="2" t="str">
        <f ca="1">IFERROR(__xludf.DUMMYFUNCTION("""COMPUTED_VALUE"""),"AstraAI")</f>
        <v>AstraAI</v>
      </c>
    </row>
    <row r="949" spans="1:3" x14ac:dyDescent="0.25">
      <c r="A949" s="2" t="str">
        <f ca="1">IFERROR(__xludf.DUMMYFUNCTION("""COMPUTED_VALUE"""),"astra-dao-2")</f>
        <v>astra-dao-2</v>
      </c>
      <c r="B949" s="2" t="str">
        <f ca="1">IFERROR(__xludf.DUMMYFUNCTION("""COMPUTED_VALUE"""),"astradao")</f>
        <v>astradao</v>
      </c>
      <c r="C949" s="2" t="str">
        <f ca="1">IFERROR(__xludf.DUMMYFUNCTION("""COMPUTED_VALUE"""),"Astra DAO")</f>
        <v>Astra DAO</v>
      </c>
    </row>
    <row r="950" spans="1:3" x14ac:dyDescent="0.25">
      <c r="A950" s="2" t="str">
        <f ca="1">IFERROR(__xludf.DUMMYFUNCTION("""COMPUTED_VALUE"""),"astrafer")</f>
        <v>astrafer</v>
      </c>
      <c r="B950" s="2" t="str">
        <f ca="1">IFERROR(__xludf.DUMMYFUNCTION("""COMPUTED_VALUE"""),"astrafer")</f>
        <v>astrafer</v>
      </c>
      <c r="C950" s="2" t="str">
        <f ca="1">IFERROR(__xludf.DUMMYFUNCTION("""COMPUTED_VALUE"""),"Astrafer")</f>
        <v>Astrafer</v>
      </c>
    </row>
    <row r="951" spans="1:3" x14ac:dyDescent="0.25">
      <c r="A951" s="2" t="str">
        <f ca="1">IFERROR(__xludf.DUMMYFUNCTION("""COMPUTED_VALUE"""),"astral-credits")</f>
        <v>astral-credits</v>
      </c>
      <c r="B951" s="2" t="str">
        <f ca="1">IFERROR(__xludf.DUMMYFUNCTION("""COMPUTED_VALUE"""),"xac")</f>
        <v>xac</v>
      </c>
      <c r="C951" s="2" t="str">
        <f ca="1">IFERROR(__xludf.DUMMYFUNCTION("""COMPUTED_VALUE"""),"Astral Credits")</f>
        <v>Astral Credits</v>
      </c>
    </row>
    <row r="952" spans="1:3" x14ac:dyDescent="0.25">
      <c r="A952" s="2" t="str">
        <f ca="1">IFERROR(__xludf.DUMMYFUNCTION("""COMPUTED_VALUE"""),"astrals-glxy")</f>
        <v>astrals-glxy</v>
      </c>
      <c r="B952" s="2" t="str">
        <f ca="1">IFERROR(__xludf.DUMMYFUNCTION("""COMPUTED_VALUE"""),"glxy")</f>
        <v>glxy</v>
      </c>
      <c r="C952" s="2" t="str">
        <f ca="1">IFERROR(__xludf.DUMMYFUNCTION("""COMPUTED_VALUE"""),"Astrals GLXY")</f>
        <v>Astrals GLXY</v>
      </c>
    </row>
    <row r="953" spans="1:3" x14ac:dyDescent="0.25">
      <c r="A953" s="2" t="str">
        <f ca="1">IFERROR(__xludf.DUMMYFUNCTION("""COMPUTED_VALUE"""),"astra-nova")</f>
        <v>astra-nova</v>
      </c>
      <c r="B953" s="2" t="str">
        <f ca="1">IFERROR(__xludf.DUMMYFUNCTION("""COMPUTED_VALUE"""),"$rvv")</f>
        <v>$rvv</v>
      </c>
      <c r="C953" s="2" t="str">
        <f ca="1">IFERROR(__xludf.DUMMYFUNCTION("""COMPUTED_VALUE"""),"Astra Nova")</f>
        <v>Astra Nova</v>
      </c>
    </row>
    <row r="954" spans="1:3" x14ac:dyDescent="0.25">
      <c r="A954" s="2" t="str">
        <f ca="1">IFERROR(__xludf.DUMMYFUNCTION("""COMPUTED_VALUE"""),"astra-protocol-2")</f>
        <v>astra-protocol-2</v>
      </c>
      <c r="B954" s="2" t="str">
        <f ca="1">IFERROR(__xludf.DUMMYFUNCTION("""COMPUTED_VALUE"""),"astra")</f>
        <v>astra</v>
      </c>
      <c r="C954" s="2" t="str">
        <f ca="1">IFERROR(__xludf.DUMMYFUNCTION("""COMPUTED_VALUE"""),"Astra Protocol")</f>
        <v>Astra Protocol</v>
      </c>
    </row>
    <row r="955" spans="1:3" x14ac:dyDescent="0.25">
      <c r="A955" s="2" t="str">
        <f ca="1">IFERROR(__xludf.DUMMYFUNCTION("""COMPUTED_VALUE"""),"astrazion")</f>
        <v>astrazion</v>
      </c>
      <c r="B955" s="2" t="str">
        <f ca="1">IFERROR(__xludf.DUMMYFUNCTION("""COMPUTED_VALUE"""),"aznt")</f>
        <v>aznt</v>
      </c>
      <c r="C955" s="2" t="str">
        <f ca="1">IFERROR(__xludf.DUMMYFUNCTION("""COMPUTED_VALUE"""),"AstraZion")</f>
        <v>AstraZion</v>
      </c>
    </row>
    <row r="956" spans="1:3" x14ac:dyDescent="0.25">
      <c r="A956" s="2" t="str">
        <f ca="1">IFERROR(__xludf.DUMMYFUNCTION("""COMPUTED_VALUE"""),"astrid-restaked-cbeth")</f>
        <v>astrid-restaked-cbeth</v>
      </c>
      <c r="B956" s="2" t="str">
        <f ca="1">IFERROR(__xludf.DUMMYFUNCTION("""COMPUTED_VALUE"""),"rcbeth")</f>
        <v>rcbeth</v>
      </c>
      <c r="C956" s="2" t="str">
        <f ca="1">IFERROR(__xludf.DUMMYFUNCTION("""COMPUTED_VALUE"""),"Astrid Restaked cbETH")</f>
        <v>Astrid Restaked cbETH</v>
      </c>
    </row>
    <row r="957" spans="1:3" x14ac:dyDescent="0.25">
      <c r="A957" s="2" t="str">
        <f ca="1">IFERROR(__xludf.DUMMYFUNCTION("""COMPUTED_VALUE"""),"astrid-restaked-reth")</f>
        <v>astrid-restaked-reth</v>
      </c>
      <c r="B957" s="2" t="str">
        <f ca="1">IFERROR(__xludf.DUMMYFUNCTION("""COMPUTED_VALUE"""),"rreth")</f>
        <v>rreth</v>
      </c>
      <c r="C957" s="2" t="str">
        <f ca="1">IFERROR(__xludf.DUMMYFUNCTION("""COMPUTED_VALUE"""),"Astrid Restaked rETH")</f>
        <v>Astrid Restaked rETH</v>
      </c>
    </row>
    <row r="958" spans="1:3" x14ac:dyDescent="0.25">
      <c r="A958" s="2" t="str">
        <f ca="1">IFERROR(__xludf.DUMMYFUNCTION("""COMPUTED_VALUE"""),"astro-2")</f>
        <v>astro-2</v>
      </c>
      <c r="B958" s="2" t="str">
        <f ca="1">IFERROR(__xludf.DUMMYFUNCTION("""COMPUTED_VALUE"""),"astro")</f>
        <v>astro</v>
      </c>
      <c r="C958" s="2" t="str">
        <f ca="1">IFERROR(__xludf.DUMMYFUNCTION("""COMPUTED_VALUE"""),"Astro")</f>
        <v>Astro</v>
      </c>
    </row>
    <row r="959" spans="1:3" x14ac:dyDescent="0.25">
      <c r="A959" s="2" t="str">
        <f ca="1">IFERROR(__xludf.DUMMYFUNCTION("""COMPUTED_VALUE"""),"astro-babies")</f>
        <v>astro-babies</v>
      </c>
      <c r="B959" s="2" t="str">
        <f ca="1">IFERROR(__xludf.DUMMYFUNCTION("""COMPUTED_VALUE"""),"abb")</f>
        <v>abb</v>
      </c>
      <c r="C959" s="2" t="str">
        <f ca="1">IFERROR(__xludf.DUMMYFUNCTION("""COMPUTED_VALUE"""),"Astro Babies")</f>
        <v>Astro Babies</v>
      </c>
    </row>
    <row r="960" spans="1:3" x14ac:dyDescent="0.25">
      <c r="A960" s="2" t="str">
        <f ca="1">IFERROR(__xludf.DUMMYFUNCTION("""COMPUTED_VALUE"""),"astroelon")</f>
        <v>astroelon</v>
      </c>
      <c r="B960" s="2" t="str">
        <f ca="1">IFERROR(__xludf.DUMMYFUNCTION("""COMPUTED_VALUE"""),"elonone")</f>
        <v>elonone</v>
      </c>
      <c r="C960" s="2" t="str">
        <f ca="1">IFERROR(__xludf.DUMMYFUNCTION("""COMPUTED_VALUE"""),"AstroElon")</f>
        <v>AstroElon</v>
      </c>
    </row>
    <row r="961" spans="1:3" x14ac:dyDescent="0.25">
      <c r="A961" s="2" t="str">
        <f ca="1">IFERROR(__xludf.DUMMYFUNCTION("""COMPUTED_VALUE"""),"astrolescent")</f>
        <v>astrolescent</v>
      </c>
      <c r="B961" s="2" t="str">
        <f ca="1">IFERROR(__xludf.DUMMYFUNCTION("""COMPUTED_VALUE"""),"astrl")</f>
        <v>astrl</v>
      </c>
      <c r="C961" s="2" t="str">
        <f ca="1">IFERROR(__xludf.DUMMYFUNCTION("""COMPUTED_VALUE"""),"Astrolescent")</f>
        <v>Astrolescent</v>
      </c>
    </row>
    <row r="962" spans="1:3" x14ac:dyDescent="0.25">
      <c r="A962" s="2" t="str">
        <f ca="1">IFERROR(__xludf.DUMMYFUNCTION("""COMPUTED_VALUE"""),"astropepex")</f>
        <v>astropepex</v>
      </c>
      <c r="B962" s="2" t="str">
        <f ca="1">IFERROR(__xludf.DUMMYFUNCTION("""COMPUTED_VALUE"""),"apx")</f>
        <v>apx</v>
      </c>
      <c r="C962" s="2" t="str">
        <f ca="1">IFERROR(__xludf.DUMMYFUNCTION("""COMPUTED_VALUE"""),"AstroPepeX")</f>
        <v>AstroPepeX</v>
      </c>
    </row>
    <row r="963" spans="1:3" x14ac:dyDescent="0.25">
      <c r="A963" s="2" t="str">
        <f ca="1">IFERROR(__xludf.DUMMYFUNCTION("""COMPUTED_VALUE"""),"astroport")</f>
        <v>astroport</v>
      </c>
      <c r="B963" s="2" t="str">
        <f ca="1">IFERROR(__xludf.DUMMYFUNCTION("""COMPUTED_VALUE"""),"astroc")</f>
        <v>astroc</v>
      </c>
      <c r="C963" s="2" t="str">
        <f ca="1">IFERROR(__xludf.DUMMYFUNCTION("""COMPUTED_VALUE"""),"Astroport Classic")</f>
        <v>Astroport Classic</v>
      </c>
    </row>
    <row r="964" spans="1:3" x14ac:dyDescent="0.25">
      <c r="A964" s="2" t="str">
        <f ca="1">IFERROR(__xludf.DUMMYFUNCTION("""COMPUTED_VALUE"""),"astroport-fi")</f>
        <v>astroport-fi</v>
      </c>
      <c r="B964" s="2" t="str">
        <f ca="1">IFERROR(__xludf.DUMMYFUNCTION("""COMPUTED_VALUE"""),"astro")</f>
        <v>astro</v>
      </c>
      <c r="C964" s="2" t="str">
        <f ca="1">IFERROR(__xludf.DUMMYFUNCTION("""COMPUTED_VALUE"""),"Astroport")</f>
        <v>Astroport</v>
      </c>
    </row>
    <row r="965" spans="1:3" x14ac:dyDescent="0.25">
      <c r="A965" s="2" t="str">
        <f ca="1">IFERROR(__xludf.DUMMYFUNCTION("""COMPUTED_VALUE"""),"astrospaces-io")</f>
        <v>astrospaces-io</v>
      </c>
      <c r="B965" s="2" t="str">
        <f ca="1">IFERROR(__xludf.DUMMYFUNCTION("""COMPUTED_VALUE"""),"spaces")</f>
        <v>spaces</v>
      </c>
      <c r="C965" s="3" t="str">
        <f ca="1">IFERROR(__xludf.DUMMYFUNCTION("""COMPUTED_VALUE"""),"AstroSpaces.io")</f>
        <v>AstroSpaces.io</v>
      </c>
    </row>
    <row r="966" spans="1:3" x14ac:dyDescent="0.25">
      <c r="A966" s="2" t="str">
        <f ca="1">IFERROR(__xludf.DUMMYFUNCTION("""COMPUTED_VALUE"""),"astroswap")</f>
        <v>astroswap</v>
      </c>
      <c r="B966" s="2" t="str">
        <f ca="1">IFERROR(__xludf.DUMMYFUNCTION("""COMPUTED_VALUE"""),"astro")</f>
        <v>astro</v>
      </c>
      <c r="C966" s="2" t="str">
        <f ca="1">IFERROR(__xludf.DUMMYFUNCTION("""COMPUTED_VALUE"""),"AstroSwap")</f>
        <v>AstroSwap</v>
      </c>
    </row>
    <row r="967" spans="1:3" x14ac:dyDescent="0.25">
      <c r="A967" s="2" t="str">
        <f ca="1">IFERROR(__xludf.DUMMYFUNCTION("""COMPUTED_VALUE"""),"astrotools")</f>
        <v>astrotools</v>
      </c>
      <c r="B967" s="2" t="str">
        <f ca="1">IFERROR(__xludf.DUMMYFUNCTION("""COMPUTED_VALUE"""),"astro")</f>
        <v>astro</v>
      </c>
      <c r="C967" s="2" t="str">
        <f ca="1">IFERROR(__xludf.DUMMYFUNCTION("""COMPUTED_VALUE"""),"AstroTools")</f>
        <v>AstroTools</v>
      </c>
    </row>
    <row r="968" spans="1:3" x14ac:dyDescent="0.25">
      <c r="A968" s="2" t="str">
        <f ca="1">IFERROR(__xludf.DUMMYFUNCTION("""COMPUTED_VALUE"""),"astrovault")</f>
        <v>astrovault</v>
      </c>
      <c r="B968" s="2" t="str">
        <f ca="1">IFERROR(__xludf.DUMMYFUNCTION("""COMPUTED_VALUE"""),"axv")</f>
        <v>axv</v>
      </c>
      <c r="C968" s="2" t="str">
        <f ca="1">IFERROR(__xludf.DUMMYFUNCTION("""COMPUTED_VALUE"""),"Astrovault")</f>
        <v>Astrovault</v>
      </c>
    </row>
    <row r="969" spans="1:3" x14ac:dyDescent="0.25">
      <c r="A969" s="2" t="str">
        <f ca="1">IFERROR(__xludf.DUMMYFUNCTION("""COMPUTED_VALUE"""),"astrovault-xarch")</f>
        <v>astrovault-xarch</v>
      </c>
      <c r="B969" s="2" t="str">
        <f ca="1">IFERROR(__xludf.DUMMYFUNCTION("""COMPUTED_VALUE"""),"xarch")</f>
        <v>xarch</v>
      </c>
      <c r="C969" s="2" t="str">
        <f ca="1">IFERROR(__xludf.DUMMYFUNCTION("""COMPUTED_VALUE"""),"xARCH_Astrovault")</f>
        <v>xARCH_Astrovault</v>
      </c>
    </row>
    <row r="970" spans="1:3" x14ac:dyDescent="0.25">
      <c r="A970" s="2" t="str">
        <f ca="1">IFERROR(__xludf.DUMMYFUNCTION("""COMPUTED_VALUE"""),"astrovault-xatom")</f>
        <v>astrovault-xatom</v>
      </c>
      <c r="B970" s="2" t="str">
        <f ca="1">IFERROR(__xludf.DUMMYFUNCTION("""COMPUTED_VALUE"""),"xatom")</f>
        <v>xatom</v>
      </c>
      <c r="C970" s="2" t="str">
        <f ca="1">IFERROR(__xludf.DUMMYFUNCTION("""COMPUTED_VALUE"""),"xATOM_Astrovault")</f>
        <v>xATOM_Astrovault</v>
      </c>
    </row>
    <row r="971" spans="1:3" x14ac:dyDescent="0.25">
      <c r="A971" s="2" t="str">
        <f ca="1">IFERROR(__xludf.DUMMYFUNCTION("""COMPUTED_VALUE"""),"astrovault-xjkl")</f>
        <v>astrovault-xjkl</v>
      </c>
      <c r="B971" s="2" t="str">
        <f ca="1">IFERROR(__xludf.DUMMYFUNCTION("""COMPUTED_VALUE"""),"xjkl")</f>
        <v>xjkl</v>
      </c>
      <c r="C971" s="2" t="str">
        <f ca="1">IFERROR(__xludf.DUMMYFUNCTION("""COMPUTED_VALUE"""),"xJKL_Astrovault")</f>
        <v>xJKL_Astrovault</v>
      </c>
    </row>
    <row r="972" spans="1:3" x14ac:dyDescent="0.25">
      <c r="A972" s="2" t="str">
        <f ca="1">IFERROR(__xludf.DUMMYFUNCTION("""COMPUTED_VALUE"""),"asva")</f>
        <v>asva</v>
      </c>
      <c r="B972" s="2" t="str">
        <f ca="1">IFERROR(__xludf.DUMMYFUNCTION("""COMPUTED_VALUE"""),"asva")</f>
        <v>asva</v>
      </c>
      <c r="C972" s="2" t="str">
        <f ca="1">IFERROR(__xludf.DUMMYFUNCTION("""COMPUTED_VALUE"""),"Asva Labs")</f>
        <v>Asva Labs</v>
      </c>
    </row>
    <row r="973" spans="1:3" x14ac:dyDescent="0.25">
      <c r="A973" s="2" t="str">
        <f ca="1">IFERROR(__xludf.DUMMYFUNCTION("""COMPUTED_VALUE"""),"asx-capital")</f>
        <v>asx-capital</v>
      </c>
      <c r="B973" s="2" t="str">
        <f ca="1">IFERROR(__xludf.DUMMYFUNCTION("""COMPUTED_VALUE"""),"asx")</f>
        <v>asx</v>
      </c>
      <c r="C973" s="2" t="str">
        <f ca="1">IFERROR(__xludf.DUMMYFUNCTION("""COMPUTED_VALUE"""),"ASX Capital")</f>
        <v>ASX Capital</v>
      </c>
    </row>
    <row r="974" spans="1:3" x14ac:dyDescent="0.25">
      <c r="A974" s="2" t="str">
        <f ca="1">IFERROR(__xludf.DUMMYFUNCTION("""COMPUTED_VALUE"""),"asyagro")</f>
        <v>asyagro</v>
      </c>
      <c r="B974" s="2" t="str">
        <f ca="1">IFERROR(__xludf.DUMMYFUNCTION("""COMPUTED_VALUE"""),"asy")</f>
        <v>asy</v>
      </c>
      <c r="C974" s="2" t="str">
        <f ca="1">IFERROR(__xludf.DUMMYFUNCTION("""COMPUTED_VALUE"""),"ASYAGRO")</f>
        <v>ASYAGRO</v>
      </c>
    </row>
    <row r="975" spans="1:3" x14ac:dyDescent="0.25">
      <c r="A975" s="2" t="str">
        <f ca="1">IFERROR(__xludf.DUMMYFUNCTION("""COMPUTED_VALUE"""),"atari")</f>
        <v>atari</v>
      </c>
      <c r="B975" s="2" t="str">
        <f ca="1">IFERROR(__xludf.DUMMYFUNCTION("""COMPUTED_VALUE"""),"atri")</f>
        <v>atri</v>
      </c>
      <c r="C975" s="2" t="str">
        <f ca="1">IFERROR(__xludf.DUMMYFUNCTION("""COMPUTED_VALUE"""),"Atari")</f>
        <v>Atari</v>
      </c>
    </row>
    <row r="976" spans="1:3" x14ac:dyDescent="0.25">
      <c r="A976" s="2" t="str">
        <f ca="1">IFERROR(__xludf.DUMMYFUNCTION("""COMPUTED_VALUE"""),"atb")</f>
        <v>atb</v>
      </c>
      <c r="B976" s="2" t="str">
        <f ca="1">IFERROR(__xludf.DUMMYFUNCTION("""COMPUTED_VALUE"""),"atb")</f>
        <v>atb</v>
      </c>
      <c r="C976" s="2" t="str">
        <f ca="1">IFERROR(__xludf.DUMMYFUNCTION("""COMPUTED_VALUE"""),"ATB")</f>
        <v>ATB</v>
      </c>
    </row>
    <row r="977" spans="1:3" x14ac:dyDescent="0.25">
      <c r="A977" s="2" t="str">
        <f ca="1">IFERROR(__xludf.DUMMYFUNCTION("""COMPUTED_VALUE"""),"atem-network")</f>
        <v>atem-network</v>
      </c>
      <c r="B977" s="2" t="str">
        <f ca="1">IFERROR(__xludf.DUMMYFUNCTION("""COMPUTED_VALUE"""),"atem")</f>
        <v>atem</v>
      </c>
      <c r="C977" s="2" t="str">
        <f ca="1">IFERROR(__xludf.DUMMYFUNCTION("""COMPUTED_VALUE"""),"Atem Network")</f>
        <v>Atem Network</v>
      </c>
    </row>
    <row r="978" spans="1:3" x14ac:dyDescent="0.25">
      <c r="A978" s="2" t="str">
        <f ca="1">IFERROR(__xludf.DUMMYFUNCTION("""COMPUTED_VALUE"""),"athenadao-token")</f>
        <v>athenadao-token</v>
      </c>
      <c r="B978" s="2" t="str">
        <f ca="1">IFERROR(__xludf.DUMMYFUNCTION("""COMPUTED_VALUE"""),"ath")</f>
        <v>ath</v>
      </c>
      <c r="C978" s="2" t="str">
        <f ca="1">IFERROR(__xludf.DUMMYFUNCTION("""COMPUTED_VALUE"""),"AthenaDAO")</f>
        <v>AthenaDAO</v>
      </c>
    </row>
    <row r="979" spans="1:3" x14ac:dyDescent="0.25">
      <c r="A979" s="2" t="str">
        <f ca="1">IFERROR(__xludf.DUMMYFUNCTION("""COMPUTED_VALUE"""),"athena-dexfi")</f>
        <v>athena-dexfi</v>
      </c>
      <c r="B979" s="2" t="str">
        <f ca="1">IFERROR(__xludf.DUMMYFUNCTION("""COMPUTED_VALUE"""),"ath")</f>
        <v>ath</v>
      </c>
      <c r="C979" s="2" t="str">
        <f ca="1">IFERROR(__xludf.DUMMYFUNCTION("""COMPUTED_VALUE"""),"Athena DexFi")</f>
        <v>Athena DexFi</v>
      </c>
    </row>
    <row r="980" spans="1:3" x14ac:dyDescent="0.25">
      <c r="A980" s="2" t="str">
        <f ca="1">IFERROR(__xludf.DUMMYFUNCTION("""COMPUTED_VALUE"""),"athena-finance")</f>
        <v>athena-finance</v>
      </c>
      <c r="B980" s="2" t="str">
        <f ca="1">IFERROR(__xludf.DUMMYFUNCTION("""COMPUTED_VALUE"""),"ath")</f>
        <v>ath</v>
      </c>
      <c r="C980" s="2" t="str">
        <f ca="1">IFERROR(__xludf.DUMMYFUNCTION("""COMPUTED_VALUE"""),"Athena Finance")</f>
        <v>Athena Finance</v>
      </c>
    </row>
    <row r="981" spans="1:3" x14ac:dyDescent="0.25">
      <c r="A981" s="2" t="str">
        <f ca="1">IFERROR(__xludf.DUMMYFUNCTION("""COMPUTED_VALUE"""),"athena-returns-olea")</f>
        <v>athena-returns-olea</v>
      </c>
      <c r="B981" s="2" t="str">
        <f ca="1">IFERROR(__xludf.DUMMYFUNCTION("""COMPUTED_VALUE"""),"olea")</f>
        <v>olea</v>
      </c>
      <c r="C981" s="2" t="str">
        <f ca="1">IFERROR(__xludf.DUMMYFUNCTION("""COMPUTED_VALUE"""),"Olea Token")</f>
        <v>Olea Token</v>
      </c>
    </row>
    <row r="982" spans="1:3" x14ac:dyDescent="0.25">
      <c r="A982" s="2" t="str">
        <f ca="1">IFERROR(__xludf.DUMMYFUNCTION("""COMPUTED_VALUE"""),"atheneum")</f>
        <v>atheneum</v>
      </c>
      <c r="B982" s="2" t="str">
        <f ca="1">IFERROR(__xludf.DUMMYFUNCTION("""COMPUTED_VALUE"""),"aem")</f>
        <v>aem</v>
      </c>
      <c r="C982" s="2" t="str">
        <f ca="1">IFERROR(__xludf.DUMMYFUNCTION("""COMPUTED_VALUE"""),"Atheneum")</f>
        <v>Atheneum</v>
      </c>
    </row>
    <row r="983" spans="1:3" x14ac:dyDescent="0.25">
      <c r="A983" s="2" t="str">
        <f ca="1">IFERROR(__xludf.DUMMYFUNCTION("""COMPUTED_VALUE"""),"athens")</f>
        <v>athens</v>
      </c>
      <c r="B983" s="2" t="str">
        <f ca="1">IFERROR(__xludf.DUMMYFUNCTION("""COMPUTED_VALUE"""),"ath")</f>
        <v>ath</v>
      </c>
      <c r="C983" s="2" t="str">
        <f ca="1">IFERROR(__xludf.DUMMYFUNCTION("""COMPUTED_VALUE"""),"Athens")</f>
        <v>Athens</v>
      </c>
    </row>
    <row r="984" spans="1:3" x14ac:dyDescent="0.25">
      <c r="A984" s="2" t="str">
        <f ca="1">IFERROR(__xludf.DUMMYFUNCTION("""COMPUTED_VALUE"""),"atlas-dex")</f>
        <v>atlas-dex</v>
      </c>
      <c r="B984" s="2" t="str">
        <f ca="1">IFERROR(__xludf.DUMMYFUNCTION("""COMPUTED_VALUE"""),"ats")</f>
        <v>ats</v>
      </c>
      <c r="C984" s="2" t="str">
        <f ca="1">IFERROR(__xludf.DUMMYFUNCTION("""COMPUTED_VALUE"""),"Atlas DEX")</f>
        <v>Atlas DEX</v>
      </c>
    </row>
    <row r="985" spans="1:3" x14ac:dyDescent="0.25">
      <c r="A985" s="2" t="str">
        <f ca="1">IFERROR(__xludf.DUMMYFUNCTION("""COMPUTED_VALUE"""),"atlas-fc-fan-token")</f>
        <v>atlas-fc-fan-token</v>
      </c>
      <c r="B985" s="2" t="str">
        <f ca="1">IFERROR(__xludf.DUMMYFUNCTION("""COMPUTED_VALUE"""),"atlas")</f>
        <v>atlas</v>
      </c>
      <c r="C985" s="2" t="str">
        <f ca="1">IFERROR(__xludf.DUMMYFUNCTION("""COMPUTED_VALUE"""),"Atlas FC Fan Token")</f>
        <v>Atlas FC Fan Token</v>
      </c>
    </row>
    <row r="986" spans="1:3" x14ac:dyDescent="0.25">
      <c r="A986" s="2" t="str">
        <f ca="1">IFERROR(__xludf.DUMMYFUNCTION("""COMPUTED_VALUE"""),"atlas-navi")</f>
        <v>atlas-navi</v>
      </c>
      <c r="B986" s="2" t="str">
        <f ca="1">IFERROR(__xludf.DUMMYFUNCTION("""COMPUTED_VALUE"""),"navi")</f>
        <v>navi</v>
      </c>
      <c r="C986" s="2" t="str">
        <f ca="1">IFERROR(__xludf.DUMMYFUNCTION("""COMPUTED_VALUE"""),"Atlas Navi")</f>
        <v>Atlas Navi</v>
      </c>
    </row>
    <row r="987" spans="1:3" x14ac:dyDescent="0.25">
      <c r="A987" s="2" t="str">
        <f ca="1">IFERROR(__xludf.DUMMYFUNCTION("""COMPUTED_VALUE"""),"atlas-protocol")</f>
        <v>atlas-protocol</v>
      </c>
      <c r="B987" s="2" t="str">
        <f ca="1">IFERROR(__xludf.DUMMYFUNCTION("""COMPUTED_VALUE"""),"atp")</f>
        <v>atp</v>
      </c>
      <c r="C987" s="2" t="str">
        <f ca="1">IFERROR(__xludf.DUMMYFUNCTION("""COMPUTED_VALUE"""),"Atlas Protocol")</f>
        <v>Atlas Protocol</v>
      </c>
    </row>
    <row r="988" spans="1:3" x14ac:dyDescent="0.25">
      <c r="A988" s="2" t="str">
        <f ca="1">IFERROR(__xludf.DUMMYFUNCTION("""COMPUTED_VALUE"""),"atlas-usv")</f>
        <v>atlas-usv</v>
      </c>
      <c r="B988" s="2" t="str">
        <f ca="1">IFERROR(__xludf.DUMMYFUNCTION("""COMPUTED_VALUE"""),"usv")</f>
        <v>usv</v>
      </c>
      <c r="C988" s="2" t="str">
        <f ca="1">IFERROR(__xludf.DUMMYFUNCTION("""COMPUTED_VALUE"""),"Atlas USV")</f>
        <v>Atlas USV</v>
      </c>
    </row>
    <row r="989" spans="1:3" x14ac:dyDescent="0.25">
      <c r="A989" s="2" t="str">
        <f ca="1">IFERROR(__xludf.DUMMYFUNCTION("""COMPUTED_VALUE"""),"atletico-madrid")</f>
        <v>atletico-madrid</v>
      </c>
      <c r="B989" s="2" t="str">
        <f ca="1">IFERROR(__xludf.DUMMYFUNCTION("""COMPUTED_VALUE"""),"atm")</f>
        <v>atm</v>
      </c>
      <c r="C989" s="2" t="str">
        <f ca="1">IFERROR(__xludf.DUMMYFUNCTION("""COMPUTED_VALUE"""),"Atletico Madrid Fan Token")</f>
        <v>Atletico Madrid Fan Token</v>
      </c>
    </row>
    <row r="990" spans="1:3" x14ac:dyDescent="0.25">
      <c r="A990" s="2" t="str">
        <f ca="1">IFERROR(__xludf.DUMMYFUNCTION("""COMPUTED_VALUE"""),"atomicals")</f>
        <v>atomicals</v>
      </c>
      <c r="B990" s="2" t="str">
        <f ca="1">IFERROR(__xludf.DUMMYFUNCTION("""COMPUTED_VALUE"""),"atomarc20")</f>
        <v>atomarc20</v>
      </c>
      <c r="C990" s="2" t="str">
        <f ca="1">IFERROR(__xludf.DUMMYFUNCTION("""COMPUTED_VALUE"""),"Atomicals")</f>
        <v>Atomicals</v>
      </c>
    </row>
    <row r="991" spans="1:3" x14ac:dyDescent="0.25">
      <c r="A991" s="2" t="str">
        <f ca="1">IFERROR(__xludf.DUMMYFUNCTION("""COMPUTED_VALUE"""),"atomone")</f>
        <v>atomone</v>
      </c>
      <c r="B991" s="2" t="str">
        <f ca="1">IFERROR(__xludf.DUMMYFUNCTION("""COMPUTED_VALUE"""),"atom1")</f>
        <v>atom1</v>
      </c>
      <c r="C991" s="2" t="str">
        <f ca="1">IFERROR(__xludf.DUMMYFUNCTION("""COMPUTED_VALUE"""),"AtomOne")</f>
        <v>AtomOne</v>
      </c>
    </row>
    <row r="992" spans="1:3" x14ac:dyDescent="0.25">
      <c r="A992" s="2" t="str">
        <f ca="1">IFERROR(__xludf.DUMMYFUNCTION("""COMPUTED_VALUE"""),"atrno")</f>
        <v>atrno</v>
      </c>
      <c r="B992" s="2" t="str">
        <f ca="1">IFERROR(__xludf.DUMMYFUNCTION("""COMPUTED_VALUE"""),"atrno")</f>
        <v>atrno</v>
      </c>
      <c r="C992" s="2" t="str">
        <f ca="1">IFERROR(__xludf.DUMMYFUNCTION("""COMPUTED_VALUE"""),"ATRNO")</f>
        <v>ATRNO</v>
      </c>
    </row>
    <row r="993" spans="1:3" x14ac:dyDescent="0.25">
      <c r="A993" s="2" t="str">
        <f ca="1">IFERROR(__xludf.DUMMYFUNCTION("""COMPUTED_VALUE"""),"atrofarm")</f>
        <v>atrofarm</v>
      </c>
      <c r="B993" s="2" t="str">
        <f ca="1">IFERROR(__xludf.DUMMYFUNCTION("""COMPUTED_VALUE"""),"atrofa")</f>
        <v>atrofa</v>
      </c>
      <c r="C993" s="2" t="str">
        <f ca="1">IFERROR(__xludf.DUMMYFUNCTION("""COMPUTED_VALUE"""),"Atrofarm")</f>
        <v>Atrofarm</v>
      </c>
    </row>
    <row r="994" spans="1:3" x14ac:dyDescent="0.25">
      <c r="A994" s="2" t="str">
        <f ca="1">IFERROR(__xludf.DUMMYFUNCTION("""COMPUTED_VALUE"""),"atropine")</f>
        <v>atropine</v>
      </c>
      <c r="B994" s="2" t="str">
        <f ca="1">IFERROR(__xludf.DUMMYFUNCTION("""COMPUTED_VALUE"""),"pine")</f>
        <v>pine</v>
      </c>
      <c r="C994" s="2" t="str">
        <f ca="1">IFERROR(__xludf.DUMMYFUNCTION("""COMPUTED_VALUE"""),"Atropine")</f>
        <v>Atropine</v>
      </c>
    </row>
    <row r="995" spans="1:3" x14ac:dyDescent="0.25">
      <c r="A995" s="2" t="str">
        <f ca="1">IFERROR(__xludf.DUMMYFUNCTION("""COMPUTED_VALUE"""),"attack-wagon")</f>
        <v>attack-wagon</v>
      </c>
      <c r="B995" s="2" t="str">
        <f ca="1">IFERROR(__xludf.DUMMYFUNCTION("""COMPUTED_VALUE"""),"atk")</f>
        <v>atk</v>
      </c>
      <c r="C995" s="2" t="str">
        <f ca="1">IFERROR(__xludf.DUMMYFUNCTION("""COMPUTED_VALUE"""),"Attack Wagon")</f>
        <v>Attack Wagon</v>
      </c>
    </row>
    <row r="996" spans="1:3" x14ac:dyDescent="0.25">
      <c r="A996" s="2" t="str">
        <f ca="1">IFERROR(__xludf.DUMMYFUNCTION("""COMPUTED_VALUE"""),"attarius")</f>
        <v>attarius</v>
      </c>
      <c r="B996" s="2" t="str">
        <f ca="1">IFERROR(__xludf.DUMMYFUNCTION("""COMPUTED_VALUE"""),"atrs")</f>
        <v>atrs</v>
      </c>
      <c r="C996" s="2" t="str">
        <f ca="1">IFERROR(__xludf.DUMMYFUNCTION("""COMPUTED_VALUE"""),"Attarius")</f>
        <v>Attarius</v>
      </c>
    </row>
    <row r="997" spans="1:3" x14ac:dyDescent="0.25">
      <c r="A997" s="2" t="str">
        <f ca="1">IFERROR(__xludf.DUMMYFUNCTION("""COMPUTED_VALUE"""),"attila")</f>
        <v>attila</v>
      </c>
      <c r="B997" s="2" t="str">
        <f ca="1">IFERROR(__xludf.DUMMYFUNCTION("""COMPUTED_VALUE"""),"att")</f>
        <v>att</v>
      </c>
      <c r="C997" s="2" t="str">
        <f ca="1">IFERROR(__xludf.DUMMYFUNCTION("""COMPUTED_VALUE"""),"Attila")</f>
        <v>Attila</v>
      </c>
    </row>
    <row r="998" spans="1:3" x14ac:dyDescent="0.25">
      <c r="A998" s="2" t="str">
        <f ca="1">IFERROR(__xludf.DUMMYFUNCTION("""COMPUTED_VALUE"""),"atua-ai")</f>
        <v>atua-ai</v>
      </c>
      <c r="B998" s="2" t="str">
        <f ca="1">IFERROR(__xludf.DUMMYFUNCTION("""COMPUTED_VALUE"""),"tua")</f>
        <v>tua</v>
      </c>
      <c r="C998" s="2" t="str">
        <f ca="1">IFERROR(__xludf.DUMMYFUNCTION("""COMPUTED_VALUE"""),"Atua AI")</f>
        <v>Atua AI</v>
      </c>
    </row>
    <row r="999" spans="1:3" x14ac:dyDescent="0.25">
      <c r="A999" s="2" t="str">
        <f ca="1">IFERROR(__xludf.DUMMYFUNCTION("""COMPUTED_VALUE"""),"auction")</f>
        <v>auction</v>
      </c>
      <c r="B999" s="2" t="str">
        <f ca="1">IFERROR(__xludf.DUMMYFUNCTION("""COMPUTED_VALUE"""),"auction")</f>
        <v>auction</v>
      </c>
      <c r="C999" s="2" t="str">
        <f ca="1">IFERROR(__xludf.DUMMYFUNCTION("""COMPUTED_VALUE"""),"Bounce")</f>
        <v>Bounce</v>
      </c>
    </row>
    <row r="1000" spans="1:3" x14ac:dyDescent="0.25">
      <c r="A1000" s="2" t="str">
        <f ca="1">IFERROR(__xludf.DUMMYFUNCTION("""COMPUTED_VALUE"""),"auction-light")</f>
        <v>auction-light</v>
      </c>
      <c r="B1000" s="2" t="str">
        <f ca="1">IFERROR(__xludf.DUMMYFUNCTION("""COMPUTED_VALUE"""),"acl")</f>
        <v>acl</v>
      </c>
      <c r="C1000" s="2" t="str">
        <f ca="1">IFERROR(__xludf.DUMMYFUNCTION("""COMPUTED_VALUE"""),"Auction Light")</f>
        <v>Auction Light</v>
      </c>
    </row>
    <row r="1001" spans="1:3" x14ac:dyDescent="0.25">
      <c r="A1001" s="2" t="str">
        <f ca="1">IFERROR(__xludf.DUMMYFUNCTION("""COMPUTED_VALUE"""),"auctus")</f>
        <v>auctus</v>
      </c>
      <c r="B1001" s="2" t="str">
        <f ca="1">IFERROR(__xludf.DUMMYFUNCTION("""COMPUTED_VALUE"""),"auc")</f>
        <v>auc</v>
      </c>
      <c r="C1001" s="2" t="str">
        <f ca="1">IFERROR(__xludf.DUMMYFUNCTION("""COMPUTED_VALUE"""),"Auctus")</f>
        <v>Auctus</v>
      </c>
    </row>
    <row r="1002" spans="1:3" x14ac:dyDescent="0.25">
      <c r="A1002" s="2" t="str">
        <f ca="1">IFERROR(__xludf.DUMMYFUNCTION("""COMPUTED_VALUE"""),"auditchain")</f>
        <v>auditchain</v>
      </c>
      <c r="B1002" s="2" t="str">
        <f ca="1">IFERROR(__xludf.DUMMYFUNCTION("""COMPUTED_VALUE"""),"audt")</f>
        <v>audt</v>
      </c>
      <c r="C1002" s="2" t="str">
        <f ca="1">IFERROR(__xludf.DUMMYFUNCTION("""COMPUTED_VALUE"""),"Auditchain")</f>
        <v>Auditchain</v>
      </c>
    </row>
    <row r="1003" spans="1:3" x14ac:dyDescent="0.25">
      <c r="A1003" s="2" t="str">
        <f ca="1">IFERROR(__xludf.DUMMYFUNCTION("""COMPUTED_VALUE"""),"audius")</f>
        <v>audius</v>
      </c>
      <c r="B1003" s="2" t="str">
        <f ca="1">IFERROR(__xludf.DUMMYFUNCTION("""COMPUTED_VALUE"""),"audio")</f>
        <v>audio</v>
      </c>
      <c r="C1003" s="2" t="str">
        <f ca="1">IFERROR(__xludf.DUMMYFUNCTION("""COMPUTED_VALUE"""),"Audius")</f>
        <v>Audius</v>
      </c>
    </row>
    <row r="1004" spans="1:3" x14ac:dyDescent="0.25">
      <c r="A1004" s="2" t="str">
        <f ca="1">IFERROR(__xludf.DUMMYFUNCTION("""COMPUTED_VALUE"""),"audius-wormhole")</f>
        <v>audius-wormhole</v>
      </c>
      <c r="B1004" s="2" t="str">
        <f ca="1">IFERROR(__xludf.DUMMYFUNCTION("""COMPUTED_VALUE"""),"audio")</f>
        <v>audio</v>
      </c>
      <c r="C1004" s="2" t="str">
        <f ca="1">IFERROR(__xludf.DUMMYFUNCTION("""COMPUTED_VALUE"""),"Audius (Wormhole)")</f>
        <v>Audius (Wormhole)</v>
      </c>
    </row>
    <row r="1005" spans="1:3" x14ac:dyDescent="0.25">
      <c r="A1005" s="2" t="str">
        <f ca="1">IFERROR(__xludf.DUMMYFUNCTION("""COMPUTED_VALUE"""),"augur")</f>
        <v>augur</v>
      </c>
      <c r="B1005" s="2" t="str">
        <f ca="1">IFERROR(__xludf.DUMMYFUNCTION("""COMPUTED_VALUE"""),"rep")</f>
        <v>rep</v>
      </c>
      <c r="C1005" s="2" t="str">
        <f ca="1">IFERROR(__xludf.DUMMYFUNCTION("""COMPUTED_VALUE"""),"Augur")</f>
        <v>Augur</v>
      </c>
    </row>
    <row r="1006" spans="1:3" x14ac:dyDescent="0.25">
      <c r="A1006" s="2" t="str">
        <f ca="1">IFERROR(__xludf.DUMMYFUNCTION("""COMPUTED_VALUE"""),"augury-finance")</f>
        <v>augury-finance</v>
      </c>
      <c r="B1006" s="2" t="str">
        <f ca="1">IFERROR(__xludf.DUMMYFUNCTION("""COMPUTED_VALUE"""),"omen")</f>
        <v>omen</v>
      </c>
      <c r="C1006" s="2" t="str">
        <f ca="1">IFERROR(__xludf.DUMMYFUNCTION("""COMPUTED_VALUE"""),"Augury Finance")</f>
        <v>Augury Finance</v>
      </c>
    </row>
    <row r="1007" spans="1:3" x14ac:dyDescent="0.25">
      <c r="A1007" s="2" t="str">
        <f ca="1">IFERROR(__xludf.DUMMYFUNCTION("""COMPUTED_VALUE"""),"auki-labs")</f>
        <v>auki-labs</v>
      </c>
      <c r="B1007" s="2" t="str">
        <f ca="1">IFERROR(__xludf.DUMMYFUNCTION("""COMPUTED_VALUE"""),"auki")</f>
        <v>auki</v>
      </c>
      <c r="C1007" s="2" t="str">
        <f ca="1">IFERROR(__xludf.DUMMYFUNCTION("""COMPUTED_VALUE"""),"AUKI")</f>
        <v>AUKI</v>
      </c>
    </row>
    <row r="1008" spans="1:3" x14ac:dyDescent="0.25">
      <c r="A1008" s="2" t="str">
        <f ca="1">IFERROR(__xludf.DUMMYFUNCTION("""COMPUTED_VALUE"""),"aura-bal")</f>
        <v>aura-bal</v>
      </c>
      <c r="B1008" s="2" t="str">
        <f ca="1">IFERROR(__xludf.DUMMYFUNCTION("""COMPUTED_VALUE"""),"aurabal")</f>
        <v>aurabal</v>
      </c>
      <c r="C1008" s="2" t="str">
        <f ca="1">IFERROR(__xludf.DUMMYFUNCTION("""COMPUTED_VALUE"""),"Aura BAL")</f>
        <v>Aura BAL</v>
      </c>
    </row>
    <row r="1009" spans="1:3" x14ac:dyDescent="0.25">
      <c r="A1009" s="2" t="str">
        <f ca="1">IFERROR(__xludf.DUMMYFUNCTION("""COMPUTED_VALUE"""),"aura-finance")</f>
        <v>aura-finance</v>
      </c>
      <c r="B1009" s="2" t="str">
        <f ca="1">IFERROR(__xludf.DUMMYFUNCTION("""COMPUTED_VALUE"""),"aura")</f>
        <v>aura</v>
      </c>
      <c r="C1009" s="2" t="str">
        <f ca="1">IFERROR(__xludf.DUMMYFUNCTION("""COMPUTED_VALUE"""),"Aura Finance")</f>
        <v>Aura Finance</v>
      </c>
    </row>
    <row r="1010" spans="1:3" x14ac:dyDescent="0.25">
      <c r="A1010" s="2" t="str">
        <f ca="1">IFERROR(__xludf.DUMMYFUNCTION("""COMPUTED_VALUE"""),"aura-network")</f>
        <v>aura-network</v>
      </c>
      <c r="B1010" s="2" t="str">
        <f ca="1">IFERROR(__xludf.DUMMYFUNCTION("""COMPUTED_VALUE"""),"aura")</f>
        <v>aura</v>
      </c>
      <c r="C1010" s="2" t="str">
        <f ca="1">IFERROR(__xludf.DUMMYFUNCTION("""COMPUTED_VALUE"""),"Aura Network")</f>
        <v>Aura Network</v>
      </c>
    </row>
    <row r="1011" spans="1:3" x14ac:dyDescent="0.25">
      <c r="A1011" s="2" t="str">
        <f ca="1">IFERROR(__xludf.DUMMYFUNCTION("""COMPUTED_VALUE"""),"aura-network-old")</f>
        <v>aura-network-old</v>
      </c>
      <c r="B1011" s="2" t="str">
        <f ca="1">IFERROR(__xludf.DUMMYFUNCTION("""COMPUTED_VALUE"""),"aura")</f>
        <v>aura</v>
      </c>
      <c r="C1011" s="2" t="str">
        <f ca="1">IFERROR(__xludf.DUMMYFUNCTION("""COMPUTED_VALUE"""),"Aura Network [OLD]")</f>
        <v>Aura Network [OLD]</v>
      </c>
    </row>
    <row r="1012" spans="1:3" x14ac:dyDescent="0.25">
      <c r="A1012" s="2" t="str">
        <f ca="1">IFERROR(__xludf.DUMMYFUNCTION("""COMPUTED_VALUE"""),"aura-on-sol")</f>
        <v>aura-on-sol</v>
      </c>
      <c r="B1012" s="2" t="str">
        <f ca="1">IFERROR(__xludf.DUMMYFUNCTION("""COMPUTED_VALUE"""),"aura")</f>
        <v>aura</v>
      </c>
      <c r="C1012" s="2" t="str">
        <f ca="1">IFERROR(__xludf.DUMMYFUNCTION("""COMPUTED_VALUE"""),"aura")</f>
        <v>aura</v>
      </c>
    </row>
    <row r="1013" spans="1:3" x14ac:dyDescent="0.25">
      <c r="A1013" s="2" t="str">
        <f ca="1">IFERROR(__xludf.DUMMYFUNCTION("""COMPUTED_VALUE"""),"aurelius-usd")</f>
        <v>aurelius-usd</v>
      </c>
      <c r="B1013" s="2" t="str">
        <f ca="1">IFERROR(__xludf.DUMMYFUNCTION("""COMPUTED_VALUE"""),"ausd")</f>
        <v>ausd</v>
      </c>
      <c r="C1013" s="2" t="str">
        <f ca="1">IFERROR(__xludf.DUMMYFUNCTION("""COMPUTED_VALUE"""),"Aurelius USD")</f>
        <v>Aurelius USD</v>
      </c>
    </row>
    <row r="1014" spans="1:3" x14ac:dyDescent="0.25">
      <c r="A1014" s="2" t="str">
        <f ca="1">IFERROR(__xludf.DUMMYFUNCTION("""COMPUTED_VALUE"""),"aureus-nummus-gold")</f>
        <v>aureus-nummus-gold</v>
      </c>
      <c r="B1014" s="2" t="str">
        <f ca="1">IFERROR(__xludf.DUMMYFUNCTION("""COMPUTED_VALUE"""),"ang")</f>
        <v>ang</v>
      </c>
      <c r="C1014" s="2" t="str">
        <f ca="1">IFERROR(__xludf.DUMMYFUNCTION("""COMPUTED_VALUE"""),"Aureus Nummus Gold")</f>
        <v>Aureus Nummus Gold</v>
      </c>
    </row>
    <row r="1015" spans="1:3" x14ac:dyDescent="0.25">
      <c r="A1015" s="2" t="str">
        <f ca="1">IFERROR(__xludf.DUMMYFUNCTION("""COMPUTED_VALUE"""),"aurigami")</f>
        <v>aurigami</v>
      </c>
      <c r="B1015" s="2" t="str">
        <f ca="1">IFERROR(__xludf.DUMMYFUNCTION("""COMPUTED_VALUE"""),"ply")</f>
        <v>ply</v>
      </c>
      <c r="C1015" s="2" t="str">
        <f ca="1">IFERROR(__xludf.DUMMYFUNCTION("""COMPUTED_VALUE"""),"Aurigami")</f>
        <v>Aurigami</v>
      </c>
    </row>
    <row r="1016" spans="1:3" x14ac:dyDescent="0.25">
      <c r="A1016" s="2" t="str">
        <f ca="1">IFERROR(__xludf.DUMMYFUNCTION("""COMPUTED_VALUE"""),"aurivis")</f>
        <v>aurivis</v>
      </c>
      <c r="B1016" s="2" t="str">
        <f ca="1">IFERROR(__xludf.DUMMYFUNCTION("""COMPUTED_VALUE"""),"auri")</f>
        <v>auri</v>
      </c>
      <c r="C1016" s="2" t="str">
        <f ca="1">IFERROR(__xludf.DUMMYFUNCTION("""COMPUTED_VALUE"""),"Aurivis")</f>
        <v>Aurivis</v>
      </c>
    </row>
    <row r="1017" spans="1:3" x14ac:dyDescent="0.25">
      <c r="A1017" s="2" t="str">
        <f ca="1">IFERROR(__xludf.DUMMYFUNCTION("""COMPUTED_VALUE"""),"aurix")</f>
        <v>aurix</v>
      </c>
      <c r="B1017" s="2" t="str">
        <f ca="1">IFERROR(__xludf.DUMMYFUNCTION("""COMPUTED_VALUE"""),"aur")</f>
        <v>aur</v>
      </c>
      <c r="C1017" s="2" t="str">
        <f ca="1">IFERROR(__xludf.DUMMYFUNCTION("""COMPUTED_VALUE"""),"Aurix")</f>
        <v>Aurix</v>
      </c>
    </row>
    <row r="1018" spans="1:3" x14ac:dyDescent="0.25">
      <c r="A1018" s="2" t="str">
        <f ca="1">IFERROR(__xludf.DUMMYFUNCTION("""COMPUTED_VALUE"""),"auroracoin")</f>
        <v>auroracoin</v>
      </c>
      <c r="B1018" s="2" t="str">
        <f ca="1">IFERROR(__xludf.DUMMYFUNCTION("""COMPUTED_VALUE"""),"aur")</f>
        <v>aur</v>
      </c>
      <c r="C1018" s="2" t="str">
        <f ca="1">IFERROR(__xludf.DUMMYFUNCTION("""COMPUTED_VALUE"""),"Auroracoin")</f>
        <v>Auroracoin</v>
      </c>
    </row>
    <row r="1019" spans="1:3" x14ac:dyDescent="0.25">
      <c r="A1019" s="2" t="str">
        <f ca="1">IFERROR(__xludf.DUMMYFUNCTION("""COMPUTED_VALUE"""),"aurora-dao")</f>
        <v>aurora-dao</v>
      </c>
      <c r="B1019" s="2" t="str">
        <f ca="1">IFERROR(__xludf.DUMMYFUNCTION("""COMPUTED_VALUE"""),"idex")</f>
        <v>idex</v>
      </c>
      <c r="C1019" s="2" t="str">
        <f ca="1">IFERROR(__xludf.DUMMYFUNCTION("""COMPUTED_VALUE"""),"IDEX")</f>
        <v>IDEX</v>
      </c>
    </row>
    <row r="1020" spans="1:3" x14ac:dyDescent="0.25">
      <c r="A1020" s="2" t="str">
        <f ca="1">IFERROR(__xludf.DUMMYFUNCTION("""COMPUTED_VALUE"""),"aurora-near")</f>
        <v>aurora-near</v>
      </c>
      <c r="B1020" s="2" t="str">
        <f ca="1">IFERROR(__xludf.DUMMYFUNCTION("""COMPUTED_VALUE"""),"aurora")</f>
        <v>aurora</v>
      </c>
      <c r="C1020" s="2" t="str">
        <f ca="1">IFERROR(__xludf.DUMMYFUNCTION("""COMPUTED_VALUE"""),"Aurora")</f>
        <v>Aurora</v>
      </c>
    </row>
    <row r="1021" spans="1:3" x14ac:dyDescent="0.25">
      <c r="A1021" s="2" t="str">
        <f ca="1">IFERROR(__xludf.DUMMYFUNCTION("""COMPUTED_VALUE"""),"auroratoken")</f>
        <v>auroratoken</v>
      </c>
      <c r="B1021" s="2" t="str">
        <f ca="1">IFERROR(__xludf.DUMMYFUNCTION("""COMPUTED_VALUE"""),"aurora")</f>
        <v>aurora</v>
      </c>
      <c r="C1021" s="2" t="str">
        <f ca="1">IFERROR(__xludf.DUMMYFUNCTION("""COMPUTED_VALUE"""),"AuroraToken")</f>
        <v>AuroraToken</v>
      </c>
    </row>
    <row r="1022" spans="1:3" x14ac:dyDescent="0.25">
      <c r="A1022" s="2" t="str">
        <f ca="1">IFERROR(__xludf.DUMMYFUNCTION("""COMPUTED_VALUE"""),"aurory")</f>
        <v>aurory</v>
      </c>
      <c r="B1022" s="2" t="str">
        <f ca="1">IFERROR(__xludf.DUMMYFUNCTION("""COMPUTED_VALUE"""),"aury")</f>
        <v>aury</v>
      </c>
      <c r="C1022" s="2" t="str">
        <f ca="1">IFERROR(__xludf.DUMMYFUNCTION("""COMPUTED_VALUE"""),"Aurory")</f>
        <v>Aurory</v>
      </c>
    </row>
    <row r="1023" spans="1:3" x14ac:dyDescent="0.25">
      <c r="A1023" s="2" t="str">
        <f ca="1">IFERROR(__xludf.DUMMYFUNCTION("""COMPUTED_VALUE"""),"aurum-gold")</f>
        <v>aurum-gold</v>
      </c>
      <c r="B1023" s="2" t="str">
        <f ca="1">IFERROR(__xludf.DUMMYFUNCTION("""COMPUTED_VALUE"""),"acg")</f>
        <v>acg</v>
      </c>
      <c r="C1023" s="2" t="str">
        <f ca="1">IFERROR(__xludf.DUMMYFUNCTION("""COMPUTED_VALUE"""),"Aurum Crypto Gold")</f>
        <v>Aurum Crypto Gold</v>
      </c>
    </row>
    <row r="1024" spans="1:3" x14ac:dyDescent="0.25">
      <c r="A1024" s="2" t="str">
        <f ca="1">IFERROR(__xludf.DUMMYFUNCTION("""COMPUTED_VALUE"""),"aurusx")</f>
        <v>aurusx</v>
      </c>
      <c r="B1024" s="2" t="str">
        <f ca="1">IFERROR(__xludf.DUMMYFUNCTION("""COMPUTED_VALUE"""),"ax")</f>
        <v>ax</v>
      </c>
      <c r="C1024" s="2" t="str">
        <f ca="1">IFERROR(__xludf.DUMMYFUNCTION("""COMPUTED_VALUE"""),"AurusX")</f>
        <v>AurusX</v>
      </c>
    </row>
    <row r="1025" spans="1:3" x14ac:dyDescent="0.25">
      <c r="A1025" s="2" t="str">
        <f ca="1">IFERROR(__xludf.DUMMYFUNCTION("""COMPUTED_VALUE"""),"ausd-seed-acala")</f>
        <v>ausd-seed-acala</v>
      </c>
      <c r="B1025" s="2" t="str">
        <f ca="1">IFERROR(__xludf.DUMMYFUNCTION("""COMPUTED_VALUE"""),"aseed")</f>
        <v>aseed</v>
      </c>
      <c r="C1025" s="2" t="str">
        <f ca="1">IFERROR(__xludf.DUMMYFUNCTION("""COMPUTED_VALUE"""),"aUSD SEED (Acala)")</f>
        <v>aUSD SEED (Acala)</v>
      </c>
    </row>
    <row r="1026" spans="1:3" x14ac:dyDescent="0.25">
      <c r="A1026" s="2" t="str">
        <f ca="1">IFERROR(__xludf.DUMMYFUNCTION("""COMPUTED_VALUE"""),"ausd-seed-karura")</f>
        <v>ausd-seed-karura</v>
      </c>
      <c r="B1026" s="2" t="str">
        <f ca="1">IFERROR(__xludf.DUMMYFUNCTION("""COMPUTED_VALUE"""),"aseed")</f>
        <v>aseed</v>
      </c>
      <c r="C1026" s="2" t="str">
        <f ca="1">IFERROR(__xludf.DUMMYFUNCTION("""COMPUTED_VALUE"""),"aUSD SEED (Karura)")</f>
        <v>aUSD SEED (Karura)</v>
      </c>
    </row>
    <row r="1027" spans="1:3" x14ac:dyDescent="0.25">
      <c r="A1027" s="2" t="str">
        <f ca="1">IFERROR(__xludf.DUMMYFUNCTION("""COMPUTED_VALUE"""),"australian-safe-shepherd")</f>
        <v>australian-safe-shepherd</v>
      </c>
      <c r="B1027" s="2" t="str">
        <f ca="1">IFERROR(__xludf.DUMMYFUNCTION("""COMPUTED_VALUE"""),"ass")</f>
        <v>ass</v>
      </c>
      <c r="C1027" s="2" t="str">
        <f ca="1">IFERROR(__xludf.DUMMYFUNCTION("""COMPUTED_VALUE"""),"Australian Safe Shepherd")</f>
        <v>Australian Safe Shepherd</v>
      </c>
    </row>
    <row r="1028" spans="1:3" x14ac:dyDescent="0.25">
      <c r="A1028" s="2" t="str">
        <f ca="1">IFERROR(__xludf.DUMMYFUNCTION("""COMPUTED_VALUE"""),"autentic")</f>
        <v>autentic</v>
      </c>
      <c r="B1028" s="2" t="str">
        <f ca="1">IFERROR(__xludf.DUMMYFUNCTION("""COMPUTED_VALUE"""),"aut")</f>
        <v>aut</v>
      </c>
      <c r="C1028" s="2" t="str">
        <f ca="1">IFERROR(__xludf.DUMMYFUNCTION("""COMPUTED_VALUE"""),"Autentic")</f>
        <v>Autentic</v>
      </c>
    </row>
    <row r="1029" spans="1:3" x14ac:dyDescent="0.25">
      <c r="A1029" s="2" t="str">
        <f ca="1">IFERROR(__xludf.DUMMYFUNCTION("""COMPUTED_VALUE"""),"autism")</f>
        <v>autism</v>
      </c>
      <c r="B1029" s="2" t="str">
        <f ca="1">IFERROR(__xludf.DUMMYFUNCTION("""COMPUTED_VALUE"""),"autism")</f>
        <v>autism</v>
      </c>
      <c r="C1029" s="2" t="str">
        <f ca="1">IFERROR(__xludf.DUMMYFUNCTION("""COMPUTED_VALUE"""),"Autism")</f>
        <v>Autism</v>
      </c>
    </row>
    <row r="1030" spans="1:3" x14ac:dyDescent="0.25">
      <c r="A1030" s="2" t="str">
        <f ca="1">IFERROR(__xludf.DUMMYFUNCTION("""COMPUTED_VALUE"""),"auto")</f>
        <v>auto</v>
      </c>
      <c r="B1030" s="2" t="str">
        <f ca="1">IFERROR(__xludf.DUMMYFUNCTION("""COMPUTED_VALUE"""),"auto")</f>
        <v>auto</v>
      </c>
      <c r="C1030" s="2" t="str">
        <f ca="1">IFERROR(__xludf.DUMMYFUNCTION("""COMPUTED_VALUE"""),"Auto")</f>
        <v>Auto</v>
      </c>
    </row>
    <row r="1031" spans="1:3" x14ac:dyDescent="0.25">
      <c r="A1031" s="2" t="str">
        <f ca="1">IFERROR(__xludf.DUMMYFUNCTION("""COMPUTED_VALUE"""),"autoair-ai")</f>
        <v>autoair-ai</v>
      </c>
      <c r="B1031" s="2" t="str">
        <f ca="1">IFERROR(__xludf.DUMMYFUNCTION("""COMPUTED_VALUE"""),"aai")</f>
        <v>aai</v>
      </c>
      <c r="C1031" s="2" t="str">
        <f ca="1">IFERROR(__xludf.DUMMYFUNCTION("""COMPUTED_VALUE"""),"AutoAir AI")</f>
        <v>AutoAir AI</v>
      </c>
    </row>
    <row r="1032" spans="1:3" x14ac:dyDescent="0.25">
      <c r="A1032" s="2" t="str">
        <f ca="1">IFERROR(__xludf.DUMMYFUNCTION("""COMPUTED_VALUE"""),"autobahn-network")</f>
        <v>autobahn-network</v>
      </c>
      <c r="B1032" s="2" t="str">
        <f ca="1">IFERROR(__xludf.DUMMYFUNCTION("""COMPUTED_VALUE"""),"txl")</f>
        <v>txl</v>
      </c>
      <c r="C1032" s="2" t="str">
        <f ca="1">IFERROR(__xludf.DUMMYFUNCTION("""COMPUTED_VALUE"""),"Autobahn Network")</f>
        <v>Autobahn Network</v>
      </c>
    </row>
    <row r="1033" spans="1:3" x14ac:dyDescent="0.25">
      <c r="A1033" s="2" t="str">
        <f ca="1">IFERROR(__xludf.DUMMYFUNCTION("""COMPUTED_VALUE"""),"autochain")</f>
        <v>autochain</v>
      </c>
      <c r="B1033" s="2" t="str">
        <f ca="1">IFERROR(__xludf.DUMMYFUNCTION("""COMPUTED_VALUE"""),"atc")</f>
        <v>atc</v>
      </c>
      <c r="C1033" s="2" t="str">
        <f ca="1">IFERROR(__xludf.DUMMYFUNCTION("""COMPUTED_VALUE"""),"Autochain")</f>
        <v>Autochain</v>
      </c>
    </row>
    <row r="1034" spans="1:3" x14ac:dyDescent="0.25">
      <c r="A1034" s="2" t="str">
        <f ca="1">IFERROR(__xludf.DUMMYFUNCTION("""COMPUTED_VALUE"""),"autocrypto")</f>
        <v>autocrypto</v>
      </c>
      <c r="B1034" s="2" t="str">
        <f ca="1">IFERROR(__xludf.DUMMYFUNCTION("""COMPUTED_VALUE"""),"au")</f>
        <v>au</v>
      </c>
      <c r="C1034" s="2" t="str">
        <f ca="1">IFERROR(__xludf.DUMMYFUNCTION("""COMPUTED_VALUE"""),"AutoCrypto")</f>
        <v>AutoCrypto</v>
      </c>
    </row>
    <row r="1035" spans="1:3" x14ac:dyDescent="0.25">
      <c r="A1035" s="2" t="str">
        <f ca="1">IFERROR(__xludf.DUMMYFUNCTION("""COMPUTED_VALUE"""),"autolayer")</f>
        <v>autolayer</v>
      </c>
      <c r="B1035" s="2" t="str">
        <f ca="1">IFERROR(__xludf.DUMMYFUNCTION("""COMPUTED_VALUE"""),"lay3r")</f>
        <v>lay3r</v>
      </c>
      <c r="C1035" s="2" t="str">
        <f ca="1">IFERROR(__xludf.DUMMYFUNCTION("""COMPUTED_VALUE"""),"Autolayer")</f>
        <v>Autolayer</v>
      </c>
    </row>
    <row r="1036" spans="1:3" x14ac:dyDescent="0.25">
      <c r="A1036" s="2" t="str">
        <f ca="1">IFERROR(__xludf.DUMMYFUNCTION("""COMPUTED_VALUE"""),"automata")</f>
        <v>automata</v>
      </c>
      <c r="B1036" s="2" t="str">
        <f ca="1">IFERROR(__xludf.DUMMYFUNCTION("""COMPUTED_VALUE"""),"ata")</f>
        <v>ata</v>
      </c>
      <c r="C1036" s="2" t="str">
        <f ca="1">IFERROR(__xludf.DUMMYFUNCTION("""COMPUTED_VALUE"""),"Automata")</f>
        <v>Automata</v>
      </c>
    </row>
    <row r="1037" spans="1:3" x14ac:dyDescent="0.25">
      <c r="A1037" s="2" t="str">
        <f ca="1">IFERROR(__xludf.DUMMYFUNCTION("""COMPUTED_VALUE"""),"automatix")</f>
        <v>automatix</v>
      </c>
      <c r="B1037" s="2" t="str">
        <f ca="1">IFERROR(__xludf.DUMMYFUNCTION("""COMPUTED_VALUE"""),"atx")</f>
        <v>atx</v>
      </c>
      <c r="C1037" s="2" t="str">
        <f ca="1">IFERROR(__xludf.DUMMYFUNCTION("""COMPUTED_VALUE"""),"AUTOMATIX")</f>
        <v>AUTOMATIX</v>
      </c>
    </row>
    <row r="1038" spans="1:3" x14ac:dyDescent="0.25">
      <c r="A1038" s="2" t="str">
        <f ca="1">IFERROR(__xludf.DUMMYFUNCTION("""COMPUTED_VALUE"""),"autominingtoken")</f>
        <v>autominingtoken</v>
      </c>
      <c r="B1038" s="2" t="str">
        <f ca="1">IFERROR(__xludf.DUMMYFUNCTION("""COMPUTED_VALUE"""),"amt")</f>
        <v>amt</v>
      </c>
      <c r="C1038" s="2" t="str">
        <f ca="1">IFERROR(__xludf.DUMMYFUNCTION("""COMPUTED_VALUE"""),"AutoMiningToken")</f>
        <v>AutoMiningToken</v>
      </c>
    </row>
    <row r="1039" spans="1:3" x14ac:dyDescent="0.25">
      <c r="A1039" s="2" t="str">
        <f ca="1">IFERROR(__xludf.DUMMYFUNCTION("""COMPUTED_VALUE"""),"auton")</f>
        <v>auton</v>
      </c>
      <c r="B1039" s="2" t="str">
        <f ca="1">IFERROR(__xludf.DUMMYFUNCTION("""COMPUTED_VALUE"""),"atn")</f>
        <v>atn</v>
      </c>
      <c r="C1039" s="2" t="str">
        <f ca="1">IFERROR(__xludf.DUMMYFUNCTION("""COMPUTED_VALUE"""),"Auton")</f>
        <v>Auton</v>
      </c>
    </row>
    <row r="1040" spans="1:3" x14ac:dyDescent="0.25">
      <c r="A1040" s="2" t="str">
        <f ca="1">IFERROR(__xludf.DUMMYFUNCTION("""COMPUTED_VALUE"""),"autonio")</f>
        <v>autonio</v>
      </c>
      <c r="B1040" s="2" t="str">
        <f ca="1">IFERROR(__xludf.DUMMYFUNCTION("""COMPUTED_VALUE"""),"niox")</f>
        <v>niox</v>
      </c>
      <c r="C1040" s="2" t="str">
        <f ca="1">IFERROR(__xludf.DUMMYFUNCTION("""COMPUTED_VALUE"""),"Autonio")</f>
        <v>Autonio</v>
      </c>
    </row>
    <row r="1041" spans="1:3" x14ac:dyDescent="0.25">
      <c r="A1041" s="2" t="str">
        <f ca="1">IFERROR(__xludf.DUMMYFUNCTION("""COMPUTED_VALUE"""),"autonolas")</f>
        <v>autonolas</v>
      </c>
      <c r="B1041" s="2" t="str">
        <f ca="1">IFERROR(__xludf.DUMMYFUNCTION("""COMPUTED_VALUE"""),"olas")</f>
        <v>olas</v>
      </c>
      <c r="C1041" s="2" t="str">
        <f ca="1">IFERROR(__xludf.DUMMYFUNCTION("""COMPUTED_VALUE"""),"Autonolas")</f>
        <v>Autonolas</v>
      </c>
    </row>
    <row r="1042" spans="1:3" x14ac:dyDescent="0.25">
      <c r="A1042" s="2" t="str">
        <f ca="1">IFERROR(__xludf.DUMMYFUNCTION("""COMPUTED_VALUE"""),"autonomous-secure-dollar")</f>
        <v>autonomous-secure-dollar</v>
      </c>
      <c r="B1042" s="2" t="str">
        <f ca="1">IFERROR(__xludf.DUMMYFUNCTION("""COMPUTED_VALUE"""),"ussd")</f>
        <v>ussd</v>
      </c>
      <c r="C1042" s="2" t="str">
        <f ca="1">IFERROR(__xludf.DUMMYFUNCTION("""COMPUTED_VALUE"""),"Autonomous Secure Dollar")</f>
        <v>Autonomous Secure Dollar</v>
      </c>
    </row>
    <row r="1043" spans="1:3" x14ac:dyDescent="0.25">
      <c r="A1043" s="2" t="str">
        <f ca="1">IFERROR(__xludf.DUMMYFUNCTION("""COMPUTED_VALUE"""),"autoshark")</f>
        <v>autoshark</v>
      </c>
      <c r="B1043" s="2" t="str">
        <f ca="1">IFERROR(__xludf.DUMMYFUNCTION("""COMPUTED_VALUE"""),"jaws")</f>
        <v>jaws</v>
      </c>
      <c r="C1043" s="2" t="str">
        <f ca="1">IFERROR(__xludf.DUMMYFUNCTION("""COMPUTED_VALUE"""),"AutoShark")</f>
        <v>AutoShark</v>
      </c>
    </row>
    <row r="1044" spans="1:3" x14ac:dyDescent="0.25">
      <c r="A1044" s="2" t="str">
        <f ca="1">IFERROR(__xludf.DUMMYFUNCTION("""COMPUTED_VALUE"""),"autosingle")</f>
        <v>autosingle</v>
      </c>
      <c r="B1044" s="2" t="str">
        <f ca="1">IFERROR(__xludf.DUMMYFUNCTION("""COMPUTED_VALUE"""),"autos")</f>
        <v>autos</v>
      </c>
      <c r="C1044" s="2" t="str">
        <f ca="1">IFERROR(__xludf.DUMMYFUNCTION("""COMPUTED_VALUE"""),"AutoSingle")</f>
        <v>AutoSingle</v>
      </c>
    </row>
    <row r="1045" spans="1:3" x14ac:dyDescent="0.25">
      <c r="A1045" s="2" t="str">
        <f ca="1">IFERROR(__xludf.DUMMYFUNCTION("""COMPUTED_VALUE"""),"autumn")</f>
        <v>autumn</v>
      </c>
      <c r="B1045" s="2" t="str">
        <f ca="1">IFERROR(__xludf.DUMMYFUNCTION("""COMPUTED_VALUE"""),"autumn")</f>
        <v>autumn</v>
      </c>
      <c r="C1045" s="2" t="str">
        <f ca="1">IFERROR(__xludf.DUMMYFUNCTION("""COMPUTED_VALUE"""),"Autumn")</f>
        <v>Autumn</v>
      </c>
    </row>
    <row r="1046" spans="1:3" x14ac:dyDescent="0.25">
      <c r="A1046" s="2" t="str">
        <f ca="1">IFERROR(__xludf.DUMMYFUNCTION("""COMPUTED_VALUE"""),"aux-coin")</f>
        <v>aux-coin</v>
      </c>
      <c r="B1046" s="2" t="str">
        <f ca="1">IFERROR(__xludf.DUMMYFUNCTION("""COMPUTED_VALUE"""),"aux")</f>
        <v>aux</v>
      </c>
      <c r="C1046" s="2" t="str">
        <f ca="1">IFERROR(__xludf.DUMMYFUNCTION("""COMPUTED_VALUE"""),"AUX Coin")</f>
        <v>AUX Coin</v>
      </c>
    </row>
    <row r="1047" spans="1:3" x14ac:dyDescent="0.25">
      <c r="A1047" s="2" t="str">
        <f ca="1">IFERROR(__xludf.DUMMYFUNCTION("""COMPUTED_VALUE"""),"avabot")</f>
        <v>avabot</v>
      </c>
      <c r="B1047" s="2" t="str">
        <f ca="1">IFERROR(__xludf.DUMMYFUNCTION("""COMPUTED_VALUE"""),"avb")</f>
        <v>avb</v>
      </c>
      <c r="C1047" s="2" t="str">
        <f ca="1">IFERROR(__xludf.DUMMYFUNCTION("""COMPUTED_VALUE"""),"Avabot")</f>
        <v>Avabot</v>
      </c>
    </row>
    <row r="1048" spans="1:3" x14ac:dyDescent="0.25">
      <c r="A1048" s="2" t="str">
        <f ca="1">IFERROR(__xludf.DUMMYFUNCTION("""COMPUTED_VALUE"""),"avacoach")</f>
        <v>avacoach</v>
      </c>
      <c r="B1048" s="2" t="str">
        <f ca="1">IFERROR(__xludf.DUMMYFUNCTION("""COMPUTED_VALUE"""),"avac")</f>
        <v>avac</v>
      </c>
      <c r="C1048" s="2" t="str">
        <f ca="1">IFERROR(__xludf.DUMMYFUNCTION("""COMPUTED_VALUE"""),"AvaCoach")</f>
        <v>AvaCoach</v>
      </c>
    </row>
    <row r="1049" spans="1:3" x14ac:dyDescent="0.25">
      <c r="A1049" s="2" t="str">
        <f ca="1">IFERROR(__xludf.DUMMYFUNCTION("""COMPUTED_VALUE"""),"avacoin")</f>
        <v>avacoin</v>
      </c>
      <c r="B1049" s="2" t="str">
        <f ca="1">IFERROR(__xludf.DUMMYFUNCTION("""COMPUTED_VALUE"""),"avacn")</f>
        <v>avacn</v>
      </c>
      <c r="C1049" s="2" t="str">
        <f ca="1">IFERROR(__xludf.DUMMYFUNCTION("""COMPUTED_VALUE"""),"AVACOIN")</f>
        <v>AVACOIN</v>
      </c>
    </row>
    <row r="1050" spans="1:3" x14ac:dyDescent="0.25">
      <c r="A1050" s="2" t="str">
        <f ca="1">IFERROR(__xludf.DUMMYFUNCTION("""COMPUTED_VALUE"""),"avadex-token")</f>
        <v>avadex-token</v>
      </c>
      <c r="B1050" s="2" t="str">
        <f ca="1">IFERROR(__xludf.DUMMYFUNCTION("""COMPUTED_VALUE"""),"avex")</f>
        <v>avex</v>
      </c>
      <c r="C1050" s="2" t="str">
        <f ca="1">IFERROR(__xludf.DUMMYFUNCTION("""COMPUTED_VALUE"""),"AvaDex Token")</f>
        <v>AvaDex Token</v>
      </c>
    </row>
    <row r="1051" spans="1:3" x14ac:dyDescent="0.25">
      <c r="A1051" s="2" t="str">
        <f ca="1">IFERROR(__xludf.DUMMYFUNCTION("""COMPUTED_VALUE"""),"ava-foundation-bridged-ava-bsc")</f>
        <v>ava-foundation-bridged-ava-bsc</v>
      </c>
      <c r="B1051" s="2" t="str">
        <f ca="1">IFERROR(__xludf.DUMMYFUNCTION("""COMPUTED_VALUE"""),"ava")</f>
        <v>ava</v>
      </c>
      <c r="C1051" s="2" t="str">
        <f ca="1">IFERROR(__xludf.DUMMYFUNCTION("""COMPUTED_VALUE"""),"AVA Foundation Bridged AVA (BSC)")</f>
        <v>AVA Foundation Bridged AVA (BSC)</v>
      </c>
    </row>
    <row r="1052" spans="1:3" x14ac:dyDescent="0.25">
      <c r="A1052" s="2" t="str">
        <f ca="1">IFERROR(__xludf.DUMMYFUNCTION("""COMPUTED_VALUE"""),"avail")</f>
        <v>avail</v>
      </c>
      <c r="B1052" s="2" t="str">
        <f ca="1">IFERROR(__xludf.DUMMYFUNCTION("""COMPUTED_VALUE"""),"avail")</f>
        <v>avail</v>
      </c>
      <c r="C1052" s="2" t="str">
        <f ca="1">IFERROR(__xludf.DUMMYFUNCTION("""COMPUTED_VALUE"""),"Avail")</f>
        <v>Avail</v>
      </c>
    </row>
    <row r="1053" spans="1:3" x14ac:dyDescent="0.25">
      <c r="A1053" s="2" t="str">
        <f ca="1">IFERROR(__xludf.DUMMYFUNCTION("""COMPUTED_VALUE"""),"avalanche-2")</f>
        <v>avalanche-2</v>
      </c>
      <c r="B1053" s="2" t="str">
        <f ca="1">IFERROR(__xludf.DUMMYFUNCTION("""COMPUTED_VALUE"""),"avax")</f>
        <v>avax</v>
      </c>
      <c r="C1053" s="2" t="str">
        <f ca="1">IFERROR(__xludf.DUMMYFUNCTION("""COMPUTED_VALUE"""),"Avalanche")</f>
        <v>Avalanche</v>
      </c>
    </row>
    <row r="1054" spans="1:3" x14ac:dyDescent="0.25">
      <c r="A1054" s="2" t="str">
        <f ca="1">IFERROR(__xludf.DUMMYFUNCTION("""COMPUTED_VALUE"""),"avalanche-bridged-dai-avalanche")</f>
        <v>avalanche-bridged-dai-avalanche</v>
      </c>
      <c r="B1054" s="2" t="str">
        <f ca="1">IFERROR(__xludf.DUMMYFUNCTION("""COMPUTED_VALUE"""),"dai")</f>
        <v>dai</v>
      </c>
      <c r="C1054" s="2" t="str">
        <f ca="1">IFERROR(__xludf.DUMMYFUNCTION("""COMPUTED_VALUE"""),"Avalanche Bridged DAI (Avalanche)")</f>
        <v>Avalanche Bridged DAI (Avalanche)</v>
      </c>
    </row>
    <row r="1055" spans="1:3" x14ac:dyDescent="0.25">
      <c r="A1055" s="2" t="str">
        <f ca="1">IFERROR(__xludf.DUMMYFUNCTION("""COMPUTED_VALUE"""),"avalanche-bridged-weth-avalanche")</f>
        <v>avalanche-bridged-weth-avalanche</v>
      </c>
      <c r="B1055" s="2" t="str">
        <f ca="1">IFERROR(__xludf.DUMMYFUNCTION("""COMPUTED_VALUE"""),"weth")</f>
        <v>weth</v>
      </c>
      <c r="C1055" s="2" t="str">
        <f ca="1">IFERROR(__xludf.DUMMYFUNCTION("""COMPUTED_VALUE"""),"Avalanche Bridged WETH (Avalanche)")</f>
        <v>Avalanche Bridged WETH (Avalanche)</v>
      </c>
    </row>
    <row r="1056" spans="1:3" x14ac:dyDescent="0.25">
      <c r="A1056" s="2" t="str">
        <f ca="1">IFERROR(__xludf.DUMMYFUNCTION("""COMPUTED_VALUE"""),"avalanche-old-bridged-wbtc-avalanche")</f>
        <v>avalanche-old-bridged-wbtc-avalanche</v>
      </c>
      <c r="B1056" s="2" t="str">
        <f ca="1">IFERROR(__xludf.DUMMYFUNCTION("""COMPUTED_VALUE"""),"wbtc")</f>
        <v>wbtc</v>
      </c>
      <c r="C1056" s="2" t="str">
        <f ca="1">IFERROR(__xludf.DUMMYFUNCTION("""COMPUTED_VALUE"""),"Avalanche Bridged WBTC (Avalanche)")</f>
        <v>Avalanche Bridged WBTC (Avalanche)</v>
      </c>
    </row>
    <row r="1057" spans="1:3" x14ac:dyDescent="0.25">
      <c r="A1057" s="2" t="str">
        <f ca="1">IFERROR(__xludf.DUMMYFUNCTION("""COMPUTED_VALUE"""),"avalanche-wormhole")</f>
        <v>avalanche-wormhole</v>
      </c>
      <c r="B1057" s="2" t="str">
        <f ca="1">IFERROR(__xludf.DUMMYFUNCTION("""COMPUTED_VALUE"""),"avax")</f>
        <v>avax</v>
      </c>
      <c r="C1057" s="2" t="str">
        <f ca="1">IFERROR(__xludf.DUMMYFUNCTION("""COMPUTED_VALUE"""),"Avalanche (Wormhole)")</f>
        <v>Avalanche (Wormhole)</v>
      </c>
    </row>
    <row r="1058" spans="1:3" x14ac:dyDescent="0.25">
      <c r="A1058" s="2" t="str">
        <f ca="1">IFERROR(__xludf.DUMMYFUNCTION("""COMPUTED_VALUE"""),"avalaunch")</f>
        <v>avalaunch</v>
      </c>
      <c r="B1058" s="2" t="str">
        <f ca="1">IFERROR(__xludf.DUMMYFUNCTION("""COMPUTED_VALUE"""),"xava")</f>
        <v>xava</v>
      </c>
      <c r="C1058" s="2" t="str">
        <f ca="1">IFERROR(__xludf.DUMMYFUNCTION("""COMPUTED_VALUE"""),"Avalaunch")</f>
        <v>Avalaunch</v>
      </c>
    </row>
    <row r="1059" spans="1:3" x14ac:dyDescent="0.25">
      <c r="A1059" s="2" t="str">
        <f ca="1">IFERROR(__xludf.DUMMYFUNCTION("""COMPUTED_VALUE"""),"avalox")</f>
        <v>avalox</v>
      </c>
      <c r="B1059" s="2" t="str">
        <f ca="1">IFERROR(__xludf.DUMMYFUNCTION("""COMPUTED_VALUE"""),"avalox")</f>
        <v>avalox</v>
      </c>
      <c r="C1059" s="2" t="str">
        <f ca="1">IFERROR(__xludf.DUMMYFUNCTION("""COMPUTED_VALUE"""),"Avalox")</f>
        <v>Avalox</v>
      </c>
    </row>
    <row r="1060" spans="1:3" x14ac:dyDescent="0.25">
      <c r="A1060" s="2" t="str">
        <f ca="1">IFERROR(__xludf.DUMMYFUNCTION("""COMPUTED_VALUE"""),"avaocado-dao")</f>
        <v>avaocado-dao</v>
      </c>
      <c r="B1060" s="2" t="str">
        <f ca="1">IFERROR(__xludf.DUMMYFUNCTION("""COMPUTED_VALUE"""),"avg")</f>
        <v>avg</v>
      </c>
      <c r="C1060" s="2" t="str">
        <f ca="1">IFERROR(__xludf.DUMMYFUNCTION("""COMPUTED_VALUE"""),"Avocado DAO")</f>
        <v>Avocado DAO</v>
      </c>
    </row>
    <row r="1061" spans="1:3" x14ac:dyDescent="0.25">
      <c r="A1061" s="2" t="str">
        <f ca="1">IFERROR(__xludf.DUMMYFUNCTION("""COMPUTED_VALUE"""),"avatago")</f>
        <v>avatago</v>
      </c>
      <c r="B1061" s="2" t="str">
        <f ca="1">IFERROR(__xludf.DUMMYFUNCTION("""COMPUTED_VALUE"""),"agt")</f>
        <v>agt</v>
      </c>
      <c r="C1061" s="2" t="str">
        <f ca="1">IFERROR(__xludf.DUMMYFUNCTION("""COMPUTED_VALUE"""),"AVATAGO")</f>
        <v>AVATAGO</v>
      </c>
    </row>
    <row r="1062" spans="1:3" x14ac:dyDescent="0.25">
      <c r="A1062" s="2" t="str">
        <f ca="1">IFERROR(__xludf.DUMMYFUNCTION("""COMPUTED_VALUE"""),"avatar404")</f>
        <v>avatar404</v>
      </c>
      <c r="B1062" s="2" t="str">
        <f ca="1">IFERROR(__xludf.DUMMYFUNCTION("""COMPUTED_VALUE"""),"agt")</f>
        <v>agt</v>
      </c>
      <c r="C1062" s="2" t="str">
        <f ca="1">IFERROR(__xludf.DUMMYFUNCTION("""COMPUTED_VALUE"""),"Avatar404")</f>
        <v>Avatar404</v>
      </c>
    </row>
    <row r="1063" spans="1:3" x14ac:dyDescent="0.25">
      <c r="A1063" s="2" t="str">
        <f ca="1">IFERROR(__xludf.DUMMYFUNCTION("""COMPUTED_VALUE"""),"avatly-2")</f>
        <v>avatly-2</v>
      </c>
      <c r="B1063" s="2" t="str">
        <f ca="1">IFERROR(__xludf.DUMMYFUNCTION("""COMPUTED_VALUE"""),"avatly")</f>
        <v>avatly</v>
      </c>
      <c r="C1063" s="2" t="str">
        <f ca="1">IFERROR(__xludf.DUMMYFUNCTION("""COMPUTED_VALUE"""),"Avatly")</f>
        <v>Avatly</v>
      </c>
    </row>
    <row r="1064" spans="1:3" x14ac:dyDescent="0.25">
      <c r="A1064" s="2" t="str">
        <f ca="1">IFERROR(__xludf.DUMMYFUNCTION("""COMPUTED_VALUE"""),"avav-asc-20")</f>
        <v>avav-asc-20</v>
      </c>
      <c r="B1064" s="2" t="str">
        <f ca="1">IFERROR(__xludf.DUMMYFUNCTION("""COMPUTED_VALUE"""),"avav")</f>
        <v>avav</v>
      </c>
      <c r="C1064" s="2" t="str">
        <f ca="1">IFERROR(__xludf.DUMMYFUNCTION("""COMPUTED_VALUE"""),"AVAV (ASC-20)")</f>
        <v>AVAV (ASC-20)</v>
      </c>
    </row>
    <row r="1065" spans="1:3" x14ac:dyDescent="0.25">
      <c r="A1065" s="2" t="str">
        <f ca="1">IFERROR(__xludf.DUMMYFUNCTION("""COMPUTED_VALUE"""),"avax-has-no-chill")</f>
        <v>avax-has-no-chill</v>
      </c>
      <c r="B1065" s="2" t="str">
        <f ca="1">IFERROR(__xludf.DUMMYFUNCTION("""COMPUTED_VALUE"""),"nochill")</f>
        <v>nochill</v>
      </c>
      <c r="C1065" s="2" t="str">
        <f ca="1">IFERROR(__xludf.DUMMYFUNCTION("""COMPUTED_VALUE"""),"AVAX HAS NO CHILL")</f>
        <v>AVAX HAS NO CHILL</v>
      </c>
    </row>
    <row r="1066" spans="1:3" x14ac:dyDescent="0.25">
      <c r="A1066" s="2" t="str">
        <f ca="1">IFERROR(__xludf.DUMMYFUNCTION("""COMPUTED_VALUE"""),"avaxlama")</f>
        <v>avaxlama</v>
      </c>
      <c r="B1066" s="2" t="str">
        <f ca="1">IFERROR(__xludf.DUMMYFUNCTION("""COMPUTED_VALUE"""),"lama")</f>
        <v>lama</v>
      </c>
      <c r="C1066" s="2" t="str">
        <f ca="1">IFERROR(__xludf.DUMMYFUNCTION("""COMPUTED_VALUE"""),"Lama")</f>
        <v>Lama</v>
      </c>
    </row>
    <row r="1067" spans="1:3" x14ac:dyDescent="0.25">
      <c r="A1067" s="2" t="str">
        <f ca="1">IFERROR(__xludf.DUMMYFUNCTION("""COMPUTED_VALUE"""),"avaxtars")</f>
        <v>avaxtars</v>
      </c>
      <c r="B1067" s="2" t="str">
        <f ca="1">IFERROR(__xludf.DUMMYFUNCTION("""COMPUTED_VALUE"""),"avxt")</f>
        <v>avxt</v>
      </c>
      <c r="C1067" s="2" t="str">
        <f ca="1">IFERROR(__xludf.DUMMYFUNCTION("""COMPUTED_VALUE"""),"Avaxtars")</f>
        <v>Avaxtars</v>
      </c>
    </row>
    <row r="1068" spans="1:3" x14ac:dyDescent="0.25">
      <c r="A1068" s="2" t="str">
        <f ca="1">IFERROR(__xludf.DUMMYFUNCTION("""COMPUTED_VALUE"""),"avaxtech")</f>
        <v>avaxtech</v>
      </c>
      <c r="B1068" s="2" t="str">
        <f ca="1">IFERROR(__xludf.DUMMYFUNCTION("""COMPUTED_VALUE"""),"atech")</f>
        <v>atech</v>
      </c>
      <c r="C1068" s="2" t="str">
        <f ca="1">IFERROR(__xludf.DUMMYFUNCTION("""COMPUTED_VALUE"""),"AvaxTech")</f>
        <v>AvaxTech</v>
      </c>
    </row>
    <row r="1069" spans="1:3" x14ac:dyDescent="0.25">
      <c r="A1069" s="2" t="str">
        <f ca="1">IFERROR(__xludf.DUMMYFUNCTION("""COMPUTED_VALUE"""),"aventa")</f>
        <v>aventa</v>
      </c>
      <c r="B1069" s="2" t="str">
        <f ca="1">IFERROR(__xludf.DUMMYFUNCTION("""COMPUTED_VALUE"""),"avent")</f>
        <v>avent</v>
      </c>
      <c r="C1069" s="2" t="str">
        <f ca="1">IFERROR(__xludf.DUMMYFUNCTION("""COMPUTED_VALUE"""),"Aventa")</f>
        <v>Aventa</v>
      </c>
    </row>
    <row r="1070" spans="1:3" x14ac:dyDescent="0.25">
      <c r="A1070" s="2" t="str">
        <f ca="1">IFERROR(__xludf.DUMMYFUNCTION("""COMPUTED_VALUE"""),"aventis-ai")</f>
        <v>aventis-ai</v>
      </c>
      <c r="B1070" s="2" t="str">
        <f ca="1">IFERROR(__xludf.DUMMYFUNCTION("""COMPUTED_VALUE"""),"aai")</f>
        <v>aai</v>
      </c>
      <c r="C1070" s="2" t="str">
        <f ca="1">IFERROR(__xludf.DUMMYFUNCTION("""COMPUTED_VALUE"""),"Aventis AI")</f>
        <v>Aventis AI</v>
      </c>
    </row>
    <row r="1071" spans="1:3" x14ac:dyDescent="0.25">
      <c r="A1071" s="2" t="str">
        <f ca="1">IFERROR(__xludf.DUMMYFUNCTION("""COMPUTED_VALUE"""),"aventis-metaverse")</f>
        <v>aventis-metaverse</v>
      </c>
      <c r="B1071" s="2" t="str">
        <f ca="1">IFERROR(__xludf.DUMMYFUNCTION("""COMPUTED_VALUE"""),"avtm")</f>
        <v>avtm</v>
      </c>
      <c r="C1071" s="2" t="str">
        <f ca="1">IFERROR(__xludf.DUMMYFUNCTION("""COMPUTED_VALUE"""),"Aventis Metaverse")</f>
        <v>Aventis Metaverse</v>
      </c>
    </row>
    <row r="1072" spans="1:3" x14ac:dyDescent="0.25">
      <c r="A1072" s="2" t="str">
        <f ca="1">IFERROR(__xludf.DUMMYFUNCTION("""COMPUTED_VALUE"""),"aventus")</f>
        <v>aventus</v>
      </c>
      <c r="B1072" s="2" t="str">
        <f ca="1">IFERROR(__xludf.DUMMYFUNCTION("""COMPUTED_VALUE"""),"avt")</f>
        <v>avt</v>
      </c>
      <c r="C1072" s="2" t="str">
        <f ca="1">IFERROR(__xludf.DUMMYFUNCTION("""COMPUTED_VALUE"""),"Aventus")</f>
        <v>Aventus</v>
      </c>
    </row>
    <row r="1073" spans="1:3" x14ac:dyDescent="0.25">
      <c r="A1073" s="2" t="str">
        <f ca="1">IFERROR(__xludf.DUMMYFUNCTION("""COMPUTED_VALUE"""),"aves")</f>
        <v>aves</v>
      </c>
      <c r="B1073" s="2" t="str">
        <f ca="1">IFERROR(__xludf.DUMMYFUNCTION("""COMPUTED_VALUE"""),"avs")</f>
        <v>avs</v>
      </c>
      <c r="C1073" s="2" t="str">
        <f ca="1">IFERROR(__xludf.DUMMYFUNCTION("""COMPUTED_VALUE"""),"AVES")</f>
        <v>AVES</v>
      </c>
    </row>
    <row r="1074" spans="1:3" x14ac:dyDescent="0.25">
      <c r="A1074" s="2" t="str">
        <f ca="1">IFERROR(__xludf.DUMMYFUNCTION("""COMPUTED_VALUE"""),"avian-labs")</f>
        <v>avian-labs</v>
      </c>
      <c r="B1074" s="2" t="str">
        <f ca="1">IFERROR(__xludf.DUMMYFUNCTION("""COMPUTED_VALUE"""),"avi")</f>
        <v>avi</v>
      </c>
      <c r="C1074" s="2" t="str">
        <f ca="1">IFERROR(__xludf.DUMMYFUNCTION("""COMPUTED_VALUE"""),"Avian Labs")</f>
        <v>Avian Labs</v>
      </c>
    </row>
    <row r="1075" spans="1:3" x14ac:dyDescent="0.25">
      <c r="A1075" s="2" t="str">
        <f ca="1">IFERROR(__xludf.DUMMYFUNCTION("""COMPUTED_VALUE"""),"avian-network")</f>
        <v>avian-network</v>
      </c>
      <c r="B1075" s="2" t="str">
        <f ca="1">IFERROR(__xludf.DUMMYFUNCTION("""COMPUTED_VALUE"""),"avn")</f>
        <v>avn</v>
      </c>
      <c r="C1075" s="2" t="str">
        <f ca="1">IFERROR(__xludf.DUMMYFUNCTION("""COMPUTED_VALUE"""),"AVIAN")</f>
        <v>AVIAN</v>
      </c>
    </row>
    <row r="1076" spans="1:3" x14ac:dyDescent="0.25">
      <c r="A1076" s="2" t="str">
        <f ca="1">IFERROR(__xludf.DUMMYFUNCTION("""COMPUTED_VALUE"""),"aviator")</f>
        <v>aviator</v>
      </c>
      <c r="B1076" s="2" t="str">
        <f ca="1">IFERROR(__xludf.DUMMYFUNCTION("""COMPUTED_VALUE"""),"avi")</f>
        <v>avi</v>
      </c>
      <c r="C1076" s="2" t="str">
        <f ca="1">IFERROR(__xludf.DUMMYFUNCTION("""COMPUTED_VALUE"""),"Aviator")</f>
        <v>Aviator</v>
      </c>
    </row>
    <row r="1077" spans="1:3" x14ac:dyDescent="0.25">
      <c r="A1077" s="2" t="str">
        <f ca="1">IFERROR(__xludf.DUMMYFUNCTION("""COMPUTED_VALUE"""),"avinoc")</f>
        <v>avinoc</v>
      </c>
      <c r="B1077" s="2" t="str">
        <f ca="1">IFERROR(__xludf.DUMMYFUNCTION("""COMPUTED_VALUE"""),"avinoc")</f>
        <v>avinoc</v>
      </c>
      <c r="C1077" s="2" t="str">
        <f ca="1">IFERROR(__xludf.DUMMYFUNCTION("""COMPUTED_VALUE"""),"AVINOC")</f>
        <v>AVINOC</v>
      </c>
    </row>
    <row r="1078" spans="1:3" x14ac:dyDescent="0.25">
      <c r="A1078" s="2" t="str">
        <f ca="1">IFERROR(__xludf.DUMMYFUNCTION("""COMPUTED_VALUE"""),"avive")</f>
        <v>avive</v>
      </c>
      <c r="B1078" s="2" t="str">
        <f ca="1">IFERROR(__xludf.DUMMYFUNCTION("""COMPUTED_VALUE"""),"avive")</f>
        <v>avive</v>
      </c>
      <c r="C1078" s="2" t="str">
        <f ca="1">IFERROR(__xludf.DUMMYFUNCTION("""COMPUTED_VALUE"""),"Avive")</f>
        <v>Avive</v>
      </c>
    </row>
    <row r="1079" spans="1:3" x14ac:dyDescent="0.25">
      <c r="A1079" s="2" t="str">
        <f ca="1">IFERROR(__xludf.DUMMYFUNCTION("""COMPUTED_VALUE"""),"avnrich")</f>
        <v>avnrich</v>
      </c>
      <c r="B1079" s="2" t="str">
        <f ca="1">IFERROR(__xludf.DUMMYFUNCTION("""COMPUTED_VALUE"""),"avn")</f>
        <v>avn</v>
      </c>
      <c r="C1079" s="2" t="str">
        <f ca="1">IFERROR(__xludf.DUMMYFUNCTION("""COMPUTED_VALUE"""),"AVNRich")</f>
        <v>AVNRich</v>
      </c>
    </row>
    <row r="1080" spans="1:3" x14ac:dyDescent="0.25">
      <c r="A1080" s="2" t="str">
        <f ca="1">IFERROR(__xludf.DUMMYFUNCTION("""COMPUTED_VALUE"""),"avocado-bg")</f>
        <v>avocado-bg</v>
      </c>
      <c r="B1080" s="2" t="str">
        <f ca="1">IFERROR(__xludf.DUMMYFUNCTION("""COMPUTED_VALUE"""),"avo")</f>
        <v>avo</v>
      </c>
      <c r="C1080" s="2" t="str">
        <f ca="1">IFERROR(__xludf.DUMMYFUNCTION("""COMPUTED_VALUE"""),"AVOCADO BG")</f>
        <v>AVOCADO BG</v>
      </c>
    </row>
    <row r="1081" spans="1:3" x14ac:dyDescent="0.25">
      <c r="A1081" s="2" t="str">
        <f ca="1">IFERROR(__xludf.DUMMYFUNCTION("""COMPUTED_VALUE"""),"avoteo")</f>
        <v>avoteo</v>
      </c>
      <c r="B1081" s="2" t="str">
        <f ca="1">IFERROR(__xludf.DUMMYFUNCTION("""COMPUTED_VALUE"""),"avo")</f>
        <v>avo</v>
      </c>
      <c r="C1081" s="2" t="str">
        <f ca="1">IFERROR(__xludf.DUMMYFUNCTION("""COMPUTED_VALUE"""),"Avoteo")</f>
        <v>Avoteo</v>
      </c>
    </row>
    <row r="1082" spans="1:3" x14ac:dyDescent="0.25">
      <c r="A1082" s="2" t="str">
        <f ca="1">IFERROR(__xludf.DUMMYFUNCTION("""COMPUTED_VALUE"""),"awkward-look-monkey-club")</f>
        <v>awkward-look-monkey-club</v>
      </c>
      <c r="B1082" s="2" t="str">
        <f ca="1">IFERROR(__xludf.DUMMYFUNCTION("""COMPUTED_VALUE"""),"almc")</f>
        <v>almc</v>
      </c>
      <c r="C1082" s="2" t="str">
        <f ca="1">IFERROR(__xludf.DUMMYFUNCTION("""COMPUTED_VALUE"""),"Awkward Look Monkey Club")</f>
        <v>Awkward Look Monkey Club</v>
      </c>
    </row>
    <row r="1083" spans="1:3" x14ac:dyDescent="0.25">
      <c r="A1083" s="2" t="str">
        <f ca="1">IFERROR(__xludf.DUMMYFUNCTION("""COMPUTED_VALUE"""),"awkward-monkey")</f>
        <v>awkward-monkey</v>
      </c>
      <c r="B1083" s="2" t="str">
        <f ca="1">IFERROR(__xludf.DUMMYFUNCTION("""COMPUTED_VALUE"""),"awk")</f>
        <v>awk</v>
      </c>
      <c r="C1083" s="2" t="str">
        <f ca="1">IFERROR(__xludf.DUMMYFUNCTION("""COMPUTED_VALUE"""),"Awkward Monkey")</f>
        <v>Awkward Monkey</v>
      </c>
    </row>
    <row r="1084" spans="1:3" x14ac:dyDescent="0.25">
      <c r="A1084" s="2" t="str">
        <f ca="1">IFERROR(__xludf.DUMMYFUNCTION("""COMPUTED_VALUE"""),"axe")</f>
        <v>axe</v>
      </c>
      <c r="B1084" s="2" t="str">
        <f ca="1">IFERROR(__xludf.DUMMYFUNCTION("""COMPUTED_VALUE"""),"axe")</f>
        <v>axe</v>
      </c>
      <c r="C1084" s="2" t="str">
        <f ca="1">IFERROR(__xludf.DUMMYFUNCTION("""COMPUTED_VALUE"""),"Axe")</f>
        <v>Axe</v>
      </c>
    </row>
    <row r="1085" spans="1:3" x14ac:dyDescent="0.25">
      <c r="A1085" s="2" t="str">
        <f ca="1">IFERROR(__xludf.DUMMYFUNCTION("""COMPUTED_VALUE"""),"axe-cap")</f>
        <v>axe-cap</v>
      </c>
      <c r="B1085" s="2" t="str">
        <f ca="1">IFERROR(__xludf.DUMMYFUNCTION("""COMPUTED_VALUE"""),"axe")</f>
        <v>axe</v>
      </c>
      <c r="C1085" s="2" t="str">
        <f ca="1">IFERROR(__xludf.DUMMYFUNCTION("""COMPUTED_VALUE"""),"Axe Cap")</f>
        <v>Axe Cap</v>
      </c>
    </row>
    <row r="1086" spans="1:3" x14ac:dyDescent="0.25">
      <c r="A1086" s="2" t="str">
        <f ca="1">IFERROR(__xludf.DUMMYFUNCTION("""COMPUTED_VALUE"""),"axel")</f>
        <v>axel</v>
      </c>
      <c r="B1086" s="2" t="str">
        <f ca="1">IFERROR(__xludf.DUMMYFUNCTION("""COMPUTED_VALUE"""),"axel")</f>
        <v>axel</v>
      </c>
      <c r="C1086" s="2" t="str">
        <f ca="1">IFERROR(__xludf.DUMMYFUNCTION("""COMPUTED_VALUE"""),"AXEL")</f>
        <v>AXEL</v>
      </c>
    </row>
    <row r="1087" spans="1:3" x14ac:dyDescent="0.25">
      <c r="A1087" s="2" t="str">
        <f ca="1">IFERROR(__xludf.DUMMYFUNCTION("""COMPUTED_VALUE"""),"axelar")</f>
        <v>axelar</v>
      </c>
      <c r="B1087" s="2" t="str">
        <f ca="1">IFERROR(__xludf.DUMMYFUNCTION("""COMPUTED_VALUE"""),"axl")</f>
        <v>axl</v>
      </c>
      <c r="C1087" s="2" t="str">
        <f ca="1">IFERROR(__xludf.DUMMYFUNCTION("""COMPUTED_VALUE"""),"Axelar")</f>
        <v>Axelar</v>
      </c>
    </row>
    <row r="1088" spans="1:3" x14ac:dyDescent="0.25">
      <c r="A1088" s="2" t="str">
        <f ca="1">IFERROR(__xludf.DUMMYFUNCTION("""COMPUTED_VALUE"""),"axelar-bridged-frax-ether")</f>
        <v>axelar-bridged-frax-ether</v>
      </c>
      <c r="B1088" s="2" t="str">
        <f ca="1">IFERROR(__xludf.DUMMYFUNCTION("""COMPUTED_VALUE"""),"axlfrxeth")</f>
        <v>axlfrxeth</v>
      </c>
      <c r="C1088" s="2" t="str">
        <f ca="1">IFERROR(__xludf.DUMMYFUNCTION("""COMPUTED_VALUE"""),"Axelar Bridged Frax Ether")</f>
        <v>Axelar Bridged Frax Ether</v>
      </c>
    </row>
    <row r="1089" spans="1:3" x14ac:dyDescent="0.25">
      <c r="A1089" s="2" t="str">
        <f ca="1">IFERROR(__xludf.DUMMYFUNCTION("""COMPUTED_VALUE"""),"axelar-bridged-usdc-cosmos")</f>
        <v>axelar-bridged-usdc-cosmos</v>
      </c>
      <c r="B1089" s="2" t="str">
        <f ca="1">IFERROR(__xludf.DUMMYFUNCTION("""COMPUTED_VALUE"""),"usdc.axl")</f>
        <v>usdc.axl</v>
      </c>
      <c r="C1089" s="2" t="str">
        <f ca="1">IFERROR(__xludf.DUMMYFUNCTION("""COMPUTED_VALUE"""),"Axelar Bridged USDC (Cosmos)")</f>
        <v>Axelar Bridged USDC (Cosmos)</v>
      </c>
    </row>
    <row r="1090" spans="1:3" x14ac:dyDescent="0.25">
      <c r="A1090" s="2" t="str">
        <f ca="1">IFERROR(__xludf.DUMMYFUNCTION("""COMPUTED_VALUE"""),"axelar-usdt")</f>
        <v>axelar-usdt</v>
      </c>
      <c r="B1090" s="2" t="str">
        <f ca="1">IFERROR(__xludf.DUMMYFUNCTION("""COMPUTED_VALUE"""),"axlusdt")</f>
        <v>axlusdt</v>
      </c>
      <c r="C1090" s="2" t="str">
        <f ca="1">IFERROR(__xludf.DUMMYFUNCTION("""COMPUTED_VALUE"""),"Bridged Tether (Axelar)")</f>
        <v>Bridged Tether (Axelar)</v>
      </c>
    </row>
    <row r="1091" spans="1:3" x14ac:dyDescent="0.25">
      <c r="A1091" s="2" t="str">
        <f ca="1">IFERROR(__xludf.DUMMYFUNCTION("""COMPUTED_VALUE"""),"axel-wrapped")</f>
        <v>axel-wrapped</v>
      </c>
      <c r="B1091" s="2" t="str">
        <f ca="1">IFERROR(__xludf.DUMMYFUNCTION("""COMPUTED_VALUE"""),"axlw")</f>
        <v>axlw</v>
      </c>
      <c r="C1091" s="2" t="str">
        <f ca="1">IFERROR(__xludf.DUMMYFUNCTION("""COMPUTED_VALUE"""),"Axel Wrapped")</f>
        <v>Axel Wrapped</v>
      </c>
    </row>
    <row r="1092" spans="1:3" x14ac:dyDescent="0.25">
      <c r="A1092" s="2" t="str">
        <f ca="1">IFERROR(__xludf.DUMMYFUNCTION("""COMPUTED_VALUE"""),"axia")</f>
        <v>axia</v>
      </c>
      <c r="B1092" s="2" t="str">
        <f ca="1">IFERROR(__xludf.DUMMYFUNCTION("""COMPUTED_VALUE"""),"axiav3")</f>
        <v>axiav3</v>
      </c>
      <c r="C1092" s="2" t="str">
        <f ca="1">IFERROR(__xludf.DUMMYFUNCTION("""COMPUTED_VALUE"""),"Axia")</f>
        <v>Axia</v>
      </c>
    </row>
    <row r="1093" spans="1:3" x14ac:dyDescent="0.25">
      <c r="A1093" s="2" t="str">
        <f ca="1">IFERROR(__xludf.DUMMYFUNCTION("""COMPUTED_VALUE"""),"axial-token")</f>
        <v>axial-token</v>
      </c>
      <c r="B1093" s="2" t="str">
        <f ca="1">IFERROR(__xludf.DUMMYFUNCTION("""COMPUTED_VALUE"""),"axial")</f>
        <v>axial</v>
      </c>
      <c r="C1093" s="2" t="str">
        <f ca="1">IFERROR(__xludf.DUMMYFUNCTION("""COMPUTED_VALUE"""),"Axial Token")</f>
        <v>Axial Token</v>
      </c>
    </row>
    <row r="1094" spans="1:3" x14ac:dyDescent="0.25">
      <c r="A1094" s="2" t="str">
        <f ca="1">IFERROR(__xludf.DUMMYFUNCTION("""COMPUTED_VALUE"""),"axie-infinity")</f>
        <v>axie-infinity</v>
      </c>
      <c r="B1094" s="2" t="str">
        <f ca="1">IFERROR(__xludf.DUMMYFUNCTION("""COMPUTED_VALUE"""),"axs")</f>
        <v>axs</v>
      </c>
      <c r="C1094" s="2" t="str">
        <f ca="1">IFERROR(__xludf.DUMMYFUNCTION("""COMPUTED_VALUE"""),"Axie Infinity")</f>
        <v>Axie Infinity</v>
      </c>
    </row>
    <row r="1095" spans="1:3" x14ac:dyDescent="0.25">
      <c r="A1095" s="2" t="str">
        <f ca="1">IFERROR(__xludf.DUMMYFUNCTION("""COMPUTED_VALUE"""),"axie-infinity-shard-wormhole")</f>
        <v>axie-infinity-shard-wormhole</v>
      </c>
      <c r="B1095" s="2" t="str">
        <f ca="1">IFERROR(__xludf.DUMMYFUNCTION("""COMPUTED_VALUE"""),"axset")</f>
        <v>axset</v>
      </c>
      <c r="C1095" s="2" t="str">
        <f ca="1">IFERROR(__xludf.DUMMYFUNCTION("""COMPUTED_VALUE"""),"Axie Infinity Shard (Wormhole)")</f>
        <v>Axie Infinity Shard (Wormhole)</v>
      </c>
    </row>
    <row r="1096" spans="1:3" x14ac:dyDescent="0.25">
      <c r="A1096" s="2" t="str">
        <f ca="1">IFERROR(__xludf.DUMMYFUNCTION("""COMPUTED_VALUE"""),"axiome")</f>
        <v>axiome</v>
      </c>
      <c r="B1096" s="2" t="str">
        <f ca="1">IFERROR(__xludf.DUMMYFUNCTION("""COMPUTED_VALUE"""),"axm")</f>
        <v>axm</v>
      </c>
      <c r="C1096" s="2" t="str">
        <f ca="1">IFERROR(__xludf.DUMMYFUNCTION("""COMPUTED_VALUE"""),"Axiome")</f>
        <v>Axiome</v>
      </c>
    </row>
    <row r="1097" spans="1:3" x14ac:dyDescent="0.25">
      <c r="A1097" s="2" t="str">
        <f ca="1">IFERROR(__xludf.DUMMYFUNCTION("""COMPUTED_VALUE"""),"axion")</f>
        <v>axion</v>
      </c>
      <c r="B1097" s="2" t="str">
        <f ca="1">IFERROR(__xludf.DUMMYFUNCTION("""COMPUTED_VALUE"""),"axn")</f>
        <v>axn</v>
      </c>
      <c r="C1097" s="2" t="str">
        <f ca="1">IFERROR(__xludf.DUMMYFUNCTION("""COMPUTED_VALUE"""),"Axion")</f>
        <v>Axion</v>
      </c>
    </row>
    <row r="1098" spans="1:3" x14ac:dyDescent="0.25">
      <c r="A1098" s="2" t="str">
        <f ca="1">IFERROR(__xludf.DUMMYFUNCTION("""COMPUTED_VALUE"""),"axis-alive")</f>
        <v>axis-alive</v>
      </c>
      <c r="B1098" s="2" t="str">
        <f ca="1">IFERROR(__xludf.DUMMYFUNCTION("""COMPUTED_VALUE"""),"axis")</f>
        <v>axis</v>
      </c>
      <c r="C1098" s="2" t="str">
        <f ca="1">IFERROR(__xludf.DUMMYFUNCTION("""COMPUTED_VALUE"""),"AXiS ALiVE")</f>
        <v>AXiS ALiVE</v>
      </c>
    </row>
    <row r="1099" spans="1:3" x14ac:dyDescent="0.25">
      <c r="A1099" s="2" t="str">
        <f ca="1">IFERROR(__xludf.DUMMYFUNCTION("""COMPUTED_VALUE"""),"axis-defi")</f>
        <v>axis-defi</v>
      </c>
      <c r="B1099" s="2" t="str">
        <f ca="1">IFERROR(__xludf.DUMMYFUNCTION("""COMPUTED_VALUE"""),"axis")</f>
        <v>axis</v>
      </c>
      <c r="C1099" s="2" t="str">
        <f ca="1">IFERROR(__xludf.DUMMYFUNCTION("""COMPUTED_VALUE"""),"Axis DeFi")</f>
        <v>Axis DeFi</v>
      </c>
    </row>
    <row r="1100" spans="1:3" x14ac:dyDescent="0.25">
      <c r="A1100" s="2" t="str">
        <f ca="1">IFERROR(__xludf.DUMMYFUNCTION("""COMPUTED_VALUE"""),"axis-token")</f>
        <v>axis-token</v>
      </c>
      <c r="B1100" s="2" t="str">
        <f ca="1">IFERROR(__xludf.DUMMYFUNCTION("""COMPUTED_VALUE"""),"axis")</f>
        <v>axis</v>
      </c>
      <c r="C1100" s="2" t="str">
        <f ca="1">IFERROR(__xludf.DUMMYFUNCTION("""COMPUTED_VALUE"""),"AXIS")</f>
        <v>AXIS</v>
      </c>
    </row>
    <row r="1101" spans="1:3" x14ac:dyDescent="0.25">
      <c r="A1101" s="2" t="str">
        <f ca="1">IFERROR(__xludf.DUMMYFUNCTION("""COMPUTED_VALUE"""),"axl-inu")</f>
        <v>axl-inu</v>
      </c>
      <c r="B1101" s="2" t="str">
        <f ca="1">IFERROR(__xludf.DUMMYFUNCTION("""COMPUTED_VALUE"""),"axl")</f>
        <v>axl</v>
      </c>
      <c r="C1101" s="2" t="str">
        <f ca="1">IFERROR(__xludf.DUMMYFUNCTION("""COMPUTED_VALUE"""),"AXL INU")</f>
        <v>AXL INU</v>
      </c>
    </row>
    <row r="1102" spans="1:3" x14ac:dyDescent="0.25">
      <c r="A1102" s="2" t="str">
        <f ca="1">IFERROR(__xludf.DUMMYFUNCTION("""COMPUTED_VALUE"""),"axlusdc")</f>
        <v>axlusdc</v>
      </c>
      <c r="B1102" s="2" t="str">
        <f ca="1">IFERROR(__xludf.DUMMYFUNCTION("""COMPUTED_VALUE"""),"axlusdc")</f>
        <v>axlusdc</v>
      </c>
      <c r="C1102" s="2" t="str">
        <f ca="1">IFERROR(__xludf.DUMMYFUNCTION("""COMPUTED_VALUE"""),"Axelar Bridged USDC")</f>
        <v>Axelar Bridged USDC</v>
      </c>
    </row>
    <row r="1103" spans="1:3" x14ac:dyDescent="0.25">
      <c r="A1103" s="2" t="str">
        <f ca="1">IFERROR(__xludf.DUMMYFUNCTION("""COMPUTED_VALUE"""),"axlwbtc")</f>
        <v>axlwbtc</v>
      </c>
      <c r="B1103" s="2" t="str">
        <f ca="1">IFERROR(__xludf.DUMMYFUNCTION("""COMPUTED_VALUE"""),"axlwbtc")</f>
        <v>axlwbtc</v>
      </c>
      <c r="C1103" s="2" t="str">
        <f ca="1">IFERROR(__xludf.DUMMYFUNCTION("""COMPUTED_VALUE"""),"axlWBTC")</f>
        <v>axlWBTC</v>
      </c>
    </row>
    <row r="1104" spans="1:3" x14ac:dyDescent="0.25">
      <c r="A1104" s="2" t="str">
        <f ca="1">IFERROR(__xludf.DUMMYFUNCTION("""COMPUTED_VALUE"""),"axlweth")</f>
        <v>axlweth</v>
      </c>
      <c r="B1104" s="2" t="str">
        <f ca="1">IFERROR(__xludf.DUMMYFUNCTION("""COMPUTED_VALUE"""),"axleth")</f>
        <v>axleth</v>
      </c>
      <c r="C1104" s="2" t="str">
        <f ca="1">IFERROR(__xludf.DUMMYFUNCTION("""COMPUTED_VALUE"""),"Axelar Wrapped Ether")</f>
        <v>Axelar Wrapped Ether</v>
      </c>
    </row>
    <row r="1105" spans="1:3" x14ac:dyDescent="0.25">
      <c r="A1105" s="2" t="str">
        <f ca="1">IFERROR(__xludf.DUMMYFUNCTION("""COMPUTED_VALUE"""),"axo")</f>
        <v>axo</v>
      </c>
      <c r="B1105" s="2" t="str">
        <f ca="1">IFERROR(__xludf.DUMMYFUNCTION("""COMPUTED_VALUE"""),"axo")</f>
        <v>axo</v>
      </c>
      <c r="C1105" s="2" t="str">
        <f ca="1">IFERROR(__xludf.DUMMYFUNCTION("""COMPUTED_VALUE"""),"Axo")</f>
        <v>Axo</v>
      </c>
    </row>
    <row r="1106" spans="1:3" x14ac:dyDescent="0.25">
      <c r="A1106" s="2" t="str">
        <f ca="1">IFERROR(__xludf.DUMMYFUNCTION("""COMPUTED_VALUE"""),"axol")</f>
        <v>axol</v>
      </c>
      <c r="B1106" s="2" t="str">
        <f ca="1">IFERROR(__xludf.DUMMYFUNCTION("""COMPUTED_VALUE"""),"axol")</f>
        <v>axol</v>
      </c>
      <c r="C1106" s="2" t="str">
        <f ca="1">IFERROR(__xludf.DUMMYFUNCTION("""COMPUTED_VALUE"""),"AXOL")</f>
        <v>AXOL</v>
      </c>
    </row>
    <row r="1107" spans="1:3" x14ac:dyDescent="0.25">
      <c r="A1107" s="2" t="str">
        <f ca="1">IFERROR(__xludf.DUMMYFUNCTION("""COMPUTED_VALUE"""),"axondao-governance-token")</f>
        <v>axondao-governance-token</v>
      </c>
      <c r="B1107" s="2" t="str">
        <f ca="1">IFERROR(__xludf.DUMMYFUNCTION("""COMPUTED_VALUE"""),"axgt")</f>
        <v>axgt</v>
      </c>
      <c r="C1107" s="2" t="str">
        <f ca="1">IFERROR(__xludf.DUMMYFUNCTION("""COMPUTED_VALUE"""),"AxonDAO Governance Token")</f>
        <v>AxonDAO Governance Token</v>
      </c>
    </row>
    <row r="1108" spans="1:3" x14ac:dyDescent="0.25">
      <c r="A1108" s="2" t="str">
        <f ca="1">IFERROR(__xludf.DUMMYFUNCTION("""COMPUTED_VALUE"""),"ayin")</f>
        <v>ayin</v>
      </c>
      <c r="B1108" s="2" t="str">
        <f ca="1">IFERROR(__xludf.DUMMYFUNCTION("""COMPUTED_VALUE"""),"ayin")</f>
        <v>ayin</v>
      </c>
      <c r="C1108" s="2" t="str">
        <f ca="1">IFERROR(__xludf.DUMMYFUNCTION("""COMPUTED_VALUE"""),"Ayin")</f>
        <v>Ayin</v>
      </c>
    </row>
    <row r="1109" spans="1:3" x14ac:dyDescent="0.25">
      <c r="A1109" s="2" t="str">
        <f ca="1">IFERROR(__xludf.DUMMYFUNCTION("""COMPUTED_VALUE"""),"azbit")</f>
        <v>azbit</v>
      </c>
      <c r="B1109" s="2" t="str">
        <f ca="1">IFERROR(__xludf.DUMMYFUNCTION("""COMPUTED_VALUE"""),"az")</f>
        <v>az</v>
      </c>
      <c r="C1109" s="2" t="str">
        <f ca="1">IFERROR(__xludf.DUMMYFUNCTION("""COMPUTED_VALUE"""),"Azbit")</f>
        <v>Azbit</v>
      </c>
    </row>
    <row r="1110" spans="1:3" x14ac:dyDescent="0.25">
      <c r="A1110" s="2" t="str">
        <f ca="1">IFERROR(__xludf.DUMMYFUNCTION("""COMPUTED_VALUE"""),"azcoiner")</f>
        <v>azcoiner</v>
      </c>
      <c r="B1110" s="2" t="str">
        <f ca="1">IFERROR(__xludf.DUMMYFUNCTION("""COMPUTED_VALUE"""),"azc")</f>
        <v>azc</v>
      </c>
      <c r="C1110" s="2" t="str">
        <f ca="1">IFERROR(__xludf.DUMMYFUNCTION("""COMPUTED_VALUE"""),"AZCoiner")</f>
        <v>AZCoiner</v>
      </c>
    </row>
    <row r="1111" spans="1:3" x14ac:dyDescent="0.25">
      <c r="A1111" s="2" t="str">
        <f ca="1">IFERROR(__xludf.DUMMYFUNCTION("""COMPUTED_VALUE"""),"azit")</f>
        <v>azit</v>
      </c>
      <c r="B1111" s="2" t="str">
        <f ca="1">IFERROR(__xludf.DUMMYFUNCTION("""COMPUTED_VALUE"""),"azit")</f>
        <v>azit</v>
      </c>
      <c r="C1111" s="2" t="str">
        <f ca="1">IFERROR(__xludf.DUMMYFUNCTION("""COMPUTED_VALUE"""),"azit")</f>
        <v>azit</v>
      </c>
    </row>
    <row r="1112" spans="1:3" x14ac:dyDescent="0.25">
      <c r="A1112" s="2" t="str">
        <f ca="1">IFERROR(__xludf.DUMMYFUNCTION("""COMPUTED_VALUE"""),"azuki")</f>
        <v>azuki</v>
      </c>
      <c r="B1112" s="2" t="str">
        <f ca="1">IFERROR(__xludf.DUMMYFUNCTION("""COMPUTED_VALUE"""),"azuki")</f>
        <v>azuki</v>
      </c>
      <c r="C1112" s="2" t="str">
        <f ca="1">IFERROR(__xludf.DUMMYFUNCTION("""COMPUTED_VALUE"""),"Azuki")</f>
        <v>Azuki</v>
      </c>
    </row>
    <row r="1113" spans="1:3" x14ac:dyDescent="0.25">
      <c r="A1113" s="2" t="str">
        <f ca="1">IFERROR(__xludf.DUMMYFUNCTION("""COMPUTED_VALUE"""),"azuro-protocol")</f>
        <v>azuro-protocol</v>
      </c>
      <c r="B1113" s="2" t="str">
        <f ca="1">IFERROR(__xludf.DUMMYFUNCTION("""COMPUTED_VALUE"""),"azur")</f>
        <v>azur</v>
      </c>
      <c r="C1113" s="2" t="str">
        <f ca="1">IFERROR(__xludf.DUMMYFUNCTION("""COMPUTED_VALUE"""),"Azuro Protocol")</f>
        <v>Azuro Protocol</v>
      </c>
    </row>
    <row r="1114" spans="1:3" x14ac:dyDescent="0.25">
      <c r="A1114" s="2" t="str">
        <f ca="1">IFERROR(__xludf.DUMMYFUNCTION("""COMPUTED_VALUE"""),"azur-token")</f>
        <v>azur-token</v>
      </c>
      <c r="B1114" s="2" t="str">
        <f ca="1">IFERROR(__xludf.DUMMYFUNCTION("""COMPUTED_VALUE"""),"azur")</f>
        <v>azur</v>
      </c>
      <c r="C1114" s="2" t="str">
        <f ca="1">IFERROR(__xludf.DUMMYFUNCTION("""COMPUTED_VALUE"""),"AZUR Token")</f>
        <v>AZUR Token</v>
      </c>
    </row>
    <row r="1115" spans="1:3" x14ac:dyDescent="0.25">
      <c r="A1115" s="2" t="str">
        <f ca="1">IFERROR(__xludf.DUMMYFUNCTION("""COMPUTED_VALUE"""),"b0rder1ess")</f>
        <v>b0rder1ess</v>
      </c>
      <c r="B1115" s="2" t="str">
        <f ca="1">IFERROR(__xludf.DUMMYFUNCTION("""COMPUTED_VALUE"""),"b01")</f>
        <v>b01</v>
      </c>
      <c r="C1115" s="2" t="str">
        <f ca="1">IFERROR(__xludf.DUMMYFUNCTION("""COMPUTED_VALUE"""),"b0rder1ess")</f>
        <v>b0rder1ess</v>
      </c>
    </row>
    <row r="1116" spans="1:3" x14ac:dyDescent="0.25">
      <c r="A1116" s="2" t="str">
        <f ca="1">IFERROR(__xludf.DUMMYFUNCTION("""COMPUTED_VALUE"""),"b1coin")</f>
        <v>b1coin</v>
      </c>
      <c r="B1116" s="2" t="str">
        <f ca="1">IFERROR(__xludf.DUMMYFUNCTION("""COMPUTED_VALUE"""),"bicoin")</f>
        <v>bicoin</v>
      </c>
      <c r="C1116" s="2" t="str">
        <f ca="1">IFERROR(__xludf.DUMMYFUNCTION("""COMPUTED_VALUE"""),"B1COIN")</f>
        <v>B1COIN</v>
      </c>
    </row>
    <row r="1117" spans="1:3" x14ac:dyDescent="0.25">
      <c r="A1117" s="2" t="str">
        <f ca="1">IFERROR(__xludf.DUMMYFUNCTION("""COMPUTED_VALUE"""),"b20")</f>
        <v>b20</v>
      </c>
      <c r="B1117" s="2" t="str">
        <f ca="1">IFERROR(__xludf.DUMMYFUNCTION("""COMPUTED_VALUE"""),"b20")</f>
        <v>b20</v>
      </c>
      <c r="C1117" s="2" t="str">
        <f ca="1">IFERROR(__xludf.DUMMYFUNCTION("""COMPUTED_VALUE"""),"B20")</f>
        <v>B20</v>
      </c>
    </row>
    <row r="1118" spans="1:3" x14ac:dyDescent="0.25">
      <c r="A1118" s="2" t="str">
        <f ca="1">IFERROR(__xludf.DUMMYFUNCTION("""COMPUTED_VALUE"""),"b2baby")</f>
        <v>b2baby</v>
      </c>
      <c r="B1118" s="2" t="str">
        <f ca="1">IFERROR(__xludf.DUMMYFUNCTION("""COMPUTED_VALUE"""),"b2baby")</f>
        <v>b2baby</v>
      </c>
      <c r="C1118" s="2" t="str">
        <f ca="1">IFERROR(__xludf.DUMMYFUNCTION("""COMPUTED_VALUE"""),"B2Baby")</f>
        <v>B2Baby</v>
      </c>
    </row>
    <row r="1119" spans="1:3" x14ac:dyDescent="0.25">
      <c r="A1119" s="2" t="str">
        <f ca="1">IFERROR(__xludf.DUMMYFUNCTION("""COMPUTED_VALUE"""),"b2b-token")</f>
        <v>b2b-token</v>
      </c>
      <c r="B1119" s="2" t="str">
        <f ca="1">IFERROR(__xludf.DUMMYFUNCTION("""COMPUTED_VALUE"""),"b2b")</f>
        <v>b2b</v>
      </c>
      <c r="C1119" s="2" t="str">
        <f ca="1">IFERROR(__xludf.DUMMYFUNCTION("""COMPUTED_VALUE"""),"B2B Token")</f>
        <v>B2B Token</v>
      </c>
    </row>
    <row r="1120" spans="1:3" x14ac:dyDescent="0.25">
      <c r="A1120" s="2" t="str">
        <f ca="1">IFERROR(__xludf.DUMMYFUNCTION("""COMPUTED_VALUE"""),"b2share")</f>
        <v>b2share</v>
      </c>
      <c r="B1120" s="2" t="str">
        <f ca="1">IFERROR(__xludf.DUMMYFUNCTION("""COMPUTED_VALUE"""),"b2share")</f>
        <v>b2share</v>
      </c>
      <c r="C1120" s="2" t="str">
        <f ca="1">IFERROR(__xludf.DUMMYFUNCTION("""COMPUTED_VALUE"""),"B2SHARE")</f>
        <v>B2SHARE</v>
      </c>
    </row>
    <row r="1121" spans="1:3" x14ac:dyDescent="0.25">
      <c r="A1121" s="2" t="str">
        <f ca="1">IFERROR(__xludf.DUMMYFUNCTION("""COMPUTED_VALUE"""),"baanx")</f>
        <v>baanx</v>
      </c>
      <c r="B1121" s="2" t="str">
        <f ca="1">IFERROR(__xludf.DUMMYFUNCTION("""COMPUTED_VALUE"""),"bxx")</f>
        <v>bxx</v>
      </c>
      <c r="C1121" s="2" t="str">
        <f ca="1">IFERROR(__xludf.DUMMYFUNCTION("""COMPUTED_VALUE"""),"Baanx")</f>
        <v>Baanx</v>
      </c>
    </row>
    <row r="1122" spans="1:3" x14ac:dyDescent="0.25">
      <c r="A1122" s="2" t="str">
        <f ca="1">IFERROR(__xludf.DUMMYFUNCTION("""COMPUTED_VALUE"""),"baasid")</f>
        <v>baasid</v>
      </c>
      <c r="B1122" s="2" t="str">
        <f ca="1">IFERROR(__xludf.DUMMYFUNCTION("""COMPUTED_VALUE"""),"baas")</f>
        <v>baas</v>
      </c>
      <c r="C1122" s="2" t="str">
        <f ca="1">IFERROR(__xludf.DUMMYFUNCTION("""COMPUTED_VALUE"""),"BaaSid")</f>
        <v>BaaSid</v>
      </c>
    </row>
    <row r="1123" spans="1:3" x14ac:dyDescent="0.25">
      <c r="A1123" s="2" t="str">
        <f ca="1">IFERROR(__xludf.DUMMYFUNCTION("""COMPUTED_VALUE"""),"baba")</f>
        <v>baba</v>
      </c>
      <c r="B1123" s="2" t="str">
        <f ca="1">IFERROR(__xludf.DUMMYFUNCTION("""COMPUTED_VALUE"""),"baba")</f>
        <v>baba</v>
      </c>
      <c r="C1123" s="2" t="str">
        <f ca="1">IFERROR(__xludf.DUMMYFUNCTION("""COMPUTED_VALUE"""),"BABA")</f>
        <v>BABA</v>
      </c>
    </row>
    <row r="1124" spans="1:3" x14ac:dyDescent="0.25">
      <c r="A1124" s="2" t="str">
        <f ca="1">IFERROR(__xludf.DUMMYFUNCTION("""COMPUTED_VALUE"""),"babacoin")</f>
        <v>babacoin</v>
      </c>
      <c r="B1124" s="2" t="str">
        <f ca="1">IFERROR(__xludf.DUMMYFUNCTION("""COMPUTED_VALUE"""),"bbc")</f>
        <v>bbc</v>
      </c>
      <c r="C1124" s="2" t="str">
        <f ca="1">IFERROR(__xludf.DUMMYFUNCTION("""COMPUTED_VALUE"""),"Babacoin")</f>
        <v>Babacoin</v>
      </c>
    </row>
    <row r="1125" spans="1:3" x14ac:dyDescent="0.25">
      <c r="A1125" s="2" t="str">
        <f ca="1">IFERROR(__xludf.DUMMYFUNCTION("""COMPUTED_VALUE"""),"baba-yaga")</f>
        <v>baba-yaga</v>
      </c>
      <c r="B1125" s="2" t="str">
        <f ca="1">IFERROR(__xludf.DUMMYFUNCTION("""COMPUTED_VALUE"""),"babyag")</f>
        <v>babyag</v>
      </c>
      <c r="C1125" s="2" t="str">
        <f ca="1">IFERROR(__xludf.DUMMYFUNCTION("""COMPUTED_VALUE"""),"BABA YAGA")</f>
        <v>BABA YAGA</v>
      </c>
    </row>
    <row r="1126" spans="1:3" x14ac:dyDescent="0.25">
      <c r="A1126" s="2" t="str">
        <f ca="1">IFERROR(__xludf.DUMMYFUNCTION("""COMPUTED_VALUE"""),"babb")</f>
        <v>babb</v>
      </c>
      <c r="B1126" s="2" t="str">
        <f ca="1">IFERROR(__xludf.DUMMYFUNCTION("""COMPUTED_VALUE"""),"bax")</f>
        <v>bax</v>
      </c>
      <c r="C1126" s="2" t="str">
        <f ca="1">IFERROR(__xludf.DUMMYFUNCTION("""COMPUTED_VALUE"""),"BABB")</f>
        <v>BABB</v>
      </c>
    </row>
    <row r="1127" spans="1:3" x14ac:dyDescent="0.25">
      <c r="A1127" s="2" t="str">
        <f ca="1">IFERROR(__xludf.DUMMYFUNCTION("""COMPUTED_VALUE"""),"babble-ai")</f>
        <v>babble-ai</v>
      </c>
      <c r="B1127" s="2" t="str">
        <f ca="1">IFERROR(__xludf.DUMMYFUNCTION("""COMPUTED_VALUE"""),"bbl")</f>
        <v>bbl</v>
      </c>
      <c r="C1127" s="2" t="str">
        <f ca="1">IFERROR(__xludf.DUMMYFUNCTION("""COMPUTED_VALUE"""),"Babble AI")</f>
        <v>Babble AI</v>
      </c>
    </row>
    <row r="1128" spans="1:3" x14ac:dyDescent="0.25">
      <c r="A1128" s="2" t="str">
        <f ca="1">IFERROR(__xludf.DUMMYFUNCTION("""COMPUTED_VALUE"""),"babelfish-2")</f>
        <v>babelfish-2</v>
      </c>
      <c r="B1128" s="2" t="str">
        <f ca="1">IFERROR(__xludf.DUMMYFUNCTION("""COMPUTED_VALUE"""),"$fish")</f>
        <v>$fish</v>
      </c>
      <c r="C1128" s="2" t="str">
        <f ca="1">IFERROR(__xludf.DUMMYFUNCTION("""COMPUTED_VALUE"""),"Babelfish")</f>
        <v>Babelfish</v>
      </c>
    </row>
    <row r="1129" spans="1:3" x14ac:dyDescent="0.25">
      <c r="A1129" s="2" t="str">
        <f ca="1">IFERROR(__xludf.DUMMYFUNCTION("""COMPUTED_VALUE"""),"baby")</f>
        <v>baby</v>
      </c>
      <c r="B1129" s="2" t="str">
        <f ca="1">IFERROR(__xludf.DUMMYFUNCTION("""COMPUTED_VALUE"""),"baby")</f>
        <v>baby</v>
      </c>
      <c r="C1129" s="2" t="str">
        <f ca="1">IFERROR(__xludf.DUMMYFUNCTION("""COMPUTED_VALUE"""),"Baby")</f>
        <v>Baby</v>
      </c>
    </row>
    <row r="1130" spans="1:3" x14ac:dyDescent="0.25">
      <c r="A1130" s="2" t="str">
        <f ca="1">IFERROR(__xludf.DUMMYFUNCTION("""COMPUTED_VALUE"""),"babyakita")</f>
        <v>babyakita</v>
      </c>
      <c r="B1130" s="2" t="str">
        <f ca="1">IFERROR(__xludf.DUMMYFUNCTION("""COMPUTED_VALUE"""),"babyakita")</f>
        <v>babyakita</v>
      </c>
      <c r="C1130" s="2" t="str">
        <f ca="1">IFERROR(__xludf.DUMMYFUNCTION("""COMPUTED_VALUE"""),"BabyAkita")</f>
        <v>BabyAkita</v>
      </c>
    </row>
    <row r="1131" spans="1:3" x14ac:dyDescent="0.25">
      <c r="A1131" s="2" t="str">
        <f ca="1">IFERROR(__xludf.DUMMYFUNCTION("""COMPUTED_VALUE"""),"baby-alienb")</f>
        <v>baby-alienb</v>
      </c>
      <c r="B1131" s="2" t="str">
        <f ca="1">IFERROR(__xludf.DUMMYFUNCTION("""COMPUTED_VALUE"""),"baby")</f>
        <v>baby</v>
      </c>
      <c r="C1131" s="2" t="str">
        <f ca="1">IFERROR(__xludf.DUMMYFUNCTION("""COMPUTED_VALUE"""),"Baby AlienB")</f>
        <v>Baby AlienB</v>
      </c>
    </row>
    <row r="1132" spans="1:3" x14ac:dyDescent="0.25">
      <c r="A1132" s="2" t="str">
        <f ca="1">IFERROR(__xludf.DUMMYFUNCTION("""COMPUTED_VALUE"""),"baby-arbitrum")</f>
        <v>baby-arbitrum</v>
      </c>
      <c r="B1132" s="2" t="str">
        <f ca="1">IFERROR(__xludf.DUMMYFUNCTION("""COMPUTED_VALUE"""),"barb")</f>
        <v>barb</v>
      </c>
      <c r="C1132" s="2" t="str">
        <f ca="1">IFERROR(__xludf.DUMMYFUNCTION("""COMPUTED_VALUE"""),"Baby Arbitrum")</f>
        <v>Baby Arbitrum</v>
      </c>
    </row>
    <row r="1133" spans="1:3" x14ac:dyDescent="0.25">
      <c r="A1133" s="2" t="str">
        <f ca="1">IFERROR(__xludf.DUMMYFUNCTION("""COMPUTED_VALUE"""),"baby-arof")</f>
        <v>baby-arof</v>
      </c>
      <c r="B1133" s="2" t="str">
        <f ca="1">IFERROR(__xludf.DUMMYFUNCTION("""COMPUTED_VALUE"""),"baby arof")</f>
        <v>baby arof</v>
      </c>
      <c r="C1133" s="2" t="str">
        <f ca="1">IFERROR(__xludf.DUMMYFUNCTION("""COMPUTED_VALUE"""),"BABY AROF")</f>
        <v>BABY AROF</v>
      </c>
    </row>
    <row r="1134" spans="1:3" x14ac:dyDescent="0.25">
      <c r="A1134" s="2" t="str">
        <f ca="1">IFERROR(__xludf.DUMMYFUNCTION("""COMPUTED_VALUE"""),"baby-bali")</f>
        <v>baby-bali</v>
      </c>
      <c r="B1134" s="2" t="str">
        <f ca="1">IFERROR(__xludf.DUMMYFUNCTION("""COMPUTED_VALUE"""),"bb")</f>
        <v>bb</v>
      </c>
      <c r="C1134" s="2" t="str">
        <f ca="1">IFERROR(__xludf.DUMMYFUNCTION("""COMPUTED_VALUE"""),"Baby Bali")</f>
        <v>Baby Bali</v>
      </c>
    </row>
    <row r="1135" spans="1:3" x14ac:dyDescent="0.25">
      <c r="A1135" s="2" t="str">
        <f ca="1">IFERROR(__xludf.DUMMYFUNCTION("""COMPUTED_VALUE"""),"baby-beercoin")</f>
        <v>baby-beercoin</v>
      </c>
      <c r="B1135" s="2" t="str">
        <f ca="1">IFERROR(__xludf.DUMMYFUNCTION("""COMPUTED_VALUE"""),"bbeer")</f>
        <v>bbeer</v>
      </c>
      <c r="C1135" s="2" t="str">
        <f ca="1">IFERROR(__xludf.DUMMYFUNCTION("""COMPUTED_VALUE"""),"BABY BEERCOIN")</f>
        <v>BABY BEERCOIN</v>
      </c>
    </row>
    <row r="1136" spans="1:3" x14ac:dyDescent="0.25">
      <c r="A1136" s="2" t="str">
        <f ca="1">IFERROR(__xludf.DUMMYFUNCTION("""COMPUTED_VALUE"""),"baby-bnb")</f>
        <v>baby-bnb</v>
      </c>
      <c r="B1136" s="2" t="str">
        <f ca="1">IFERROR(__xludf.DUMMYFUNCTION("""COMPUTED_VALUE"""),"babybnb")</f>
        <v>babybnb</v>
      </c>
      <c r="C1136" s="2" t="str">
        <f ca="1">IFERROR(__xludf.DUMMYFUNCTION("""COMPUTED_VALUE"""),"Baby BNB")</f>
        <v>Baby BNB</v>
      </c>
    </row>
    <row r="1137" spans="1:3" x14ac:dyDescent="0.25">
      <c r="A1137" s="2" t="str">
        <f ca="1">IFERROR(__xludf.DUMMYFUNCTION("""COMPUTED_VALUE"""),"babybnbtiger")</f>
        <v>babybnbtiger</v>
      </c>
      <c r="B1137" s="2" t="str">
        <f ca="1">IFERROR(__xludf.DUMMYFUNCTION("""COMPUTED_VALUE"""),"babybnbtig")</f>
        <v>babybnbtig</v>
      </c>
      <c r="C1137" s="2" t="str">
        <f ca="1">IFERROR(__xludf.DUMMYFUNCTION("""COMPUTED_VALUE"""),"BabyBNBTiger")</f>
        <v>BabyBNBTiger</v>
      </c>
    </row>
    <row r="1138" spans="1:3" x14ac:dyDescent="0.25">
      <c r="A1138" s="2" t="str">
        <f ca="1">IFERROR(__xludf.DUMMYFUNCTION("""COMPUTED_VALUE"""),"babybonk")</f>
        <v>babybonk</v>
      </c>
      <c r="B1138" s="2" t="str">
        <f ca="1">IFERROR(__xludf.DUMMYFUNCTION("""COMPUTED_VALUE"""),"babybonk")</f>
        <v>babybonk</v>
      </c>
      <c r="C1138" s="2" t="str">
        <f ca="1">IFERROR(__xludf.DUMMYFUNCTION("""COMPUTED_VALUE"""),"BabyBonk")</f>
        <v>BabyBonk</v>
      </c>
    </row>
    <row r="1139" spans="1:3" x14ac:dyDescent="0.25">
      <c r="A1139" s="2" t="str">
        <f ca="1">IFERROR(__xludf.DUMMYFUNCTION("""COMPUTED_VALUE"""),"babybonk-2")</f>
        <v>babybonk-2</v>
      </c>
      <c r="B1139" s="2" t="str">
        <f ca="1">IFERROR(__xludf.DUMMYFUNCTION("""COMPUTED_VALUE"""),"babybonk")</f>
        <v>babybonk</v>
      </c>
      <c r="C1139" s="2" t="str">
        <f ca="1">IFERROR(__xludf.DUMMYFUNCTION("""COMPUTED_VALUE"""),"BabyBonk")</f>
        <v>BabyBonk</v>
      </c>
    </row>
    <row r="1140" spans="1:3" x14ac:dyDescent="0.25">
      <c r="A1140" s="2" t="str">
        <f ca="1">IFERROR(__xludf.DUMMYFUNCTION("""COMPUTED_VALUE"""),"baby-brett")</f>
        <v>baby-brett</v>
      </c>
      <c r="B1140" s="2" t="str">
        <f ca="1">IFERROR(__xludf.DUMMYFUNCTION("""COMPUTED_VALUE"""),"babybrett")</f>
        <v>babybrett</v>
      </c>
      <c r="C1140" s="2" t="str">
        <f ca="1">IFERROR(__xludf.DUMMYFUNCTION("""COMPUTED_VALUE"""),"Baby Brett")</f>
        <v>Baby Brett</v>
      </c>
    </row>
    <row r="1141" spans="1:3" x14ac:dyDescent="0.25">
      <c r="A1141" s="2" t="str">
        <f ca="1">IFERROR(__xludf.DUMMYFUNCTION("""COMPUTED_VALUE"""),"baby-brett-on-base")</f>
        <v>baby-brett-on-base</v>
      </c>
      <c r="B1141" s="2" t="str">
        <f ca="1">IFERROR(__xludf.DUMMYFUNCTION("""COMPUTED_VALUE"""),"bbrett")</f>
        <v>bbrett</v>
      </c>
      <c r="C1141" s="2" t="str">
        <f ca="1">IFERROR(__xludf.DUMMYFUNCTION("""COMPUTED_VALUE"""),"Baby Brett on Base")</f>
        <v>Baby Brett on Base</v>
      </c>
    </row>
    <row r="1142" spans="1:3" x14ac:dyDescent="0.25">
      <c r="A1142" s="2" t="str">
        <f ca="1">IFERROR(__xludf.DUMMYFUNCTION("""COMPUTED_VALUE"""),"baby-cat")</f>
        <v>baby-cat</v>
      </c>
      <c r="B1142" s="2" t="str">
        <f ca="1">IFERROR(__xludf.DUMMYFUNCTION("""COMPUTED_VALUE"""),"babycat")</f>
        <v>babycat</v>
      </c>
      <c r="C1142" s="2" t="str">
        <f ca="1">IFERROR(__xludf.DUMMYFUNCTION("""COMPUTED_VALUE"""),"Baby Cat")</f>
        <v>Baby Cat</v>
      </c>
    </row>
    <row r="1143" spans="1:3" x14ac:dyDescent="0.25">
      <c r="A1143" s="2" t="str">
        <f ca="1">IFERROR(__xludf.DUMMYFUNCTION("""COMPUTED_VALUE"""),"babycate")</f>
        <v>babycate</v>
      </c>
      <c r="B1143" s="2" t="str">
        <f ca="1">IFERROR(__xludf.DUMMYFUNCTION("""COMPUTED_VALUE"""),"babycate")</f>
        <v>babycate</v>
      </c>
      <c r="C1143" s="2" t="str">
        <f ca="1">IFERROR(__xludf.DUMMYFUNCTION("""COMPUTED_VALUE"""),"BabyCate")</f>
        <v>BabyCate</v>
      </c>
    </row>
    <row r="1144" spans="1:3" x14ac:dyDescent="0.25">
      <c r="A1144" s="2" t="str">
        <f ca="1">IFERROR(__xludf.DUMMYFUNCTION("""COMPUTED_VALUE"""),"baby-coq-inu")</f>
        <v>baby-coq-inu</v>
      </c>
      <c r="B1144" s="2" t="str">
        <f ca="1">IFERROR(__xludf.DUMMYFUNCTION("""COMPUTED_VALUE"""),"bcoq")</f>
        <v>bcoq</v>
      </c>
      <c r="C1144" s="2" t="str">
        <f ca="1">IFERROR(__xludf.DUMMYFUNCTION("""COMPUTED_VALUE"""),"Baby Coq Inu")</f>
        <v>Baby Coq Inu</v>
      </c>
    </row>
    <row r="1145" spans="1:3" x14ac:dyDescent="0.25">
      <c r="A1145" s="2" t="str">
        <f ca="1">IFERROR(__xludf.DUMMYFUNCTION("""COMPUTED_VALUE"""),"babycrash")</f>
        <v>babycrash</v>
      </c>
      <c r="B1145" s="2" t="str">
        <f ca="1">IFERROR(__xludf.DUMMYFUNCTION("""COMPUTED_VALUE"""),"babycrash")</f>
        <v>babycrash</v>
      </c>
      <c r="C1145" s="2" t="str">
        <f ca="1">IFERROR(__xludf.DUMMYFUNCTION("""COMPUTED_VALUE"""),"BabyCrash")</f>
        <v>BabyCrash</v>
      </c>
    </row>
    <row r="1146" spans="1:3" x14ac:dyDescent="0.25">
      <c r="A1146" s="2" t="str">
        <f ca="1">IFERROR(__xludf.DUMMYFUNCTION("""COMPUTED_VALUE"""),"babydoge2-0")</f>
        <v>babydoge2-0</v>
      </c>
      <c r="B1146" s="2" t="str">
        <f ca="1">IFERROR(__xludf.DUMMYFUNCTION("""COMPUTED_VALUE"""),"babydoge2.0")</f>
        <v>babydoge2.0</v>
      </c>
      <c r="C1146" s="2" t="str">
        <f ca="1">IFERROR(__xludf.DUMMYFUNCTION("""COMPUTED_VALUE"""),"Babydoge2.0")</f>
        <v>Babydoge2.0</v>
      </c>
    </row>
    <row r="1147" spans="1:3" x14ac:dyDescent="0.25">
      <c r="A1147" s="2" t="str">
        <f ca="1">IFERROR(__xludf.DUMMYFUNCTION("""COMPUTED_VALUE"""),"babydogearmy")</f>
        <v>babydogearmy</v>
      </c>
      <c r="B1147" s="2" t="str">
        <f ca="1">IFERROR(__xludf.DUMMYFUNCTION("""COMPUTED_VALUE"""),"army")</f>
        <v>army</v>
      </c>
      <c r="C1147" s="2" t="str">
        <f ca="1">IFERROR(__xludf.DUMMYFUNCTION("""COMPUTED_VALUE"""),"BabyDogeARMY")</f>
        <v>BabyDogeARMY</v>
      </c>
    </row>
    <row r="1148" spans="1:3" x14ac:dyDescent="0.25">
      <c r="A1148" s="2" t="str">
        <f ca="1">IFERROR(__xludf.DUMMYFUNCTION("""COMPUTED_VALUE"""),"baby-doge-cash")</f>
        <v>baby-doge-cash</v>
      </c>
      <c r="B1148" s="2" t="str">
        <f ca="1">IFERROR(__xludf.DUMMYFUNCTION("""COMPUTED_VALUE"""),"babydogecash")</f>
        <v>babydogecash</v>
      </c>
      <c r="C1148" s="2" t="str">
        <f ca="1">IFERROR(__xludf.DUMMYFUNCTION("""COMPUTED_VALUE"""),"Baby Doge Cash")</f>
        <v>Baby Doge Cash</v>
      </c>
    </row>
    <row r="1149" spans="1:3" x14ac:dyDescent="0.25">
      <c r="A1149" s="2" t="str">
        <f ca="1">IFERROR(__xludf.DUMMYFUNCTION("""COMPUTED_VALUE"""),"baby-doge-coin")</f>
        <v>baby-doge-coin</v>
      </c>
      <c r="B1149" s="2" t="str">
        <f ca="1">IFERROR(__xludf.DUMMYFUNCTION("""COMPUTED_VALUE"""),"babydoge")</f>
        <v>babydoge</v>
      </c>
      <c r="C1149" s="2" t="str">
        <f ca="1">IFERROR(__xludf.DUMMYFUNCTION("""COMPUTED_VALUE"""),"Baby Doge Coin")</f>
        <v>Baby Doge Coin</v>
      </c>
    </row>
    <row r="1150" spans="1:3" x14ac:dyDescent="0.25">
      <c r="A1150" s="2" t="str">
        <f ca="1">IFERROR(__xludf.DUMMYFUNCTION("""COMPUTED_VALUE"""),"baby-doge-inu")</f>
        <v>baby-doge-inu</v>
      </c>
      <c r="B1150" s="2" t="str">
        <f ca="1">IFERROR(__xludf.DUMMYFUNCTION("""COMPUTED_VALUE"""),"$babydogeinu")</f>
        <v>$babydogeinu</v>
      </c>
      <c r="C1150" s="2" t="str">
        <f ca="1">IFERROR(__xludf.DUMMYFUNCTION("""COMPUTED_VALUE"""),"Baby Doge Inu")</f>
        <v>Baby Doge Inu</v>
      </c>
    </row>
    <row r="1151" spans="1:3" x14ac:dyDescent="0.25">
      <c r="A1151" s="2" t="str">
        <f ca="1">IFERROR(__xludf.DUMMYFUNCTION("""COMPUTED_VALUE"""),"babydogwifhat")</f>
        <v>babydogwifhat</v>
      </c>
      <c r="B1151" s="2" t="str">
        <f ca="1">IFERROR(__xludf.DUMMYFUNCTION("""COMPUTED_VALUE"""),"babywif")</f>
        <v>babywif</v>
      </c>
      <c r="C1151" s="2" t="str">
        <f ca="1">IFERROR(__xludf.DUMMYFUNCTION("""COMPUTED_VALUE"""),"babydogwifhat")</f>
        <v>babydogwifhat</v>
      </c>
    </row>
    <row r="1152" spans="1:3" x14ac:dyDescent="0.25">
      <c r="A1152" s="2" t="str">
        <f ca="1">IFERROR(__xludf.DUMMYFUNCTION("""COMPUTED_VALUE"""),"babydojo")</f>
        <v>babydojo</v>
      </c>
      <c r="B1152" s="2" t="str">
        <f ca="1">IFERROR(__xludf.DUMMYFUNCTION("""COMPUTED_VALUE"""),"babydojo")</f>
        <v>babydojo</v>
      </c>
      <c r="C1152" s="2" t="str">
        <f ca="1">IFERROR(__xludf.DUMMYFUNCTION("""COMPUTED_VALUE"""),"BabyDojo")</f>
        <v>BabyDojo</v>
      </c>
    </row>
    <row r="1153" spans="1:3" x14ac:dyDescent="0.25">
      <c r="A1153" s="2" t="str">
        <f ca="1">IFERROR(__xludf.DUMMYFUNCTION("""COMPUTED_VALUE"""),"baby-dragon")</f>
        <v>baby-dragon</v>
      </c>
      <c r="B1153" s="2" t="str">
        <f ca="1">IFERROR(__xludf.DUMMYFUNCTION("""COMPUTED_VALUE"""),"babydragon")</f>
        <v>babydragon</v>
      </c>
      <c r="C1153" s="2" t="str">
        <f ca="1">IFERROR(__xludf.DUMMYFUNCTION("""COMPUTED_VALUE"""),"Baby Dragon")</f>
        <v>Baby Dragon</v>
      </c>
    </row>
    <row r="1154" spans="1:3" x14ac:dyDescent="0.25">
      <c r="A1154" s="2" t="str">
        <f ca="1">IFERROR(__xludf.DUMMYFUNCTION("""COMPUTED_VALUE"""),"baby-dragon-2")</f>
        <v>baby-dragon-2</v>
      </c>
      <c r="B1154" s="2" t="str">
        <f ca="1">IFERROR(__xludf.DUMMYFUNCTION("""COMPUTED_VALUE"""),"babydragon")</f>
        <v>babydragon</v>
      </c>
      <c r="C1154" s="2" t="str">
        <f ca="1">IFERROR(__xludf.DUMMYFUNCTION("""COMPUTED_VALUE"""),"Baby Dragon")</f>
        <v>Baby Dragon</v>
      </c>
    </row>
    <row r="1155" spans="1:3" x14ac:dyDescent="0.25">
      <c r="A1155" s="2" t="str">
        <f ca="1">IFERROR(__xludf.DUMMYFUNCTION("""COMPUTED_VALUE"""),"baby-elon")</f>
        <v>baby-elon</v>
      </c>
      <c r="B1155" s="2" t="str">
        <f ca="1">IFERROR(__xludf.DUMMYFUNCTION("""COMPUTED_VALUE"""),"babyelon")</f>
        <v>babyelon</v>
      </c>
      <c r="C1155" s="2" t="str">
        <f ca="1">IFERROR(__xludf.DUMMYFUNCTION("""COMPUTED_VALUE"""),"Baby Elon")</f>
        <v>Baby Elon</v>
      </c>
    </row>
    <row r="1156" spans="1:3" x14ac:dyDescent="0.25">
      <c r="A1156" s="2" t="str">
        <f ca="1">IFERROR(__xludf.DUMMYFUNCTION("""COMPUTED_VALUE"""),"babyfloki")</f>
        <v>babyfloki</v>
      </c>
      <c r="B1156" s="2" t="str">
        <f ca="1">IFERROR(__xludf.DUMMYFUNCTION("""COMPUTED_VALUE"""),"babyfloki")</f>
        <v>babyfloki</v>
      </c>
      <c r="C1156" s="2" t="str">
        <f ca="1">IFERROR(__xludf.DUMMYFUNCTION("""COMPUTED_VALUE"""),"BabyFloki")</f>
        <v>BabyFloki</v>
      </c>
    </row>
    <row r="1157" spans="1:3" x14ac:dyDescent="0.25">
      <c r="A1157" s="2" t="str">
        <f ca="1">IFERROR(__xludf.DUMMYFUNCTION("""COMPUTED_VALUE"""),"baby-floki")</f>
        <v>baby-floki</v>
      </c>
      <c r="B1157" s="2" t="str">
        <f ca="1">IFERROR(__xludf.DUMMYFUNCTION("""COMPUTED_VALUE"""),"babyfloki")</f>
        <v>babyfloki</v>
      </c>
      <c r="C1157" s="2" t="str">
        <f ca="1">IFERROR(__xludf.DUMMYFUNCTION("""COMPUTED_VALUE"""),"Baby Floki")</f>
        <v>Baby Floki</v>
      </c>
    </row>
    <row r="1158" spans="1:3" x14ac:dyDescent="0.25">
      <c r="A1158" s="2" t="str">
        <f ca="1">IFERROR(__xludf.DUMMYFUNCTION("""COMPUTED_VALUE"""),"baby-floki-coin")</f>
        <v>baby-floki-coin</v>
      </c>
      <c r="B1158" s="2" t="str">
        <f ca="1">IFERROR(__xludf.DUMMYFUNCTION("""COMPUTED_VALUE"""),"babyflokicoin")</f>
        <v>babyflokicoin</v>
      </c>
      <c r="C1158" s="2" t="str">
        <f ca="1">IFERROR(__xludf.DUMMYFUNCTION("""COMPUTED_VALUE"""),"Baby Floki Coin")</f>
        <v>Baby Floki Coin</v>
      </c>
    </row>
    <row r="1159" spans="1:3" x14ac:dyDescent="0.25">
      <c r="A1159" s="2" t="str">
        <f ca="1">IFERROR(__xludf.DUMMYFUNCTION("""COMPUTED_VALUE"""),"baby-floki-inu")</f>
        <v>baby-floki-inu</v>
      </c>
      <c r="B1159" s="2" t="str">
        <f ca="1">IFERROR(__xludf.DUMMYFUNCTION("""COMPUTED_VALUE"""),"bfloki")</f>
        <v>bfloki</v>
      </c>
      <c r="C1159" s="2" t="str">
        <f ca="1">IFERROR(__xludf.DUMMYFUNCTION("""COMPUTED_VALUE"""),"Baby Floki Inu")</f>
        <v>Baby Floki Inu</v>
      </c>
    </row>
    <row r="1160" spans="1:3" x14ac:dyDescent="0.25">
      <c r="A1160" s="2" t="str">
        <f ca="1">IFERROR(__xludf.DUMMYFUNCTION("""COMPUTED_VALUE"""),"baby-grok")</f>
        <v>baby-grok</v>
      </c>
      <c r="B1160" s="2" t="str">
        <f ca="1">IFERROR(__xludf.DUMMYFUNCTION("""COMPUTED_VALUE"""),"babygrok")</f>
        <v>babygrok</v>
      </c>
      <c r="C1160" s="2" t="str">
        <f ca="1">IFERROR(__xludf.DUMMYFUNCTION("""COMPUTED_VALUE"""),"Baby Grok")</f>
        <v>Baby Grok</v>
      </c>
    </row>
    <row r="1161" spans="1:3" x14ac:dyDescent="0.25">
      <c r="A1161" s="2" t="str">
        <f ca="1">IFERROR(__xludf.DUMMYFUNCTION("""COMPUTED_VALUE"""),"babygrokceo")</f>
        <v>babygrokceo</v>
      </c>
      <c r="B1161" s="2" t="str">
        <f ca="1">IFERROR(__xludf.DUMMYFUNCTION("""COMPUTED_VALUE"""),"babygrokce")</f>
        <v>babygrokce</v>
      </c>
      <c r="C1161" s="2" t="str">
        <f ca="1">IFERROR(__xludf.DUMMYFUNCTION("""COMPUTED_VALUE"""),"BabyGrokCEO")</f>
        <v>BabyGrokCEO</v>
      </c>
    </row>
    <row r="1162" spans="1:3" x14ac:dyDescent="0.25">
      <c r="A1162" s="2" t="str">
        <f ca="1">IFERROR(__xludf.DUMMYFUNCTION("""COMPUTED_VALUE"""),"babygrok-x")</f>
        <v>babygrok-x</v>
      </c>
      <c r="B1162" s="2" t="str">
        <f ca="1">IFERROR(__xludf.DUMMYFUNCTION("""COMPUTED_VALUE"""),"babygrok x")</f>
        <v>babygrok x</v>
      </c>
      <c r="C1162" s="2" t="str">
        <f ca="1">IFERROR(__xludf.DUMMYFUNCTION("""COMPUTED_VALUE"""),"BabyGrok X")</f>
        <v>BabyGrok X</v>
      </c>
    </row>
    <row r="1163" spans="1:3" x14ac:dyDescent="0.25">
      <c r="A1163" s="2" t="str">
        <f ca="1">IFERROR(__xludf.DUMMYFUNCTION("""COMPUTED_VALUE"""),"baby-hamster")</f>
        <v>baby-hamster</v>
      </c>
      <c r="B1163" s="2" t="str">
        <f ca="1">IFERROR(__xludf.DUMMYFUNCTION("""COMPUTED_VALUE"""),"babyhamster")</f>
        <v>babyhamster</v>
      </c>
      <c r="C1163" s="2" t="str">
        <f ca="1">IFERROR(__xludf.DUMMYFUNCTION("""COMPUTED_VALUE"""),"Baby Hamster")</f>
        <v>Baby Hamster</v>
      </c>
    </row>
    <row r="1164" spans="1:3" x14ac:dyDescent="0.25">
      <c r="A1164" s="2" t="str">
        <f ca="1">IFERROR(__xludf.DUMMYFUNCTION("""COMPUTED_VALUE"""),"babykitty")</f>
        <v>babykitty</v>
      </c>
      <c r="B1164" s="2" t="str">
        <f ca="1">IFERROR(__xludf.DUMMYFUNCTION("""COMPUTED_VALUE"""),"babykitty")</f>
        <v>babykitty</v>
      </c>
      <c r="C1164" s="2" t="str">
        <f ca="1">IFERROR(__xludf.DUMMYFUNCTION("""COMPUTED_VALUE"""),"BabyKitty")</f>
        <v>BabyKitty</v>
      </c>
    </row>
    <row r="1165" spans="1:3" x14ac:dyDescent="0.25">
      <c r="A1165" s="2" t="str">
        <f ca="1">IFERROR(__xludf.DUMMYFUNCTION("""COMPUTED_VALUE"""),"babylong")</f>
        <v>babylong</v>
      </c>
      <c r="B1165" s="2" t="str">
        <f ca="1">IFERROR(__xludf.DUMMYFUNCTION("""COMPUTED_VALUE"""),"$babylong")</f>
        <v>$babylong</v>
      </c>
      <c r="C1165" s="2" t="str">
        <f ca="1">IFERROR(__xludf.DUMMYFUNCTION("""COMPUTED_VALUE"""),"BABYLONG")</f>
        <v>BABYLONG</v>
      </c>
    </row>
    <row r="1166" spans="1:3" x14ac:dyDescent="0.25">
      <c r="A1166" s="2" t="str">
        <f ca="1">IFERROR(__xludf.DUMMYFUNCTION("""COMPUTED_VALUE"""),"babylons")</f>
        <v>babylons</v>
      </c>
      <c r="B1166" s="2" t="str">
        <f ca="1">IFERROR(__xludf.DUMMYFUNCTION("""COMPUTED_VALUE"""),"babi")</f>
        <v>babi</v>
      </c>
      <c r="C1166" s="2" t="str">
        <f ca="1">IFERROR(__xludf.DUMMYFUNCTION("""COMPUTED_VALUE"""),"Babylons")</f>
        <v>Babylons</v>
      </c>
    </row>
    <row r="1167" spans="1:3" x14ac:dyDescent="0.25">
      <c r="A1167" s="2" t="str">
        <f ca="1">IFERROR(__xludf.DUMMYFUNCTION("""COMPUTED_VALUE"""),"baby-lovely-inu")</f>
        <v>baby-lovely-inu</v>
      </c>
      <c r="B1167" s="2" t="str">
        <f ca="1">IFERROR(__xludf.DUMMYFUNCTION("""COMPUTED_VALUE"""),"blovely")</f>
        <v>blovely</v>
      </c>
      <c r="C1167" s="2" t="str">
        <f ca="1">IFERROR(__xludf.DUMMYFUNCTION("""COMPUTED_VALUE"""),"Baby Lovely Inu")</f>
        <v>Baby Lovely Inu</v>
      </c>
    </row>
    <row r="1168" spans="1:3" x14ac:dyDescent="0.25">
      <c r="A1168" s="2" t="str">
        <f ca="1">IFERROR(__xludf.DUMMYFUNCTION("""COMPUTED_VALUE"""),"baby-meme-coin")</f>
        <v>baby-meme-coin</v>
      </c>
      <c r="B1168" s="2" t="str">
        <f ca="1">IFERROR(__xludf.DUMMYFUNCTION("""COMPUTED_VALUE"""),"babymeme")</f>
        <v>babymeme</v>
      </c>
      <c r="C1168" s="2" t="str">
        <f ca="1">IFERROR(__xludf.DUMMYFUNCTION("""COMPUTED_VALUE"""),"Baby Meme Coin")</f>
        <v>Baby Meme Coin</v>
      </c>
    </row>
    <row r="1169" spans="1:3" x14ac:dyDescent="0.25">
      <c r="A1169" s="2" t="str">
        <f ca="1">IFERROR(__xludf.DUMMYFUNCTION("""COMPUTED_VALUE"""),"baby-monkey")</f>
        <v>baby-monkey</v>
      </c>
      <c r="B1169" s="2" t="str">
        <f ca="1">IFERROR(__xludf.DUMMYFUNCTION("""COMPUTED_VALUE"""),"bonkey")</f>
        <v>bonkey</v>
      </c>
      <c r="C1169" s="2" t="str">
        <f ca="1">IFERROR(__xludf.DUMMYFUNCTION("""COMPUTED_VALUE"""),"Baby Monkey")</f>
        <v>Baby Monkey</v>
      </c>
    </row>
    <row r="1170" spans="1:3" x14ac:dyDescent="0.25">
      <c r="A1170" s="2" t="str">
        <f ca="1">IFERROR(__xludf.DUMMYFUNCTION("""COMPUTED_VALUE"""),"baby-musk")</f>
        <v>baby-musk</v>
      </c>
      <c r="B1170" s="2" t="str">
        <f ca="1">IFERROR(__xludf.DUMMYFUNCTION("""COMPUTED_VALUE"""),"babymusk")</f>
        <v>babymusk</v>
      </c>
      <c r="C1170" s="2" t="str">
        <f ca="1">IFERROR(__xludf.DUMMYFUNCTION("""COMPUTED_VALUE"""),"Baby Musk")</f>
        <v>Baby Musk</v>
      </c>
    </row>
    <row r="1171" spans="1:3" x14ac:dyDescent="0.25">
      <c r="A1171" s="2" t="str">
        <f ca="1">IFERROR(__xludf.DUMMYFUNCTION("""COMPUTED_VALUE"""),"baby-musk-2")</f>
        <v>baby-musk-2</v>
      </c>
      <c r="B1171" s="2" t="str">
        <f ca="1">IFERROR(__xludf.DUMMYFUNCTION("""COMPUTED_VALUE"""),"babymusk")</f>
        <v>babymusk</v>
      </c>
      <c r="C1171" s="2" t="str">
        <f ca="1">IFERROR(__xludf.DUMMYFUNCTION("""COMPUTED_VALUE"""),"Baby Musk")</f>
        <v>Baby Musk</v>
      </c>
    </row>
    <row r="1172" spans="1:3" x14ac:dyDescent="0.25">
      <c r="A1172" s="2" t="str">
        <f ca="1">IFERROR(__xludf.DUMMYFUNCTION("""COMPUTED_VALUE"""),"baby-myro")</f>
        <v>baby-myro</v>
      </c>
      <c r="B1172" s="2" t="str">
        <f ca="1">IFERROR(__xludf.DUMMYFUNCTION("""COMPUTED_VALUE"""),"babymyro")</f>
        <v>babymyro</v>
      </c>
      <c r="C1172" s="2" t="str">
        <f ca="1">IFERROR(__xludf.DUMMYFUNCTION("""COMPUTED_VALUE"""),"Baby Myro")</f>
        <v>Baby Myro</v>
      </c>
    </row>
    <row r="1173" spans="1:3" x14ac:dyDescent="0.25">
      <c r="A1173" s="2" t="str">
        <f ca="1">IFERROR(__xludf.DUMMYFUNCTION("""COMPUTED_VALUE"""),"babymyro-2")</f>
        <v>babymyro-2</v>
      </c>
      <c r="B1173" s="2" t="str">
        <f ca="1">IFERROR(__xludf.DUMMYFUNCTION("""COMPUTED_VALUE"""),"babymyro")</f>
        <v>babymyro</v>
      </c>
      <c r="C1173" s="2" t="str">
        <f ca="1">IFERROR(__xludf.DUMMYFUNCTION("""COMPUTED_VALUE"""),"BabyMyro")</f>
        <v>BabyMyro</v>
      </c>
    </row>
    <row r="1174" spans="1:3" x14ac:dyDescent="0.25">
      <c r="A1174" s="2" t="str">
        <f ca="1">IFERROR(__xludf.DUMMYFUNCTION("""COMPUTED_VALUE"""),"baby-neiro-token")</f>
        <v>baby-neiro-token</v>
      </c>
      <c r="B1174" s="2" t="str">
        <f ca="1">IFERROR(__xludf.DUMMYFUNCTION("""COMPUTED_VALUE"""),"babyneiro")</f>
        <v>babyneiro</v>
      </c>
      <c r="C1174" s="2" t="str">
        <f ca="1">IFERROR(__xludf.DUMMYFUNCTION("""COMPUTED_VALUE"""),"Baby Neiro Token")</f>
        <v>Baby Neiro Token</v>
      </c>
    </row>
    <row r="1175" spans="1:3" x14ac:dyDescent="0.25">
      <c r="A1175" s="2" t="str">
        <f ca="1">IFERROR(__xludf.DUMMYFUNCTION("""COMPUTED_VALUE"""),"baby-of-bomeow")</f>
        <v>baby-of-bomeow</v>
      </c>
      <c r="B1175" s="2" t="str">
        <f ca="1">IFERROR(__xludf.DUMMYFUNCTION("""COMPUTED_VALUE"""),"babybomeow")</f>
        <v>babybomeow</v>
      </c>
      <c r="C1175" s="2" t="str">
        <f ca="1">IFERROR(__xludf.DUMMYFUNCTION("""COMPUTED_VALUE"""),"BABY OF BOMEOW")</f>
        <v>BABY OF BOMEOW</v>
      </c>
    </row>
    <row r="1176" spans="1:3" x14ac:dyDescent="0.25">
      <c r="A1176" s="2" t="str">
        <f ca="1">IFERROR(__xludf.DUMMYFUNCTION("""COMPUTED_VALUE"""),"baby-peipei")</f>
        <v>baby-peipei</v>
      </c>
      <c r="B1176" s="2" t="str">
        <f ca="1">IFERROR(__xludf.DUMMYFUNCTION("""COMPUTED_VALUE"""),"babypeipei")</f>
        <v>babypeipei</v>
      </c>
      <c r="C1176" s="2" t="str">
        <f ca="1">IFERROR(__xludf.DUMMYFUNCTION("""COMPUTED_VALUE"""),"Baby PeiPei")</f>
        <v>Baby PeiPei</v>
      </c>
    </row>
    <row r="1177" spans="1:3" x14ac:dyDescent="0.25">
      <c r="A1177" s="2" t="str">
        <f ca="1">IFERROR(__xludf.DUMMYFUNCTION("""COMPUTED_VALUE"""),"babypepe")</f>
        <v>babypepe</v>
      </c>
      <c r="B1177" s="2" t="str">
        <f ca="1">IFERROR(__xludf.DUMMYFUNCTION("""COMPUTED_VALUE"""),"babypepe")</f>
        <v>babypepe</v>
      </c>
      <c r="C1177" s="2" t="str">
        <f ca="1">IFERROR(__xludf.DUMMYFUNCTION("""COMPUTED_VALUE"""),"BabyPepe")</f>
        <v>BabyPepe</v>
      </c>
    </row>
    <row r="1178" spans="1:3" x14ac:dyDescent="0.25">
      <c r="A1178" s="2" t="str">
        <f ca="1">IFERROR(__xludf.DUMMYFUNCTION("""COMPUTED_VALUE"""),"baby-pepe-2")</f>
        <v>baby-pepe-2</v>
      </c>
      <c r="B1178" s="2" t="str">
        <f ca="1">IFERROR(__xludf.DUMMYFUNCTION("""COMPUTED_VALUE"""),"babypepe")</f>
        <v>babypepe</v>
      </c>
      <c r="C1178" s="2" t="str">
        <f ca="1">IFERROR(__xludf.DUMMYFUNCTION("""COMPUTED_VALUE"""),"Baby Pepe")</f>
        <v>Baby Pepe</v>
      </c>
    </row>
    <row r="1179" spans="1:3" x14ac:dyDescent="0.25">
      <c r="A1179" s="2" t="str">
        <f ca="1">IFERROR(__xludf.DUMMYFUNCTION("""COMPUTED_VALUE"""),"baby-pepe-3")</f>
        <v>baby-pepe-3</v>
      </c>
      <c r="B1179" s="2" t="str">
        <f ca="1">IFERROR(__xludf.DUMMYFUNCTION("""COMPUTED_VALUE"""),"babypepe")</f>
        <v>babypepe</v>
      </c>
      <c r="C1179" s="2" t="str">
        <f ca="1">IFERROR(__xludf.DUMMYFUNCTION("""COMPUTED_VALUE"""),"Baby Pepe")</f>
        <v>Baby Pepe</v>
      </c>
    </row>
    <row r="1180" spans="1:3" x14ac:dyDescent="0.25">
      <c r="A1180" s="2" t="str">
        <f ca="1">IFERROR(__xludf.DUMMYFUNCTION("""COMPUTED_VALUE"""),"baby-pepe-erc20")</f>
        <v>baby-pepe-erc20</v>
      </c>
      <c r="B1180" s="2" t="str">
        <f ca="1">IFERROR(__xludf.DUMMYFUNCTION("""COMPUTED_VALUE"""),"babypepe")</f>
        <v>babypepe</v>
      </c>
      <c r="C1180" s="2" t="str">
        <f ca="1">IFERROR(__xludf.DUMMYFUNCTION("""COMPUTED_VALUE"""),"Baby Pepe")</f>
        <v>Baby Pepe</v>
      </c>
    </row>
    <row r="1181" spans="1:3" x14ac:dyDescent="0.25">
      <c r="A1181" s="2" t="str">
        <f ca="1">IFERROR(__xludf.DUMMYFUNCTION("""COMPUTED_VALUE"""),"babypepefi")</f>
        <v>babypepefi</v>
      </c>
      <c r="B1181" s="2" t="str">
        <f ca="1">IFERROR(__xludf.DUMMYFUNCTION("""COMPUTED_VALUE"""),"babypepe")</f>
        <v>babypepe</v>
      </c>
      <c r="C1181" s="2" t="str">
        <f ca="1">IFERROR(__xludf.DUMMYFUNCTION("""COMPUTED_VALUE"""),"Babypepefi")</f>
        <v>Babypepefi</v>
      </c>
    </row>
    <row r="1182" spans="1:3" x14ac:dyDescent="0.25">
      <c r="A1182" s="2" t="str">
        <f ca="1">IFERROR(__xludf.DUMMYFUNCTION("""COMPUTED_VALUE"""),"baby-pepe-fork")</f>
        <v>baby-pepe-fork</v>
      </c>
      <c r="B1182" s="2" t="str">
        <f ca="1">IFERROR(__xludf.DUMMYFUNCTION("""COMPUTED_VALUE"""),"babypork")</f>
        <v>babypork</v>
      </c>
      <c r="C1182" s="2" t="str">
        <f ca="1">IFERROR(__xludf.DUMMYFUNCTION("""COMPUTED_VALUE"""),"Baby Pepe Fork")</f>
        <v>Baby Pepe Fork</v>
      </c>
    </row>
    <row r="1183" spans="1:3" x14ac:dyDescent="0.25">
      <c r="A1183" s="2" t="str">
        <f ca="1">IFERROR(__xludf.DUMMYFUNCTION("""COMPUTED_VALUE"""),"baby-pepe-on-eth")</f>
        <v>baby-pepe-on-eth</v>
      </c>
      <c r="B1183" s="2" t="str">
        <f ca="1">IFERROR(__xludf.DUMMYFUNCTION("""COMPUTED_VALUE"""),"peper")</f>
        <v>peper</v>
      </c>
      <c r="C1183" s="2" t="str">
        <f ca="1">IFERROR(__xludf.DUMMYFUNCTION("""COMPUTED_VALUE"""),"Baby Pepe on ETH")</f>
        <v>Baby Pepe on ETH</v>
      </c>
    </row>
    <row r="1184" spans="1:3" x14ac:dyDescent="0.25">
      <c r="A1184" s="2" t="str">
        <f ca="1">IFERROR(__xludf.DUMMYFUNCTION("""COMPUTED_VALUE"""),"baby-pepe-token")</f>
        <v>baby-pepe-token</v>
      </c>
      <c r="B1184" s="2" t="str">
        <f ca="1">IFERROR(__xludf.DUMMYFUNCTION("""COMPUTED_VALUE"""),"bepe")</f>
        <v>bepe</v>
      </c>
      <c r="C1184" s="2" t="str">
        <f ca="1">IFERROR(__xludf.DUMMYFUNCTION("""COMPUTED_VALUE"""),"Baby Pepe Token")</f>
        <v>Baby Pepe Token</v>
      </c>
    </row>
    <row r="1185" spans="1:3" x14ac:dyDescent="0.25">
      <c r="A1185" s="2" t="str">
        <f ca="1">IFERROR(__xludf.DUMMYFUNCTION("""COMPUTED_VALUE"""),"babypie-staked-btc")</f>
        <v>babypie-staked-btc</v>
      </c>
      <c r="B1185" s="2" t="str">
        <f ca="1">IFERROR(__xludf.DUMMYFUNCTION("""COMPUTED_VALUE"""),"smbtc")</f>
        <v>smbtc</v>
      </c>
      <c r="C1185" s="2" t="str">
        <f ca="1">IFERROR(__xludf.DUMMYFUNCTION("""COMPUTED_VALUE"""),"Babypie Staked mBTC")</f>
        <v>Babypie Staked mBTC</v>
      </c>
    </row>
    <row r="1186" spans="1:3" x14ac:dyDescent="0.25">
      <c r="A1186" s="2" t="str">
        <f ca="1">IFERROR(__xludf.DUMMYFUNCTION("""COMPUTED_VALUE"""),"babypie-wrapped-btc")</f>
        <v>babypie-wrapped-btc</v>
      </c>
      <c r="B1186" s="2" t="str">
        <f ca="1">IFERROR(__xludf.DUMMYFUNCTION("""COMPUTED_VALUE"""),"mbtc")</f>
        <v>mbtc</v>
      </c>
      <c r="C1186" s="2" t="str">
        <f ca="1">IFERROR(__xludf.DUMMYFUNCTION("""COMPUTED_VALUE"""),"Babypie Wrapped BTC")</f>
        <v>Babypie Wrapped BTC</v>
      </c>
    </row>
    <row r="1187" spans="1:3" x14ac:dyDescent="0.25">
      <c r="A1187" s="2" t="str">
        <f ca="1">IFERROR(__xludf.DUMMYFUNCTION("""COMPUTED_VALUE"""),"baby-rats")</f>
        <v>baby-rats</v>
      </c>
      <c r="B1187" s="2" t="str">
        <f ca="1">IFERROR(__xludf.DUMMYFUNCTION("""COMPUTED_VALUE"""),"babyrats")</f>
        <v>babyrats</v>
      </c>
      <c r="C1187" s="2" t="str">
        <f ca="1">IFERROR(__xludf.DUMMYFUNCTION("""COMPUTED_VALUE"""),"Baby Rats")</f>
        <v>Baby Rats</v>
      </c>
    </row>
    <row r="1188" spans="1:3" x14ac:dyDescent="0.25">
      <c r="A1188" s="2" t="str">
        <f ca="1">IFERROR(__xludf.DUMMYFUNCTION("""COMPUTED_VALUE"""),"baby-samo-coin")</f>
        <v>baby-samo-coin</v>
      </c>
      <c r="B1188" s="2" t="str">
        <f ca="1">IFERROR(__xludf.DUMMYFUNCTION("""COMPUTED_VALUE"""),"baby")</f>
        <v>baby</v>
      </c>
      <c r="C1188" s="2" t="str">
        <f ca="1">IFERROR(__xludf.DUMMYFUNCTION("""COMPUTED_VALUE"""),"Baby Samo Coin")</f>
        <v>Baby Samo Coin</v>
      </c>
    </row>
    <row r="1189" spans="1:3" x14ac:dyDescent="0.25">
      <c r="A1189" s="2" t="str">
        <f ca="1">IFERROR(__xludf.DUMMYFUNCTION("""COMPUTED_VALUE"""),"baby-shark")</f>
        <v>baby-shark</v>
      </c>
      <c r="B1189" s="2" t="str">
        <f ca="1">IFERROR(__xludf.DUMMYFUNCTION("""COMPUTED_VALUE"""),"shark")</f>
        <v>shark</v>
      </c>
      <c r="C1189" s="2" t="str">
        <f ca="1">IFERROR(__xludf.DUMMYFUNCTION("""COMPUTED_VALUE"""),"Baby Shark")</f>
        <v>Baby Shark</v>
      </c>
    </row>
    <row r="1190" spans="1:3" x14ac:dyDescent="0.25">
      <c r="A1190" s="2" t="str">
        <f ca="1">IFERROR(__xludf.DUMMYFUNCTION("""COMPUTED_VALUE"""),"baby-shark-2")</f>
        <v>baby-shark-2</v>
      </c>
      <c r="B1190" s="2" t="str">
        <f ca="1">IFERROR(__xludf.DUMMYFUNCTION("""COMPUTED_VALUE"""),"babyshark")</f>
        <v>babyshark</v>
      </c>
      <c r="C1190" s="2" t="str">
        <f ca="1">IFERROR(__xludf.DUMMYFUNCTION("""COMPUTED_VALUE"""),"Baby Shark")</f>
        <v>Baby Shark</v>
      </c>
    </row>
    <row r="1191" spans="1:3" x14ac:dyDescent="0.25">
      <c r="A1191" s="2" t="str">
        <f ca="1">IFERROR(__xludf.DUMMYFUNCTION("""COMPUTED_VALUE"""),"baby-shark-tank")</f>
        <v>baby-shark-tank</v>
      </c>
      <c r="B1191" s="2" t="str">
        <f ca="1">IFERROR(__xludf.DUMMYFUNCTION("""COMPUTED_VALUE"""),"bashtank")</f>
        <v>bashtank</v>
      </c>
      <c r="C1191" s="2" t="str">
        <f ca="1">IFERROR(__xludf.DUMMYFUNCTION("""COMPUTED_VALUE"""),"Baby Shark Tank")</f>
        <v>Baby Shark Tank</v>
      </c>
    </row>
    <row r="1192" spans="1:3" x14ac:dyDescent="0.25">
      <c r="A1192" s="2" t="str">
        <f ca="1">IFERROR(__xludf.DUMMYFUNCTION("""COMPUTED_VALUE"""),"baby-shiba-inu")</f>
        <v>baby-shiba-inu</v>
      </c>
      <c r="B1192" s="2" t="str">
        <f ca="1">IFERROR(__xludf.DUMMYFUNCTION("""COMPUTED_VALUE"""),"babyshibainu")</f>
        <v>babyshibainu</v>
      </c>
      <c r="C1192" s="2" t="str">
        <f ca="1">IFERROR(__xludf.DUMMYFUNCTION("""COMPUTED_VALUE"""),"Baby Shiba Inu")</f>
        <v>Baby Shiba Inu</v>
      </c>
    </row>
    <row r="1193" spans="1:3" x14ac:dyDescent="0.25">
      <c r="A1193" s="2" t="str">
        <f ca="1">IFERROR(__xludf.DUMMYFUNCTION("""COMPUTED_VALUE"""),"baby-shiba-inu-erc")</f>
        <v>baby-shiba-inu-erc</v>
      </c>
      <c r="B1193" s="2" t="str">
        <f ca="1">IFERROR(__xludf.DUMMYFUNCTION("""COMPUTED_VALUE"""),"babyshib")</f>
        <v>babyshib</v>
      </c>
      <c r="C1193" s="2" t="str">
        <f ca="1">IFERROR(__xludf.DUMMYFUNCTION("""COMPUTED_VALUE"""),"Baby Shiba Inu")</f>
        <v>Baby Shiba Inu</v>
      </c>
    </row>
    <row r="1194" spans="1:3" x14ac:dyDescent="0.25">
      <c r="A1194" s="2" t="str">
        <f ca="1">IFERROR(__xludf.DUMMYFUNCTION("""COMPUTED_VALUE"""),"baby-slerf")</f>
        <v>baby-slerf</v>
      </c>
      <c r="B1194" s="2" t="str">
        <f ca="1">IFERROR(__xludf.DUMMYFUNCTION("""COMPUTED_VALUE"""),"babyslerf")</f>
        <v>babyslerf</v>
      </c>
      <c r="C1194" s="2" t="str">
        <f ca="1">IFERROR(__xludf.DUMMYFUNCTION("""COMPUTED_VALUE"""),"Baby Slerf")</f>
        <v>Baby Slerf</v>
      </c>
    </row>
    <row r="1195" spans="1:3" x14ac:dyDescent="0.25">
      <c r="A1195" s="2" t="str">
        <f ca="1">IFERROR(__xludf.DUMMYFUNCTION("""COMPUTED_VALUE"""),"babysmurf9000")</f>
        <v>babysmurf9000</v>
      </c>
      <c r="B1195" s="2" t="str">
        <f ca="1">IFERROR(__xludf.DUMMYFUNCTION("""COMPUTED_VALUE"""),"bs9000")</f>
        <v>bs9000</v>
      </c>
      <c r="C1195" s="2" t="str">
        <f ca="1">IFERROR(__xludf.DUMMYFUNCTION("""COMPUTED_VALUE"""),"BabySmurf9000")</f>
        <v>BabySmurf9000</v>
      </c>
    </row>
    <row r="1196" spans="1:3" x14ac:dyDescent="0.25">
      <c r="A1196" s="2" t="str">
        <f ca="1">IFERROR(__xludf.DUMMYFUNCTION("""COMPUTED_VALUE"""),"babysnek")</f>
        <v>babysnek</v>
      </c>
      <c r="B1196" s="2" t="str">
        <f ca="1">IFERROR(__xludf.DUMMYFUNCTION("""COMPUTED_VALUE"""),"babysnek")</f>
        <v>babysnek</v>
      </c>
      <c r="C1196" s="2" t="str">
        <f ca="1">IFERROR(__xludf.DUMMYFUNCTION("""COMPUTED_VALUE"""),"BabySNEK")</f>
        <v>BabySNEK</v>
      </c>
    </row>
    <row r="1197" spans="1:3" x14ac:dyDescent="0.25">
      <c r="A1197" s="2" t="str">
        <f ca="1">IFERROR(__xludf.DUMMYFUNCTION("""COMPUTED_VALUE"""),"babysol")</f>
        <v>babysol</v>
      </c>
      <c r="B1197" s="2" t="str">
        <f ca="1">IFERROR(__xludf.DUMMYFUNCTION("""COMPUTED_VALUE"""),"babysol")</f>
        <v>babysol</v>
      </c>
      <c r="C1197" s="2" t="str">
        <f ca="1">IFERROR(__xludf.DUMMYFUNCTION("""COMPUTED_VALUE"""),"BabySOL")</f>
        <v>BabySOL</v>
      </c>
    </row>
    <row r="1198" spans="1:3" x14ac:dyDescent="0.25">
      <c r="A1198" s="2" t="str">
        <f ca="1">IFERROR(__xludf.DUMMYFUNCTION("""COMPUTED_VALUE"""),"baby-sora")</f>
        <v>baby-sora</v>
      </c>
      <c r="B1198" s="2" t="str">
        <f ca="1">IFERROR(__xludf.DUMMYFUNCTION("""COMPUTED_VALUE"""),"babysora")</f>
        <v>babysora</v>
      </c>
      <c r="C1198" s="2" t="str">
        <f ca="1">IFERROR(__xludf.DUMMYFUNCTION("""COMPUTED_VALUE"""),"Baby Sora")</f>
        <v>Baby Sora</v>
      </c>
    </row>
    <row r="1199" spans="1:3" x14ac:dyDescent="0.25">
      <c r="A1199" s="2" t="str">
        <f ca="1">IFERROR(__xludf.DUMMYFUNCTION("""COMPUTED_VALUE"""),"baby-squid-game")</f>
        <v>baby-squid-game</v>
      </c>
      <c r="B1199" s="2" t="str">
        <f ca="1">IFERROR(__xludf.DUMMYFUNCTION("""COMPUTED_VALUE"""),"bsg")</f>
        <v>bsg</v>
      </c>
      <c r="C1199" s="2" t="str">
        <f ca="1">IFERROR(__xludf.DUMMYFUNCTION("""COMPUTED_VALUE"""),"Baby Squid Game")</f>
        <v>Baby Squid Game</v>
      </c>
    </row>
    <row r="1200" spans="1:3" x14ac:dyDescent="0.25">
      <c r="A1200" s="2" t="str">
        <f ca="1">IFERROR(__xludf.DUMMYFUNCTION("""COMPUTED_VALUE"""),"babyswap")</f>
        <v>babyswap</v>
      </c>
      <c r="B1200" s="2" t="str">
        <f ca="1">IFERROR(__xludf.DUMMYFUNCTION("""COMPUTED_VALUE"""),"baby")</f>
        <v>baby</v>
      </c>
      <c r="C1200" s="2" t="str">
        <f ca="1">IFERROR(__xludf.DUMMYFUNCTION("""COMPUTED_VALUE"""),"BabySwap")</f>
        <v>BabySwap</v>
      </c>
    </row>
    <row r="1201" spans="1:3" x14ac:dyDescent="0.25">
      <c r="A1201" s="2" t="str">
        <f ca="1">IFERROR(__xludf.DUMMYFUNCTION("""COMPUTED_VALUE"""),"baby-tomcat")</f>
        <v>baby-tomcat</v>
      </c>
      <c r="B1201" s="2" t="str">
        <f ca="1">IFERROR(__xludf.DUMMYFUNCTION("""COMPUTED_VALUE"""),"babytomcat")</f>
        <v>babytomcat</v>
      </c>
      <c r="C1201" s="2" t="str">
        <f ca="1">IFERROR(__xludf.DUMMYFUNCTION("""COMPUTED_VALUE"""),"Baby Tomcat")</f>
        <v>Baby Tomcat</v>
      </c>
    </row>
    <row r="1202" spans="1:3" x14ac:dyDescent="0.25">
      <c r="A1202" s="2" t="str">
        <f ca="1">IFERROR(__xludf.DUMMYFUNCTION("""COMPUTED_VALUE"""),"baby-troll")</f>
        <v>baby-troll</v>
      </c>
      <c r="B1202" s="2" t="str">
        <f ca="1">IFERROR(__xludf.DUMMYFUNCTION("""COMPUTED_VALUE"""),"babytroll")</f>
        <v>babytroll</v>
      </c>
      <c r="C1202" s="2" t="str">
        <f ca="1">IFERROR(__xludf.DUMMYFUNCTION("""COMPUTED_VALUE"""),"Baby Troll")</f>
        <v>Baby Troll</v>
      </c>
    </row>
    <row r="1203" spans="1:3" x14ac:dyDescent="0.25">
      <c r="A1203" s="2" t="str">
        <f ca="1">IFERROR(__xludf.DUMMYFUNCTION("""COMPUTED_VALUE"""),"babytrump")</f>
        <v>babytrump</v>
      </c>
      <c r="B1203" s="2" t="str">
        <f ca="1">IFERROR(__xludf.DUMMYFUNCTION("""COMPUTED_VALUE"""),"babytrump")</f>
        <v>babytrump</v>
      </c>
      <c r="C1203" s="2" t="str">
        <f ca="1">IFERROR(__xludf.DUMMYFUNCTION("""COMPUTED_VALUE"""),"BABYTRUMP")</f>
        <v>BABYTRUMP</v>
      </c>
    </row>
    <row r="1204" spans="1:3" x14ac:dyDescent="0.25">
      <c r="A1204" s="2" t="str">
        <f ca="1">IFERROR(__xludf.DUMMYFUNCTION("""COMPUTED_VALUE"""),"baby-trump-bsc")</f>
        <v>baby-trump-bsc</v>
      </c>
      <c r="B1204" s="2" t="str">
        <f ca="1">IFERROR(__xludf.DUMMYFUNCTION("""COMPUTED_VALUE"""),"babytrump")</f>
        <v>babytrump</v>
      </c>
      <c r="C1204" s="2" t="str">
        <f ca="1">IFERROR(__xludf.DUMMYFUNCTION("""COMPUTED_VALUE"""),"Baby Trump (BSC)")</f>
        <v>Baby Trump (BSC)</v>
      </c>
    </row>
    <row r="1205" spans="1:3" x14ac:dyDescent="0.25">
      <c r="A1205" s="2" t="str">
        <f ca="1">IFERROR(__xludf.DUMMYFUNCTION("""COMPUTED_VALUE"""),"baby-x")</f>
        <v>baby-x</v>
      </c>
      <c r="B1205" s="2" t="str">
        <f ca="1">IFERROR(__xludf.DUMMYFUNCTION("""COMPUTED_VALUE"""),"babyx")</f>
        <v>babyx</v>
      </c>
      <c r="C1205" s="2" t="str">
        <f ca="1">IFERROR(__xludf.DUMMYFUNCTION("""COMPUTED_VALUE"""),"Baby X")</f>
        <v>Baby X</v>
      </c>
    </row>
    <row r="1206" spans="1:3" x14ac:dyDescent="0.25">
      <c r="A1206" s="2" t="str">
        <f ca="1">IFERROR(__xludf.DUMMYFUNCTION("""COMPUTED_VALUE"""),"babyxrp")</f>
        <v>babyxrp</v>
      </c>
      <c r="B1206" s="2" t="str">
        <f ca="1">IFERROR(__xludf.DUMMYFUNCTION("""COMPUTED_VALUE"""),"bbyxrp")</f>
        <v>bbyxrp</v>
      </c>
      <c r="C1206" s="2" t="str">
        <f ca="1">IFERROR(__xludf.DUMMYFUNCTION("""COMPUTED_VALUE"""),"BabyXrp")</f>
        <v>BabyXrp</v>
      </c>
    </row>
    <row r="1207" spans="1:3" x14ac:dyDescent="0.25">
      <c r="A1207" s="2" t="str">
        <f ca="1">IFERROR(__xludf.DUMMYFUNCTION("""COMPUTED_VALUE"""),"babyx-swap")</f>
        <v>babyx-swap</v>
      </c>
      <c r="B1207" s="2" t="str">
        <f ca="1">IFERROR(__xludf.DUMMYFUNCTION("""COMPUTED_VALUE"""),"babyx")</f>
        <v>babyx</v>
      </c>
      <c r="C1207" s="2" t="str">
        <f ca="1">IFERROR(__xludf.DUMMYFUNCTION("""COMPUTED_VALUE"""),"BabyX Swap")</f>
        <v>BabyX Swap</v>
      </c>
    </row>
    <row r="1208" spans="1:3" x14ac:dyDescent="0.25">
      <c r="A1208" s="2" t="str">
        <f ca="1">IFERROR(__xludf.DUMMYFUNCTION("""COMPUTED_VALUE"""),"baby-zeek")</f>
        <v>baby-zeek</v>
      </c>
      <c r="B1208" s="2" t="str">
        <f ca="1">IFERROR(__xludf.DUMMYFUNCTION("""COMPUTED_VALUE"""),"kitten")</f>
        <v>kitten</v>
      </c>
      <c r="C1208" s="2" t="str">
        <f ca="1">IFERROR(__xludf.DUMMYFUNCTION("""COMPUTED_VALUE"""),"Baby Zeek")</f>
        <v>Baby Zeek</v>
      </c>
    </row>
    <row r="1209" spans="1:3" x14ac:dyDescent="0.25">
      <c r="A1209" s="2" t="str">
        <f ca="1">IFERROR(__xludf.DUMMYFUNCTION("""COMPUTED_VALUE"""),"bac-games")</f>
        <v>bac-games</v>
      </c>
      <c r="B1209" s="2" t="str">
        <f ca="1">IFERROR(__xludf.DUMMYFUNCTION("""COMPUTED_VALUE"""),"bacgames")</f>
        <v>bacgames</v>
      </c>
      <c r="C1209" s="2" t="str">
        <f ca="1">IFERROR(__xludf.DUMMYFUNCTION("""COMPUTED_VALUE"""),"BAC Games")</f>
        <v>BAC Games</v>
      </c>
    </row>
    <row r="1210" spans="1:3" x14ac:dyDescent="0.25">
      <c r="A1210" s="2" t="str">
        <f ca="1">IFERROR(__xludf.DUMMYFUNCTION("""COMPUTED_VALUE"""),"backbone-labs-staked-juno")</f>
        <v>backbone-labs-staked-juno</v>
      </c>
      <c r="B1210" s="2" t="str">
        <f ca="1">IFERROR(__xludf.DUMMYFUNCTION("""COMPUTED_VALUE"""),"bjuno")</f>
        <v>bjuno</v>
      </c>
      <c r="C1210" s="2" t="str">
        <f ca="1">IFERROR(__xludf.DUMMYFUNCTION("""COMPUTED_VALUE"""),"Backbone Labs Staked JUNO")</f>
        <v>Backbone Labs Staked JUNO</v>
      </c>
    </row>
    <row r="1211" spans="1:3" x14ac:dyDescent="0.25">
      <c r="A1211" s="2" t="str">
        <f ca="1">IFERROR(__xludf.DUMMYFUNCTION("""COMPUTED_VALUE"""),"backbone-staked-kujira")</f>
        <v>backbone-staked-kujira</v>
      </c>
      <c r="B1211" s="2" t="str">
        <f ca="1">IFERROR(__xludf.DUMMYFUNCTION("""COMPUTED_VALUE"""),"bkuji")</f>
        <v>bkuji</v>
      </c>
      <c r="C1211" s="2" t="str">
        <f ca="1">IFERROR(__xludf.DUMMYFUNCTION("""COMPUTED_VALUE"""),"Backbone Staked Kujira")</f>
        <v>Backbone Staked Kujira</v>
      </c>
    </row>
    <row r="1212" spans="1:3" x14ac:dyDescent="0.25">
      <c r="A1212" s="2" t="str">
        <f ca="1">IFERROR(__xludf.DUMMYFUNCTION("""COMPUTED_VALUE"""),"backbone-staked-osmo")</f>
        <v>backbone-staked-osmo</v>
      </c>
      <c r="B1212" s="2" t="str">
        <f ca="1">IFERROR(__xludf.DUMMYFUNCTION("""COMPUTED_VALUE"""),"bosmo")</f>
        <v>bosmo</v>
      </c>
      <c r="C1212" s="2" t="str">
        <f ca="1">IFERROR(__xludf.DUMMYFUNCTION("""COMPUTED_VALUE"""),"Backbone staked OSMO")</f>
        <v>Backbone staked OSMO</v>
      </c>
    </row>
    <row r="1213" spans="1:3" x14ac:dyDescent="0.25">
      <c r="A1213" s="2" t="str">
        <f ca="1">IFERROR(__xludf.DUMMYFUNCTION("""COMPUTED_VALUE"""),"backed-alphabet-class-a")</f>
        <v>backed-alphabet-class-a</v>
      </c>
      <c r="B1213" s="2" t="str">
        <f ca="1">IFERROR(__xludf.DUMMYFUNCTION("""COMPUTED_VALUE"""),"bgoogl")</f>
        <v>bgoogl</v>
      </c>
      <c r="C1213" s="2" t="str">
        <f ca="1">IFERROR(__xludf.DUMMYFUNCTION("""COMPUTED_VALUE"""),"Backed Alphabet Class A")</f>
        <v>Backed Alphabet Class A</v>
      </c>
    </row>
    <row r="1214" spans="1:3" x14ac:dyDescent="0.25">
      <c r="A1214" s="2" t="str">
        <f ca="1">IFERROR(__xludf.DUMMYFUNCTION("""COMPUTED_VALUE"""),"backed-coinbase-global")</f>
        <v>backed-coinbase-global</v>
      </c>
      <c r="B1214" s="2" t="str">
        <f ca="1">IFERROR(__xludf.DUMMYFUNCTION("""COMPUTED_VALUE"""),"bcoin")</f>
        <v>bcoin</v>
      </c>
      <c r="C1214" s="2" t="str">
        <f ca="1">IFERROR(__xludf.DUMMYFUNCTION("""COMPUTED_VALUE"""),"Backed Coinbase Global")</f>
        <v>Backed Coinbase Global</v>
      </c>
    </row>
    <row r="1215" spans="1:3" x14ac:dyDescent="0.25">
      <c r="A1215" s="2" t="str">
        <f ca="1">IFERROR(__xludf.DUMMYFUNCTION("""COMPUTED_VALUE"""),"backed-cspx-core-s-p-500")</f>
        <v>backed-cspx-core-s-p-500</v>
      </c>
      <c r="B1215" s="2" t="str">
        <f ca="1">IFERROR(__xludf.DUMMYFUNCTION("""COMPUTED_VALUE"""),"bcspx")</f>
        <v>bcspx</v>
      </c>
      <c r="C1215" s="2" t="str">
        <f ca="1">IFERROR(__xludf.DUMMYFUNCTION("""COMPUTED_VALUE"""),"Backed CSPX Core S&amp;P 500")</f>
        <v>Backed CSPX Core S&amp;P 500</v>
      </c>
    </row>
    <row r="1216" spans="1:3" x14ac:dyDescent="0.25">
      <c r="A1216" s="2" t="str">
        <f ca="1">IFERROR(__xludf.DUMMYFUNCTION("""COMPUTED_VALUE"""),"backed-erna-bond")</f>
        <v>backed-erna-bond</v>
      </c>
      <c r="B1216" s="2" t="str">
        <f ca="1">IFERROR(__xludf.DUMMYFUNCTION("""COMPUTED_VALUE"""),"berna")</f>
        <v>berna</v>
      </c>
      <c r="C1216" s="2" t="str">
        <f ca="1">IFERROR(__xludf.DUMMYFUNCTION("""COMPUTED_VALUE"""),"Backed ERNA $ Bond")</f>
        <v>Backed ERNA $ Bond</v>
      </c>
    </row>
    <row r="1217" spans="1:3" x14ac:dyDescent="0.25">
      <c r="A1217" s="2" t="str">
        <f ca="1">IFERROR(__xludf.DUMMYFUNCTION("""COMPUTED_VALUE"""),"backed-ernx-bond")</f>
        <v>backed-ernx-bond</v>
      </c>
      <c r="B1217" s="2" t="str">
        <f ca="1">IFERROR(__xludf.DUMMYFUNCTION("""COMPUTED_VALUE"""),"bernx")</f>
        <v>bernx</v>
      </c>
      <c r="C1217" s="2" t="str">
        <f ca="1">IFERROR(__xludf.DUMMYFUNCTION("""COMPUTED_VALUE"""),"Backed ERNX € Bond")</f>
        <v>Backed ERNX € Bond</v>
      </c>
    </row>
    <row r="1218" spans="1:3" x14ac:dyDescent="0.25">
      <c r="A1218" s="2" t="str">
        <f ca="1">IFERROR(__xludf.DUMMYFUNCTION("""COMPUTED_VALUE"""),"backed-gamestop-corp")</f>
        <v>backed-gamestop-corp</v>
      </c>
      <c r="B1218" s="2" t="str">
        <f ca="1">IFERROR(__xludf.DUMMYFUNCTION("""COMPUTED_VALUE"""),"bgme")</f>
        <v>bgme</v>
      </c>
      <c r="C1218" s="2" t="str">
        <f ca="1">IFERROR(__xludf.DUMMYFUNCTION("""COMPUTED_VALUE"""),"Backed GameStop Corp")</f>
        <v>Backed GameStop Corp</v>
      </c>
    </row>
    <row r="1219" spans="1:3" x14ac:dyDescent="0.25">
      <c r="A1219" s="2" t="str">
        <f ca="1">IFERROR(__xludf.DUMMYFUNCTION("""COMPUTED_VALUE"""),"backed-govies-0-6-months-euro")</f>
        <v>backed-govies-0-6-months-euro</v>
      </c>
      <c r="B1219" s="2" t="str">
        <f ca="1">IFERROR(__xludf.DUMMYFUNCTION("""COMPUTED_VALUE"""),"bc3m")</f>
        <v>bc3m</v>
      </c>
      <c r="C1219" s="2" t="str">
        <f ca="1">IFERROR(__xludf.DUMMYFUNCTION("""COMPUTED_VALUE"""),"Backed GOVIES 0-6 months EURO")</f>
        <v>Backed GOVIES 0-6 months EURO</v>
      </c>
    </row>
    <row r="1220" spans="1:3" x14ac:dyDescent="0.25">
      <c r="A1220" s="2" t="str">
        <f ca="1">IFERROR(__xludf.DUMMYFUNCTION("""COMPUTED_VALUE"""),"backed-high-high-yield-corp-bond")</f>
        <v>backed-high-high-yield-corp-bond</v>
      </c>
      <c r="B1220" s="2" t="str">
        <f ca="1">IFERROR(__xludf.DUMMYFUNCTION("""COMPUTED_VALUE"""),"bhigh")</f>
        <v>bhigh</v>
      </c>
      <c r="C1220" s="2" t="str">
        <f ca="1">IFERROR(__xludf.DUMMYFUNCTION("""COMPUTED_VALUE"""),"Backed HIGH € High Yield Corp Bond")</f>
        <v>Backed HIGH € High Yield Corp Bond</v>
      </c>
    </row>
    <row r="1221" spans="1:3" x14ac:dyDescent="0.25">
      <c r="A1221" s="2" t="str">
        <f ca="1">IFERROR(__xludf.DUMMYFUNCTION("""COMPUTED_VALUE"""),"backed-ib01-treasury-bond-0-1yr")</f>
        <v>backed-ib01-treasury-bond-0-1yr</v>
      </c>
      <c r="B1221" s="2" t="str">
        <f ca="1">IFERROR(__xludf.DUMMYFUNCTION("""COMPUTED_VALUE"""),"bib01")</f>
        <v>bib01</v>
      </c>
      <c r="C1221" s="2" t="str">
        <f ca="1">IFERROR(__xludf.DUMMYFUNCTION("""COMPUTED_VALUE"""),"Backed IB01 $ Treasury Bond 0-1yr")</f>
        <v>Backed IB01 $ Treasury Bond 0-1yr</v>
      </c>
    </row>
    <row r="1222" spans="1:3" x14ac:dyDescent="0.25">
      <c r="A1222" s="2" t="str">
        <f ca="1">IFERROR(__xludf.DUMMYFUNCTION("""COMPUTED_VALUE"""),"backed-ibta-treasury-bond-1-3yr")</f>
        <v>backed-ibta-treasury-bond-1-3yr</v>
      </c>
      <c r="B1222" s="2" t="str">
        <f ca="1">IFERROR(__xludf.DUMMYFUNCTION("""COMPUTED_VALUE"""),"bibta")</f>
        <v>bibta</v>
      </c>
      <c r="C1222" s="2" t="str">
        <f ca="1">IFERROR(__xludf.DUMMYFUNCTION("""COMPUTED_VALUE"""),"Backed IBTA $ Treasury Bond 1-3yr")</f>
        <v>Backed IBTA $ Treasury Bond 1-3yr</v>
      </c>
    </row>
    <row r="1223" spans="1:3" x14ac:dyDescent="0.25">
      <c r="A1223" s="2" t="str">
        <f ca="1">IFERROR(__xludf.DUMMYFUNCTION("""COMPUTED_VALUE"""),"backed-microsoft")</f>
        <v>backed-microsoft</v>
      </c>
      <c r="B1223" s="2" t="str">
        <f ca="1">IFERROR(__xludf.DUMMYFUNCTION("""COMPUTED_VALUE"""),"bmsft")</f>
        <v>bmsft</v>
      </c>
      <c r="C1223" s="2" t="str">
        <f ca="1">IFERROR(__xludf.DUMMYFUNCTION("""COMPUTED_VALUE"""),"Backed Microsoft")</f>
        <v>Backed Microsoft</v>
      </c>
    </row>
    <row r="1224" spans="1:3" x14ac:dyDescent="0.25">
      <c r="A1224" s="2" t="str">
        <f ca="1">IFERROR(__xludf.DUMMYFUNCTION("""COMPUTED_VALUE"""),"backed-microstrategy")</f>
        <v>backed-microstrategy</v>
      </c>
      <c r="B1224" s="2" t="str">
        <f ca="1">IFERROR(__xludf.DUMMYFUNCTION("""COMPUTED_VALUE"""),"bmstr")</f>
        <v>bmstr</v>
      </c>
      <c r="C1224" s="2" t="str">
        <f ca="1">IFERROR(__xludf.DUMMYFUNCTION("""COMPUTED_VALUE"""),"Backed MicroStrategy")</f>
        <v>Backed MicroStrategy</v>
      </c>
    </row>
    <row r="1225" spans="1:3" x14ac:dyDescent="0.25">
      <c r="A1225" s="2" t="str">
        <f ca="1">IFERROR(__xludf.DUMMYFUNCTION("""COMPUTED_VALUE"""),"backed-niu-technologies")</f>
        <v>backed-niu-technologies</v>
      </c>
      <c r="B1225" s="2" t="str">
        <f ca="1">IFERROR(__xludf.DUMMYFUNCTION("""COMPUTED_VALUE"""),"bniu")</f>
        <v>bniu</v>
      </c>
      <c r="C1225" s="2" t="str">
        <f ca="1">IFERROR(__xludf.DUMMYFUNCTION("""COMPUTED_VALUE"""),"Backed NIU Technologies")</f>
        <v>Backed NIU Technologies</v>
      </c>
    </row>
    <row r="1226" spans="1:3" x14ac:dyDescent="0.25">
      <c r="A1226" s="2" t="str">
        <f ca="1">IFERROR(__xludf.DUMMYFUNCTION("""COMPUTED_VALUE"""),"backed-swiss-domestic-government-bond-0-3")</f>
        <v>backed-swiss-domestic-government-bond-0-3</v>
      </c>
      <c r="B1226" s="2" t="str">
        <f ca="1">IFERROR(__xludf.DUMMYFUNCTION("""COMPUTED_VALUE"""),"bcsbgc3")</f>
        <v>bcsbgc3</v>
      </c>
      <c r="C1226" s="2" t="str">
        <f ca="1">IFERROR(__xludf.DUMMYFUNCTION("""COMPUTED_VALUE"""),"Backed Swiss Domestic Government Bond 0-3")</f>
        <v>Backed Swiss Domestic Government Bond 0-3</v>
      </c>
    </row>
    <row r="1227" spans="1:3" x14ac:dyDescent="0.25">
      <c r="A1227" s="2" t="str">
        <f ca="1">IFERROR(__xludf.DUMMYFUNCTION("""COMPUTED_VALUE"""),"backed-tesla")</f>
        <v>backed-tesla</v>
      </c>
      <c r="B1227" s="2" t="str">
        <f ca="1">IFERROR(__xludf.DUMMYFUNCTION("""COMPUTED_VALUE"""),"btsla")</f>
        <v>btsla</v>
      </c>
      <c r="C1227" s="2" t="str">
        <f ca="1">IFERROR(__xludf.DUMMYFUNCTION("""COMPUTED_VALUE"""),"Backed Tesla")</f>
        <v>Backed Tesla</v>
      </c>
    </row>
    <row r="1228" spans="1:3" x14ac:dyDescent="0.25">
      <c r="A1228" s="2" t="str">
        <f ca="1">IFERROR(__xludf.DUMMYFUNCTION("""COMPUTED_VALUE"""),"backed-zpr1-1-3-month-t-bill")</f>
        <v>backed-zpr1-1-3-month-t-bill</v>
      </c>
      <c r="B1228" s="2" t="str">
        <f ca="1">IFERROR(__xludf.DUMMYFUNCTION("""COMPUTED_VALUE"""),"bzpr1")</f>
        <v>bzpr1</v>
      </c>
      <c r="C1228" s="2" t="str">
        <f ca="1">IFERROR(__xludf.DUMMYFUNCTION("""COMPUTED_VALUE"""),"Backed ZPR1 $ 1-3 Month T-Bill")</f>
        <v>Backed ZPR1 $ 1-3 Month T-Bill</v>
      </c>
    </row>
    <row r="1229" spans="1:3" x14ac:dyDescent="0.25">
      <c r="A1229" s="2" t="str">
        <f ca="1">IFERROR(__xludf.DUMMYFUNCTION("""COMPUTED_VALUE"""),"backstage-pass-notes")</f>
        <v>backstage-pass-notes</v>
      </c>
      <c r="B1229" s="2" t="str">
        <f ca="1">IFERROR(__xludf.DUMMYFUNCTION("""COMPUTED_VALUE"""),"notes")</f>
        <v>notes</v>
      </c>
      <c r="C1229" s="2" t="str">
        <f ca="1">IFERROR(__xludf.DUMMYFUNCTION("""COMPUTED_VALUE"""),"Backstage Pass Notes")</f>
        <v>Backstage Pass Notes</v>
      </c>
    </row>
    <row r="1230" spans="1:3" x14ac:dyDescent="0.25">
      <c r="A1230" s="2" t="str">
        <f ca="1">IFERROR(__xludf.DUMMYFUNCTION("""COMPUTED_VALUE"""),"bacondao")</f>
        <v>bacondao</v>
      </c>
      <c r="B1230" s="2" t="str">
        <f ca="1">IFERROR(__xludf.DUMMYFUNCTION("""COMPUTED_VALUE"""),"bacon")</f>
        <v>bacon</v>
      </c>
      <c r="C1230" s="2" t="str">
        <f ca="1">IFERROR(__xludf.DUMMYFUNCTION("""COMPUTED_VALUE"""),"BaconDAO")</f>
        <v>BaconDAO</v>
      </c>
    </row>
    <row r="1231" spans="1:3" x14ac:dyDescent="0.25">
      <c r="A1231" s="2" t="str">
        <f ca="1">IFERROR(__xludf.DUMMYFUNCTION("""COMPUTED_VALUE"""),"badcat")</f>
        <v>badcat</v>
      </c>
      <c r="B1231" s="2" t="str">
        <f ca="1">IFERROR(__xludf.DUMMYFUNCTION("""COMPUTED_VALUE"""),"badcat")</f>
        <v>badcat</v>
      </c>
      <c r="C1231" s="2" t="str">
        <f ca="1">IFERROR(__xludf.DUMMYFUNCTION("""COMPUTED_VALUE"""),"BADCAT")</f>
        <v>BADCAT</v>
      </c>
    </row>
    <row r="1232" spans="1:3" x14ac:dyDescent="0.25">
      <c r="A1232" s="2" t="str">
        <f ca="1">IFERROR(__xludf.DUMMYFUNCTION("""COMPUTED_VALUE"""),"badger-dao")</f>
        <v>badger-dao</v>
      </c>
      <c r="B1232" s="2" t="str">
        <f ca="1">IFERROR(__xludf.DUMMYFUNCTION("""COMPUTED_VALUE"""),"badger")</f>
        <v>badger</v>
      </c>
      <c r="C1232" s="2" t="str">
        <f ca="1">IFERROR(__xludf.DUMMYFUNCTION("""COMPUTED_VALUE"""),"Badger")</f>
        <v>Badger</v>
      </c>
    </row>
    <row r="1233" spans="1:3" x14ac:dyDescent="0.25">
      <c r="A1233" s="2" t="str">
        <f ca="1">IFERROR(__xludf.DUMMYFUNCTION("""COMPUTED_VALUE"""),"badger-sett-badger")</f>
        <v>badger-sett-badger</v>
      </c>
      <c r="B1233" s="2" t="str">
        <f ca="1">IFERROR(__xludf.DUMMYFUNCTION("""COMPUTED_VALUE"""),"bbadger")</f>
        <v>bbadger</v>
      </c>
      <c r="C1233" s="2" t="str">
        <f ca="1">IFERROR(__xludf.DUMMYFUNCTION("""COMPUTED_VALUE"""),"Badger Sett Badger")</f>
        <v>Badger Sett Badger</v>
      </c>
    </row>
    <row r="1234" spans="1:3" x14ac:dyDescent="0.25">
      <c r="A1234" s="2" t="str">
        <f ca="1">IFERROR(__xludf.DUMMYFUNCTION("""COMPUTED_VALUE"""),"bad-idea-ai")</f>
        <v>bad-idea-ai</v>
      </c>
      <c r="B1234" s="2" t="str">
        <f ca="1">IFERROR(__xludf.DUMMYFUNCTION("""COMPUTED_VALUE"""),"bad")</f>
        <v>bad</v>
      </c>
      <c r="C1234" s="2" t="str">
        <f ca="1">IFERROR(__xludf.DUMMYFUNCTION("""COMPUTED_VALUE"""),"Bad Idea AI")</f>
        <v>Bad Idea AI</v>
      </c>
    </row>
    <row r="1235" spans="1:3" x14ac:dyDescent="0.25">
      <c r="A1235" s="2" t="str">
        <f ca="1">IFERROR(__xludf.DUMMYFUNCTION("""COMPUTED_VALUE"""),"bad-token")</f>
        <v>bad-token</v>
      </c>
      <c r="B1235" s="2" t="str">
        <f ca="1">IFERROR(__xludf.DUMMYFUNCTION("""COMPUTED_VALUE"""),"bad")</f>
        <v>bad</v>
      </c>
      <c r="C1235" s="2" t="str">
        <f ca="1">IFERROR(__xludf.DUMMYFUNCTION("""COMPUTED_VALUE"""),"BAD TOKEN")</f>
        <v>BAD TOKEN</v>
      </c>
    </row>
    <row r="1236" spans="1:3" x14ac:dyDescent="0.25">
      <c r="A1236" s="2" t="str">
        <f ca="1">IFERROR(__xludf.DUMMYFUNCTION("""COMPUTED_VALUE"""),"bafi-finance-token")</f>
        <v>bafi-finance-token</v>
      </c>
      <c r="B1236" s="2" t="str">
        <f ca="1">IFERROR(__xludf.DUMMYFUNCTION("""COMPUTED_VALUE"""),"bafi")</f>
        <v>bafi</v>
      </c>
      <c r="C1236" s="2" t="str">
        <f ca="1">IFERROR(__xludf.DUMMYFUNCTION("""COMPUTED_VALUE"""),"Bafi Finance")</f>
        <v>Bafi Finance</v>
      </c>
    </row>
    <row r="1237" spans="1:3" x14ac:dyDescent="0.25">
      <c r="A1237" s="2" t="str">
        <f ca="1">IFERROR(__xludf.DUMMYFUNCTION("""COMPUTED_VALUE"""),"bag")</f>
        <v>bag</v>
      </c>
      <c r="B1237" s="2" t="str">
        <f ca="1">IFERROR(__xludf.DUMMYFUNCTION("""COMPUTED_VALUE"""),"bag")</f>
        <v>bag</v>
      </c>
      <c r="C1237" s="2" t="str">
        <f ca="1">IFERROR(__xludf.DUMMYFUNCTION("""COMPUTED_VALUE"""),"Bag.win")</f>
        <v>Bag.win</v>
      </c>
    </row>
    <row r="1238" spans="1:3" x14ac:dyDescent="0.25">
      <c r="A1238" s="2" t="str">
        <f ca="1">IFERROR(__xludf.DUMMYFUNCTION("""COMPUTED_VALUE"""),"bagel-coin")</f>
        <v>bagel-coin</v>
      </c>
      <c r="B1238" s="2" t="str">
        <f ca="1">IFERROR(__xludf.DUMMYFUNCTION("""COMPUTED_VALUE"""),"bagel")</f>
        <v>bagel</v>
      </c>
      <c r="C1238" s="2" t="str">
        <f ca="1">IFERROR(__xludf.DUMMYFUNCTION("""COMPUTED_VALUE"""),"BAGEL Coin")</f>
        <v>BAGEL Coin</v>
      </c>
    </row>
    <row r="1239" spans="1:3" x14ac:dyDescent="0.25">
      <c r="A1239" s="2" t="str">
        <f ca="1">IFERROR(__xludf.DUMMYFUNCTION("""COMPUTED_VALUE"""),"bagholder")</f>
        <v>bagholder</v>
      </c>
      <c r="B1239" s="2" t="str">
        <f ca="1">IFERROR(__xludf.DUMMYFUNCTION("""COMPUTED_VALUE"""),"bag")</f>
        <v>bag</v>
      </c>
      <c r="C1239" s="2" t="str">
        <f ca="1">IFERROR(__xludf.DUMMYFUNCTION("""COMPUTED_VALUE"""),"Bagholder")</f>
        <v>Bagholder</v>
      </c>
    </row>
    <row r="1240" spans="1:3" x14ac:dyDescent="0.25">
      <c r="A1240" s="2" t="str">
        <f ca="1">IFERROR(__xludf.DUMMYFUNCTION("""COMPUTED_VALUE"""),"bahamas")</f>
        <v>bahamas</v>
      </c>
      <c r="B1240" s="2" t="str">
        <f ca="1">IFERROR(__xludf.DUMMYFUNCTION("""COMPUTED_VALUE"""),"bahamas")</f>
        <v>bahamas</v>
      </c>
      <c r="C1240" s="2" t="str">
        <f ca="1">IFERROR(__xludf.DUMMYFUNCTION("""COMPUTED_VALUE"""),"Bahamas")</f>
        <v>Bahamas</v>
      </c>
    </row>
    <row r="1241" spans="1:3" x14ac:dyDescent="0.25">
      <c r="A1241" s="2" t="str">
        <f ca="1">IFERROR(__xludf.DUMMYFUNCTION("""COMPUTED_VALUE"""),"bai-stablecoin")</f>
        <v>bai-stablecoin</v>
      </c>
      <c r="B1241" s="2" t="str">
        <f ca="1">IFERROR(__xludf.DUMMYFUNCTION("""COMPUTED_VALUE"""),"bai")</f>
        <v>bai</v>
      </c>
      <c r="C1241" s="2" t="str">
        <f ca="1">IFERROR(__xludf.DUMMYFUNCTION("""COMPUTED_VALUE"""),"BAI Stablecoin")</f>
        <v>BAI Stablecoin</v>
      </c>
    </row>
    <row r="1242" spans="1:3" x14ac:dyDescent="0.25">
      <c r="A1242" s="2" t="str">
        <f ca="1">IFERROR(__xludf.DUMMYFUNCTION("""COMPUTED_VALUE"""),"baked")</f>
        <v>baked</v>
      </c>
      <c r="B1242" s="2" t="str">
        <f ca="1">IFERROR(__xludf.DUMMYFUNCTION("""COMPUTED_VALUE"""),"baked")</f>
        <v>baked</v>
      </c>
      <c r="C1242" s="2" t="str">
        <f ca="1">IFERROR(__xludf.DUMMYFUNCTION("""COMPUTED_VALUE"""),"Baked")</f>
        <v>Baked</v>
      </c>
    </row>
    <row r="1243" spans="1:3" x14ac:dyDescent="0.25">
      <c r="A1243" s="2" t="str">
        <f ca="1">IFERROR(__xludf.DUMMYFUNCTION("""COMPUTED_VALUE"""),"baked-beans-reloaded")</f>
        <v>baked-beans-reloaded</v>
      </c>
      <c r="B1243" s="2" t="str">
        <f ca="1">IFERROR(__xludf.DUMMYFUNCTION("""COMPUTED_VALUE"""),"baked")</f>
        <v>baked</v>
      </c>
      <c r="C1243" s="2" t="str">
        <f ca="1">IFERROR(__xludf.DUMMYFUNCTION("""COMPUTED_VALUE"""),"Baked Beans Reloaded")</f>
        <v>Baked Beans Reloaded</v>
      </c>
    </row>
    <row r="1244" spans="1:3" x14ac:dyDescent="0.25">
      <c r="A1244" s="2" t="str">
        <f ca="1">IFERROR(__xludf.DUMMYFUNCTION("""COMPUTED_VALUE"""),"baked-token")</f>
        <v>baked-token</v>
      </c>
      <c r="B1244" s="2" t="str">
        <f ca="1">IFERROR(__xludf.DUMMYFUNCTION("""COMPUTED_VALUE"""),"baked")</f>
        <v>baked</v>
      </c>
      <c r="C1244" s="2" t="str">
        <f ca="1">IFERROR(__xludf.DUMMYFUNCTION("""COMPUTED_VALUE"""),"Baked")</f>
        <v>Baked</v>
      </c>
    </row>
    <row r="1245" spans="1:3" x14ac:dyDescent="0.25">
      <c r="A1245" s="2" t="str">
        <f ca="1">IFERROR(__xludf.DUMMYFUNCTION("""COMPUTED_VALUE"""),"bakerytoken")</f>
        <v>bakerytoken</v>
      </c>
      <c r="B1245" s="2" t="str">
        <f ca="1">IFERROR(__xludf.DUMMYFUNCTION("""COMPUTED_VALUE"""),"bake")</f>
        <v>bake</v>
      </c>
      <c r="C1245" s="2" t="str">
        <f ca="1">IFERROR(__xludf.DUMMYFUNCTION("""COMPUTED_VALUE"""),"BakerySwap")</f>
        <v>BakerySwap</v>
      </c>
    </row>
    <row r="1246" spans="1:3" x14ac:dyDescent="0.25">
      <c r="A1246" s="2" t="str">
        <f ca="1">IFERROR(__xludf.DUMMYFUNCTION("""COMPUTED_VALUE"""),"bakerytools")</f>
        <v>bakerytools</v>
      </c>
      <c r="B1246" s="2" t="str">
        <f ca="1">IFERROR(__xludf.DUMMYFUNCTION("""COMPUTED_VALUE"""),"tbake")</f>
        <v>tbake</v>
      </c>
      <c r="C1246" s="2" t="str">
        <f ca="1">IFERROR(__xludf.DUMMYFUNCTION("""COMPUTED_VALUE"""),"BakeryTools")</f>
        <v>BakeryTools</v>
      </c>
    </row>
    <row r="1247" spans="1:3" x14ac:dyDescent="0.25">
      <c r="A1247" s="2" t="str">
        <f ca="1">IFERROR(__xludf.DUMMYFUNCTION("""COMPUTED_VALUE"""),"baklava")</f>
        <v>baklava</v>
      </c>
      <c r="B1247" s="2" t="str">
        <f ca="1">IFERROR(__xludf.DUMMYFUNCTION("""COMPUTED_VALUE"""),"bava")</f>
        <v>bava</v>
      </c>
      <c r="C1247" s="2" t="str">
        <f ca="1">IFERROR(__xludf.DUMMYFUNCTION("""COMPUTED_VALUE"""),"Baklava")</f>
        <v>Baklava</v>
      </c>
    </row>
    <row r="1248" spans="1:3" x14ac:dyDescent="0.25">
      <c r="A1248" s="2" t="str">
        <f ca="1">IFERROR(__xludf.DUMMYFUNCTION("""COMPUTED_VALUE"""),"balance-ai")</f>
        <v>balance-ai</v>
      </c>
      <c r="B1248" s="2" t="str">
        <f ca="1">IFERROR(__xludf.DUMMYFUNCTION("""COMPUTED_VALUE"""),"bai")</f>
        <v>bai</v>
      </c>
      <c r="C1248" s="2" t="str">
        <f ca="1">IFERROR(__xludf.DUMMYFUNCTION("""COMPUTED_VALUE"""),"Balance AI")</f>
        <v>Balance AI</v>
      </c>
    </row>
    <row r="1249" spans="1:3" x14ac:dyDescent="0.25">
      <c r="A1249" s="2" t="str">
        <f ca="1">IFERROR(__xludf.DUMMYFUNCTION("""COMPUTED_VALUE"""),"balanced-dollars")</f>
        <v>balanced-dollars</v>
      </c>
      <c r="B1249" s="2" t="str">
        <f ca="1">IFERROR(__xludf.DUMMYFUNCTION("""COMPUTED_VALUE"""),"bnusd")</f>
        <v>bnusd</v>
      </c>
      <c r="C1249" s="2" t="str">
        <f ca="1">IFERROR(__xludf.DUMMYFUNCTION("""COMPUTED_VALUE"""),"Balanced Dollars")</f>
        <v>Balanced Dollars</v>
      </c>
    </row>
    <row r="1250" spans="1:3" x14ac:dyDescent="0.25">
      <c r="A1250" s="2" t="str">
        <f ca="1">IFERROR(__xludf.DUMMYFUNCTION("""COMPUTED_VALUE"""),"balancer")</f>
        <v>balancer</v>
      </c>
      <c r="B1250" s="2" t="str">
        <f ca="1">IFERROR(__xludf.DUMMYFUNCTION("""COMPUTED_VALUE"""),"bal")</f>
        <v>bal</v>
      </c>
      <c r="C1250" s="2" t="str">
        <f ca="1">IFERROR(__xludf.DUMMYFUNCTION("""COMPUTED_VALUE"""),"Balancer")</f>
        <v>Balancer</v>
      </c>
    </row>
    <row r="1251" spans="1:3" x14ac:dyDescent="0.25">
      <c r="A1251" s="2" t="str">
        <f ca="1">IFERROR(__xludf.DUMMYFUNCTION("""COMPUTED_VALUE"""),"balancer-80-bal-20-weth")</f>
        <v>balancer-80-bal-20-weth</v>
      </c>
      <c r="B1251" s="2" t="str">
        <f ca="1">IFERROR(__xludf.DUMMYFUNCTION("""COMPUTED_VALUE"""),"b-80bal-20weth")</f>
        <v>b-80bal-20weth</v>
      </c>
      <c r="C1251" s="2" t="str">
        <f ca="1">IFERROR(__xludf.DUMMYFUNCTION("""COMPUTED_VALUE"""),"Balancer 80 BAL 20 WETH")</f>
        <v>Balancer 80 BAL 20 WETH</v>
      </c>
    </row>
    <row r="1252" spans="1:3" x14ac:dyDescent="0.25">
      <c r="A1252" s="2" t="str">
        <f ca="1">IFERROR(__xludf.DUMMYFUNCTION("""COMPUTED_VALUE"""),"balancer-80-rdnt-20-weth")</f>
        <v>balancer-80-rdnt-20-weth</v>
      </c>
      <c r="B1252" s="2" t="str">
        <f ca="1">IFERROR(__xludf.DUMMYFUNCTION("""COMPUTED_VALUE"""),"dlp")</f>
        <v>dlp</v>
      </c>
      <c r="C1252" s="2" t="str">
        <f ca="1">IFERROR(__xludf.DUMMYFUNCTION("""COMPUTED_VALUE"""),"Balancer 80 RDNT 20 WETH")</f>
        <v>Balancer 80 RDNT 20 WETH</v>
      </c>
    </row>
    <row r="1253" spans="1:3" x14ac:dyDescent="0.25">
      <c r="A1253" s="2" t="str">
        <f ca="1">IFERROR(__xludf.DUMMYFUNCTION("""COMPUTED_VALUE"""),"balancer-stable-usd")</f>
        <v>balancer-stable-usd</v>
      </c>
      <c r="B1253" s="2" t="str">
        <f ca="1">IFERROR(__xludf.DUMMYFUNCTION("""COMPUTED_VALUE"""),"stabal3")</f>
        <v>stabal3</v>
      </c>
      <c r="C1253" s="2" t="str">
        <f ca="1">IFERROR(__xludf.DUMMYFUNCTION("""COMPUTED_VALUE"""),"Balancer Stable USD")</f>
        <v>Balancer Stable USD</v>
      </c>
    </row>
    <row r="1254" spans="1:3" x14ac:dyDescent="0.25">
      <c r="A1254" s="2" t="str">
        <f ca="1">IFERROR(__xludf.DUMMYFUNCTION("""COMPUTED_VALUE"""),"balancer-usdc-usdbc-axlusdc")</f>
        <v>balancer-usdc-usdbc-axlusdc</v>
      </c>
      <c r="B1254" s="2" t="str">
        <f ca="1">IFERROR(__xludf.DUMMYFUNCTION("""COMPUTED_VALUE"""),"usdc-usdbc-axlusdc")</f>
        <v>usdc-usdbc-axlusdc</v>
      </c>
      <c r="C1254" s="2" t="str">
        <f ca="1">IFERROR(__xludf.DUMMYFUNCTION("""COMPUTED_VALUE"""),"Balancer USDC/USDbC/axlUSDC")</f>
        <v>Balancer USDC/USDbC/axlUSDC</v>
      </c>
    </row>
    <row r="1255" spans="1:3" x14ac:dyDescent="0.25">
      <c r="A1255" s="2" t="str">
        <f ca="1">IFERROR(__xludf.DUMMYFUNCTION("""COMPUTED_VALUE"""),"balance-tokens")</f>
        <v>balance-tokens</v>
      </c>
      <c r="B1255" s="2" t="str">
        <f ca="1">IFERROR(__xludf.DUMMYFUNCTION("""COMPUTED_VALUE"""),"baln")</f>
        <v>baln</v>
      </c>
      <c r="C1255" s="2" t="str">
        <f ca="1">IFERROR(__xludf.DUMMYFUNCTION("""COMPUTED_VALUE"""),"Balanced")</f>
        <v>Balanced</v>
      </c>
    </row>
    <row r="1256" spans="1:3" x14ac:dyDescent="0.25">
      <c r="A1256" s="2" t="str">
        <f ca="1">IFERROR(__xludf.DUMMYFUNCTION("""COMPUTED_VALUE"""),"bald")</f>
        <v>bald</v>
      </c>
      <c r="B1256" s="2" t="str">
        <f ca="1">IFERROR(__xludf.DUMMYFUNCTION("""COMPUTED_VALUE"""),"bald")</f>
        <v>bald</v>
      </c>
      <c r="C1256" s="2" t="str">
        <f ca="1">IFERROR(__xludf.DUMMYFUNCTION("""COMPUTED_VALUE"""),"Bald")</f>
        <v>Bald</v>
      </c>
    </row>
    <row r="1257" spans="1:3" x14ac:dyDescent="0.25">
      <c r="A1257" s="2" t="str">
        <f ca="1">IFERROR(__xludf.DUMMYFUNCTION("""COMPUTED_VALUE"""),"bald-dog")</f>
        <v>bald-dog</v>
      </c>
      <c r="B1257" s="2" t="str">
        <f ca="1">IFERROR(__xludf.DUMMYFUNCTION("""COMPUTED_VALUE"""),"baldo")</f>
        <v>baldo</v>
      </c>
      <c r="C1257" s="2" t="str">
        <f ca="1">IFERROR(__xludf.DUMMYFUNCTION("""COMPUTED_VALUE"""),"Bald Dog")</f>
        <v>Bald Dog</v>
      </c>
    </row>
    <row r="1258" spans="1:3" x14ac:dyDescent="0.25">
      <c r="A1258" s="2" t="str">
        <f ca="1">IFERROR(__xludf.DUMMYFUNCTION("""COMPUTED_VALUE"""),"bali-skull")</f>
        <v>bali-skull</v>
      </c>
      <c r="B1258" s="2" t="str">
        <f ca="1">IFERROR(__xludf.DUMMYFUNCTION("""COMPUTED_VALUE"""),"bali")</f>
        <v>bali</v>
      </c>
      <c r="C1258" s="2" t="str">
        <f ca="1">IFERROR(__xludf.DUMMYFUNCTION("""COMPUTED_VALUE"""),"BALI Skull")</f>
        <v>BALI Skull</v>
      </c>
    </row>
    <row r="1259" spans="1:3" x14ac:dyDescent="0.25">
      <c r="A1259" s="2" t="str">
        <f ca="1">IFERROR(__xludf.DUMMYFUNCTION("""COMPUTED_VALUE"""),"bali-united-fc-fan-token")</f>
        <v>bali-united-fc-fan-token</v>
      </c>
      <c r="B1259" s="2" t="str">
        <f ca="1">IFERROR(__xludf.DUMMYFUNCTION("""COMPUTED_VALUE"""),"bufc")</f>
        <v>bufc</v>
      </c>
      <c r="C1259" s="2" t="str">
        <f ca="1">IFERROR(__xludf.DUMMYFUNCTION("""COMPUTED_VALUE"""),"Bali United FC Fan Token")</f>
        <v>Bali United FC Fan Token</v>
      </c>
    </row>
    <row r="1260" spans="1:3" x14ac:dyDescent="0.25">
      <c r="A1260" s="2" t="str">
        <f ca="1">IFERROR(__xludf.DUMMYFUNCTION("""COMPUTED_VALUE"""),"balls-of-fate")</f>
        <v>balls-of-fate</v>
      </c>
      <c r="B1260" s="2" t="str">
        <f ca="1">IFERROR(__xludf.DUMMYFUNCTION("""COMPUTED_VALUE"""),"bof")</f>
        <v>bof</v>
      </c>
      <c r="C1260" s="2" t="str">
        <f ca="1">IFERROR(__xludf.DUMMYFUNCTION("""COMPUTED_VALUE"""),"Balls of Fate")</f>
        <v>Balls of Fate</v>
      </c>
    </row>
    <row r="1261" spans="1:3" x14ac:dyDescent="0.25">
      <c r="A1261" s="2" t="str">
        <f ca="1">IFERROR(__xludf.DUMMYFUNCTION("""COMPUTED_VALUE"""),"ballswap")</f>
        <v>ballswap</v>
      </c>
      <c r="B1261" s="2" t="str">
        <f ca="1">IFERROR(__xludf.DUMMYFUNCTION("""COMPUTED_VALUE"""),"bsp")</f>
        <v>bsp</v>
      </c>
      <c r="C1261" s="2" t="str">
        <f ca="1">IFERROR(__xludf.DUMMYFUNCTION("""COMPUTED_VALUE"""),"BallSwap")</f>
        <v>BallSwap</v>
      </c>
    </row>
    <row r="1262" spans="1:3" x14ac:dyDescent="0.25">
      <c r="A1262" s="2" t="str">
        <f ca="1">IFERROR(__xludf.DUMMYFUNCTION("""COMPUTED_VALUE"""),"ballswapper-accelerator-reflection-token-2")</f>
        <v>ballswapper-accelerator-reflection-token-2</v>
      </c>
      <c r="B1262" s="2" t="str">
        <f ca="1">IFERROR(__xludf.DUMMYFUNCTION("""COMPUTED_VALUE"""),"bart")</f>
        <v>bart</v>
      </c>
      <c r="C1262" s="2" t="str">
        <f ca="1">IFERROR(__xludf.DUMMYFUNCTION("""COMPUTED_VALUE"""),"Ballswapper Accelerator Reflection")</f>
        <v>Ballswapper Accelerator Reflection</v>
      </c>
    </row>
    <row r="1263" spans="1:3" x14ac:dyDescent="0.25">
      <c r="A1263" s="2" t="str">
        <f ca="1">IFERROR(__xludf.DUMMYFUNCTION("""COMPUTED_VALUE"""),"ball-token")</f>
        <v>ball-token</v>
      </c>
      <c r="B1263" s="2" t="str">
        <f ca="1">IFERROR(__xludf.DUMMYFUNCTION("""COMPUTED_VALUE"""),"ball")</f>
        <v>ball</v>
      </c>
      <c r="C1263" s="2" t="str">
        <f ca="1">IFERROR(__xludf.DUMMYFUNCTION("""COMPUTED_VALUE"""),"Ball")</f>
        <v>Ball</v>
      </c>
    </row>
    <row r="1264" spans="1:3" x14ac:dyDescent="0.25">
      <c r="A1264" s="2" t="str">
        <f ca="1">IFERROR(__xludf.DUMMYFUNCTION("""COMPUTED_VALUE"""),"balpha")</f>
        <v>balpha</v>
      </c>
      <c r="B1264" s="2" t="str">
        <f ca="1">IFERROR(__xludf.DUMMYFUNCTION("""COMPUTED_VALUE"""),"balpha")</f>
        <v>balpha</v>
      </c>
      <c r="C1264" s="2" t="str">
        <f ca="1">IFERROR(__xludf.DUMMYFUNCTION("""COMPUTED_VALUE"""),"bAlpha")</f>
        <v>bAlpha</v>
      </c>
    </row>
    <row r="1265" spans="1:3" x14ac:dyDescent="0.25">
      <c r="A1265" s="2" t="str">
        <f ca="1">IFERROR(__xludf.DUMMYFUNCTION("""COMPUTED_VALUE"""),"bambi")</f>
        <v>bambi</v>
      </c>
      <c r="B1265" s="2" t="str">
        <f ca="1">IFERROR(__xludf.DUMMYFUNCTION("""COMPUTED_VALUE"""),"bam")</f>
        <v>bam</v>
      </c>
      <c r="C1265" s="2" t="str">
        <f ca="1">IFERROR(__xludf.DUMMYFUNCTION("""COMPUTED_VALUE"""),"Bambi")</f>
        <v>Bambi</v>
      </c>
    </row>
    <row r="1266" spans="1:3" x14ac:dyDescent="0.25">
      <c r="A1266" s="2" t="str">
        <f ca="1">IFERROR(__xludf.DUMMYFUNCTION("""COMPUTED_VALUE"""),"bambit")</f>
        <v>bambit</v>
      </c>
      <c r="B1266" s="2" t="str">
        <f ca="1">IFERROR(__xludf.DUMMYFUNCTION("""COMPUTED_VALUE"""),"bambit")</f>
        <v>bambit</v>
      </c>
      <c r="C1266" s="2" t="str">
        <f ca="1">IFERROR(__xludf.DUMMYFUNCTION("""COMPUTED_VALUE"""),"BAMBIT")</f>
        <v>BAMBIT</v>
      </c>
    </row>
    <row r="1267" spans="1:3" x14ac:dyDescent="0.25">
      <c r="A1267" s="2" t="str">
        <f ca="1">IFERROR(__xludf.DUMMYFUNCTION("""COMPUTED_VALUE"""),"bamboo-coin")</f>
        <v>bamboo-coin</v>
      </c>
      <c r="B1267" s="2" t="str">
        <f ca="1">IFERROR(__xludf.DUMMYFUNCTION("""COMPUTED_VALUE"""),"bmbo")</f>
        <v>bmbo</v>
      </c>
      <c r="C1267" s="2" t="str">
        <f ca="1">IFERROR(__xludf.DUMMYFUNCTION("""COMPUTED_VALUE"""),"Bamboo Coin")</f>
        <v>Bamboo Coin</v>
      </c>
    </row>
    <row r="1268" spans="1:3" x14ac:dyDescent="0.25">
      <c r="A1268" s="2" t="str">
        <f ca="1">IFERROR(__xludf.DUMMYFUNCTION("""COMPUTED_VALUE"""),"bamboo-defi")</f>
        <v>bamboo-defi</v>
      </c>
      <c r="B1268" s="2" t="str">
        <f ca="1">IFERROR(__xludf.DUMMYFUNCTION("""COMPUTED_VALUE"""),"bamboo")</f>
        <v>bamboo</v>
      </c>
      <c r="C1268" s="2" t="str">
        <f ca="1">IFERROR(__xludf.DUMMYFUNCTION("""COMPUTED_VALUE"""),"Bamboo DeFi")</f>
        <v>Bamboo DeFi</v>
      </c>
    </row>
    <row r="1269" spans="1:3" x14ac:dyDescent="0.25">
      <c r="A1269" s="2" t="str">
        <f ca="1">IFERROR(__xludf.DUMMYFUNCTION("""COMPUTED_VALUE"""),"bamboo-on-base")</f>
        <v>bamboo-on-base</v>
      </c>
      <c r="B1269" s="2" t="str">
        <f ca="1">IFERROR(__xludf.DUMMYFUNCTION("""COMPUTED_VALUE"""),"bamboo")</f>
        <v>bamboo</v>
      </c>
      <c r="C1269" s="2" t="str">
        <f ca="1">IFERROR(__xludf.DUMMYFUNCTION("""COMPUTED_VALUE"""),"Bamboo on Base")</f>
        <v>Bamboo on Base</v>
      </c>
    </row>
    <row r="1270" spans="1:3" x14ac:dyDescent="0.25">
      <c r="A1270" s="2" t="str">
        <f ca="1">IFERROR(__xludf.DUMMYFUNCTION("""COMPUTED_VALUE"""),"bamboo-token-c90b31ff-8355-41d6-a495-2b16418524c2")</f>
        <v>bamboo-token-c90b31ff-8355-41d6-a495-2b16418524c2</v>
      </c>
      <c r="B1270" s="2" t="str">
        <f ca="1">IFERROR(__xludf.DUMMYFUNCTION("""COMPUTED_VALUE"""),"bbo")</f>
        <v>bbo</v>
      </c>
      <c r="C1270" s="2" t="str">
        <f ca="1">IFERROR(__xludf.DUMMYFUNCTION("""COMPUTED_VALUE"""),"PandaFarm (BBO)")</f>
        <v>PandaFarm (BBO)</v>
      </c>
    </row>
    <row r="1271" spans="1:3" x14ac:dyDescent="0.25">
      <c r="A1271" s="2" t="str">
        <f ca="1">IFERROR(__xludf.DUMMYFUNCTION("""COMPUTED_VALUE"""),"bamk-of-nakamoto-dollar")</f>
        <v>bamk-of-nakamoto-dollar</v>
      </c>
      <c r="B1271" s="2" t="str">
        <f ca="1">IFERROR(__xludf.DUMMYFUNCTION("""COMPUTED_VALUE"""),"🏦")</f>
        <v>🏦</v>
      </c>
      <c r="C1271" s="2" t="str">
        <f ca="1">IFERROR(__xludf.DUMMYFUNCTION("""COMPUTED_VALUE"""),"BAMK•OF•NAKAMOTO•DOLLAR")</f>
        <v>BAMK•OF•NAKAMOTO•DOLLAR</v>
      </c>
    </row>
    <row r="1272" spans="1:3" x14ac:dyDescent="0.25">
      <c r="A1272" s="2" t="str">
        <f ca="1">IFERROR(__xludf.DUMMYFUNCTION("""COMPUTED_VALUE"""),"banana")</f>
        <v>banana</v>
      </c>
      <c r="B1272" s="2" t="str">
        <f ca="1">IFERROR(__xludf.DUMMYFUNCTION("""COMPUTED_VALUE"""),"banana")</f>
        <v>banana</v>
      </c>
      <c r="C1272" s="2" t="str">
        <f ca="1">IFERROR(__xludf.DUMMYFUNCTION("""COMPUTED_VALUE"""),"Banana")</f>
        <v>Banana</v>
      </c>
    </row>
    <row r="1273" spans="1:3" x14ac:dyDescent="0.25">
      <c r="A1273" s="2" t="str">
        <f ca="1">IFERROR(__xludf.DUMMYFUNCTION("""COMPUTED_VALUE"""),"bananacat")</f>
        <v>bananacat</v>
      </c>
      <c r="B1273" s="2" t="str">
        <f ca="1">IFERROR(__xludf.DUMMYFUNCTION("""COMPUTED_VALUE"""),"bcat")</f>
        <v>bcat</v>
      </c>
      <c r="C1273" s="2" t="str">
        <f ca="1">IFERROR(__xludf.DUMMYFUNCTION("""COMPUTED_VALUE"""),"BananaCat")</f>
        <v>BananaCat</v>
      </c>
    </row>
    <row r="1274" spans="1:3" x14ac:dyDescent="0.25">
      <c r="A1274" s="2" t="str">
        <f ca="1">IFERROR(__xludf.DUMMYFUNCTION("""COMPUTED_VALUE"""),"bananacat-sol")</f>
        <v>bananacat-sol</v>
      </c>
      <c r="B1274" s="2" t="str">
        <f ca="1">IFERROR(__xludf.DUMMYFUNCTION("""COMPUTED_VALUE"""),"bcat")</f>
        <v>bcat</v>
      </c>
      <c r="C1274" s="2" t="str">
        <f ca="1">IFERROR(__xludf.DUMMYFUNCTION("""COMPUTED_VALUE"""),"BananaCat (Sol)")</f>
        <v>BananaCat (Sol)</v>
      </c>
    </row>
    <row r="1275" spans="1:3" x14ac:dyDescent="0.25">
      <c r="A1275" s="2" t="str">
        <f ca="1">IFERROR(__xludf.DUMMYFUNCTION("""COMPUTED_VALUE"""),"bananaclip")</f>
        <v>bananaclip</v>
      </c>
      <c r="B1275" s="2" t="str">
        <f ca="1">IFERROR(__xludf.DUMMYFUNCTION("""COMPUTED_VALUE"""),"bana")</f>
        <v>bana</v>
      </c>
      <c r="C1275" s="2" t="str">
        <f ca="1">IFERROR(__xludf.DUMMYFUNCTION("""COMPUTED_VALUE"""),"BananaClip")</f>
        <v>BananaClip</v>
      </c>
    </row>
    <row r="1276" spans="1:3" x14ac:dyDescent="0.25">
      <c r="A1276" s="2" t="str">
        <f ca="1">IFERROR(__xludf.DUMMYFUNCTION("""COMPUTED_VALUE"""),"banana-gun")</f>
        <v>banana-gun</v>
      </c>
      <c r="B1276" s="2" t="str">
        <f ca="1">IFERROR(__xludf.DUMMYFUNCTION("""COMPUTED_VALUE"""),"banana")</f>
        <v>banana</v>
      </c>
      <c r="C1276" s="2" t="str">
        <f ca="1">IFERROR(__xludf.DUMMYFUNCTION("""COMPUTED_VALUE"""),"Banana Gun")</f>
        <v>Banana Gun</v>
      </c>
    </row>
    <row r="1277" spans="1:3" x14ac:dyDescent="0.25">
      <c r="A1277" s="2" t="str">
        <f ca="1">IFERROR(__xludf.DUMMYFUNCTION("""COMPUTED_VALUE"""),"banana-superhero")</f>
        <v>banana-superhero</v>
      </c>
      <c r="B1277" s="2" t="str">
        <f ca="1">IFERROR(__xludf.DUMMYFUNCTION("""COMPUTED_VALUE"""),"bsh")</f>
        <v>bsh</v>
      </c>
      <c r="C1277" s="2" t="str">
        <f ca="1">IFERROR(__xludf.DUMMYFUNCTION("""COMPUTED_VALUE"""),"Banana Superhero")</f>
        <v>Banana Superhero</v>
      </c>
    </row>
    <row r="1278" spans="1:3" x14ac:dyDescent="0.25">
      <c r="A1278" s="2" t="str">
        <f ca="1">IFERROR(__xludf.DUMMYFUNCTION("""COMPUTED_VALUE"""),"banana-tape-wall")</f>
        <v>banana-tape-wall</v>
      </c>
      <c r="B1278" s="2" t="str">
        <f ca="1">IFERROR(__xludf.DUMMYFUNCTION("""COMPUTED_VALUE"""),"btw")</f>
        <v>btw</v>
      </c>
      <c r="C1278" s="2" t="str">
        <f ca="1">IFERROR(__xludf.DUMMYFUNCTION("""COMPUTED_VALUE"""),"Banana Tape Wall")</f>
        <v>Banana Tape Wall</v>
      </c>
    </row>
    <row r="1279" spans="1:3" x14ac:dyDescent="0.25">
      <c r="A1279" s="2" t="str">
        <f ca="1">IFERROR(__xludf.DUMMYFUNCTION("""COMPUTED_VALUE"""),"bananatok")</f>
        <v>bananatok</v>
      </c>
      <c r="B1279" s="2" t="str">
        <f ca="1">IFERROR(__xludf.DUMMYFUNCTION("""COMPUTED_VALUE"""),"bna")</f>
        <v>bna</v>
      </c>
      <c r="C1279" s="2" t="str">
        <f ca="1">IFERROR(__xludf.DUMMYFUNCTION("""COMPUTED_VALUE"""),"BananaTok")</f>
        <v>BananaTok</v>
      </c>
    </row>
    <row r="1280" spans="1:3" x14ac:dyDescent="0.25">
      <c r="A1280" s="2" t="str">
        <f ca="1">IFERROR(__xludf.DUMMYFUNCTION("""COMPUTED_VALUE"""),"banano")</f>
        <v>banano</v>
      </c>
      <c r="B1280" s="2" t="str">
        <f ca="1">IFERROR(__xludf.DUMMYFUNCTION("""COMPUTED_VALUE"""),"ban")</f>
        <v>ban</v>
      </c>
      <c r="C1280" s="2" t="str">
        <f ca="1">IFERROR(__xludf.DUMMYFUNCTION("""COMPUTED_VALUE"""),"Banano")</f>
        <v>Banano</v>
      </c>
    </row>
    <row r="1281" spans="1:3" x14ac:dyDescent="0.25">
      <c r="A1281" s="2" t="str">
        <f ca="1">IFERROR(__xludf.DUMMYFUNCTION("""COMPUTED_VALUE"""),"bancor")</f>
        <v>bancor</v>
      </c>
      <c r="B1281" s="2" t="str">
        <f ca="1">IFERROR(__xludf.DUMMYFUNCTION("""COMPUTED_VALUE"""),"bnt")</f>
        <v>bnt</v>
      </c>
      <c r="C1281" s="2" t="str">
        <f ca="1">IFERROR(__xludf.DUMMYFUNCTION("""COMPUTED_VALUE"""),"Bancor Network")</f>
        <v>Bancor Network</v>
      </c>
    </row>
    <row r="1282" spans="1:3" x14ac:dyDescent="0.25">
      <c r="A1282" s="2" t="str">
        <f ca="1">IFERROR(__xludf.DUMMYFUNCTION("""COMPUTED_VALUE"""),"bancor-governance-token")</f>
        <v>bancor-governance-token</v>
      </c>
      <c r="B1282" s="2" t="str">
        <f ca="1">IFERROR(__xludf.DUMMYFUNCTION("""COMPUTED_VALUE"""),"vbnt")</f>
        <v>vbnt</v>
      </c>
      <c r="C1282" s="2" t="str">
        <f ca="1">IFERROR(__xludf.DUMMYFUNCTION("""COMPUTED_VALUE"""),"Bancor Governance")</f>
        <v>Bancor Governance</v>
      </c>
    </row>
    <row r="1283" spans="1:3" x14ac:dyDescent="0.25">
      <c r="A1283" s="2" t="str">
        <f ca="1">IFERROR(__xludf.DUMMYFUNCTION("""COMPUTED_VALUE"""),"band-protocol")</f>
        <v>band-protocol</v>
      </c>
      <c r="B1283" s="2" t="str">
        <f ca="1">IFERROR(__xludf.DUMMYFUNCTION("""COMPUTED_VALUE"""),"band")</f>
        <v>band</v>
      </c>
      <c r="C1283" s="2" t="str">
        <f ca="1">IFERROR(__xludf.DUMMYFUNCTION("""COMPUTED_VALUE"""),"Band Protocol")</f>
        <v>Band Protocol</v>
      </c>
    </row>
    <row r="1284" spans="1:3" x14ac:dyDescent="0.25">
      <c r="A1284" s="2" t="str">
        <f ca="1">IFERROR(__xludf.DUMMYFUNCTION("""COMPUTED_VALUE"""),"bands-2")</f>
        <v>bands-2</v>
      </c>
      <c r="B1284" s="2" t="str">
        <f ca="1">IFERROR(__xludf.DUMMYFUNCTION("""COMPUTED_VALUE"""),"bands")</f>
        <v>bands</v>
      </c>
      <c r="C1284" s="2" t="str">
        <f ca="1">IFERROR(__xludf.DUMMYFUNCTION("""COMPUTED_VALUE"""),"BANDS")</f>
        <v>BANDS</v>
      </c>
    </row>
    <row r="1285" spans="1:3" x14ac:dyDescent="0.25">
      <c r="A1285" s="2" t="str">
        <f ca="1">IFERROR(__xludf.DUMMYFUNCTION("""COMPUTED_VALUE"""),"bandwidth-ai")</f>
        <v>bandwidth-ai</v>
      </c>
      <c r="B1285" s="2" t="str">
        <f ca="1">IFERROR(__xludf.DUMMYFUNCTION("""COMPUTED_VALUE"""),"bps")</f>
        <v>bps</v>
      </c>
      <c r="C1285" s="2" t="str">
        <f ca="1">IFERROR(__xludf.DUMMYFUNCTION("""COMPUTED_VALUE"""),"Bandwidth AI")</f>
        <v>Bandwidth AI</v>
      </c>
    </row>
    <row r="1286" spans="1:3" x14ac:dyDescent="0.25">
      <c r="A1286" s="2" t="str">
        <f ca="1">IFERROR(__xludf.DUMMYFUNCTION("""COMPUTED_VALUE"""),"bane")</f>
        <v>bane</v>
      </c>
      <c r="B1286" s="2" t="str">
        <f ca="1">IFERROR(__xludf.DUMMYFUNCTION("""COMPUTED_VALUE"""),"$bane")</f>
        <v>$bane</v>
      </c>
      <c r="C1286" s="2" t="str">
        <f ca="1">IFERROR(__xludf.DUMMYFUNCTION("""COMPUTED_VALUE"""),"bane")</f>
        <v>bane</v>
      </c>
    </row>
    <row r="1287" spans="1:3" x14ac:dyDescent="0.25">
      <c r="A1287" s="2" t="str">
        <f ca="1">IFERROR(__xludf.DUMMYFUNCTION("""COMPUTED_VALUE"""),"bank")</f>
        <v>bank</v>
      </c>
      <c r="B1287" s="2" t="str">
        <f ca="1">IFERROR(__xludf.DUMMYFUNCTION("""COMPUTED_VALUE"""),"bank")</f>
        <v>bank</v>
      </c>
      <c r="C1287" s="2" t="str">
        <f ca="1">IFERROR(__xludf.DUMMYFUNCTION("""COMPUTED_VALUE"""),"BANK AI")</f>
        <v>BANK AI</v>
      </c>
    </row>
    <row r="1288" spans="1:3" x14ac:dyDescent="0.25">
      <c r="A1288" s="2" t="str">
        <f ca="1">IFERROR(__xludf.DUMMYFUNCTION("""COMPUTED_VALUE"""),"bankbrc")</f>
        <v>bankbrc</v>
      </c>
      <c r="B1288" s="2" t="str">
        <f ca="1">IFERROR(__xludf.DUMMYFUNCTION("""COMPUTED_VALUE"""),"bank")</f>
        <v>bank</v>
      </c>
      <c r="C1288" s="2" t="str">
        <f ca="1">IFERROR(__xludf.DUMMYFUNCTION("""COMPUTED_VALUE"""),"BANK (Ordinals)")</f>
        <v>BANK (Ordinals)</v>
      </c>
    </row>
    <row r="1289" spans="1:3" x14ac:dyDescent="0.25">
      <c r="A1289" s="2" t="str">
        <f ca="1">IFERROR(__xludf.DUMMYFUNCTION("""COMPUTED_VALUE"""),"bankera")</f>
        <v>bankera</v>
      </c>
      <c r="B1289" s="2" t="str">
        <f ca="1">IFERROR(__xludf.DUMMYFUNCTION("""COMPUTED_VALUE"""),"bnk")</f>
        <v>bnk</v>
      </c>
      <c r="C1289" s="2" t="str">
        <f ca="1">IFERROR(__xludf.DUMMYFUNCTION("""COMPUTED_VALUE"""),"Bankera")</f>
        <v>Bankera</v>
      </c>
    </row>
    <row r="1290" spans="1:3" x14ac:dyDescent="0.25">
      <c r="A1290" s="2" t="str">
        <f ca="1">IFERROR(__xludf.DUMMYFUNCTION("""COMPUTED_VALUE"""),"bankercoin")</f>
        <v>bankercoin</v>
      </c>
      <c r="B1290" s="2" t="str">
        <f ca="1">IFERROR(__xludf.DUMMYFUNCTION("""COMPUTED_VALUE"""),"$bank")</f>
        <v>$bank</v>
      </c>
      <c r="C1290" s="2" t="str">
        <f ca="1">IFERROR(__xludf.DUMMYFUNCTION("""COMPUTED_VALUE"""),"Bankercoin")</f>
        <v>Bankercoin</v>
      </c>
    </row>
    <row r="1291" spans="1:3" x14ac:dyDescent="0.25">
      <c r="A1291" s="2" t="str">
        <f ca="1">IFERROR(__xludf.DUMMYFUNCTION("""COMPUTED_VALUE"""),"bankless-bed-index")</f>
        <v>bankless-bed-index</v>
      </c>
      <c r="B1291" s="2" t="str">
        <f ca="1">IFERROR(__xludf.DUMMYFUNCTION("""COMPUTED_VALUE"""),"bed")</f>
        <v>bed</v>
      </c>
      <c r="C1291" s="2" t="str">
        <f ca="1">IFERROR(__xludf.DUMMYFUNCTION("""COMPUTED_VALUE"""),"Bankless BED Index")</f>
        <v>Bankless BED Index</v>
      </c>
    </row>
    <row r="1292" spans="1:3" x14ac:dyDescent="0.25">
      <c r="A1292" s="2" t="str">
        <f ca="1">IFERROR(__xludf.DUMMYFUNCTION("""COMPUTED_VALUE"""),"bankless-dao")</f>
        <v>bankless-dao</v>
      </c>
      <c r="B1292" s="2" t="str">
        <f ca="1">IFERROR(__xludf.DUMMYFUNCTION("""COMPUTED_VALUE"""),"bank")</f>
        <v>bank</v>
      </c>
      <c r="C1292" s="2" t="str">
        <f ca="1">IFERROR(__xludf.DUMMYFUNCTION("""COMPUTED_VALUE"""),"Bankless DAO")</f>
        <v>Bankless DAO</v>
      </c>
    </row>
    <row r="1293" spans="1:3" x14ac:dyDescent="0.25">
      <c r="A1293" s="2" t="str">
        <f ca="1">IFERROR(__xludf.DUMMYFUNCTION("""COMPUTED_VALUE"""),"bankroll-vault")</f>
        <v>bankroll-vault</v>
      </c>
      <c r="B1293" s="2" t="str">
        <f ca="1">IFERROR(__xludf.DUMMYFUNCTION("""COMPUTED_VALUE"""),"vlt")</f>
        <v>vlt</v>
      </c>
      <c r="C1293" s="2" t="str">
        <f ca="1">IFERROR(__xludf.DUMMYFUNCTION("""COMPUTED_VALUE"""),"Bankroll Vault")</f>
        <v>Bankroll Vault</v>
      </c>
    </row>
    <row r="1294" spans="1:3" x14ac:dyDescent="0.25">
      <c r="A1294" s="2" t="str">
        <f ca="1">IFERROR(__xludf.DUMMYFUNCTION("""COMPUTED_VALUE"""),"banksocial")</f>
        <v>banksocial</v>
      </c>
      <c r="B1294" s="2" t="str">
        <f ca="1">IFERROR(__xludf.DUMMYFUNCTION("""COMPUTED_VALUE"""),"bsl")</f>
        <v>bsl</v>
      </c>
      <c r="C1294" s="2" t="str">
        <f ca="1">IFERROR(__xludf.DUMMYFUNCTION("""COMPUTED_VALUE"""),"BankSocial")</f>
        <v>BankSocial</v>
      </c>
    </row>
    <row r="1295" spans="1:3" x14ac:dyDescent="0.25">
      <c r="A1295" s="2" t="str">
        <f ca="1">IFERROR(__xludf.DUMMYFUNCTION("""COMPUTED_VALUE"""),"banksters")</f>
        <v>banksters</v>
      </c>
      <c r="B1295" s="2" t="str">
        <f ca="1">IFERROR(__xludf.DUMMYFUNCTION("""COMPUTED_VALUE"""),"bars")</f>
        <v>bars</v>
      </c>
      <c r="C1295" s="2" t="str">
        <f ca="1">IFERROR(__xludf.DUMMYFUNCTION("""COMPUTED_VALUE"""),"Banksters")</f>
        <v>Banksters</v>
      </c>
    </row>
    <row r="1296" spans="1:3" x14ac:dyDescent="0.25">
      <c r="A1296" s="2" t="str">
        <f ca="1">IFERROR(__xludf.DUMMYFUNCTION("""COMPUTED_VALUE"""),"banque-universal")</f>
        <v>banque-universal</v>
      </c>
      <c r="B1296" s="2" t="str">
        <f ca="1">IFERROR(__xludf.DUMMYFUNCTION("""COMPUTED_VALUE"""),"cbu")</f>
        <v>cbu</v>
      </c>
      <c r="C1296" s="2" t="str">
        <f ca="1">IFERROR(__xludf.DUMMYFUNCTION("""COMPUTED_VALUE"""),"Banque Universal")</f>
        <v>Banque Universal</v>
      </c>
    </row>
    <row r="1297" spans="1:3" x14ac:dyDescent="0.25">
      <c r="A1297" s="2" t="str">
        <f ca="1">IFERROR(__xludf.DUMMYFUNCTION("""COMPUTED_VALUE"""),"bansky")</f>
        <v>bansky</v>
      </c>
      <c r="B1297" s="2" t="str">
        <f ca="1">IFERROR(__xludf.DUMMYFUNCTION("""COMPUTED_VALUE"""),"banksy")</f>
        <v>banksy</v>
      </c>
      <c r="C1297" s="2" t="str">
        <f ca="1">IFERROR(__xludf.DUMMYFUNCTION("""COMPUTED_VALUE"""),"BANKSY")</f>
        <v>BANKSY</v>
      </c>
    </row>
    <row r="1298" spans="1:3" x14ac:dyDescent="0.25">
      <c r="A1298" s="2" t="str">
        <f ca="1">IFERROR(__xludf.DUMMYFUNCTION("""COMPUTED_VALUE"""),"bantu")</f>
        <v>bantu</v>
      </c>
      <c r="B1298" s="2" t="str">
        <f ca="1">IFERROR(__xludf.DUMMYFUNCTION("""COMPUTED_VALUE"""),"xbn")</f>
        <v>xbn</v>
      </c>
      <c r="C1298" s="2" t="str">
        <f ca="1">IFERROR(__xludf.DUMMYFUNCTION("""COMPUTED_VALUE"""),"Bantu")</f>
        <v>Bantu</v>
      </c>
    </row>
    <row r="1299" spans="1:3" x14ac:dyDescent="0.25">
      <c r="A1299" s="2" t="str">
        <f ca="1">IFERROR(__xludf.DUMMYFUNCTION("""COMPUTED_VALUE"""),"banus-finance")</f>
        <v>banus-finance</v>
      </c>
      <c r="B1299" s="2" t="str">
        <f ca="1">IFERROR(__xludf.DUMMYFUNCTION("""COMPUTED_VALUE"""),"banus")</f>
        <v>banus</v>
      </c>
      <c r="C1299" s="2" t="str">
        <f ca="1">IFERROR(__xludf.DUMMYFUNCTION("""COMPUTED_VALUE"""),"Banus Finance")</f>
        <v>Banus Finance</v>
      </c>
    </row>
    <row r="1300" spans="1:3" x14ac:dyDescent="0.25">
      <c r="A1300" s="2" t="str">
        <f ca="1">IFERROR(__xludf.DUMMYFUNCTION("""COMPUTED_VALUE"""),"banx")</f>
        <v>banx</v>
      </c>
      <c r="B1300" s="2" t="str">
        <f ca="1">IFERROR(__xludf.DUMMYFUNCTION("""COMPUTED_VALUE"""),"banx")</f>
        <v>banx</v>
      </c>
      <c r="C1300" s="2" t="str">
        <f ca="1">IFERROR(__xludf.DUMMYFUNCTION("""COMPUTED_VALUE"""),"BANX")</f>
        <v>BANX</v>
      </c>
    </row>
    <row r="1301" spans="1:3" x14ac:dyDescent="0.25">
      <c r="A1301" s="2" t="str">
        <f ca="1">IFERROR(__xludf.DUMMYFUNCTION("""COMPUTED_VALUE"""),"baobaosol")</f>
        <v>baobaosol</v>
      </c>
      <c r="B1301" s="2" t="str">
        <f ca="1">IFERROR(__xludf.DUMMYFUNCTION("""COMPUTED_VALUE"""),"baos")</f>
        <v>baos</v>
      </c>
      <c r="C1301" s="2" t="str">
        <f ca="1">IFERROR(__xludf.DUMMYFUNCTION("""COMPUTED_VALUE"""),"BaoBaoSol")</f>
        <v>BaoBaoSol</v>
      </c>
    </row>
    <row r="1302" spans="1:3" x14ac:dyDescent="0.25">
      <c r="A1302" s="2" t="str">
        <f ca="1">IFERROR(__xludf.DUMMYFUNCTION("""COMPUTED_VALUE"""),"baoeth-eth-stablepool")</f>
        <v>baoeth-eth-stablepool</v>
      </c>
      <c r="B1302" s="2" t="str">
        <f ca="1">IFERROR(__xludf.DUMMYFUNCTION("""COMPUTED_VALUE"""),"b-baoeth-eth-bpt")</f>
        <v>b-baoeth-eth-bpt</v>
      </c>
      <c r="C1302" s="2" t="str">
        <f ca="1">IFERROR(__xludf.DUMMYFUNCTION("""COMPUTED_VALUE"""),"baoETH-ETH StablePool")</f>
        <v>baoETH-ETH StablePool</v>
      </c>
    </row>
    <row r="1303" spans="1:3" x14ac:dyDescent="0.25">
      <c r="A1303" s="2" t="str">
        <f ca="1">IFERROR(__xludf.DUMMYFUNCTION("""COMPUTED_VALUE"""),"bao-finance")</f>
        <v>bao-finance</v>
      </c>
      <c r="B1303" s="2" t="str">
        <f ca="1">IFERROR(__xludf.DUMMYFUNCTION("""COMPUTED_VALUE"""),"bao")</f>
        <v>bao</v>
      </c>
      <c r="C1303" s="2" t="str">
        <f ca="1">IFERROR(__xludf.DUMMYFUNCTION("""COMPUTED_VALUE"""),"Bao Finance")</f>
        <v>Bao Finance</v>
      </c>
    </row>
    <row r="1304" spans="1:3" x14ac:dyDescent="0.25">
      <c r="A1304" s="2" t="str">
        <f ca="1">IFERROR(__xludf.DUMMYFUNCTION("""COMPUTED_VALUE"""),"bao-finance-v2")</f>
        <v>bao-finance-v2</v>
      </c>
      <c r="B1304" s="2" t="str">
        <f ca="1">IFERROR(__xludf.DUMMYFUNCTION("""COMPUTED_VALUE"""),"bao")</f>
        <v>bao</v>
      </c>
      <c r="C1304" s="2" t="str">
        <f ca="1">IFERROR(__xludf.DUMMYFUNCTION("""COMPUTED_VALUE"""),"Bao Finance V2")</f>
        <v>Bao Finance V2</v>
      </c>
    </row>
    <row r="1305" spans="1:3" x14ac:dyDescent="0.25">
      <c r="A1305" s="2" t="str">
        <f ca="1">IFERROR(__xludf.DUMMYFUNCTION("""COMPUTED_VALUE"""),"barbiecrashbandicootrfk88")</f>
        <v>barbiecrashbandicootrfk88</v>
      </c>
      <c r="B1305" s="2" t="str">
        <f ca="1">IFERROR(__xludf.DUMMYFUNCTION("""COMPUTED_VALUE"""),"solana")</f>
        <v>solana</v>
      </c>
      <c r="C1305" s="2" t="str">
        <f ca="1">IFERROR(__xludf.DUMMYFUNCTION("""COMPUTED_VALUE"""),"BarbieCrashBandicootRFK88")</f>
        <v>BarbieCrashBandicootRFK88</v>
      </c>
    </row>
    <row r="1306" spans="1:3" x14ac:dyDescent="0.25">
      <c r="A1306" s="2" t="str">
        <f ca="1">IFERROR(__xludf.DUMMYFUNCTION("""COMPUTED_VALUE"""),"bark")</f>
        <v>bark</v>
      </c>
      <c r="B1306" s="2" t="str">
        <f ca="1">IFERROR(__xludf.DUMMYFUNCTION("""COMPUTED_VALUE"""),"bark")</f>
        <v>bark</v>
      </c>
      <c r="C1306" s="2" t="str">
        <f ca="1">IFERROR(__xludf.DUMMYFUNCTION("""COMPUTED_VALUE"""),"Bark")</f>
        <v>Bark</v>
      </c>
    </row>
    <row r="1307" spans="1:3" x14ac:dyDescent="0.25">
      <c r="A1307" s="2" t="str">
        <f ca="1">IFERROR(__xludf.DUMMYFUNCTION("""COMPUTED_VALUE"""),"barkcoin")</f>
        <v>barkcoin</v>
      </c>
      <c r="B1307" s="2" t="str">
        <f ca="1">IFERROR(__xludf.DUMMYFUNCTION("""COMPUTED_VALUE"""),"bark")</f>
        <v>bark</v>
      </c>
      <c r="C1307" s="2" t="str">
        <f ca="1">IFERROR(__xludf.DUMMYFUNCTION("""COMPUTED_VALUE"""),"BarkCoin")</f>
        <v>BarkCoin</v>
      </c>
    </row>
    <row r="1308" spans="1:3" x14ac:dyDescent="0.25">
      <c r="A1308" s="2" t="str">
        <f ca="1">IFERROR(__xludf.DUMMYFUNCTION("""COMPUTED_VALUE"""),"bark-gas-token")</f>
        <v>bark-gas-token</v>
      </c>
      <c r="B1308" s="2" t="str">
        <f ca="1">IFERROR(__xludf.DUMMYFUNCTION("""COMPUTED_VALUE"""),"bark")</f>
        <v>bark</v>
      </c>
      <c r="C1308" s="2" t="str">
        <f ca="1">IFERROR(__xludf.DUMMYFUNCTION("""COMPUTED_VALUE"""),"Bark Gas Token")</f>
        <v>Bark Gas Token</v>
      </c>
    </row>
    <row r="1309" spans="1:3" x14ac:dyDescent="0.25">
      <c r="A1309" s="2" t="str">
        <f ca="1">IFERROR(__xludf.DUMMYFUNCTION("""COMPUTED_VALUE"""),"barking")</f>
        <v>barking</v>
      </c>
      <c r="B1309" s="2" t="str">
        <f ca="1">IFERROR(__xludf.DUMMYFUNCTION("""COMPUTED_VALUE"""),"bark")</f>
        <v>bark</v>
      </c>
      <c r="C1309" s="2" t="str">
        <f ca="1">IFERROR(__xludf.DUMMYFUNCTION("""COMPUTED_VALUE"""),"Barking")</f>
        <v>Barking</v>
      </c>
    </row>
    <row r="1310" spans="1:3" x14ac:dyDescent="0.25">
      <c r="A1310" s="2" t="str">
        <f ca="1">IFERROR(__xludf.DUMMYFUNCTION("""COMPUTED_VALUE"""),"barnbridge")</f>
        <v>barnbridge</v>
      </c>
      <c r="B1310" s="2" t="str">
        <f ca="1">IFERROR(__xludf.DUMMYFUNCTION("""COMPUTED_VALUE"""),"bond")</f>
        <v>bond</v>
      </c>
      <c r="C1310" s="2" t="str">
        <f ca="1">IFERROR(__xludf.DUMMYFUNCTION("""COMPUTED_VALUE"""),"BarnBridge")</f>
        <v>BarnBridge</v>
      </c>
    </row>
    <row r="1311" spans="1:3" x14ac:dyDescent="0.25">
      <c r="A1311" s="2" t="str">
        <f ca="1">IFERROR(__xludf.DUMMYFUNCTION("""COMPUTED_VALUE"""),"barter")</f>
        <v>barter</v>
      </c>
      <c r="B1311" s="2" t="str">
        <f ca="1">IFERROR(__xludf.DUMMYFUNCTION("""COMPUTED_VALUE"""),"brtr")</f>
        <v>brtr</v>
      </c>
      <c r="C1311" s="2" t="str">
        <f ca="1">IFERROR(__xludf.DUMMYFUNCTION("""COMPUTED_VALUE"""),"Barter")</f>
        <v>Barter</v>
      </c>
    </row>
    <row r="1312" spans="1:3" x14ac:dyDescent="0.25">
      <c r="A1312" s="2" t="str">
        <f ca="1">IFERROR(__xludf.DUMMYFUNCTION("""COMPUTED_VALUE"""),"base")</f>
        <v>base</v>
      </c>
      <c r="B1312" s="2" t="str">
        <f ca="1">IFERROR(__xludf.DUMMYFUNCTION("""COMPUTED_VALUE"""),"base")</f>
        <v>base</v>
      </c>
      <c r="C1312" s="2" t="str">
        <f ca="1">IFERROR(__xludf.DUMMYFUNCTION("""COMPUTED_VALUE"""),"Base")</f>
        <v>Base</v>
      </c>
    </row>
    <row r="1313" spans="1:3" x14ac:dyDescent="0.25">
      <c r="A1313" s="2" t="str">
        <f ca="1">IFERROR(__xludf.DUMMYFUNCTION("""COMPUTED_VALUE"""),"baseai")</f>
        <v>baseai</v>
      </c>
      <c r="B1313" s="2" t="str">
        <f ca="1">IFERROR(__xludf.DUMMYFUNCTION("""COMPUTED_VALUE"""),"baseai")</f>
        <v>baseai</v>
      </c>
      <c r="C1313" s="2" t="str">
        <f ca="1">IFERROR(__xludf.DUMMYFUNCTION("""COMPUTED_VALUE"""),"BaseAI")</f>
        <v>BaseAI</v>
      </c>
    </row>
    <row r="1314" spans="1:3" x14ac:dyDescent="0.25">
      <c r="A1314" s="2" t="str">
        <f ca="1">IFERROR(__xludf.DUMMYFUNCTION("""COMPUTED_VALUE"""),"baseape")</f>
        <v>baseape</v>
      </c>
      <c r="B1314" s="2" t="str">
        <f ca="1">IFERROR(__xludf.DUMMYFUNCTION("""COMPUTED_VALUE"""),"bape")</f>
        <v>bape</v>
      </c>
      <c r="C1314" s="2" t="str">
        <f ca="1">IFERROR(__xludf.DUMMYFUNCTION("""COMPUTED_VALUE"""),"Baseape")</f>
        <v>Baseape</v>
      </c>
    </row>
    <row r="1315" spans="1:3" x14ac:dyDescent="0.25">
      <c r="A1315" s="2" t="str">
        <f ca="1">IFERROR(__xludf.DUMMYFUNCTION("""COMPUTED_VALUE"""),"base-baboon")</f>
        <v>base-baboon</v>
      </c>
      <c r="B1315" s="2" t="str">
        <f ca="1">IFERROR(__xludf.DUMMYFUNCTION("""COMPUTED_VALUE"""),"boon")</f>
        <v>boon</v>
      </c>
      <c r="C1315" s="2" t="str">
        <f ca="1">IFERROR(__xludf.DUMMYFUNCTION("""COMPUTED_VALUE"""),"Base Baboon")</f>
        <v>Base Baboon</v>
      </c>
    </row>
    <row r="1316" spans="1:3" x14ac:dyDescent="0.25">
      <c r="A1316" s="2" t="str">
        <f ca="1">IFERROR(__xludf.DUMMYFUNCTION("""COMPUTED_VALUE"""),"basebearcute")</f>
        <v>basebearcute</v>
      </c>
      <c r="B1316" s="2" t="str">
        <f ca="1">IFERROR(__xludf.DUMMYFUNCTION("""COMPUTED_VALUE"""),"bbq")</f>
        <v>bbq</v>
      </c>
      <c r="C1316" s="2" t="str">
        <f ca="1">IFERROR(__xludf.DUMMYFUNCTION("""COMPUTED_VALUE"""),"BaseBearCute")</f>
        <v>BaseBearCute</v>
      </c>
    </row>
    <row r="1317" spans="1:3" x14ac:dyDescent="0.25">
      <c r="A1317" s="2" t="str">
        <f ca="1">IFERROR(__xludf.DUMMYFUNCTION("""COMPUTED_VALUE"""),"base-book")</f>
        <v>base-book</v>
      </c>
      <c r="B1317" s="2" t="str">
        <f ca="1">IFERROR(__xludf.DUMMYFUNCTION("""COMPUTED_VALUE"""),"$bbook")</f>
        <v>$bbook</v>
      </c>
      <c r="C1317" s="2" t="str">
        <f ca="1">IFERROR(__xludf.DUMMYFUNCTION("""COMPUTED_VALUE"""),"BASE BOOK")</f>
        <v>BASE BOOK</v>
      </c>
    </row>
    <row r="1318" spans="1:3" x14ac:dyDescent="0.25">
      <c r="A1318" s="2" t="str">
        <f ca="1">IFERROR(__xludf.DUMMYFUNCTION("""COMPUTED_VALUE"""),"basebros")</f>
        <v>basebros</v>
      </c>
      <c r="B1318" s="2" t="str">
        <f ca="1">IFERROR(__xludf.DUMMYFUNCTION("""COMPUTED_VALUE"""),"bros")</f>
        <v>bros</v>
      </c>
      <c r="C1318" s="2" t="str">
        <f ca="1">IFERROR(__xludf.DUMMYFUNCTION("""COMPUTED_VALUE"""),"BaseBros")</f>
        <v>BaseBros</v>
      </c>
    </row>
    <row r="1319" spans="1:3" x14ac:dyDescent="0.25">
      <c r="A1319" s="2" t="str">
        <f ca="1">IFERROR(__xludf.DUMMYFUNCTION("""COMPUTED_VALUE"""),"based")</f>
        <v>based</v>
      </c>
      <c r="B1319" s="2" t="str">
        <f ca="1">IFERROR(__xludf.DUMMYFUNCTION("""COMPUTED_VALUE"""),"based")</f>
        <v>based</v>
      </c>
      <c r="C1319" s="2" t="str">
        <f ca="1">IFERROR(__xludf.DUMMYFUNCTION("""COMPUTED_VALUE"""),"BASED")</f>
        <v>BASED</v>
      </c>
    </row>
    <row r="1320" spans="1:3" x14ac:dyDescent="0.25">
      <c r="A1320" s="2" t="str">
        <f ca="1">IFERROR(__xludf.DUMMYFUNCTION("""COMPUTED_VALUE"""),"based-2")</f>
        <v>based-2</v>
      </c>
      <c r="B1320" s="2" t="str">
        <f ca="1">IFERROR(__xludf.DUMMYFUNCTION("""COMPUTED_VALUE"""),"based")</f>
        <v>based</v>
      </c>
      <c r="C1320" s="2" t="str">
        <f ca="1">IFERROR(__xludf.DUMMYFUNCTION("""COMPUTED_VALUE"""),"BASED")</f>
        <v>BASED</v>
      </c>
    </row>
    <row r="1321" spans="1:3" x14ac:dyDescent="0.25">
      <c r="A1321" s="2" t="str">
        <f ca="1">IFERROR(__xludf.DUMMYFUNCTION("""COMPUTED_VALUE"""),"basedai")</f>
        <v>basedai</v>
      </c>
      <c r="B1321" s="2" t="str">
        <f ca="1">IFERROR(__xludf.DUMMYFUNCTION("""COMPUTED_VALUE"""),"basedai")</f>
        <v>basedai</v>
      </c>
      <c r="C1321" s="2" t="str">
        <f ca="1">IFERROR(__xludf.DUMMYFUNCTION("""COMPUTED_VALUE"""),"BasedAI")</f>
        <v>BasedAI</v>
      </c>
    </row>
    <row r="1322" spans="1:3" x14ac:dyDescent="0.25">
      <c r="A1322" s="2" t="str">
        <f ca="1">IFERROR(__xludf.DUMMYFUNCTION("""COMPUTED_VALUE"""),"based-baby")</f>
        <v>based-baby</v>
      </c>
      <c r="B1322" s="2" t="str">
        <f ca="1">IFERROR(__xludf.DUMMYFUNCTION("""COMPUTED_VALUE"""),"bbb")</f>
        <v>bbb</v>
      </c>
      <c r="C1322" s="2" t="str">
        <f ca="1">IFERROR(__xludf.DUMMYFUNCTION("""COMPUTED_VALUE"""),"Based Baby")</f>
        <v>Based Baby</v>
      </c>
    </row>
    <row r="1323" spans="1:3" x14ac:dyDescent="0.25">
      <c r="A1323" s="2" t="str">
        <f ca="1">IFERROR(__xludf.DUMMYFUNCTION("""COMPUTED_VALUE"""),"based-bober")</f>
        <v>based-bober</v>
      </c>
      <c r="B1323" s="2" t="str">
        <f ca="1">IFERROR(__xludf.DUMMYFUNCTION("""COMPUTED_VALUE"""),"bober")</f>
        <v>bober</v>
      </c>
      <c r="C1323" s="2" t="str">
        <f ca="1">IFERROR(__xludf.DUMMYFUNCTION("""COMPUTED_VALUE"""),"based bober")</f>
        <v>based bober</v>
      </c>
    </row>
    <row r="1324" spans="1:3" x14ac:dyDescent="0.25">
      <c r="A1324" s="2" t="str">
        <f ca="1">IFERROR(__xludf.DUMMYFUNCTION("""COMPUTED_VALUE"""),"based-boshi")</f>
        <v>based-boshi</v>
      </c>
      <c r="B1324" s="2" t="str">
        <f ca="1">IFERROR(__xludf.DUMMYFUNCTION("""COMPUTED_VALUE"""),"$boshi")</f>
        <v>$boshi</v>
      </c>
      <c r="C1324" s="2" t="str">
        <f ca="1">IFERROR(__xludf.DUMMYFUNCTION("""COMPUTED_VALUE"""),"Based Boshi")</f>
        <v>Based Boshi</v>
      </c>
    </row>
    <row r="1325" spans="1:3" x14ac:dyDescent="0.25">
      <c r="A1325" s="2" t="str">
        <f ca="1">IFERROR(__xludf.DUMMYFUNCTION("""COMPUTED_VALUE"""),"based-brett")</f>
        <v>based-brett</v>
      </c>
      <c r="B1325" s="2" t="str">
        <f ca="1">IFERROR(__xludf.DUMMYFUNCTION("""COMPUTED_VALUE"""),"brett")</f>
        <v>brett</v>
      </c>
      <c r="C1325" s="2" t="str">
        <f ca="1">IFERROR(__xludf.DUMMYFUNCTION("""COMPUTED_VALUE"""),"Brett")</f>
        <v>Brett</v>
      </c>
    </row>
    <row r="1326" spans="1:3" x14ac:dyDescent="0.25">
      <c r="A1326" s="2" t="str">
        <f ca="1">IFERROR(__xludf.DUMMYFUNCTION("""COMPUTED_VALUE"""),"based-brians")</f>
        <v>based-brians</v>
      </c>
      <c r="B1326" s="2" t="str">
        <f ca="1">IFERROR(__xludf.DUMMYFUNCTION("""COMPUTED_VALUE"""),"cap")</f>
        <v>cap</v>
      </c>
      <c r="C1326" s="2" t="str">
        <f ca="1">IFERROR(__xludf.DUMMYFUNCTION("""COMPUTED_VALUE"""),"Based Brians")</f>
        <v>Based Brians</v>
      </c>
    </row>
    <row r="1327" spans="1:3" x14ac:dyDescent="0.25">
      <c r="A1327" s="2" t="str">
        <f ca="1">IFERROR(__xludf.DUMMYFUNCTION("""COMPUTED_VALUE"""),"based-bunny")</f>
        <v>based-bunny</v>
      </c>
      <c r="B1327" s="2" t="str">
        <f ca="1">IFERROR(__xludf.DUMMYFUNCTION("""COMPUTED_VALUE"""),"bunny")</f>
        <v>bunny</v>
      </c>
      <c r="C1327" s="2" t="str">
        <f ca="1">IFERROR(__xludf.DUMMYFUNCTION("""COMPUTED_VALUE"""),"Based Bunny")</f>
        <v>Based Bunny</v>
      </c>
    </row>
    <row r="1328" spans="1:3" x14ac:dyDescent="0.25">
      <c r="A1328" s="2" t="str">
        <f ca="1">IFERROR(__xludf.DUMMYFUNCTION("""COMPUTED_VALUE"""),"basedchad")</f>
        <v>basedchad</v>
      </c>
      <c r="B1328" s="2" t="str">
        <f ca="1">IFERROR(__xludf.DUMMYFUNCTION("""COMPUTED_VALUE"""),"based")</f>
        <v>based</v>
      </c>
      <c r="C1328" s="2" t="str">
        <f ca="1">IFERROR(__xludf.DUMMYFUNCTION("""COMPUTED_VALUE"""),"BASEDChad")</f>
        <v>BASEDChad</v>
      </c>
    </row>
    <row r="1329" spans="1:3" x14ac:dyDescent="0.25">
      <c r="A1329" s="2" t="str">
        <f ca="1">IFERROR(__xludf.DUMMYFUNCTION("""COMPUTED_VALUE"""),"based-chad")</f>
        <v>based-chad</v>
      </c>
      <c r="B1329" s="2" t="str">
        <f ca="1">IFERROR(__xludf.DUMMYFUNCTION("""COMPUTED_VALUE"""),"chad")</f>
        <v>chad</v>
      </c>
      <c r="C1329" s="2" t="str">
        <f ca="1">IFERROR(__xludf.DUMMYFUNCTION("""COMPUTED_VALUE"""),"Based Chad")</f>
        <v>Based Chad</v>
      </c>
    </row>
    <row r="1330" spans="1:3" x14ac:dyDescent="0.25">
      <c r="A1330" s="2" t="str">
        <f ca="1">IFERROR(__xludf.DUMMYFUNCTION("""COMPUTED_VALUE"""),"based-degen-apes")</f>
        <v>based-degen-apes</v>
      </c>
      <c r="B1330" s="2" t="str">
        <f ca="1">IFERROR(__xludf.DUMMYFUNCTION("""COMPUTED_VALUE"""),"apes")</f>
        <v>apes</v>
      </c>
      <c r="C1330" s="2" t="str">
        <f ca="1">IFERROR(__xludf.DUMMYFUNCTION("""COMPUTED_VALUE"""),"Based Degen Apes")</f>
        <v>Based Degen Apes</v>
      </c>
    </row>
    <row r="1331" spans="1:3" x14ac:dyDescent="0.25">
      <c r="A1331" s="2" t="str">
        <f ca="1">IFERROR(__xludf.DUMMYFUNCTION("""COMPUTED_VALUE"""),"based-eth")</f>
        <v>based-eth</v>
      </c>
      <c r="B1331" s="2" t="str">
        <f ca="1">IFERROR(__xludf.DUMMYFUNCTION("""COMPUTED_VALUE"""),"bsdeth")</f>
        <v>bsdeth</v>
      </c>
      <c r="C1331" s="2" t="str">
        <f ca="1">IFERROR(__xludf.DUMMYFUNCTION("""COMPUTED_VALUE"""),"Based ETH")</f>
        <v>Based ETH</v>
      </c>
    </row>
    <row r="1332" spans="1:3" x14ac:dyDescent="0.25">
      <c r="A1332" s="2" t="str">
        <f ca="1">IFERROR(__xludf.DUMMYFUNCTION("""COMPUTED_VALUE"""),"based-father-pepe")</f>
        <v>based-father-pepe</v>
      </c>
      <c r="B1332" s="2" t="str">
        <f ca="1">IFERROR(__xludf.DUMMYFUNCTION("""COMPUTED_VALUE"""),"fpepe")</f>
        <v>fpepe</v>
      </c>
      <c r="C1332" s="2" t="str">
        <f ca="1">IFERROR(__xludf.DUMMYFUNCTION("""COMPUTED_VALUE"""),"Based Father Pepe")</f>
        <v>Based Father Pepe</v>
      </c>
    </row>
    <row r="1333" spans="1:3" x14ac:dyDescent="0.25">
      <c r="A1333" s="2" t="str">
        <f ca="1">IFERROR(__xludf.DUMMYFUNCTION("""COMPUTED_VALUE"""),"based-finance")</f>
        <v>based-finance</v>
      </c>
      <c r="B1333" s="2" t="str">
        <f ca="1">IFERROR(__xludf.DUMMYFUNCTION("""COMPUTED_VALUE"""),"based")</f>
        <v>based</v>
      </c>
      <c r="C1333" s="2" t="str">
        <f ca="1">IFERROR(__xludf.DUMMYFUNCTION("""COMPUTED_VALUE"""),"Based Finance")</f>
        <v>Based Finance</v>
      </c>
    </row>
    <row r="1334" spans="1:3" x14ac:dyDescent="0.25">
      <c r="A1334" s="2" t="str">
        <f ca="1">IFERROR(__xludf.DUMMYFUNCTION("""COMPUTED_VALUE"""),"based-fink")</f>
        <v>based-fink</v>
      </c>
      <c r="B1334" s="2" t="str">
        <f ca="1">IFERROR(__xludf.DUMMYFUNCTION("""COMPUTED_VALUE"""),"fink")</f>
        <v>fink</v>
      </c>
      <c r="C1334" s="2" t="str">
        <f ca="1">IFERROR(__xludf.DUMMYFUNCTION("""COMPUTED_VALUE"""),"Based Fink")</f>
        <v>Based Fink</v>
      </c>
    </row>
    <row r="1335" spans="1:3" x14ac:dyDescent="0.25">
      <c r="A1335" s="2" t="str">
        <f ca="1">IFERROR(__xludf.DUMMYFUNCTION("""COMPUTED_VALUE"""),"based-internet-panda-runes")</f>
        <v>based-internet-panda-runes</v>
      </c>
      <c r="B1335" s="2" t="str">
        <f ca="1">IFERROR(__xludf.DUMMYFUNCTION("""COMPUTED_VALUE"""),"bip")</f>
        <v>bip</v>
      </c>
      <c r="C1335" s="2" t="str">
        <f ca="1">IFERROR(__xludf.DUMMYFUNCTION("""COMPUTED_VALUE"""),"BASED•INTERNET•PANDA (Runes)")</f>
        <v>BASED•INTERNET•PANDA (Runes)</v>
      </c>
    </row>
    <row r="1336" spans="1:3" x14ac:dyDescent="0.25">
      <c r="A1336" s="2" t="str">
        <f ca="1">IFERROR(__xludf.DUMMYFUNCTION("""COMPUTED_VALUE"""),"based-lambow")</f>
        <v>based-lambow</v>
      </c>
      <c r="B1336" s="2" t="str">
        <f ca="1">IFERROR(__xludf.DUMMYFUNCTION("""COMPUTED_VALUE"""),"lambow")</f>
        <v>lambow</v>
      </c>
      <c r="C1336" s="2" t="str">
        <f ca="1">IFERROR(__xludf.DUMMYFUNCTION("""COMPUTED_VALUE"""),"Based Lambow")</f>
        <v>Based Lambow</v>
      </c>
    </row>
    <row r="1337" spans="1:3" x14ac:dyDescent="0.25">
      <c r="A1337" s="2" t="str">
        <f ca="1">IFERROR(__xludf.DUMMYFUNCTION("""COMPUTED_VALUE"""),"based-markets")</f>
        <v>based-markets</v>
      </c>
      <c r="B1337" s="2" t="str">
        <f ca="1">IFERROR(__xludf.DUMMYFUNCTION("""COMPUTED_VALUE"""),"based")</f>
        <v>based</v>
      </c>
      <c r="C1337" s="2" t="str">
        <f ca="1">IFERROR(__xludf.DUMMYFUNCTION("""COMPUTED_VALUE"""),"based.markets")</f>
        <v>based.markets</v>
      </c>
    </row>
    <row r="1338" spans="1:3" x14ac:dyDescent="0.25">
      <c r="A1338" s="2" t="str">
        <f ca="1">IFERROR(__xludf.DUMMYFUNCTION("""COMPUTED_VALUE"""),"basedmilio")</f>
        <v>basedmilio</v>
      </c>
      <c r="B1338" s="2" t="str">
        <f ca="1">IFERROR(__xludf.DUMMYFUNCTION("""COMPUTED_VALUE"""),"based")</f>
        <v>based</v>
      </c>
      <c r="C1338" s="2" t="str">
        <f ca="1">IFERROR(__xludf.DUMMYFUNCTION("""COMPUTED_VALUE"""),"Basedmilio")</f>
        <v>Basedmilio</v>
      </c>
    </row>
    <row r="1339" spans="1:3" x14ac:dyDescent="0.25">
      <c r="A1339" s="2" t="str">
        <f ca="1">IFERROR(__xludf.DUMMYFUNCTION("""COMPUTED_VALUE"""),"based-money-finance")</f>
        <v>based-money-finance</v>
      </c>
      <c r="B1339" s="2" t="str">
        <f ca="1">IFERROR(__xludf.DUMMYFUNCTION("""COMPUTED_VALUE"""),"based")</f>
        <v>based</v>
      </c>
      <c r="C1339" s="2" t="str">
        <f ca="1">IFERROR(__xludf.DUMMYFUNCTION("""COMPUTED_VALUE"""),"Based Money Finance")</f>
        <v>Based Money Finance</v>
      </c>
    </row>
    <row r="1340" spans="1:3" x14ac:dyDescent="0.25">
      <c r="A1340" s="2" t="str">
        <f ca="1">IFERROR(__xludf.DUMMYFUNCTION("""COMPUTED_VALUE"""),"base-dog")</f>
        <v>base-dog</v>
      </c>
      <c r="B1340" s="2" t="str">
        <f ca="1">IFERROR(__xludf.DUMMYFUNCTION("""COMPUTED_VALUE"""),"dog")</f>
        <v>dog</v>
      </c>
      <c r="C1340" s="2" t="str">
        <f ca="1">IFERROR(__xludf.DUMMYFUNCTION("""COMPUTED_VALUE"""),"Base DOG")</f>
        <v>Base DOG</v>
      </c>
    </row>
    <row r="1341" spans="1:3" x14ac:dyDescent="0.25">
      <c r="A1341" s="2" t="str">
        <f ca="1">IFERROR(__xludf.DUMMYFUNCTION("""COMPUTED_VALUE"""),"based-peaches")</f>
        <v>based-peaches</v>
      </c>
      <c r="B1341" s="2" t="str">
        <f ca="1">IFERROR(__xludf.DUMMYFUNCTION("""COMPUTED_VALUE"""),"peach")</f>
        <v>peach</v>
      </c>
      <c r="C1341" s="2" t="str">
        <f ca="1">IFERROR(__xludf.DUMMYFUNCTION("""COMPUTED_VALUE"""),"Based Peaches")</f>
        <v>Based Peaches</v>
      </c>
    </row>
    <row r="1342" spans="1:3" x14ac:dyDescent="0.25">
      <c r="A1342" s="2" t="str">
        <f ca="1">IFERROR(__xludf.DUMMYFUNCTION("""COMPUTED_VALUE"""),"based-peng")</f>
        <v>based-peng</v>
      </c>
      <c r="B1342" s="2" t="str">
        <f ca="1">IFERROR(__xludf.DUMMYFUNCTION("""COMPUTED_VALUE"""),"beng")</f>
        <v>beng</v>
      </c>
      <c r="C1342" s="2" t="str">
        <f ca="1">IFERROR(__xludf.DUMMYFUNCTION("""COMPUTED_VALUE"""),"Based Peng")</f>
        <v>Based Peng</v>
      </c>
    </row>
    <row r="1343" spans="1:3" x14ac:dyDescent="0.25">
      <c r="A1343" s="2" t="str">
        <f ca="1">IFERROR(__xludf.DUMMYFUNCTION("""COMPUTED_VALUE"""),"based-pepe")</f>
        <v>based-pepe</v>
      </c>
      <c r="B1343" s="2" t="str">
        <f ca="1">IFERROR(__xludf.DUMMYFUNCTION("""COMPUTED_VALUE"""),"pepe")</f>
        <v>pepe</v>
      </c>
      <c r="C1343" s="2" t="str">
        <f ca="1">IFERROR(__xludf.DUMMYFUNCTION("""COMPUTED_VALUE"""),"Based Pepe")</f>
        <v>Based Pepe</v>
      </c>
    </row>
    <row r="1344" spans="1:3" x14ac:dyDescent="0.25">
      <c r="A1344" s="2" t="str">
        <f ca="1">IFERROR(__xludf.DUMMYFUNCTION("""COMPUTED_VALUE"""),"based-potato")</f>
        <v>based-potato</v>
      </c>
      <c r="B1344" s="2" t="str">
        <f ca="1">IFERROR(__xludf.DUMMYFUNCTION("""COMPUTED_VALUE"""),"potato")</f>
        <v>potato</v>
      </c>
      <c r="C1344" s="2" t="str">
        <f ca="1">IFERROR(__xludf.DUMMYFUNCTION("""COMPUTED_VALUE"""),"Based Potato")</f>
        <v>Based Potato</v>
      </c>
    </row>
    <row r="1345" spans="1:3" x14ac:dyDescent="0.25">
      <c r="A1345" s="2" t="str">
        <f ca="1">IFERROR(__xludf.DUMMYFUNCTION("""COMPUTED_VALUE"""),"based-rabbit")</f>
        <v>based-rabbit</v>
      </c>
      <c r="B1345" s="2" t="str">
        <f ca="1">IFERROR(__xludf.DUMMYFUNCTION("""COMPUTED_VALUE"""),"rabbit")</f>
        <v>rabbit</v>
      </c>
      <c r="C1345" s="2" t="str">
        <f ca="1">IFERROR(__xludf.DUMMYFUNCTION("""COMPUTED_VALUE"""),"BASED RABBIT")</f>
        <v>BASED RABBIT</v>
      </c>
    </row>
    <row r="1346" spans="1:3" x14ac:dyDescent="0.25">
      <c r="A1346" s="2" t="str">
        <f ca="1">IFERROR(__xludf.DUMMYFUNCTION("""COMPUTED_VALUE"""),"based-rate")</f>
        <v>based-rate</v>
      </c>
      <c r="B1346" s="2" t="str">
        <f ca="1">IFERROR(__xludf.DUMMYFUNCTION("""COMPUTED_VALUE"""),"brate")</f>
        <v>brate</v>
      </c>
      <c r="C1346" s="2" t="str">
        <f ca="1">IFERROR(__xludf.DUMMYFUNCTION("""COMPUTED_VALUE"""),"Based Rate")</f>
        <v>Based Rate</v>
      </c>
    </row>
    <row r="1347" spans="1:3" x14ac:dyDescent="0.25">
      <c r="A1347" s="2" t="str">
        <f ca="1">IFERROR(__xludf.DUMMYFUNCTION("""COMPUTED_VALUE"""),"based-rate-share")</f>
        <v>based-rate-share</v>
      </c>
      <c r="B1347" s="2" t="str">
        <f ca="1">IFERROR(__xludf.DUMMYFUNCTION("""COMPUTED_VALUE"""),"bshare")</f>
        <v>bshare</v>
      </c>
      <c r="C1347" s="2" t="str">
        <f ca="1">IFERROR(__xludf.DUMMYFUNCTION("""COMPUTED_VALUE"""),"Based Rate Share")</f>
        <v>Based Rate Share</v>
      </c>
    </row>
    <row r="1348" spans="1:3" x14ac:dyDescent="0.25">
      <c r="A1348" s="2" t="str">
        <f ca="1">IFERROR(__xludf.DUMMYFUNCTION("""COMPUTED_VALUE"""),"based-sbf-wif-soap")</f>
        <v>based-sbf-wif-soap</v>
      </c>
      <c r="B1348" s="2" t="str">
        <f ca="1">IFERROR(__xludf.DUMMYFUNCTION("""COMPUTED_VALUE"""),"soap")</f>
        <v>soap</v>
      </c>
      <c r="C1348" s="2" t="str">
        <f ca="1">IFERROR(__xludf.DUMMYFUNCTION("""COMPUTED_VALUE"""),"BASED SBF WIF SOAP")</f>
        <v>BASED SBF WIF SOAP</v>
      </c>
    </row>
    <row r="1349" spans="1:3" x14ac:dyDescent="0.25">
      <c r="A1349" s="2" t="str">
        <f ca="1">IFERROR(__xludf.DUMMYFUNCTION("""COMPUTED_VALUE"""),"based-shiba-inu")</f>
        <v>based-shiba-inu</v>
      </c>
      <c r="B1349" s="2" t="str">
        <f ca="1">IFERROR(__xludf.DUMMYFUNCTION("""COMPUTED_VALUE"""),"bshib")</f>
        <v>bshib</v>
      </c>
      <c r="C1349" s="2" t="str">
        <f ca="1">IFERROR(__xludf.DUMMYFUNCTION("""COMPUTED_VALUE"""),"Based Shiba Inu")</f>
        <v>Based Shiba Inu</v>
      </c>
    </row>
    <row r="1350" spans="1:3" x14ac:dyDescent="0.25">
      <c r="A1350" s="2" t="str">
        <f ca="1">IFERROR(__xludf.DUMMYFUNCTION("""COMPUTED_VALUE"""),"based-street-bets")</f>
        <v>based-street-bets</v>
      </c>
      <c r="B1350" s="2" t="str">
        <f ca="1">IFERROR(__xludf.DUMMYFUNCTION("""COMPUTED_VALUE"""),"bsb")</f>
        <v>bsb</v>
      </c>
      <c r="C1350" s="2" t="str">
        <f ca="1">IFERROR(__xludf.DUMMYFUNCTION("""COMPUTED_VALUE"""),"Based Street Bets")</f>
        <v>Based Street Bets</v>
      </c>
    </row>
    <row r="1351" spans="1:3" x14ac:dyDescent="0.25">
      <c r="A1351" s="2" t="str">
        <f ca="1">IFERROR(__xludf.DUMMYFUNCTION("""COMPUTED_VALUE"""),"basedswap")</f>
        <v>basedswap</v>
      </c>
      <c r="B1351" s="2" t="str">
        <f ca="1">IFERROR(__xludf.DUMMYFUNCTION("""COMPUTED_VALUE"""),"bsw")</f>
        <v>bsw</v>
      </c>
      <c r="C1351" s="2" t="str">
        <f ca="1">IFERROR(__xludf.DUMMYFUNCTION("""COMPUTED_VALUE"""),"BasedSwap")</f>
        <v>BasedSwap</v>
      </c>
    </row>
    <row r="1352" spans="1:3" x14ac:dyDescent="0.25">
      <c r="A1352" s="2" t="str">
        <f ca="1">IFERROR(__xludf.DUMMYFUNCTION("""COMPUTED_VALUE"""),"based-usa")</f>
        <v>based-usa</v>
      </c>
      <c r="B1352" s="2" t="str">
        <f ca="1">IFERROR(__xludf.DUMMYFUNCTION("""COMPUTED_VALUE"""),"usa")</f>
        <v>usa</v>
      </c>
      <c r="C1352" s="2" t="str">
        <f ca="1">IFERROR(__xludf.DUMMYFUNCTION("""COMPUTED_VALUE"""),"Based USA")</f>
        <v>Based USA</v>
      </c>
    </row>
    <row r="1353" spans="1:3" x14ac:dyDescent="0.25">
      <c r="A1353" s="2" t="str">
        <f ca="1">IFERROR(__xludf.DUMMYFUNCTION("""COMPUTED_VALUE"""),"basefrog")</f>
        <v>basefrog</v>
      </c>
      <c r="B1353" s="2" t="str">
        <f ca="1">IFERROR(__xludf.DUMMYFUNCTION("""COMPUTED_VALUE"""),"bfrog")</f>
        <v>bfrog</v>
      </c>
      <c r="C1353" s="2" t="str">
        <f ca="1">IFERROR(__xludf.DUMMYFUNCTION("""COMPUTED_VALUE"""),"BaseFrog")</f>
        <v>BaseFrog</v>
      </c>
    </row>
    <row r="1354" spans="1:3" x14ac:dyDescent="0.25">
      <c r="A1354" s="2" t="str">
        <f ca="1">IFERROR(__xludf.DUMMYFUNCTION("""COMPUTED_VALUE"""),"base-god")</f>
        <v>base-god</v>
      </c>
      <c r="B1354" s="2" t="str">
        <f ca="1">IFERROR(__xludf.DUMMYFUNCTION("""COMPUTED_VALUE"""),"tybg")</f>
        <v>tybg</v>
      </c>
      <c r="C1354" s="2" t="str">
        <f ca="1">IFERROR(__xludf.DUMMYFUNCTION("""COMPUTED_VALUE"""),"Base God")</f>
        <v>Base God</v>
      </c>
    </row>
    <row r="1355" spans="1:3" x14ac:dyDescent="0.25">
      <c r="A1355" s="2" t="str">
        <f ca="1">IFERROR(__xludf.DUMMYFUNCTION("""COMPUTED_VALUE"""),"basegulp")</f>
        <v>basegulp</v>
      </c>
      <c r="B1355" s="2" t="str">
        <f ca="1">IFERROR(__xludf.DUMMYFUNCTION("""COMPUTED_VALUE"""),"gulp")</f>
        <v>gulp</v>
      </c>
      <c r="C1355" s="2" t="str">
        <f ca="1">IFERROR(__xludf.DUMMYFUNCTION("""COMPUTED_VALUE"""),"BaseGulp")</f>
        <v>BaseGulp</v>
      </c>
    </row>
    <row r="1356" spans="1:3" x14ac:dyDescent="0.25">
      <c r="A1356" s="2" t="str">
        <f ca="1">IFERROR(__xludf.DUMMYFUNCTION("""COMPUTED_VALUE"""),"baseheroes")</f>
        <v>baseheroes</v>
      </c>
      <c r="B1356" s="2" t="str">
        <f ca="1">IFERROR(__xludf.DUMMYFUNCTION("""COMPUTED_VALUE"""),"baseheroes")</f>
        <v>baseheroes</v>
      </c>
      <c r="C1356" s="2" t="str">
        <f ca="1">IFERROR(__xludf.DUMMYFUNCTION("""COMPUTED_VALUE"""),"Baseheroes")</f>
        <v>Baseheroes</v>
      </c>
    </row>
    <row r="1357" spans="1:3" x14ac:dyDescent="0.25">
      <c r="A1357" s="2" t="str">
        <f ca="1">IFERROR(__xludf.DUMMYFUNCTION("""COMPUTED_VALUE"""),"baseinu")</f>
        <v>baseinu</v>
      </c>
      <c r="B1357" s="2" t="str">
        <f ca="1">IFERROR(__xludf.DUMMYFUNCTION("""COMPUTED_VALUE"""),"binu")</f>
        <v>binu</v>
      </c>
      <c r="C1357" s="2" t="str">
        <f ca="1">IFERROR(__xludf.DUMMYFUNCTION("""COMPUTED_VALUE"""),"BaseInu")</f>
        <v>BaseInu</v>
      </c>
    </row>
    <row r="1358" spans="1:3" x14ac:dyDescent="0.25">
      <c r="A1358" s="2" t="str">
        <f ca="1">IFERROR(__xludf.DUMMYFUNCTION("""COMPUTED_VALUE"""),"base-inu")</f>
        <v>base-inu</v>
      </c>
      <c r="B1358" s="2" t="str">
        <f ca="1">IFERROR(__xludf.DUMMYFUNCTION("""COMPUTED_VALUE"""),"binu")</f>
        <v>binu</v>
      </c>
      <c r="C1358" s="2" t="str">
        <f ca="1">IFERROR(__xludf.DUMMYFUNCTION("""COMPUTED_VALUE"""),"Base Inu")</f>
        <v>Base Inu</v>
      </c>
    </row>
    <row r="1359" spans="1:3" x14ac:dyDescent="0.25">
      <c r="A1359" s="2" t="str">
        <f ca="1">IFERROR(__xludf.DUMMYFUNCTION("""COMPUTED_VALUE"""),"base-lord")</f>
        <v>base-lord</v>
      </c>
      <c r="B1359" s="2" t="str">
        <f ca="1">IFERROR(__xludf.DUMMYFUNCTION("""COMPUTED_VALUE"""),"lordy")</f>
        <v>lordy</v>
      </c>
      <c r="C1359" s="2" t="str">
        <f ca="1">IFERROR(__xludf.DUMMYFUNCTION("""COMPUTED_VALUE"""),"Lordy")</f>
        <v>Lordy</v>
      </c>
    </row>
    <row r="1360" spans="1:3" x14ac:dyDescent="0.25">
      <c r="A1360" s="2" t="str">
        <f ca="1">IFERROR(__xludf.DUMMYFUNCTION("""COMPUTED_VALUE"""),"basenji")</f>
        <v>basenji</v>
      </c>
      <c r="B1360" s="2" t="str">
        <f ca="1">IFERROR(__xludf.DUMMYFUNCTION("""COMPUTED_VALUE"""),"benji")</f>
        <v>benji</v>
      </c>
      <c r="C1360" s="2" t="str">
        <f ca="1">IFERROR(__xludf.DUMMYFUNCTION("""COMPUTED_VALUE"""),"Basenji")</f>
        <v>Basenji</v>
      </c>
    </row>
    <row r="1361" spans="1:3" x14ac:dyDescent="0.25">
      <c r="A1361" s="2" t="str">
        <f ca="1">IFERROR(__xludf.DUMMYFUNCTION("""COMPUTED_VALUE"""),"base-pro-shops")</f>
        <v>base-pro-shops</v>
      </c>
      <c r="B1361" s="2" t="str">
        <f ca="1">IFERROR(__xludf.DUMMYFUNCTION("""COMPUTED_VALUE"""),"bps")</f>
        <v>bps</v>
      </c>
      <c r="C1361" s="2" t="str">
        <f ca="1">IFERROR(__xludf.DUMMYFUNCTION("""COMPUTED_VALUE"""),"Base Pro Shops")</f>
        <v>Base Pro Shops</v>
      </c>
    </row>
    <row r="1362" spans="1:3" x14ac:dyDescent="0.25">
      <c r="A1362" s="2" t="str">
        <f ca="1">IFERROR(__xludf.DUMMYFUNCTION("""COMPUTED_VALUE"""),"base-protocol")</f>
        <v>base-protocol</v>
      </c>
      <c r="B1362" s="2" t="str">
        <f ca="1">IFERROR(__xludf.DUMMYFUNCTION("""COMPUTED_VALUE"""),"base")</f>
        <v>base</v>
      </c>
      <c r="C1362" s="2" t="str">
        <f ca="1">IFERROR(__xludf.DUMMYFUNCTION("""COMPUTED_VALUE"""),"Base Protocol")</f>
        <v>Base Protocol</v>
      </c>
    </row>
    <row r="1363" spans="1:3" x14ac:dyDescent="0.25">
      <c r="A1363" s="2" t="str">
        <f ca="1">IFERROR(__xludf.DUMMYFUNCTION("""COMPUTED_VALUE"""),"basesafe")</f>
        <v>basesafe</v>
      </c>
      <c r="B1363" s="2" t="str">
        <f ca="1">IFERROR(__xludf.DUMMYFUNCTION("""COMPUTED_VALUE"""),"safe")</f>
        <v>safe</v>
      </c>
      <c r="C1363" s="2" t="str">
        <f ca="1">IFERROR(__xludf.DUMMYFUNCTION("""COMPUTED_VALUE"""),"BaseSafe")</f>
        <v>BaseSafe</v>
      </c>
    </row>
    <row r="1364" spans="1:3" x14ac:dyDescent="0.25">
      <c r="A1364" s="2" t="str">
        <f ca="1">IFERROR(__xludf.DUMMYFUNCTION("""COMPUTED_VALUE"""),"base-street")</f>
        <v>base-street</v>
      </c>
      <c r="B1364" s="2" t="str">
        <f ca="1">IFERROR(__xludf.DUMMYFUNCTION("""COMPUTED_VALUE"""),"street")</f>
        <v>street</v>
      </c>
      <c r="C1364" s="2" t="str">
        <f ca="1">IFERROR(__xludf.DUMMYFUNCTION("""COMPUTED_VALUE"""),"Base Street")</f>
        <v>Base Street</v>
      </c>
    </row>
    <row r="1365" spans="1:3" x14ac:dyDescent="0.25">
      <c r="A1365" s="2" t="str">
        <f ca="1">IFERROR(__xludf.DUMMYFUNCTION("""COMPUTED_VALUE"""),"baseswap")</f>
        <v>baseswap</v>
      </c>
      <c r="B1365" s="2" t="str">
        <f ca="1">IFERROR(__xludf.DUMMYFUNCTION("""COMPUTED_VALUE"""),"bswap")</f>
        <v>bswap</v>
      </c>
      <c r="C1365" s="2" t="str">
        <f ca="1">IFERROR(__xludf.DUMMYFUNCTION("""COMPUTED_VALUE"""),"BaseSwap")</f>
        <v>BaseSwap</v>
      </c>
    </row>
    <row r="1366" spans="1:3" x14ac:dyDescent="0.25">
      <c r="A1366" s="2" t="str">
        <f ca="1">IFERROR(__xludf.DUMMYFUNCTION("""COMPUTED_VALUE"""),"basetama")</f>
        <v>basetama</v>
      </c>
      <c r="B1366" s="2" t="str">
        <f ca="1">IFERROR(__xludf.DUMMYFUNCTION("""COMPUTED_VALUE"""),"btama")</f>
        <v>btama</v>
      </c>
      <c r="C1366" s="2" t="str">
        <f ca="1">IFERROR(__xludf.DUMMYFUNCTION("""COMPUTED_VALUE"""),"Basetama")</f>
        <v>Basetama</v>
      </c>
    </row>
    <row r="1367" spans="1:3" x14ac:dyDescent="0.25">
      <c r="A1367" s="2" t="str">
        <f ca="1">IFERROR(__xludf.DUMMYFUNCTION("""COMPUTED_VALUE"""),"base-terminal")</f>
        <v>base-terminal</v>
      </c>
      <c r="B1367" s="2" t="str">
        <f ca="1">IFERROR(__xludf.DUMMYFUNCTION("""COMPUTED_VALUE"""),"basex")</f>
        <v>basex</v>
      </c>
      <c r="C1367" s="2" t="str">
        <f ca="1">IFERROR(__xludf.DUMMYFUNCTION("""COMPUTED_VALUE"""),"Base Terminal")</f>
        <v>Base Terminal</v>
      </c>
    </row>
    <row r="1368" spans="1:3" x14ac:dyDescent="0.25">
      <c r="A1368" s="2" t="str">
        <f ca="1">IFERROR(__xludf.DUMMYFUNCTION("""COMPUTED_VALUE"""),"base-velocimeter")</f>
        <v>base-velocimeter</v>
      </c>
      <c r="B1368" s="2" t="str">
        <f ca="1">IFERROR(__xludf.DUMMYFUNCTION("""COMPUTED_VALUE"""),"bvm")</f>
        <v>bvm</v>
      </c>
      <c r="C1368" s="2" t="str">
        <f ca="1">IFERROR(__xludf.DUMMYFUNCTION("""COMPUTED_VALUE"""),"Base Velocimeter")</f>
        <v>Base Velocimeter</v>
      </c>
    </row>
    <row r="1369" spans="1:3" x14ac:dyDescent="0.25">
      <c r="A1369" s="2" t="str">
        <f ca="1">IFERROR(__xludf.DUMMYFUNCTION("""COMPUTED_VALUE"""),"basex")</f>
        <v>basex</v>
      </c>
      <c r="B1369" s="2" t="str">
        <f ca="1">IFERROR(__xludf.DUMMYFUNCTION("""COMPUTED_VALUE"""),"bsx")</f>
        <v>bsx</v>
      </c>
      <c r="C1369" s="2" t="str">
        <f ca="1">IFERROR(__xludf.DUMMYFUNCTION("""COMPUTED_VALUE"""),"BaseX")</f>
        <v>BaseX</v>
      </c>
    </row>
    <row r="1370" spans="1:3" x14ac:dyDescent="0.25">
      <c r="A1370" s="2" t="str">
        <f ca="1">IFERROR(__xludf.DUMMYFUNCTION("""COMPUTED_VALUE"""),"basex-token")</f>
        <v>basex-token</v>
      </c>
      <c r="B1370" s="2" t="str">
        <f ca="1">IFERROR(__xludf.DUMMYFUNCTION("""COMPUTED_VALUE"""),"bxt")</f>
        <v>bxt</v>
      </c>
      <c r="C1370" s="2" t="str">
        <f ca="1">IFERROR(__xludf.DUMMYFUNCTION("""COMPUTED_VALUE"""),"BaseX Token")</f>
        <v>BaseX Token</v>
      </c>
    </row>
    <row r="1371" spans="1:3" x14ac:dyDescent="0.25">
      <c r="A1371" s="2" t="str">
        <f ca="1">IFERROR(__xludf.DUMMYFUNCTION("""COMPUTED_VALUE"""),"basic-attention-token")</f>
        <v>basic-attention-token</v>
      </c>
      <c r="B1371" s="2" t="str">
        <f ca="1">IFERROR(__xludf.DUMMYFUNCTION("""COMPUTED_VALUE"""),"bat")</f>
        <v>bat</v>
      </c>
      <c r="C1371" s="2" t="str">
        <f ca="1">IFERROR(__xludf.DUMMYFUNCTION("""COMPUTED_VALUE"""),"Basic Attention")</f>
        <v>Basic Attention</v>
      </c>
    </row>
    <row r="1372" spans="1:3" x14ac:dyDescent="0.25">
      <c r="A1372" s="2" t="str">
        <f ca="1">IFERROR(__xludf.DUMMYFUNCTION("""COMPUTED_VALUE"""),"basic-dog-meme")</f>
        <v>basic-dog-meme</v>
      </c>
      <c r="B1372" s="2" t="str">
        <f ca="1">IFERROR(__xludf.DUMMYFUNCTION("""COMPUTED_VALUE"""),"dog")</f>
        <v>dog</v>
      </c>
      <c r="C1372" s="2" t="str">
        <f ca="1">IFERROR(__xludf.DUMMYFUNCTION("""COMPUTED_VALUE"""),"Basic Dog Meme")</f>
        <v>Basic Dog Meme</v>
      </c>
    </row>
    <row r="1373" spans="1:3" x14ac:dyDescent="0.25">
      <c r="A1373" s="2" t="str">
        <f ca="1">IFERROR(__xludf.DUMMYFUNCTION("""COMPUTED_VALUE"""),"basilisk")</f>
        <v>basilisk</v>
      </c>
      <c r="B1373" s="2" t="str">
        <f ca="1">IFERROR(__xludf.DUMMYFUNCTION("""COMPUTED_VALUE"""),"bsx")</f>
        <v>bsx</v>
      </c>
      <c r="C1373" s="2" t="str">
        <f ca="1">IFERROR(__xludf.DUMMYFUNCTION("""COMPUTED_VALUE"""),"Basilisk")</f>
        <v>Basilisk</v>
      </c>
    </row>
    <row r="1374" spans="1:3" x14ac:dyDescent="0.25">
      <c r="A1374" s="2" t="str">
        <f ca="1">IFERROR(__xludf.DUMMYFUNCTION("""COMPUTED_VALUE"""),"basis-cash")</f>
        <v>basis-cash</v>
      </c>
      <c r="B1374" s="2" t="str">
        <f ca="1">IFERROR(__xludf.DUMMYFUNCTION("""COMPUTED_VALUE"""),"bac")</f>
        <v>bac</v>
      </c>
      <c r="C1374" s="2" t="str">
        <f ca="1">IFERROR(__xludf.DUMMYFUNCTION("""COMPUTED_VALUE"""),"Basis Cash")</f>
        <v>Basis Cash</v>
      </c>
    </row>
    <row r="1375" spans="1:3" x14ac:dyDescent="0.25">
      <c r="A1375" s="2" t="str">
        <f ca="1">IFERROR(__xludf.DUMMYFUNCTION("""COMPUTED_VALUE"""),"basis-gold-share-heco")</f>
        <v>basis-gold-share-heco</v>
      </c>
      <c r="B1375" s="2" t="str">
        <f ca="1">IFERROR(__xludf.DUMMYFUNCTION("""COMPUTED_VALUE"""),"bags")</f>
        <v>bags</v>
      </c>
      <c r="C1375" s="2" t="str">
        <f ca="1">IFERROR(__xludf.DUMMYFUNCTION("""COMPUTED_VALUE"""),"Basis Gold Share (Heco)")</f>
        <v>Basis Gold Share (Heco)</v>
      </c>
    </row>
    <row r="1376" spans="1:3" x14ac:dyDescent="0.25">
      <c r="A1376" s="2" t="str">
        <f ca="1">IFERROR(__xludf.DUMMYFUNCTION("""COMPUTED_VALUE"""),"basis-markets")</f>
        <v>basis-markets</v>
      </c>
      <c r="B1376" s="2" t="str">
        <f ca="1">IFERROR(__xludf.DUMMYFUNCTION("""COMPUTED_VALUE"""),"basis")</f>
        <v>basis</v>
      </c>
      <c r="C1376" s="2" t="str">
        <f ca="1">IFERROR(__xludf.DUMMYFUNCTION("""COMPUTED_VALUE"""),"basis.markets")</f>
        <v>basis.markets</v>
      </c>
    </row>
    <row r="1377" spans="1:3" x14ac:dyDescent="0.25">
      <c r="A1377" s="2" t="str">
        <f ca="1">IFERROR(__xludf.DUMMYFUNCTION("""COMPUTED_VALUE"""),"basis-share")</f>
        <v>basis-share</v>
      </c>
      <c r="B1377" s="2" t="str">
        <f ca="1">IFERROR(__xludf.DUMMYFUNCTION("""COMPUTED_VALUE"""),"bas")</f>
        <v>bas</v>
      </c>
      <c r="C1377" s="2" t="str">
        <f ca="1">IFERROR(__xludf.DUMMYFUNCTION("""COMPUTED_VALUE"""),"Basis Share")</f>
        <v>Basis Share</v>
      </c>
    </row>
    <row r="1378" spans="1:3" x14ac:dyDescent="0.25">
      <c r="A1378" s="2" t="str">
        <f ca="1">IFERROR(__xludf.DUMMYFUNCTION("""COMPUTED_VALUE"""),"basix")</f>
        <v>basix</v>
      </c>
      <c r="B1378" s="2" t="str">
        <f ca="1">IFERROR(__xludf.DUMMYFUNCTION("""COMPUTED_VALUE"""),"bsx")</f>
        <v>bsx</v>
      </c>
      <c r="C1378" s="2" t="str">
        <f ca="1">IFERROR(__xludf.DUMMYFUNCTION("""COMPUTED_VALUE"""),"Basix")</f>
        <v>Basix</v>
      </c>
    </row>
    <row r="1379" spans="1:3" x14ac:dyDescent="0.25">
      <c r="A1379" s="2" t="str">
        <f ca="1">IFERROR(__xludf.DUMMYFUNCTION("""COMPUTED_VALUE"""),"basket")</f>
        <v>basket</v>
      </c>
      <c r="B1379" s="2" t="str">
        <f ca="1">IFERROR(__xludf.DUMMYFUNCTION("""COMPUTED_VALUE"""),"bskt")</f>
        <v>bskt</v>
      </c>
      <c r="C1379" s="2" t="str">
        <f ca="1">IFERROR(__xludf.DUMMYFUNCTION("""COMPUTED_VALUE"""),"Basket")</f>
        <v>Basket</v>
      </c>
    </row>
    <row r="1380" spans="1:3" x14ac:dyDescent="0.25">
      <c r="A1380" s="2" t="str">
        <f ca="1">IFERROR(__xludf.DUMMYFUNCTION("""COMPUTED_VALUE"""),"basketballverse-2")</f>
        <v>basketballverse-2</v>
      </c>
      <c r="B1380" s="2" t="str">
        <f ca="1">IFERROR(__xludf.DUMMYFUNCTION("""COMPUTED_VALUE"""),"bvr")</f>
        <v>bvr</v>
      </c>
      <c r="C1380" s="2" t="str">
        <f ca="1">IFERROR(__xludf.DUMMYFUNCTION("""COMPUTED_VALUE"""),"Basketballverse")</f>
        <v>Basketballverse</v>
      </c>
    </row>
    <row r="1381" spans="1:3" x14ac:dyDescent="0.25">
      <c r="A1381" s="2" t="str">
        <f ca="1">IFERROR(__xludf.DUMMYFUNCTION("""COMPUTED_VALUE"""),"basketcoin")</f>
        <v>basketcoin</v>
      </c>
      <c r="B1381" s="2" t="str">
        <f ca="1">IFERROR(__xludf.DUMMYFUNCTION("""COMPUTED_VALUE"""),"bskt")</f>
        <v>bskt</v>
      </c>
      <c r="C1381" s="2" t="str">
        <f ca="1">IFERROR(__xludf.DUMMYFUNCTION("""COMPUTED_VALUE"""),"BasketCoin")</f>
        <v>BasketCoin</v>
      </c>
    </row>
    <row r="1382" spans="1:3" x14ac:dyDescent="0.25">
      <c r="A1382" s="2" t="str">
        <f ca="1">IFERROR(__xludf.DUMMYFUNCTION("""COMPUTED_VALUE"""),"baskonia-fan-token")</f>
        <v>baskonia-fan-token</v>
      </c>
      <c r="B1382" s="2" t="str">
        <f ca="1">IFERROR(__xludf.DUMMYFUNCTION("""COMPUTED_VALUE"""),"bkn")</f>
        <v>bkn</v>
      </c>
      <c r="C1382" s="2" t="str">
        <f ca="1">IFERROR(__xludf.DUMMYFUNCTION("""COMPUTED_VALUE"""),"Baskonia Fan Token")</f>
        <v>Baskonia Fan Token</v>
      </c>
    </row>
    <row r="1383" spans="1:3" x14ac:dyDescent="0.25">
      <c r="A1383" s="2" t="str">
        <f ca="1">IFERROR(__xludf.DUMMYFUNCTION("""COMPUTED_VALUE"""),"basmati")</f>
        <v>basmati</v>
      </c>
      <c r="B1383" s="2" t="str">
        <f ca="1">IFERROR(__xludf.DUMMYFUNCTION("""COMPUTED_VALUE"""),"bsmti")</f>
        <v>bsmti</v>
      </c>
      <c r="C1383" s="2" t="str">
        <f ca="1">IFERROR(__xludf.DUMMYFUNCTION("""COMPUTED_VALUE"""),"Basmati")</f>
        <v>Basmati</v>
      </c>
    </row>
    <row r="1384" spans="1:3" x14ac:dyDescent="0.25">
      <c r="A1384" s="2" t="str">
        <f ca="1">IFERROR(__xludf.DUMMYFUNCTION("""COMPUTED_VALUE"""),"baso-finance")</f>
        <v>baso-finance</v>
      </c>
      <c r="B1384" s="2" t="str">
        <f ca="1">IFERROR(__xludf.DUMMYFUNCTION("""COMPUTED_VALUE"""),"baso")</f>
        <v>baso</v>
      </c>
      <c r="C1384" s="2" t="str">
        <f ca="1">IFERROR(__xludf.DUMMYFUNCTION("""COMPUTED_VALUE"""),"Baso Finance")</f>
        <v>Baso Finance</v>
      </c>
    </row>
    <row r="1385" spans="1:3" x14ac:dyDescent="0.25">
      <c r="A1385" s="2" t="str">
        <f ca="1">IFERROR(__xludf.DUMMYFUNCTION("""COMPUTED_VALUE"""),"batcat")</f>
        <v>batcat</v>
      </c>
      <c r="B1385" s="2" t="str">
        <f ca="1">IFERROR(__xludf.DUMMYFUNCTION("""COMPUTED_VALUE"""),"btc")</f>
        <v>btc</v>
      </c>
      <c r="C1385" s="2" t="str">
        <f ca="1">IFERROR(__xludf.DUMMYFUNCTION("""COMPUTED_VALUE"""),"batcat")</f>
        <v>batcat</v>
      </c>
    </row>
    <row r="1386" spans="1:3" x14ac:dyDescent="0.25">
      <c r="A1386" s="2" t="str">
        <f ca="1">IFERROR(__xludf.DUMMYFUNCTION("""COMPUTED_VALUE"""),"battlefly")</f>
        <v>battlefly</v>
      </c>
      <c r="B1386" s="2" t="str">
        <f ca="1">IFERROR(__xludf.DUMMYFUNCTION("""COMPUTED_VALUE"""),"gfly")</f>
        <v>gfly</v>
      </c>
      <c r="C1386" s="2" t="str">
        <f ca="1">IFERROR(__xludf.DUMMYFUNCTION("""COMPUTED_VALUE"""),"BattleFly")</f>
        <v>BattleFly</v>
      </c>
    </row>
    <row r="1387" spans="1:3" x14ac:dyDescent="0.25">
      <c r="A1387" s="2" t="str">
        <f ca="1">IFERROR(__xludf.DUMMYFUNCTION("""COMPUTED_VALUE"""),"battleforten")</f>
        <v>battleforten</v>
      </c>
      <c r="B1387" s="2" t="str">
        <f ca="1">IFERROR(__xludf.DUMMYFUNCTION("""COMPUTED_VALUE"""),"bft")</f>
        <v>bft</v>
      </c>
      <c r="C1387" s="2" t="str">
        <f ca="1">IFERROR(__xludf.DUMMYFUNCTION("""COMPUTED_VALUE"""),"BattleForTEN")</f>
        <v>BattleForTEN</v>
      </c>
    </row>
    <row r="1388" spans="1:3" x14ac:dyDescent="0.25">
      <c r="A1388" s="2" t="str">
        <f ca="1">IFERROR(__xludf.DUMMYFUNCTION("""COMPUTED_VALUE"""),"battle-infinity")</f>
        <v>battle-infinity</v>
      </c>
      <c r="B1388" s="2" t="str">
        <f ca="1">IFERROR(__xludf.DUMMYFUNCTION("""COMPUTED_VALUE"""),"ibat")</f>
        <v>ibat</v>
      </c>
      <c r="C1388" s="2" t="str">
        <f ca="1">IFERROR(__xludf.DUMMYFUNCTION("""COMPUTED_VALUE"""),"Battle Infinity")</f>
        <v>Battle Infinity</v>
      </c>
    </row>
    <row r="1389" spans="1:3" x14ac:dyDescent="0.25">
      <c r="A1389" s="2" t="str">
        <f ca="1">IFERROR(__xludf.DUMMYFUNCTION("""COMPUTED_VALUE"""),"battle-pets")</f>
        <v>battle-pets</v>
      </c>
      <c r="B1389" s="2" t="str">
        <f ca="1">IFERROR(__xludf.DUMMYFUNCTION("""COMPUTED_VALUE"""),"pet")</f>
        <v>pet</v>
      </c>
      <c r="C1389" s="2" t="str">
        <f ca="1">IFERROR(__xludf.DUMMYFUNCTION("""COMPUTED_VALUE"""),"Hello Pets")</f>
        <v>Hello Pets</v>
      </c>
    </row>
    <row r="1390" spans="1:3" x14ac:dyDescent="0.25">
      <c r="A1390" s="2" t="str">
        <f ca="1">IFERROR(__xludf.DUMMYFUNCTION("""COMPUTED_VALUE"""),"battle-saga")</f>
        <v>battle-saga</v>
      </c>
      <c r="B1390" s="2" t="str">
        <f ca="1">IFERROR(__xludf.DUMMYFUNCTION("""COMPUTED_VALUE"""),"btl")</f>
        <v>btl</v>
      </c>
      <c r="C1390" s="2" t="str">
        <f ca="1">IFERROR(__xludf.DUMMYFUNCTION("""COMPUTED_VALUE"""),"Battle Saga")</f>
        <v>Battle Saga</v>
      </c>
    </row>
    <row r="1391" spans="1:3" x14ac:dyDescent="0.25">
      <c r="A1391" s="2" t="str">
        <f ca="1">IFERROR(__xludf.DUMMYFUNCTION("""COMPUTED_VALUE"""),"battle-world")</f>
        <v>battle-world</v>
      </c>
      <c r="B1391" s="2" t="str">
        <f ca="1">IFERROR(__xludf.DUMMYFUNCTION("""COMPUTED_VALUE"""),"bwo")</f>
        <v>bwo</v>
      </c>
      <c r="C1391" s="2" t="str">
        <f ca="1">IFERROR(__xludf.DUMMYFUNCTION("""COMPUTED_VALUE"""),"Battle World")</f>
        <v>Battle World</v>
      </c>
    </row>
    <row r="1392" spans="1:3" x14ac:dyDescent="0.25">
      <c r="A1392" s="2" t="str">
        <f ca="1">IFERROR(__xludf.DUMMYFUNCTION("""COMPUTED_VALUE"""),"bawls-onu")</f>
        <v>bawls-onu</v>
      </c>
      <c r="B1392" s="2" t="str">
        <f ca="1">IFERROR(__xludf.DUMMYFUNCTION("""COMPUTED_VALUE"""),"$bawls")</f>
        <v>$bawls</v>
      </c>
      <c r="C1392" s="2" t="str">
        <f ca="1">IFERROR(__xludf.DUMMYFUNCTION("""COMPUTED_VALUE"""),"Bawls onu")</f>
        <v>Bawls onu</v>
      </c>
    </row>
    <row r="1393" spans="1:3" x14ac:dyDescent="0.25">
      <c r="A1393" s="2" t="str">
        <f ca="1">IFERROR(__xludf.DUMMYFUNCTION("""COMPUTED_VALUE"""),"bayc-fraction-token")</f>
        <v>bayc-fraction-token</v>
      </c>
      <c r="B1393" s="2" t="str">
        <f ca="1">IFERROR(__xludf.DUMMYFUNCTION("""COMPUTED_VALUE"""),"$bawls")</f>
        <v>$bawls</v>
      </c>
      <c r="C1393" s="2" t="str">
        <f ca="1">IFERROR(__xludf.DUMMYFUNCTION("""COMPUTED_VALUE"""),"BAYC Fraction Token")</f>
        <v>BAYC Fraction Token</v>
      </c>
    </row>
    <row r="1394" spans="1:3" x14ac:dyDescent="0.25">
      <c r="A1394" s="2" t="str">
        <f ca="1">IFERROR(__xludf.DUMMYFUNCTION("""COMPUTED_VALUE"""),"bayesian")</f>
        <v>bayesian</v>
      </c>
      <c r="B1394" s="2" t="str">
        <f ca="1">IFERROR(__xludf.DUMMYFUNCTION("""COMPUTED_VALUE"""),"baye")</f>
        <v>baye</v>
      </c>
      <c r="C1394" s="2" t="str">
        <f ca="1">IFERROR(__xludf.DUMMYFUNCTION("""COMPUTED_VALUE"""),"Bayesian")</f>
        <v>Bayesian</v>
      </c>
    </row>
    <row r="1395" spans="1:3" x14ac:dyDescent="0.25">
      <c r="A1395" s="2" t="str">
        <f ca="1">IFERROR(__xludf.DUMMYFUNCTION("""COMPUTED_VALUE"""),"bazaars")</f>
        <v>bazaars</v>
      </c>
      <c r="B1395" s="2" t="str">
        <f ca="1">IFERROR(__xludf.DUMMYFUNCTION("""COMPUTED_VALUE"""),"bzr")</f>
        <v>bzr</v>
      </c>
      <c r="C1395" s="2" t="str">
        <f ca="1">IFERROR(__xludf.DUMMYFUNCTION("""COMPUTED_VALUE"""),"Bazaars")</f>
        <v>Bazaars</v>
      </c>
    </row>
    <row r="1396" spans="1:3" x14ac:dyDescent="0.25">
      <c r="A1396" s="2" t="str">
        <f ca="1">IFERROR(__xludf.DUMMYFUNCTION("""COMPUTED_VALUE"""),"bazed-games")</f>
        <v>bazed-games</v>
      </c>
      <c r="B1396" s="2" t="str">
        <f ca="1">IFERROR(__xludf.DUMMYFUNCTION("""COMPUTED_VALUE"""),"bazed")</f>
        <v>bazed</v>
      </c>
      <c r="C1396" s="2" t="str">
        <f ca="1">IFERROR(__xludf.DUMMYFUNCTION("""COMPUTED_VALUE"""),"Bazed Games")</f>
        <v>Bazed Games</v>
      </c>
    </row>
    <row r="1397" spans="1:3" x14ac:dyDescent="0.25">
      <c r="A1397" s="2" t="str">
        <f ca="1">IFERROR(__xludf.DUMMYFUNCTION("""COMPUTED_VALUE"""),"bazinga")</f>
        <v>bazinga</v>
      </c>
      <c r="B1397" s="2" t="str">
        <f ca="1">IFERROR(__xludf.DUMMYFUNCTION("""COMPUTED_VALUE"""),"bazed")</f>
        <v>bazed</v>
      </c>
      <c r="C1397" s="2" t="str">
        <f ca="1">IFERROR(__xludf.DUMMYFUNCTION("""COMPUTED_VALUE"""),"Bazinga")</f>
        <v>Bazinga</v>
      </c>
    </row>
    <row r="1398" spans="1:3" x14ac:dyDescent="0.25">
      <c r="A1398" s="2" t="str">
        <f ca="1">IFERROR(__xludf.DUMMYFUNCTION("""COMPUTED_VALUE"""),"bazinga-2")</f>
        <v>bazinga-2</v>
      </c>
      <c r="B1398" s="2" t="str">
        <f ca="1">IFERROR(__xludf.DUMMYFUNCTION("""COMPUTED_VALUE"""),"bazinga")</f>
        <v>bazinga</v>
      </c>
      <c r="C1398" s="2" t="str">
        <f ca="1">IFERROR(__xludf.DUMMYFUNCTION("""COMPUTED_VALUE"""),"Bazinga")</f>
        <v>Bazinga</v>
      </c>
    </row>
    <row r="1399" spans="1:3" x14ac:dyDescent="0.25">
      <c r="A1399" s="2" t="str">
        <f ca="1">IFERROR(__xludf.DUMMYFUNCTION("""COMPUTED_VALUE"""),"bb-gaming")</f>
        <v>bb-gaming</v>
      </c>
      <c r="B1399" s="2" t="str">
        <f ca="1">IFERROR(__xludf.DUMMYFUNCTION("""COMPUTED_VALUE"""),"bb")</f>
        <v>bb</v>
      </c>
      <c r="C1399" s="2" t="str">
        <f ca="1">IFERROR(__xludf.DUMMYFUNCTION("""COMPUTED_VALUE"""),"BB Gaming")</f>
        <v>BB Gaming</v>
      </c>
    </row>
    <row r="1400" spans="1:3" x14ac:dyDescent="0.25">
      <c r="A1400" s="2" t="str">
        <f ca="1">IFERROR(__xludf.DUMMYFUNCTION("""COMPUTED_VALUE"""),"bbs-network")</f>
        <v>bbs-network</v>
      </c>
      <c r="B1400" s="2" t="str">
        <f ca="1">IFERROR(__xludf.DUMMYFUNCTION("""COMPUTED_VALUE"""),"rtb")</f>
        <v>rtb</v>
      </c>
      <c r="C1400" s="2" t="str">
        <f ca="1">IFERROR(__xludf.DUMMYFUNCTION("""COMPUTED_VALUE"""),"Roundtable")</f>
        <v>Roundtable</v>
      </c>
    </row>
    <row r="1401" spans="1:3" x14ac:dyDescent="0.25">
      <c r="A1401" s="2" t="str">
        <f ca="1">IFERROR(__xludf.DUMMYFUNCTION("""COMPUTED_VALUE"""),"bcoq-inu")</f>
        <v>bcoq-inu</v>
      </c>
      <c r="B1401" s="2" t="str">
        <f ca="1">IFERROR(__xludf.DUMMYFUNCTION("""COMPUTED_VALUE"""),"bcoq")</f>
        <v>bcoq</v>
      </c>
      <c r="C1401" s="2" t="str">
        <f ca="1">IFERROR(__xludf.DUMMYFUNCTION("""COMPUTED_VALUE"""),"BCOQ INU")</f>
        <v>BCOQ INU</v>
      </c>
    </row>
    <row r="1402" spans="1:3" x14ac:dyDescent="0.25">
      <c r="A1402" s="2" t="str">
        <f ca="1">IFERROR(__xludf.DUMMYFUNCTION("""COMPUTED_VALUE"""),"bcpay-fintech")</f>
        <v>bcpay-fintech</v>
      </c>
      <c r="B1402" s="2" t="str">
        <f ca="1">IFERROR(__xludf.DUMMYFUNCTION("""COMPUTED_VALUE"""),"bcpay")</f>
        <v>bcpay</v>
      </c>
      <c r="C1402" s="2" t="str">
        <f ca="1">IFERROR(__xludf.DUMMYFUNCTION("""COMPUTED_VALUE"""),"BCPAY FinTech")</f>
        <v>BCPAY FinTech</v>
      </c>
    </row>
    <row r="1403" spans="1:3" x14ac:dyDescent="0.25">
      <c r="A1403" s="2" t="str">
        <f ca="1">IFERROR(__xludf.DUMMYFUNCTION("""COMPUTED_VALUE"""),"bcrepe")</f>
        <v>bcrepe</v>
      </c>
      <c r="B1403" s="2" t="str">
        <f ca="1">IFERROR(__xludf.DUMMYFUNCTION("""COMPUTED_VALUE"""),"bcre")</f>
        <v>bcre</v>
      </c>
      <c r="C1403" s="2" t="str">
        <f ca="1">IFERROR(__xludf.DUMMYFUNCTION("""COMPUTED_VALUE"""),"BCREPE")</f>
        <v>BCREPE</v>
      </c>
    </row>
    <row r="1404" spans="1:3" x14ac:dyDescent="0.25">
      <c r="A1404" s="2" t="str">
        <f ca="1">IFERROR(__xludf.DUMMYFUNCTION("""COMPUTED_VALUE"""),"b-cube-ai")</f>
        <v>b-cube-ai</v>
      </c>
      <c r="B1404" s="2" t="str">
        <f ca="1">IFERROR(__xludf.DUMMYFUNCTION("""COMPUTED_VALUE"""),"bcube")</f>
        <v>bcube</v>
      </c>
      <c r="C1404" s="3" t="str">
        <f ca="1">IFERROR(__xludf.DUMMYFUNCTION("""COMPUTED_VALUE"""),"B-cube.ai")</f>
        <v>B-cube.ai</v>
      </c>
    </row>
    <row r="1405" spans="1:3" x14ac:dyDescent="0.25">
      <c r="A1405" s="2" t="str">
        <f ca="1">IFERROR(__xludf.DUMMYFUNCTION("""COMPUTED_VALUE"""),"bdollar")</f>
        <v>bdollar</v>
      </c>
      <c r="B1405" s="2" t="str">
        <f ca="1">IFERROR(__xludf.DUMMYFUNCTION("""COMPUTED_VALUE"""),"bdo")</f>
        <v>bdo</v>
      </c>
      <c r="C1405" s="2" t="str">
        <f ca="1">IFERROR(__xludf.DUMMYFUNCTION("""COMPUTED_VALUE"""),"bDollar")</f>
        <v>bDollar</v>
      </c>
    </row>
    <row r="1406" spans="1:3" x14ac:dyDescent="0.25">
      <c r="A1406" s="2" t="str">
        <f ca="1">IFERROR(__xludf.DUMMYFUNCTION("""COMPUTED_VALUE"""),"beacon")</f>
        <v>beacon</v>
      </c>
      <c r="B1406" s="2" t="str">
        <f ca="1">IFERROR(__xludf.DUMMYFUNCTION("""COMPUTED_VALUE"""),"becn")</f>
        <v>becn</v>
      </c>
      <c r="C1406" s="2" t="str">
        <f ca="1">IFERROR(__xludf.DUMMYFUNCTION("""COMPUTED_VALUE"""),"Beacon")</f>
        <v>Beacon</v>
      </c>
    </row>
    <row r="1407" spans="1:3" x14ac:dyDescent="0.25">
      <c r="A1407" s="2" t="str">
        <f ca="1">IFERROR(__xludf.DUMMYFUNCTION("""COMPUTED_VALUE"""),"beam")</f>
        <v>beam</v>
      </c>
      <c r="B1407" s="2" t="str">
        <f ca="1">IFERROR(__xludf.DUMMYFUNCTION("""COMPUTED_VALUE"""),"beam")</f>
        <v>beam</v>
      </c>
      <c r="C1407" s="2" t="str">
        <f ca="1">IFERROR(__xludf.DUMMYFUNCTION("""COMPUTED_VALUE"""),"BEAM")</f>
        <v>BEAM</v>
      </c>
    </row>
    <row r="1408" spans="1:3" x14ac:dyDescent="0.25">
      <c r="A1408" s="2" t="str">
        <f ca="1">IFERROR(__xludf.DUMMYFUNCTION("""COMPUTED_VALUE"""),"beam-2")</f>
        <v>beam-2</v>
      </c>
      <c r="B1408" s="2" t="str">
        <f ca="1">IFERROR(__xludf.DUMMYFUNCTION("""COMPUTED_VALUE"""),"beam")</f>
        <v>beam</v>
      </c>
      <c r="C1408" s="2" t="str">
        <f ca="1">IFERROR(__xludf.DUMMYFUNCTION("""COMPUTED_VALUE"""),"Beam")</f>
        <v>Beam</v>
      </c>
    </row>
    <row r="1409" spans="1:3" x14ac:dyDescent="0.25">
      <c r="A1409" s="2" t="str">
        <f ca="1">IFERROR(__xludf.DUMMYFUNCTION("""COMPUTED_VALUE"""),"beam-bridged-avax-beam")</f>
        <v>beam-bridged-avax-beam</v>
      </c>
      <c r="B1409" s="2" t="str">
        <f ca="1">IFERROR(__xludf.DUMMYFUNCTION("""COMPUTED_VALUE"""),"avax")</f>
        <v>avax</v>
      </c>
      <c r="C1409" s="2" t="str">
        <f ca="1">IFERROR(__xludf.DUMMYFUNCTION("""COMPUTED_VALUE"""),"Beam Bridged AVAX (Beam)")</f>
        <v>Beam Bridged AVAX (Beam)</v>
      </c>
    </row>
    <row r="1410" spans="1:3" x14ac:dyDescent="0.25">
      <c r="A1410" s="2" t="str">
        <f ca="1">IFERROR(__xludf.DUMMYFUNCTION("""COMPUTED_VALUE"""),"beam-bridged-usdc-beam")</f>
        <v>beam-bridged-usdc-beam</v>
      </c>
      <c r="B1410" s="2" t="str">
        <f ca="1">IFERROR(__xludf.DUMMYFUNCTION("""COMPUTED_VALUE"""),"usdc")</f>
        <v>usdc</v>
      </c>
      <c r="C1410" s="2" t="str">
        <f ca="1">IFERROR(__xludf.DUMMYFUNCTION("""COMPUTED_VALUE"""),"Beam Bridged USDC (Beam)")</f>
        <v>Beam Bridged USDC (Beam)</v>
      </c>
    </row>
    <row r="1411" spans="1:3" x14ac:dyDescent="0.25">
      <c r="A1411" s="2" t="str">
        <f ca="1">IFERROR(__xludf.DUMMYFUNCTION("""COMPUTED_VALUE"""),"beam-bridged-usdt-beam")</f>
        <v>beam-bridged-usdt-beam</v>
      </c>
      <c r="B1411" s="2" t="str">
        <f ca="1">IFERROR(__xludf.DUMMYFUNCTION("""COMPUTED_VALUE"""),"usdt")</f>
        <v>usdt</v>
      </c>
      <c r="C1411" s="2" t="str">
        <f ca="1">IFERROR(__xludf.DUMMYFUNCTION("""COMPUTED_VALUE"""),"Beam Bridged USDT (Beam)")</f>
        <v>Beam Bridged USDT (Beam)</v>
      </c>
    </row>
    <row r="1412" spans="1:3" x14ac:dyDescent="0.25">
      <c r="A1412" s="2" t="str">
        <f ca="1">IFERROR(__xludf.DUMMYFUNCTION("""COMPUTED_VALUE"""),"beam-bridged-weth-beam")</f>
        <v>beam-bridged-weth-beam</v>
      </c>
      <c r="B1412" s="2" t="str">
        <f ca="1">IFERROR(__xludf.DUMMYFUNCTION("""COMPUTED_VALUE"""),"weth")</f>
        <v>weth</v>
      </c>
      <c r="C1412" s="2" t="str">
        <f ca="1">IFERROR(__xludf.DUMMYFUNCTION("""COMPUTED_VALUE"""),"Beam Bridged WETH (Beam)")</f>
        <v>Beam Bridged WETH (Beam)</v>
      </c>
    </row>
    <row r="1413" spans="1:3" x14ac:dyDescent="0.25">
      <c r="A1413" s="2" t="str">
        <f ca="1">IFERROR(__xludf.DUMMYFUNCTION("""COMPUTED_VALUE"""),"beamcat")</f>
        <v>beamcat</v>
      </c>
      <c r="B1413" s="2" t="str">
        <f ca="1">IFERROR(__xludf.DUMMYFUNCTION("""COMPUTED_VALUE"""),"bcat")</f>
        <v>bcat</v>
      </c>
      <c r="C1413" s="2" t="str">
        <f ca="1">IFERROR(__xludf.DUMMYFUNCTION("""COMPUTED_VALUE"""),"BEAMCAT")</f>
        <v>BEAMCAT</v>
      </c>
    </row>
    <row r="1414" spans="1:3" x14ac:dyDescent="0.25">
      <c r="A1414" s="2" t="str">
        <f ca="1">IFERROR(__xludf.DUMMYFUNCTION("""COMPUTED_VALUE"""),"beamswap")</f>
        <v>beamswap</v>
      </c>
      <c r="B1414" s="2" t="str">
        <f ca="1">IFERROR(__xludf.DUMMYFUNCTION("""COMPUTED_VALUE"""),"glint")</f>
        <v>glint</v>
      </c>
      <c r="C1414" s="2" t="str">
        <f ca="1">IFERROR(__xludf.DUMMYFUNCTION("""COMPUTED_VALUE"""),"BeamSwap")</f>
        <v>BeamSwap</v>
      </c>
    </row>
    <row r="1415" spans="1:3" x14ac:dyDescent="0.25">
      <c r="A1415" s="2" t="str">
        <f ca="1">IFERROR(__xludf.DUMMYFUNCTION("""COMPUTED_VALUE"""),"beamx")</f>
        <v>beamx</v>
      </c>
      <c r="B1415" s="2" t="str">
        <f ca="1">IFERROR(__xludf.DUMMYFUNCTION("""COMPUTED_VALUE"""),"beamx")</f>
        <v>beamx</v>
      </c>
      <c r="C1415" s="2" t="str">
        <f ca="1">IFERROR(__xludf.DUMMYFUNCTION("""COMPUTED_VALUE"""),"BEAMX")</f>
        <v>BEAMX</v>
      </c>
    </row>
    <row r="1416" spans="1:3" x14ac:dyDescent="0.25">
      <c r="A1416" s="2" t="str">
        <f ca="1">IFERROR(__xludf.DUMMYFUNCTION("""COMPUTED_VALUE"""),"bean")</f>
        <v>bean</v>
      </c>
      <c r="B1416" s="2" t="str">
        <f ca="1">IFERROR(__xludf.DUMMYFUNCTION("""COMPUTED_VALUE"""),"bean")</f>
        <v>bean</v>
      </c>
      <c r="C1416" s="2" t="str">
        <f ca="1">IFERROR(__xludf.DUMMYFUNCTION("""COMPUTED_VALUE"""),"Bean")</f>
        <v>Bean</v>
      </c>
    </row>
    <row r="1417" spans="1:3" x14ac:dyDescent="0.25">
      <c r="A1417" s="2" t="str">
        <f ca="1">IFERROR(__xludf.DUMMYFUNCTION("""COMPUTED_VALUE"""),"bean-cash")</f>
        <v>bean-cash</v>
      </c>
      <c r="B1417" s="2" t="str">
        <f ca="1">IFERROR(__xludf.DUMMYFUNCTION("""COMPUTED_VALUE"""),"bitb")</f>
        <v>bitb</v>
      </c>
      <c r="C1417" s="2" t="str">
        <f ca="1">IFERROR(__xludf.DUMMYFUNCTION("""COMPUTED_VALUE"""),"Bean Cash")</f>
        <v>Bean Cash</v>
      </c>
    </row>
    <row r="1418" spans="1:3" x14ac:dyDescent="0.25">
      <c r="A1418" s="2" t="str">
        <f ca="1">IFERROR(__xludf.DUMMYFUNCTION("""COMPUTED_VALUE"""),"beany")</f>
        <v>beany</v>
      </c>
      <c r="B1418" s="2" t="str">
        <f ca="1">IFERROR(__xludf.DUMMYFUNCTION("""COMPUTED_VALUE"""),"beany")</f>
        <v>beany</v>
      </c>
      <c r="C1418" s="2" t="str">
        <f ca="1">IFERROR(__xludf.DUMMYFUNCTION("""COMPUTED_VALUE"""),"Beany")</f>
        <v>Beany</v>
      </c>
    </row>
    <row r="1419" spans="1:3" x14ac:dyDescent="0.25">
      <c r="A1419" s="2" t="str">
        <f ca="1">IFERROR(__xludf.DUMMYFUNCTION("""COMPUTED_VALUE"""),"bear-2")</f>
        <v>bear-2</v>
      </c>
      <c r="B1419" s="2" t="str">
        <f ca="1">IFERROR(__xludf.DUMMYFUNCTION("""COMPUTED_VALUE"""),"bear")</f>
        <v>bear</v>
      </c>
      <c r="C1419" s="2" t="str">
        <f ca="1">IFERROR(__xludf.DUMMYFUNCTION("""COMPUTED_VALUE"""),"Bear")</f>
        <v>Bear</v>
      </c>
    </row>
    <row r="1420" spans="1:3" x14ac:dyDescent="0.25">
      <c r="A1420" s="2" t="str">
        <f ca="1">IFERROR(__xludf.DUMMYFUNCTION("""COMPUTED_VALUE"""),"bearcoin")</f>
        <v>bearcoin</v>
      </c>
      <c r="B1420" s="2" t="str">
        <f ca="1">IFERROR(__xludf.DUMMYFUNCTION("""COMPUTED_VALUE"""),"bear")</f>
        <v>bear</v>
      </c>
      <c r="C1420" s="2" t="str">
        <f ca="1">IFERROR(__xludf.DUMMYFUNCTION("""COMPUTED_VALUE"""),"Bearcoin")</f>
        <v>Bearcoin</v>
      </c>
    </row>
    <row r="1421" spans="1:3" x14ac:dyDescent="0.25">
      <c r="A1421" s="2" t="str">
        <f ca="1">IFERROR(__xludf.DUMMYFUNCTION("""COMPUTED_VALUE"""),"beardy-dragon")</f>
        <v>beardy-dragon</v>
      </c>
      <c r="B1421" s="2" t="str">
        <f ca="1">IFERROR(__xludf.DUMMYFUNCTION("""COMPUTED_VALUE"""),"beardy")</f>
        <v>beardy</v>
      </c>
      <c r="C1421" s="2" t="str">
        <f ca="1">IFERROR(__xludf.DUMMYFUNCTION("""COMPUTED_VALUE"""),"Bearded Dragon")</f>
        <v>Bearded Dragon</v>
      </c>
    </row>
    <row r="1422" spans="1:3" x14ac:dyDescent="0.25">
      <c r="A1422" s="2" t="str">
        <f ca="1">IFERROR(__xludf.DUMMYFUNCTION("""COMPUTED_VALUE"""),"bear-inu")</f>
        <v>bear-inu</v>
      </c>
      <c r="B1422" s="2" t="str">
        <f ca="1">IFERROR(__xludf.DUMMYFUNCTION("""COMPUTED_VALUE"""),"bear")</f>
        <v>bear</v>
      </c>
      <c r="C1422" s="2" t="str">
        <f ca="1">IFERROR(__xludf.DUMMYFUNCTION("""COMPUTED_VALUE"""),"Bear Inu")</f>
        <v>Bear Inu</v>
      </c>
    </row>
    <row r="1423" spans="1:3" x14ac:dyDescent="0.25">
      <c r="A1423" s="2" t="str">
        <f ca="1">IFERROR(__xludf.DUMMYFUNCTION("""COMPUTED_VALUE"""),"bear-scrub-money")</f>
        <v>bear-scrub-money</v>
      </c>
      <c r="B1423" s="2" t="str">
        <f ca="1">IFERROR(__xludf.DUMMYFUNCTION("""COMPUTED_VALUE"""),"bear")</f>
        <v>bear</v>
      </c>
      <c r="C1423" s="2" t="str">
        <f ca="1">IFERROR(__xludf.DUMMYFUNCTION("""COMPUTED_VALUE"""),"Bear Scrub Money")</f>
        <v>Bear Scrub Money</v>
      </c>
    </row>
    <row r="1424" spans="1:3" x14ac:dyDescent="0.25">
      <c r="A1424" s="2" t="str">
        <f ca="1">IFERROR(__xludf.DUMMYFUNCTION("""COMPUTED_VALUE"""),"beat-2")</f>
        <v>beat-2</v>
      </c>
      <c r="B1424" s="2" t="str">
        <f ca="1">IFERROR(__xludf.DUMMYFUNCTION("""COMPUTED_VALUE"""),"beat")</f>
        <v>beat</v>
      </c>
      <c r="C1424" s="2" t="str">
        <f ca="1">IFERROR(__xludf.DUMMYFUNCTION("""COMPUTED_VALUE"""),"Beat")</f>
        <v>Beat</v>
      </c>
    </row>
    <row r="1425" spans="1:3" x14ac:dyDescent="0.25">
      <c r="A1425" s="2" t="str">
        <f ca="1">IFERROR(__xludf.DUMMYFUNCTION("""COMPUTED_VALUE"""),"beatgen-nft")</f>
        <v>beatgen-nft</v>
      </c>
      <c r="B1425" s="2" t="str">
        <f ca="1">IFERROR(__xludf.DUMMYFUNCTION("""COMPUTED_VALUE"""),"bgn")</f>
        <v>bgn</v>
      </c>
      <c r="C1425" s="2" t="str">
        <f ca="1">IFERROR(__xludf.DUMMYFUNCTION("""COMPUTED_VALUE"""),"BeatGen NFT")</f>
        <v>BeatGen NFT</v>
      </c>
    </row>
    <row r="1426" spans="1:3" x14ac:dyDescent="0.25">
      <c r="A1426" s="2" t="str">
        <f ca="1">IFERROR(__xludf.DUMMYFUNCTION("""COMPUTED_VALUE"""),"beat-the-allegations")</f>
        <v>beat-the-allegations</v>
      </c>
      <c r="B1426" s="2" t="str">
        <f ca="1">IFERROR(__xludf.DUMMYFUNCTION("""COMPUTED_VALUE"""),"star")</f>
        <v>star</v>
      </c>
      <c r="C1426" s="2" t="str">
        <f ca="1">IFERROR(__xludf.DUMMYFUNCTION("""COMPUTED_VALUE"""),"Beat The Allegations")</f>
        <v>Beat The Allegations</v>
      </c>
    </row>
    <row r="1427" spans="1:3" x14ac:dyDescent="0.25">
      <c r="A1427" s="2" t="str">
        <f ca="1">IFERROR(__xludf.DUMMYFUNCTION("""COMPUTED_VALUE"""),"beauty-bakery-linked-operation-transaction-technology")</f>
        <v>beauty-bakery-linked-operation-transaction-technology</v>
      </c>
      <c r="B1427" s="2" t="str">
        <f ca="1">IFERROR(__xludf.DUMMYFUNCTION("""COMPUTED_VALUE"""),"lott")</f>
        <v>lott</v>
      </c>
      <c r="C1427" s="2" t="str">
        <f ca="1">IFERROR(__xludf.DUMMYFUNCTION("""COMPUTED_VALUE"""),"Beauty Bakery Linked Operation Transaction Technology")</f>
        <v>Beauty Bakery Linked Operation Transaction Technology</v>
      </c>
    </row>
    <row r="1428" spans="1:3" x14ac:dyDescent="0.25">
      <c r="A1428" s="2" t="str">
        <f ca="1">IFERROR(__xludf.DUMMYFUNCTION("""COMPUTED_VALUE"""),"bebe")</f>
        <v>bebe</v>
      </c>
      <c r="B1428" s="2" t="str">
        <f ca="1">IFERROR(__xludf.DUMMYFUNCTION("""COMPUTED_VALUE"""),"bebe")</f>
        <v>bebe</v>
      </c>
      <c r="C1428" s="2" t="str">
        <f ca="1">IFERROR(__xludf.DUMMYFUNCTION("""COMPUTED_VALUE"""),"BEBE")</f>
        <v>BEBE</v>
      </c>
    </row>
    <row r="1429" spans="1:3" x14ac:dyDescent="0.25">
      <c r="A1429" s="2" t="str">
        <f ca="1">IFERROR(__xludf.DUMMYFUNCTION("""COMPUTED_VALUE"""),"bebe-2")</f>
        <v>bebe-2</v>
      </c>
      <c r="B1429" s="2" t="str">
        <f ca="1">IFERROR(__xludf.DUMMYFUNCTION("""COMPUTED_VALUE"""),"bebe")</f>
        <v>bebe</v>
      </c>
      <c r="C1429" s="2" t="str">
        <f ca="1">IFERROR(__xludf.DUMMYFUNCTION("""COMPUTED_VALUE"""),"BEBE")</f>
        <v>BEBE</v>
      </c>
    </row>
    <row r="1430" spans="1:3" x14ac:dyDescent="0.25">
      <c r="A1430" s="2" t="str">
        <f ca="1">IFERROR(__xludf.DUMMYFUNCTION("""COMPUTED_VALUE"""),"bebe-dog")</f>
        <v>bebe-dog</v>
      </c>
      <c r="B1430" s="2" t="str">
        <f ca="1">IFERROR(__xludf.DUMMYFUNCTION("""COMPUTED_VALUE"""),"bebe")</f>
        <v>bebe</v>
      </c>
      <c r="C1430" s="2" t="str">
        <f ca="1">IFERROR(__xludf.DUMMYFUNCTION("""COMPUTED_VALUE"""),"BEBE DOG")</f>
        <v>BEBE DOG</v>
      </c>
    </row>
    <row r="1431" spans="1:3" x14ac:dyDescent="0.25">
      <c r="A1431" s="2" t="str">
        <f ca="1">IFERROR(__xludf.DUMMYFUNCTION("""COMPUTED_VALUE"""),"bebe-on-base")</f>
        <v>bebe-on-base</v>
      </c>
      <c r="B1431" s="2" t="str">
        <f ca="1">IFERROR(__xludf.DUMMYFUNCTION("""COMPUTED_VALUE"""),"bebe")</f>
        <v>bebe</v>
      </c>
      <c r="C1431" s="2" t="str">
        <f ca="1">IFERROR(__xludf.DUMMYFUNCTION("""COMPUTED_VALUE"""),"Bebe on Base")</f>
        <v>Bebe on Base</v>
      </c>
    </row>
    <row r="1432" spans="1:3" x14ac:dyDescent="0.25">
      <c r="A1432" s="2" t="str">
        <f ca="1">IFERROR(__xludf.DUMMYFUNCTION("""COMPUTED_VALUE"""),"bee")</f>
        <v>bee</v>
      </c>
      <c r="B1432" s="2" t="str">
        <f ca="1">IFERROR(__xludf.DUMMYFUNCTION("""COMPUTED_VALUE"""),"bee")</f>
        <v>bee</v>
      </c>
      <c r="C1432" s="2" t="str">
        <f ca="1">IFERROR(__xludf.DUMMYFUNCTION("""COMPUTED_VALUE"""),"Bee")</f>
        <v>Bee</v>
      </c>
    </row>
    <row r="1433" spans="1:3" x14ac:dyDescent="0.25">
      <c r="A1433" s="2" t="str">
        <f ca="1">IFERROR(__xludf.DUMMYFUNCTION("""COMPUTED_VALUE"""),"beebase")</f>
        <v>beebase</v>
      </c>
      <c r="B1433" s="2" t="str">
        <f ca="1">IFERROR(__xludf.DUMMYFUNCTION("""COMPUTED_VALUE"""),"bee")</f>
        <v>bee</v>
      </c>
      <c r="C1433" s="2" t="str">
        <f ca="1">IFERROR(__xludf.DUMMYFUNCTION("""COMPUTED_VALUE"""),"BeeBase")</f>
        <v>BeeBase</v>
      </c>
    </row>
    <row r="1434" spans="1:3" x14ac:dyDescent="0.25">
      <c r="A1434" s="2" t="str">
        <f ca="1">IFERROR(__xludf.DUMMYFUNCTION("""COMPUTED_VALUE"""),"beef")</f>
        <v>beef</v>
      </c>
      <c r="B1434" s="2" t="str">
        <f ca="1">IFERROR(__xludf.DUMMYFUNCTION("""COMPUTED_VALUE"""),"beef")</f>
        <v>beef</v>
      </c>
      <c r="C1434" s="2" t="str">
        <f ca="1">IFERROR(__xludf.DUMMYFUNCTION("""COMPUTED_VALUE"""),"BEEF")</f>
        <v>BEEF</v>
      </c>
    </row>
    <row r="1435" spans="1:3" x14ac:dyDescent="0.25">
      <c r="A1435" s="2" t="str">
        <f ca="1">IFERROR(__xludf.DUMMYFUNCTION("""COMPUTED_VALUE"""),"beefy-escrowed-fantom")</f>
        <v>beefy-escrowed-fantom</v>
      </c>
      <c r="B1435" s="2" t="str">
        <f ca="1">IFERROR(__xludf.DUMMYFUNCTION("""COMPUTED_VALUE"""),"beftm")</f>
        <v>beftm</v>
      </c>
      <c r="C1435" s="2" t="str">
        <f ca="1">IFERROR(__xludf.DUMMYFUNCTION("""COMPUTED_VALUE"""),"Beefy Escrowed FTM")</f>
        <v>Beefy Escrowed FTM</v>
      </c>
    </row>
    <row r="1436" spans="1:3" x14ac:dyDescent="0.25">
      <c r="A1436" s="2" t="str">
        <f ca="1">IFERROR(__xludf.DUMMYFUNCTION("""COMPUTED_VALUE"""),"beefy-finance")</f>
        <v>beefy-finance</v>
      </c>
      <c r="B1436" s="2" t="str">
        <f ca="1">IFERROR(__xludf.DUMMYFUNCTION("""COMPUTED_VALUE"""),"bifi")</f>
        <v>bifi</v>
      </c>
      <c r="C1436" s="2" t="str">
        <f ca="1">IFERROR(__xludf.DUMMYFUNCTION("""COMPUTED_VALUE"""),"Beefy")</f>
        <v>Beefy</v>
      </c>
    </row>
    <row r="1437" spans="1:3" x14ac:dyDescent="0.25">
      <c r="A1437" s="2" t="str">
        <f ca="1">IFERROR(__xludf.DUMMYFUNCTION("""COMPUTED_VALUE"""),"beeg-blue-whale")</f>
        <v>beeg-blue-whale</v>
      </c>
      <c r="B1437" s="2" t="str">
        <f ca="1">IFERROR(__xludf.DUMMYFUNCTION("""COMPUTED_VALUE"""),"beeg")</f>
        <v>beeg</v>
      </c>
      <c r="C1437" s="2" t="str">
        <f ca="1">IFERROR(__xludf.DUMMYFUNCTION("""COMPUTED_VALUE"""),"Beeg Blue Whale")</f>
        <v>Beeg Blue Whale</v>
      </c>
    </row>
    <row r="1438" spans="1:3" x14ac:dyDescent="0.25">
      <c r="A1438" s="2" t="str">
        <f ca="1">IFERROR(__xludf.DUMMYFUNCTION("""COMPUTED_VALUE"""),"bee-launchpad")</f>
        <v>bee-launchpad</v>
      </c>
      <c r="B1438" s="2" t="str">
        <f ca="1">IFERROR(__xludf.DUMMYFUNCTION("""COMPUTED_VALUE"""),"bees")</f>
        <v>bees</v>
      </c>
      <c r="C1438" s="2" t="str">
        <f ca="1">IFERROR(__xludf.DUMMYFUNCTION("""COMPUTED_VALUE"""),"BEE Launchpad")</f>
        <v>BEE Launchpad</v>
      </c>
    </row>
    <row r="1439" spans="1:3" x14ac:dyDescent="0.25">
      <c r="A1439" s="2" t="str">
        <f ca="1">IFERROR(__xludf.DUMMYFUNCTION("""COMPUTED_VALUE"""),"beenode")</f>
        <v>beenode</v>
      </c>
      <c r="B1439" s="2" t="str">
        <f ca="1">IFERROR(__xludf.DUMMYFUNCTION("""COMPUTED_VALUE"""),"bnode")</f>
        <v>bnode</v>
      </c>
      <c r="C1439" s="2" t="str">
        <f ca="1">IFERROR(__xludf.DUMMYFUNCTION("""COMPUTED_VALUE"""),"Beenode")</f>
        <v>Beenode</v>
      </c>
    </row>
    <row r="1440" spans="1:3" x14ac:dyDescent="0.25">
      <c r="A1440" s="2" t="str">
        <f ca="1">IFERROR(__xludf.DUMMYFUNCTION("""COMPUTED_VALUE"""),"beep-2")</f>
        <v>beep-2</v>
      </c>
      <c r="B1440" s="2" t="str">
        <f ca="1">IFERROR(__xludf.DUMMYFUNCTION("""COMPUTED_VALUE"""),"beep")</f>
        <v>beep</v>
      </c>
      <c r="C1440" s="2" t="str">
        <f ca="1">IFERROR(__xludf.DUMMYFUNCTION("""COMPUTED_VALUE"""),"Beep")</f>
        <v>Beep</v>
      </c>
    </row>
    <row r="1441" spans="1:3" x14ac:dyDescent="0.25">
      <c r="A1441" s="2" t="str">
        <f ca="1">IFERROR(__xludf.DUMMYFUNCTION("""COMPUTED_VALUE"""),"beep-coin")</f>
        <v>beep-coin</v>
      </c>
      <c r="B1441" s="2" t="str">
        <f ca="1">IFERROR(__xludf.DUMMYFUNCTION("""COMPUTED_VALUE"""),"beep")</f>
        <v>beep</v>
      </c>
      <c r="C1441" s="2" t="str">
        <f ca="1">IFERROR(__xludf.DUMMYFUNCTION("""COMPUTED_VALUE"""),"BEEP Coin")</f>
        <v>BEEP Coin</v>
      </c>
    </row>
    <row r="1442" spans="1:3" x14ac:dyDescent="0.25">
      <c r="A1442" s="2" t="str">
        <f ca="1">IFERROR(__xludf.DUMMYFUNCTION("""COMPUTED_VALUE"""),"beercoin-2")</f>
        <v>beercoin-2</v>
      </c>
      <c r="B1442" s="2" t="str">
        <f ca="1">IFERROR(__xludf.DUMMYFUNCTION("""COMPUTED_VALUE"""),"beer")</f>
        <v>beer</v>
      </c>
      <c r="C1442" s="2" t="str">
        <f ca="1">IFERROR(__xludf.DUMMYFUNCTION("""COMPUTED_VALUE"""),"Beercoin")</f>
        <v>Beercoin</v>
      </c>
    </row>
    <row r="1443" spans="1:3" x14ac:dyDescent="0.25">
      <c r="A1443" s="2" t="str">
        <f ca="1">IFERROR(__xludf.DUMMYFUNCTION("""COMPUTED_VALUE"""),"beer-money")</f>
        <v>beer-money</v>
      </c>
      <c r="B1443" s="2" t="str">
        <f ca="1">IFERROR(__xludf.DUMMYFUNCTION("""COMPUTED_VALUE"""),"beer")</f>
        <v>beer</v>
      </c>
      <c r="C1443" s="2" t="str">
        <f ca="1">IFERROR(__xludf.DUMMYFUNCTION("""COMPUTED_VALUE"""),"Beer Money")</f>
        <v>Beer Money</v>
      </c>
    </row>
    <row r="1444" spans="1:3" x14ac:dyDescent="0.25">
      <c r="A1444" s="2" t="str">
        <f ca="1">IFERROR(__xludf.DUMMYFUNCTION("""COMPUTED_VALUE"""),"beethoven-x")</f>
        <v>beethoven-x</v>
      </c>
      <c r="B1444" s="2" t="str">
        <f ca="1">IFERROR(__xludf.DUMMYFUNCTION("""COMPUTED_VALUE"""),"beets")</f>
        <v>beets</v>
      </c>
      <c r="C1444" s="2" t="str">
        <f ca="1">IFERROR(__xludf.DUMMYFUNCTION("""COMPUTED_VALUE"""),"Beethoven X")</f>
        <v>Beethoven X</v>
      </c>
    </row>
    <row r="1445" spans="1:3" x14ac:dyDescent="0.25">
      <c r="A1445" s="2" t="str">
        <f ca="1">IFERROR(__xludf.DUMMYFUNCTION("""COMPUTED_VALUE"""),"bee-tools")</f>
        <v>bee-tools</v>
      </c>
      <c r="B1445" s="2" t="str">
        <f ca="1">IFERROR(__xludf.DUMMYFUNCTION("""COMPUTED_VALUE"""),"buzz")</f>
        <v>buzz</v>
      </c>
      <c r="C1445" s="2" t="str">
        <f ca="1">IFERROR(__xludf.DUMMYFUNCTION("""COMPUTED_VALUE"""),"Bee Tools")</f>
        <v>Bee Tools</v>
      </c>
    </row>
    <row r="1446" spans="1:3" x14ac:dyDescent="0.25">
      <c r="A1446" s="2" t="str">
        <f ca="1">IFERROR(__xludf.DUMMYFUNCTION("""COMPUTED_VALUE"""),"beetroot")</f>
        <v>beetroot</v>
      </c>
      <c r="B1446" s="2" t="str">
        <f ca="1">IFERROR(__xludf.DUMMYFUNCTION("""COMPUTED_VALUE"""),"beet")</f>
        <v>beet</v>
      </c>
      <c r="C1446" s="2" t="str">
        <f ca="1">IFERROR(__xludf.DUMMYFUNCTION("""COMPUTED_VALUE"""),"BEETroot")</f>
        <v>BEETroot</v>
      </c>
    </row>
    <row r="1447" spans="1:3" x14ac:dyDescent="0.25">
      <c r="A1447" s="2" t="str">
        <f ca="1">IFERROR(__xludf.DUMMYFUNCTION("""COMPUTED_VALUE"""),"befasterholdertoken")</f>
        <v>befasterholdertoken</v>
      </c>
      <c r="B1447" s="2" t="str">
        <f ca="1">IFERROR(__xludf.DUMMYFUNCTION("""COMPUTED_VALUE"""),"bfht")</f>
        <v>bfht</v>
      </c>
      <c r="C1447" s="2" t="str">
        <f ca="1">IFERROR(__xludf.DUMMYFUNCTION("""COMPUTED_VALUE"""),"BeFaster Holder Token")</f>
        <v>BeFaster Holder Token</v>
      </c>
    </row>
    <row r="1448" spans="1:3" x14ac:dyDescent="0.25">
      <c r="A1448" s="2" t="str">
        <f ca="1">IFERROR(__xludf.DUMMYFUNCTION("""COMPUTED_VALUE"""),"befe")</f>
        <v>befe</v>
      </c>
      <c r="B1448" s="2" t="str">
        <f ca="1">IFERROR(__xludf.DUMMYFUNCTION("""COMPUTED_VALUE"""),"befe")</f>
        <v>befe</v>
      </c>
      <c r="C1448" s="2" t="str">
        <f ca="1">IFERROR(__xludf.DUMMYFUNCTION("""COMPUTED_VALUE"""),"BEFE")</f>
        <v>BEFE</v>
      </c>
    </row>
    <row r="1449" spans="1:3" x14ac:dyDescent="0.25">
      <c r="A1449" s="2" t="str">
        <f ca="1">IFERROR(__xludf.DUMMYFUNCTION("""COMPUTED_VALUE"""),"befi-labs")</f>
        <v>befi-labs</v>
      </c>
      <c r="B1449" s="2" t="str">
        <f ca="1">IFERROR(__xludf.DUMMYFUNCTION("""COMPUTED_VALUE"""),"befi")</f>
        <v>befi</v>
      </c>
      <c r="C1449" s="2" t="str">
        <f ca="1">IFERROR(__xludf.DUMMYFUNCTION("""COMPUTED_VALUE"""),"BeFi Labs")</f>
        <v>BeFi Labs</v>
      </c>
    </row>
    <row r="1450" spans="1:3" x14ac:dyDescent="0.25">
      <c r="A1450" s="2" t="str">
        <f ca="1">IFERROR(__xludf.DUMMYFUNCTION("""COMPUTED_VALUE"""),"befitter")</f>
        <v>befitter</v>
      </c>
      <c r="B1450" s="2" t="str">
        <f ca="1">IFERROR(__xludf.DUMMYFUNCTION("""COMPUTED_VALUE"""),"fiu")</f>
        <v>fiu</v>
      </c>
      <c r="C1450" s="2" t="str">
        <f ca="1">IFERROR(__xludf.DUMMYFUNCTION("""COMPUTED_VALUE"""),"beFITTER")</f>
        <v>beFITTER</v>
      </c>
    </row>
    <row r="1451" spans="1:3" x14ac:dyDescent="0.25">
      <c r="A1451" s="2" t="str">
        <f ca="1">IFERROR(__xludf.DUMMYFUNCTION("""COMPUTED_VALUE"""),"be-for-fwx")</f>
        <v>be-for-fwx</v>
      </c>
      <c r="B1451" s="2" t="str">
        <f ca="1">IFERROR(__xludf.DUMMYFUNCTION("""COMPUTED_VALUE"""),"b4fwx")</f>
        <v>b4fwx</v>
      </c>
      <c r="C1451" s="2" t="str">
        <f ca="1">IFERROR(__xludf.DUMMYFUNCTION("""COMPUTED_VALUE"""),"Be For FWX")</f>
        <v>Be For FWX</v>
      </c>
    </row>
    <row r="1452" spans="1:3" x14ac:dyDescent="0.25">
      <c r="A1452" s="2" t="str">
        <f ca="1">IFERROR(__xludf.DUMMYFUNCTION("""COMPUTED_VALUE"""),"befy")</f>
        <v>befy</v>
      </c>
      <c r="B1452" s="2" t="str">
        <f ca="1">IFERROR(__xludf.DUMMYFUNCTION("""COMPUTED_VALUE"""),"befy")</f>
        <v>befy</v>
      </c>
      <c r="C1452" s="2" t="str">
        <f ca="1">IFERROR(__xludf.DUMMYFUNCTION("""COMPUTED_VALUE"""),"BEFY")</f>
        <v>BEFY</v>
      </c>
    </row>
    <row r="1453" spans="1:3" x14ac:dyDescent="0.25">
      <c r="A1453" s="2" t="str">
        <f ca="1">IFERROR(__xludf.DUMMYFUNCTION("""COMPUTED_VALUE"""),"beg")</f>
        <v>beg</v>
      </c>
      <c r="B1453" s="2" t="str">
        <f ca="1">IFERROR(__xludf.DUMMYFUNCTION("""COMPUTED_VALUE"""),"beg")</f>
        <v>beg</v>
      </c>
      <c r="C1453" s="2" t="str">
        <f ca="1">IFERROR(__xludf.DUMMYFUNCTION("""COMPUTED_VALUE"""),"Beg")</f>
        <v>Beg</v>
      </c>
    </row>
    <row r="1454" spans="1:3" x14ac:dyDescent="0.25">
      <c r="A1454" s="2" t="str">
        <f ca="1">IFERROR(__xludf.DUMMYFUNCTION("""COMPUTED_VALUE"""),"beholder")</f>
        <v>beholder</v>
      </c>
      <c r="B1454" s="2" t="str">
        <f ca="1">IFERROR(__xludf.DUMMYFUNCTION("""COMPUTED_VALUE"""),"eye")</f>
        <v>eye</v>
      </c>
      <c r="C1454" s="2" t="str">
        <f ca="1">IFERROR(__xludf.DUMMYFUNCTION("""COMPUTED_VALUE"""),"Behodler")</f>
        <v>Behodler</v>
      </c>
    </row>
    <row r="1455" spans="1:3" x14ac:dyDescent="0.25">
      <c r="A1455" s="2" t="str">
        <f ca="1">IFERROR(__xludf.DUMMYFUNCTION("""COMPUTED_VALUE"""),"bela")</f>
        <v>bela</v>
      </c>
      <c r="B1455" s="2" t="str">
        <f ca="1">IFERROR(__xludf.DUMMYFUNCTION("""COMPUTED_VALUE"""),"aqua")</f>
        <v>aqua</v>
      </c>
      <c r="C1455" s="2" t="str">
        <f ca="1">IFERROR(__xludf.DUMMYFUNCTION("""COMPUTED_VALUE"""),"Bela Aqua")</f>
        <v>Bela Aqua</v>
      </c>
    </row>
    <row r="1456" spans="1:3" x14ac:dyDescent="0.25">
      <c r="A1456" s="2" t="str">
        <f ca="1">IFERROR(__xludf.DUMMYFUNCTION("""COMPUTED_VALUE"""),"beldex")</f>
        <v>beldex</v>
      </c>
      <c r="B1456" s="2" t="str">
        <f ca="1">IFERROR(__xludf.DUMMYFUNCTION("""COMPUTED_VALUE"""),"bdx")</f>
        <v>bdx</v>
      </c>
      <c r="C1456" s="2" t="str">
        <f ca="1">IFERROR(__xludf.DUMMYFUNCTION("""COMPUTED_VALUE"""),"Beldex")</f>
        <v>Beldex</v>
      </c>
    </row>
    <row r="1457" spans="1:3" x14ac:dyDescent="0.25">
      <c r="A1457" s="2" t="str">
        <f ca="1">IFERROR(__xludf.DUMMYFUNCTION("""COMPUTED_VALUE"""),"believe-in-something")</f>
        <v>believe-in-something</v>
      </c>
      <c r="B1457" s="2" t="str">
        <f ca="1">IFERROR(__xludf.DUMMYFUNCTION("""COMPUTED_VALUE"""),"bis")</f>
        <v>bis</v>
      </c>
      <c r="C1457" s="2" t="str">
        <f ca="1">IFERROR(__xludf.DUMMYFUNCTION("""COMPUTED_VALUE"""),"Believe In Something")</f>
        <v>Believe In Something</v>
      </c>
    </row>
    <row r="1458" spans="1:3" x14ac:dyDescent="0.25">
      <c r="A1458" s="2" t="str">
        <f ca="1">IFERROR(__xludf.DUMMYFUNCTION("""COMPUTED_VALUE"""),"belifex")</f>
        <v>belifex</v>
      </c>
      <c r="B1458" s="2" t="str">
        <f ca="1">IFERROR(__xludf.DUMMYFUNCTION("""COMPUTED_VALUE"""),"befx")</f>
        <v>befx</v>
      </c>
      <c r="C1458" s="2" t="str">
        <f ca="1">IFERROR(__xludf.DUMMYFUNCTION("""COMPUTED_VALUE"""),"Belifex")</f>
        <v>Belifex</v>
      </c>
    </row>
    <row r="1459" spans="1:3" x14ac:dyDescent="0.25">
      <c r="A1459" s="2" t="str">
        <f ca="1">IFERROR(__xludf.DUMMYFUNCTION("""COMPUTED_VALUE"""),"bella-protocol")</f>
        <v>bella-protocol</v>
      </c>
      <c r="B1459" s="2" t="str">
        <f ca="1">IFERROR(__xludf.DUMMYFUNCTION("""COMPUTED_VALUE"""),"bel")</f>
        <v>bel</v>
      </c>
      <c r="C1459" s="2" t="str">
        <f ca="1">IFERROR(__xludf.DUMMYFUNCTION("""COMPUTED_VALUE"""),"Bella Protocol")</f>
        <v>Bella Protocol</v>
      </c>
    </row>
    <row r="1460" spans="1:3" x14ac:dyDescent="0.25">
      <c r="A1460" s="2" t="str">
        <f ca="1">IFERROR(__xludf.DUMMYFUNCTION("""COMPUTED_VALUE"""),"bellcoin")</f>
        <v>bellcoin</v>
      </c>
      <c r="B1460" s="2" t="str">
        <f ca="1">IFERROR(__xludf.DUMMYFUNCTION("""COMPUTED_VALUE"""),"bell")</f>
        <v>bell</v>
      </c>
      <c r="C1460" s="2" t="str">
        <f ca="1">IFERROR(__xludf.DUMMYFUNCTION("""COMPUTED_VALUE"""),"Bellcoin")</f>
        <v>Bellcoin</v>
      </c>
    </row>
    <row r="1461" spans="1:3" x14ac:dyDescent="0.25">
      <c r="A1461" s="2" t="str">
        <f ca="1">IFERROR(__xludf.DUMMYFUNCTION("""COMPUTED_VALUE"""),"bell-curve-money")</f>
        <v>bell-curve-money</v>
      </c>
      <c r="B1461" s="2" t="str">
        <f ca="1">IFERROR(__xludf.DUMMYFUNCTION("""COMPUTED_VALUE"""),"bell")</f>
        <v>bell</v>
      </c>
      <c r="C1461" s="2" t="str">
        <f ca="1">IFERROR(__xludf.DUMMYFUNCTION("""COMPUTED_VALUE"""),"Bell Curve Money")</f>
        <v>Bell Curve Money</v>
      </c>
    </row>
    <row r="1462" spans="1:3" x14ac:dyDescent="0.25">
      <c r="A1462" s="2" t="str">
        <f ca="1">IFERROR(__xludf.DUMMYFUNCTION("""COMPUTED_VALUE"""),"bellscoin")</f>
        <v>bellscoin</v>
      </c>
      <c r="B1462" s="2" t="str">
        <f ca="1">IFERROR(__xludf.DUMMYFUNCTION("""COMPUTED_VALUE"""),"bel")</f>
        <v>bel</v>
      </c>
      <c r="C1462" s="2" t="str">
        <f ca="1">IFERROR(__xludf.DUMMYFUNCTION("""COMPUTED_VALUE"""),"Bellscoin")</f>
        <v>Bellscoin</v>
      </c>
    </row>
    <row r="1463" spans="1:3" x14ac:dyDescent="0.25">
      <c r="A1463" s="2" t="str">
        <f ca="1">IFERROR(__xludf.DUMMYFUNCTION("""COMPUTED_VALUE"""),"belong")</f>
        <v>belong</v>
      </c>
      <c r="B1463" s="2" t="str">
        <f ca="1">IFERROR(__xludf.DUMMYFUNCTION("""COMPUTED_VALUE"""),"long")</f>
        <v>long</v>
      </c>
      <c r="C1463" s="2" t="str">
        <f ca="1">IFERROR(__xludf.DUMMYFUNCTION("""COMPUTED_VALUE"""),"Belong")</f>
        <v>Belong</v>
      </c>
    </row>
    <row r="1464" spans="1:3" x14ac:dyDescent="0.25">
      <c r="A1464" s="2" t="str">
        <f ca="1">IFERROR(__xludf.DUMMYFUNCTION("""COMPUTED_VALUE"""),"belt")</f>
        <v>belt</v>
      </c>
      <c r="B1464" s="2" t="str">
        <f ca="1">IFERROR(__xludf.DUMMYFUNCTION("""COMPUTED_VALUE"""),"belt")</f>
        <v>belt</v>
      </c>
      <c r="C1464" s="2" t="str">
        <f ca="1">IFERROR(__xludf.DUMMYFUNCTION("""COMPUTED_VALUE"""),"Belt")</f>
        <v>Belt</v>
      </c>
    </row>
    <row r="1465" spans="1:3" x14ac:dyDescent="0.25">
      <c r="A1465" s="2" t="str">
        <f ca="1">IFERROR(__xludf.DUMMYFUNCTION("""COMPUTED_VALUE"""),"beluga-cat")</f>
        <v>beluga-cat</v>
      </c>
      <c r="B1465" s="2" t="str">
        <f ca="1">IFERROR(__xludf.DUMMYFUNCTION("""COMPUTED_VALUE"""),"beluga")</f>
        <v>beluga</v>
      </c>
      <c r="C1465" s="2" t="str">
        <f ca="1">IFERROR(__xludf.DUMMYFUNCTION("""COMPUTED_VALUE"""),"Beluga Cat")</f>
        <v>Beluga Cat</v>
      </c>
    </row>
    <row r="1466" spans="1:3" x14ac:dyDescent="0.25">
      <c r="A1466" s="2" t="str">
        <f ca="1">IFERROR(__xludf.DUMMYFUNCTION("""COMPUTED_VALUE"""),"beluga-fi")</f>
        <v>beluga-fi</v>
      </c>
      <c r="B1466" s="2" t="str">
        <f ca="1">IFERROR(__xludf.DUMMYFUNCTION("""COMPUTED_VALUE"""),"beluga")</f>
        <v>beluga</v>
      </c>
      <c r="C1466" s="3" t="str">
        <f ca="1">IFERROR(__xludf.DUMMYFUNCTION("""COMPUTED_VALUE"""),"Beluga.fi")</f>
        <v>Beluga.fi</v>
      </c>
    </row>
    <row r="1467" spans="1:3" x14ac:dyDescent="0.25">
      <c r="A1467" s="2" t="str">
        <f ca="1">IFERROR(__xludf.DUMMYFUNCTION("""COMPUTED_VALUE"""),"bemchain")</f>
        <v>bemchain</v>
      </c>
      <c r="B1467" s="2" t="str">
        <f ca="1">IFERROR(__xludf.DUMMYFUNCTION("""COMPUTED_VALUE"""),"bcn")</f>
        <v>bcn</v>
      </c>
      <c r="C1467" s="2" t="str">
        <f ca="1">IFERROR(__xludf.DUMMYFUNCTION("""COMPUTED_VALUE"""),"Bemchain")</f>
        <v>Bemchain</v>
      </c>
    </row>
    <row r="1468" spans="1:3" x14ac:dyDescent="0.25">
      <c r="A1468" s="2" t="str">
        <f ca="1">IFERROR(__xludf.DUMMYFUNCTION("""COMPUTED_VALUE"""),"bemo-staked-ton")</f>
        <v>bemo-staked-ton</v>
      </c>
      <c r="B1468" s="2" t="str">
        <f ca="1">IFERROR(__xludf.DUMMYFUNCTION("""COMPUTED_VALUE"""),"stton")</f>
        <v>stton</v>
      </c>
      <c r="C1468" s="2" t="str">
        <f ca="1">IFERROR(__xludf.DUMMYFUNCTION("""COMPUTED_VALUE"""),"bemo Staked TON")</f>
        <v>bemo Staked TON</v>
      </c>
    </row>
    <row r="1469" spans="1:3" x14ac:dyDescent="0.25">
      <c r="A1469" s="2" t="str">
        <f ca="1">IFERROR(__xludf.DUMMYFUNCTION("""COMPUTED_VALUE"""),"ben-2")</f>
        <v>ben-2</v>
      </c>
      <c r="B1469" s="2" t="str">
        <f ca="1">IFERROR(__xludf.DUMMYFUNCTION("""COMPUTED_VALUE"""),"ben")</f>
        <v>ben</v>
      </c>
      <c r="C1469" s="2" t="str">
        <f ca="1">IFERROR(__xludf.DUMMYFUNCTION("""COMPUTED_VALUE"""),"Ben")</f>
        <v>Ben</v>
      </c>
    </row>
    <row r="1470" spans="1:3" x14ac:dyDescent="0.25">
      <c r="A1470" s="2" t="str">
        <f ca="1">IFERROR(__xludf.DUMMYFUNCTION("""COMPUTED_VALUE"""),"bencoin")</f>
        <v>bencoin</v>
      </c>
      <c r="B1470" s="2" t="str">
        <f ca="1">IFERROR(__xludf.DUMMYFUNCTION("""COMPUTED_VALUE"""),"$ben")</f>
        <v>$ben</v>
      </c>
      <c r="C1470" s="2" t="str">
        <f ca="1">IFERROR(__xludf.DUMMYFUNCTION("""COMPUTED_VALUE"""),"BENCOIN")</f>
        <v>BENCOIN</v>
      </c>
    </row>
    <row r="1471" spans="1:3" x14ac:dyDescent="0.25">
      <c r="A1471" s="2" t="str">
        <f ca="1">IFERROR(__xludf.DUMMYFUNCTION("""COMPUTED_VALUE"""),"benddao")</f>
        <v>benddao</v>
      </c>
      <c r="B1471" s="2" t="str">
        <f ca="1">IFERROR(__xludf.DUMMYFUNCTION("""COMPUTED_VALUE"""),"bend")</f>
        <v>bend</v>
      </c>
      <c r="C1471" s="2" t="str">
        <f ca="1">IFERROR(__xludf.DUMMYFUNCTION("""COMPUTED_VALUE"""),"BendDAO")</f>
        <v>BendDAO</v>
      </c>
    </row>
    <row r="1472" spans="1:3" x14ac:dyDescent="0.25">
      <c r="A1472" s="2" t="str">
        <f ca="1">IFERROR(__xludf.DUMMYFUNCTION("""COMPUTED_VALUE"""),"benddao-bdin-ordinals")</f>
        <v>benddao-bdin-ordinals</v>
      </c>
      <c r="B1472" s="2" t="str">
        <f ca="1">IFERROR(__xludf.DUMMYFUNCTION("""COMPUTED_VALUE"""),"bdin")</f>
        <v>bdin</v>
      </c>
      <c r="C1472" s="2" t="str">
        <f ca="1">IFERROR(__xludf.DUMMYFUNCTION("""COMPUTED_VALUE"""),"BendDAO BDIN (Ordinals)")</f>
        <v>BendDAO BDIN (Ordinals)</v>
      </c>
    </row>
    <row r="1473" spans="1:3" x14ac:dyDescent="0.25">
      <c r="A1473" s="2" t="str">
        <f ca="1">IFERROR(__xludf.DUMMYFUNCTION("""COMPUTED_VALUE"""),"beni")</f>
        <v>beni</v>
      </c>
      <c r="B1473" s="2" t="str">
        <f ca="1">IFERROR(__xludf.DUMMYFUNCTION("""COMPUTED_VALUE"""),"beni")</f>
        <v>beni</v>
      </c>
      <c r="C1473" s="2" t="str">
        <f ca="1">IFERROR(__xludf.DUMMYFUNCTION("""COMPUTED_VALUE"""),"Beni")</f>
        <v>Beni</v>
      </c>
    </row>
    <row r="1474" spans="1:3" x14ac:dyDescent="0.25">
      <c r="A1474" s="2" t="str">
        <f ca="1">IFERROR(__xludf.DUMMYFUNCTION("""COMPUTED_VALUE"""),"benji-bananas")</f>
        <v>benji-bananas</v>
      </c>
      <c r="B1474" s="2" t="str">
        <f ca="1">IFERROR(__xludf.DUMMYFUNCTION("""COMPUTED_VALUE"""),"tybeng")</f>
        <v>tybeng</v>
      </c>
      <c r="C1474" s="2" t="str">
        <f ca="1">IFERROR(__xludf.DUMMYFUNCTION("""COMPUTED_VALUE"""),"TYBENG")</f>
        <v>TYBENG</v>
      </c>
    </row>
    <row r="1475" spans="1:3" x14ac:dyDescent="0.25">
      <c r="A1475" s="2" t="str">
        <f ca="1">IFERROR(__xludf.DUMMYFUNCTION("""COMPUTED_VALUE"""),"benqi")</f>
        <v>benqi</v>
      </c>
      <c r="B1475" s="2" t="str">
        <f ca="1">IFERROR(__xludf.DUMMYFUNCTION("""COMPUTED_VALUE"""),"qi")</f>
        <v>qi</v>
      </c>
      <c r="C1475" s="2" t="str">
        <f ca="1">IFERROR(__xludf.DUMMYFUNCTION("""COMPUTED_VALUE"""),"BENQI")</f>
        <v>BENQI</v>
      </c>
    </row>
    <row r="1476" spans="1:3" x14ac:dyDescent="0.25">
      <c r="A1476" s="2" t="str">
        <f ca="1">IFERROR(__xludf.DUMMYFUNCTION("""COMPUTED_VALUE"""),"benqi-liquid-staked-avax")</f>
        <v>benqi-liquid-staked-avax</v>
      </c>
      <c r="B1476" s="2" t="str">
        <f ca="1">IFERROR(__xludf.DUMMYFUNCTION("""COMPUTED_VALUE"""),"savax")</f>
        <v>savax</v>
      </c>
      <c r="C1476" s="2" t="str">
        <f ca="1">IFERROR(__xludf.DUMMYFUNCTION("""COMPUTED_VALUE"""),"BENQI Liquid Staked AVAX")</f>
        <v>BENQI Liquid Staked AVAX</v>
      </c>
    </row>
    <row r="1477" spans="1:3" x14ac:dyDescent="0.25">
      <c r="A1477" s="2" t="str">
        <f ca="1">IFERROR(__xludf.DUMMYFUNCTION("""COMPUTED_VALUE"""),"ben-s-finale")</f>
        <v>ben-s-finale</v>
      </c>
      <c r="B1477" s="2" t="str">
        <f ca="1">IFERROR(__xludf.DUMMYFUNCTION("""COMPUTED_VALUE"""),"finale")</f>
        <v>finale</v>
      </c>
      <c r="C1477" s="2" t="str">
        <f ca="1">IFERROR(__xludf.DUMMYFUNCTION("""COMPUTED_VALUE"""),"Ben's Finale")</f>
        <v>Ben's Finale</v>
      </c>
    </row>
    <row r="1478" spans="1:3" x14ac:dyDescent="0.25">
      <c r="A1478" s="2" t="str">
        <f ca="1">IFERROR(__xludf.DUMMYFUNCTION("""COMPUTED_VALUE"""),"bent-finance")</f>
        <v>bent-finance</v>
      </c>
      <c r="B1478" s="2" t="str">
        <f ca="1">IFERROR(__xludf.DUMMYFUNCTION("""COMPUTED_VALUE"""),"bent")</f>
        <v>bent</v>
      </c>
      <c r="C1478" s="2" t="str">
        <f ca="1">IFERROR(__xludf.DUMMYFUNCTION("""COMPUTED_VALUE"""),"Bent Finance")</f>
        <v>Bent Finance</v>
      </c>
    </row>
    <row r="1479" spans="1:3" x14ac:dyDescent="0.25">
      <c r="A1479" s="2" t="str">
        <f ca="1">IFERROR(__xludf.DUMMYFUNCTION("""COMPUTED_VALUE"""),"ben-the-dog")</f>
        <v>ben-the-dog</v>
      </c>
      <c r="B1479" s="2" t="str">
        <f ca="1">IFERROR(__xludf.DUMMYFUNCTION("""COMPUTED_VALUE"""),"bendog")</f>
        <v>bendog</v>
      </c>
      <c r="C1479" s="2" t="str">
        <f ca="1">IFERROR(__xludf.DUMMYFUNCTION("""COMPUTED_VALUE"""),"Ben the Dog")</f>
        <v>Ben the Dog</v>
      </c>
    </row>
    <row r="1480" spans="1:3" x14ac:dyDescent="0.25">
      <c r="A1480" s="2" t="str">
        <f ca="1">IFERROR(__xludf.DUMMYFUNCTION("""COMPUTED_VALUE"""),"bento")</f>
        <v>bento</v>
      </c>
      <c r="B1480" s="2" t="str">
        <f ca="1">IFERROR(__xludf.DUMMYFUNCTION("""COMPUTED_VALUE"""),"bento")</f>
        <v>bento</v>
      </c>
      <c r="C1480" s="2" t="str">
        <f ca="1">IFERROR(__xludf.DUMMYFUNCTION("""COMPUTED_VALUE"""),"Bento")</f>
        <v>Bento</v>
      </c>
    </row>
    <row r="1481" spans="1:3" x14ac:dyDescent="0.25">
      <c r="A1481" s="2" t="str">
        <f ca="1">IFERROR(__xludf.DUMMYFUNCTION("""COMPUTED_VALUE"""),"beny-bad-boy")</f>
        <v>beny-bad-boy</v>
      </c>
      <c r="B1481" s="2" t="str">
        <f ca="1">IFERROR(__xludf.DUMMYFUNCTION("""COMPUTED_VALUE"""),"bbb")</f>
        <v>bbb</v>
      </c>
      <c r="C1481" s="2" t="str">
        <f ca="1">IFERROR(__xludf.DUMMYFUNCTION("""COMPUTED_VALUE"""),"Beny Bad Boy")</f>
        <v>Beny Bad Boy</v>
      </c>
    </row>
    <row r="1482" spans="1:3" x14ac:dyDescent="0.25">
      <c r="A1482" s="2" t="str">
        <f ca="1">IFERROR(__xludf.DUMMYFUNCTION("""COMPUTED_VALUE"""),"benyke-finance")</f>
        <v>benyke-finance</v>
      </c>
      <c r="B1482" s="2" t="str">
        <f ca="1">IFERROR(__xludf.DUMMYFUNCTION("""COMPUTED_VALUE"""),"benyke")</f>
        <v>benyke</v>
      </c>
      <c r="C1482" s="2" t="str">
        <f ca="1">IFERROR(__xludf.DUMMYFUNCTION("""COMPUTED_VALUE"""),"Benyke Finance")</f>
        <v>Benyke Finance</v>
      </c>
    </row>
    <row r="1483" spans="1:3" x14ac:dyDescent="0.25">
      <c r="A1483" s="2" t="str">
        <f ca="1">IFERROR(__xludf.DUMMYFUNCTION("""COMPUTED_VALUE"""),"benzene")</f>
        <v>benzene</v>
      </c>
      <c r="B1483" s="2" t="str">
        <f ca="1">IFERROR(__xludf.DUMMYFUNCTION("""COMPUTED_VALUE"""),"bzn")</f>
        <v>bzn</v>
      </c>
      <c r="C1483" s="2" t="str">
        <f ca="1">IFERROR(__xludf.DUMMYFUNCTION("""COMPUTED_VALUE"""),"Benzene")</f>
        <v>Benzene</v>
      </c>
    </row>
    <row r="1484" spans="1:3" x14ac:dyDescent="0.25">
      <c r="A1484" s="2" t="str">
        <f ca="1">IFERROR(__xludf.DUMMYFUNCTION("""COMPUTED_VALUE"""),"beoble")</f>
        <v>beoble</v>
      </c>
      <c r="B1484" s="2" t="str">
        <f ca="1">IFERROR(__xludf.DUMMYFUNCTION("""COMPUTED_VALUE"""),"bbl")</f>
        <v>bbl</v>
      </c>
      <c r="C1484" s="2" t="str">
        <f ca="1">IFERROR(__xludf.DUMMYFUNCTION("""COMPUTED_VALUE"""),"Beoble")</f>
        <v>Beoble</v>
      </c>
    </row>
    <row r="1485" spans="1:3" x14ac:dyDescent="0.25">
      <c r="A1485" s="2" t="str">
        <f ca="1">IFERROR(__xludf.DUMMYFUNCTION("""COMPUTED_VALUE"""),"bep20-leo")</f>
        <v>bep20-leo</v>
      </c>
      <c r="B1485" s="2" t="str">
        <f ca="1">IFERROR(__xludf.DUMMYFUNCTION("""COMPUTED_VALUE"""),"bleo")</f>
        <v>bleo</v>
      </c>
      <c r="C1485" s="2" t="str">
        <f ca="1">IFERROR(__xludf.DUMMYFUNCTION("""COMPUTED_VALUE"""),"BEP20 LEO")</f>
        <v>BEP20 LEO</v>
      </c>
    </row>
    <row r="1486" spans="1:3" x14ac:dyDescent="0.25">
      <c r="A1486" s="2" t="str">
        <f ca="1">IFERROR(__xludf.DUMMYFUNCTION("""COMPUTED_VALUE"""),"bepay")</f>
        <v>bepay</v>
      </c>
      <c r="B1486" s="2" t="str">
        <f ca="1">IFERROR(__xludf.DUMMYFUNCTION("""COMPUTED_VALUE"""),"becoin")</f>
        <v>becoin</v>
      </c>
      <c r="C1486" s="2" t="str">
        <f ca="1">IFERROR(__xludf.DUMMYFUNCTION("""COMPUTED_VALUE"""),"bePAY Finance")</f>
        <v>bePAY Finance</v>
      </c>
    </row>
    <row r="1487" spans="1:3" x14ac:dyDescent="0.25">
      <c r="A1487" s="2" t="str">
        <f ca="1">IFERROR(__xludf.DUMMYFUNCTION("""COMPUTED_VALUE"""),"bepe")</f>
        <v>bepe</v>
      </c>
      <c r="B1487" s="2" t="str">
        <f ca="1">IFERROR(__xludf.DUMMYFUNCTION("""COMPUTED_VALUE"""),"bepe")</f>
        <v>bepe</v>
      </c>
      <c r="C1487" s="2" t="str">
        <f ca="1">IFERROR(__xludf.DUMMYFUNCTION("""COMPUTED_VALUE"""),"BEPE")</f>
        <v>BEPE</v>
      </c>
    </row>
    <row r="1488" spans="1:3" x14ac:dyDescent="0.25">
      <c r="A1488" s="2" t="str">
        <f ca="1">IFERROR(__xludf.DUMMYFUNCTION("""COMPUTED_VALUE"""),"bepro-network")</f>
        <v>bepro-network</v>
      </c>
      <c r="B1488" s="2" t="str">
        <f ca="1">IFERROR(__xludf.DUMMYFUNCTION("""COMPUTED_VALUE"""),"bepro")</f>
        <v>bepro</v>
      </c>
      <c r="C1488" s="2" t="str">
        <f ca="1">IFERROR(__xludf.DUMMYFUNCTION("""COMPUTED_VALUE"""),"Bepro")</f>
        <v>Bepro</v>
      </c>
    </row>
    <row r="1489" spans="1:3" x14ac:dyDescent="0.25">
      <c r="A1489" s="2" t="str">
        <f ca="1">IFERROR(__xludf.DUMMYFUNCTION("""COMPUTED_VALUE"""),"berachain-bera")</f>
        <v>berachain-bera</v>
      </c>
      <c r="B1489" s="2" t="str">
        <f ca="1">IFERROR(__xludf.DUMMYFUNCTION("""COMPUTED_VALUE"""),"bera")</f>
        <v>bera</v>
      </c>
      <c r="C1489" s="2" t="str">
        <f ca="1">IFERROR(__xludf.DUMMYFUNCTION("""COMPUTED_VALUE"""),"Berachain BERA")</f>
        <v>Berachain BERA</v>
      </c>
    </row>
    <row r="1490" spans="1:3" x14ac:dyDescent="0.25">
      <c r="A1490" s="2" t="str">
        <f ca="1">IFERROR(__xludf.DUMMYFUNCTION("""COMPUTED_VALUE"""),"berf")</f>
        <v>berf</v>
      </c>
      <c r="B1490" s="2" t="str">
        <f ca="1">IFERROR(__xludf.DUMMYFUNCTION("""COMPUTED_VALUE"""),"berf")</f>
        <v>berf</v>
      </c>
      <c r="C1490" s="2" t="str">
        <f ca="1">IFERROR(__xludf.DUMMYFUNCTION("""COMPUTED_VALUE"""),"BERF")</f>
        <v>BERF</v>
      </c>
    </row>
    <row r="1491" spans="1:3" x14ac:dyDescent="0.25">
      <c r="A1491" s="2" t="str">
        <f ca="1">IFERROR(__xludf.DUMMYFUNCTION("""COMPUTED_VALUE"""),"bergerdoge")</f>
        <v>bergerdoge</v>
      </c>
      <c r="B1491" s="2" t="str">
        <f ca="1">IFERROR(__xludf.DUMMYFUNCTION("""COMPUTED_VALUE"""),"bergerdoge")</f>
        <v>bergerdoge</v>
      </c>
      <c r="C1491" s="2" t="str">
        <f ca="1">IFERROR(__xludf.DUMMYFUNCTION("""COMPUTED_VALUE"""),"BergerDoge")</f>
        <v>BergerDoge</v>
      </c>
    </row>
    <row r="1492" spans="1:3" x14ac:dyDescent="0.25">
      <c r="A1492" s="2" t="str">
        <f ca="1">IFERROR(__xludf.DUMMYFUNCTION("""COMPUTED_VALUE"""),"bermuda")</f>
        <v>bermuda</v>
      </c>
      <c r="B1492" s="2" t="str">
        <f ca="1">IFERROR(__xludf.DUMMYFUNCTION("""COMPUTED_VALUE"""),"bmda")</f>
        <v>bmda</v>
      </c>
      <c r="C1492" s="2" t="str">
        <f ca="1">IFERROR(__xludf.DUMMYFUNCTION("""COMPUTED_VALUE"""),"Bermuda")</f>
        <v>Bermuda</v>
      </c>
    </row>
    <row r="1493" spans="1:3" x14ac:dyDescent="0.25">
      <c r="A1493" s="2" t="str">
        <f ca="1">IFERROR(__xludf.DUMMYFUNCTION("""COMPUTED_VALUE"""),"berry")</f>
        <v>berry</v>
      </c>
      <c r="B1493" s="2" t="str">
        <f ca="1">IFERROR(__xludf.DUMMYFUNCTION("""COMPUTED_VALUE"""),"berry")</f>
        <v>berry</v>
      </c>
      <c r="C1493" s="2" t="str">
        <f ca="1">IFERROR(__xludf.DUMMYFUNCTION("""COMPUTED_VALUE"""),"Berry")</f>
        <v>Berry</v>
      </c>
    </row>
    <row r="1494" spans="1:3" x14ac:dyDescent="0.25">
      <c r="A1494" s="2" t="str">
        <f ca="1">IFERROR(__xludf.DUMMYFUNCTION("""COMPUTED_VALUE"""),"berry-data")</f>
        <v>berry-data</v>
      </c>
      <c r="B1494" s="2" t="str">
        <f ca="1">IFERROR(__xludf.DUMMYFUNCTION("""COMPUTED_VALUE"""),"bry")</f>
        <v>bry</v>
      </c>
      <c r="C1494" s="2" t="str">
        <f ca="1">IFERROR(__xludf.DUMMYFUNCTION("""COMPUTED_VALUE"""),"Berry Data")</f>
        <v>Berry Data</v>
      </c>
    </row>
    <row r="1495" spans="1:3" x14ac:dyDescent="0.25">
      <c r="A1495" s="2" t="str">
        <f ca="1">IFERROR(__xludf.DUMMYFUNCTION("""COMPUTED_VALUE"""),"berryswap")</f>
        <v>berryswap</v>
      </c>
      <c r="B1495" s="2" t="str">
        <f ca="1">IFERROR(__xludf.DUMMYFUNCTION("""COMPUTED_VALUE"""),"berry")</f>
        <v>berry</v>
      </c>
      <c r="C1495" s="2" t="str">
        <f ca="1">IFERROR(__xludf.DUMMYFUNCTION("""COMPUTED_VALUE"""),"BerrySwap")</f>
        <v>BerrySwap</v>
      </c>
    </row>
    <row r="1496" spans="1:3" x14ac:dyDescent="0.25">
      <c r="A1496" s="2" t="str">
        <f ca="1">IFERROR(__xludf.DUMMYFUNCTION("""COMPUTED_VALUE"""),"besa-gaming-company")</f>
        <v>besa-gaming-company</v>
      </c>
      <c r="B1496" s="2" t="str">
        <f ca="1">IFERROR(__xludf.DUMMYFUNCTION("""COMPUTED_VALUE"""),"besa")</f>
        <v>besa</v>
      </c>
      <c r="C1496" s="2" t="str">
        <f ca="1">IFERROR(__xludf.DUMMYFUNCTION("""COMPUTED_VALUE"""),"Besa Gaming Company")</f>
        <v>Besa Gaming Company</v>
      </c>
    </row>
    <row r="1497" spans="1:3" x14ac:dyDescent="0.25">
      <c r="A1497" s="2" t="str">
        <f ca="1">IFERROR(__xludf.DUMMYFUNCTION("""COMPUTED_VALUE"""),"besiktas")</f>
        <v>besiktas</v>
      </c>
      <c r="B1497" s="2" t="str">
        <f ca="1">IFERROR(__xludf.DUMMYFUNCTION("""COMPUTED_VALUE"""),"bjk")</f>
        <v>bjk</v>
      </c>
      <c r="C1497" s="2" t="str">
        <f ca="1">IFERROR(__xludf.DUMMYFUNCTION("""COMPUTED_VALUE"""),"Beşiktaş")</f>
        <v>Beşiktaş</v>
      </c>
    </row>
    <row r="1498" spans="1:3" x14ac:dyDescent="0.25">
      <c r="A1498" s="2" t="str">
        <f ca="1">IFERROR(__xludf.DUMMYFUNCTION("""COMPUTED_VALUE"""),"beskar")</f>
        <v>beskar</v>
      </c>
      <c r="B1498" s="2" t="str">
        <f ca="1">IFERROR(__xludf.DUMMYFUNCTION("""COMPUTED_VALUE"""),"bsk-baa025")</f>
        <v>bsk-baa025</v>
      </c>
      <c r="C1498" s="2" t="str">
        <f ca="1">IFERROR(__xludf.DUMMYFUNCTION("""COMPUTED_VALUE"""),"Beskar")</f>
        <v>Beskar</v>
      </c>
    </row>
    <row r="1499" spans="1:3" x14ac:dyDescent="0.25">
      <c r="A1499" s="2" t="str">
        <f ca="1">IFERROR(__xludf.DUMMYFUNCTION("""COMPUTED_VALUE"""),"beta-finance")</f>
        <v>beta-finance</v>
      </c>
      <c r="B1499" s="2" t="str">
        <f ca="1">IFERROR(__xludf.DUMMYFUNCTION("""COMPUTED_VALUE"""),"beta")</f>
        <v>beta</v>
      </c>
      <c r="C1499" s="2" t="str">
        <f ca="1">IFERROR(__xludf.DUMMYFUNCTION("""COMPUTED_VALUE"""),"Beta Finance")</f>
        <v>Beta Finance</v>
      </c>
    </row>
    <row r="1500" spans="1:3" x14ac:dyDescent="0.25">
      <c r="A1500" s="2" t="str">
        <f ca="1">IFERROR(__xludf.DUMMYFUNCTION("""COMPUTED_VALUE"""),"betai")</f>
        <v>betai</v>
      </c>
      <c r="B1500" s="2" t="str">
        <f ca="1">IFERROR(__xludf.DUMMYFUNCTION("""COMPUTED_VALUE"""),"bai")</f>
        <v>bai</v>
      </c>
      <c r="C1500" s="2" t="str">
        <f ca="1">IFERROR(__xludf.DUMMYFUNCTION("""COMPUTED_VALUE"""),"BetAI")</f>
        <v>BetAI</v>
      </c>
    </row>
    <row r="1501" spans="1:3" x14ac:dyDescent="0.25">
      <c r="A1501" s="2" t="str">
        <f ca="1">IFERROR(__xludf.DUMMYFUNCTION("""COMPUTED_VALUE"""),"betbase")</f>
        <v>betbase</v>
      </c>
      <c r="B1501" s="2" t="str">
        <f ca="1">IFERROR(__xludf.DUMMYFUNCTION("""COMPUTED_VALUE"""),"bet")</f>
        <v>bet</v>
      </c>
      <c r="C1501" s="2" t="str">
        <f ca="1">IFERROR(__xludf.DUMMYFUNCTION("""COMPUTED_VALUE"""),"BetBase")</f>
        <v>BetBase</v>
      </c>
    </row>
    <row r="1502" spans="1:3" x14ac:dyDescent="0.25">
      <c r="A1502" s="2" t="str">
        <f ca="1">IFERROR(__xludf.DUMMYFUNCTION("""COMPUTED_VALUE"""),"betbuinu")</f>
        <v>betbuinu</v>
      </c>
      <c r="B1502" s="2" t="str">
        <f ca="1">IFERROR(__xludf.DUMMYFUNCTION("""COMPUTED_VALUE"""),"crypto")</f>
        <v>crypto</v>
      </c>
      <c r="C1502" s="2" t="str">
        <f ca="1">IFERROR(__xludf.DUMMYFUNCTION("""COMPUTED_VALUE"""),"BetbuInu")</f>
        <v>BetbuInu</v>
      </c>
    </row>
    <row r="1503" spans="1:3" x14ac:dyDescent="0.25">
      <c r="A1503" s="2" t="str">
        <f ca="1">IFERROR(__xludf.DUMMYFUNCTION("""COMPUTED_VALUE"""),"betero")</f>
        <v>betero</v>
      </c>
      <c r="B1503" s="2" t="str">
        <f ca="1">IFERROR(__xludf.DUMMYFUNCTION("""COMPUTED_VALUE"""),"bte")</f>
        <v>bte</v>
      </c>
      <c r="C1503" s="2" t="str">
        <f ca="1">IFERROR(__xludf.DUMMYFUNCTION("""COMPUTED_VALUE"""),"Betero")</f>
        <v>Betero</v>
      </c>
    </row>
    <row r="1504" spans="1:3" x14ac:dyDescent="0.25">
      <c r="A1504" s="2" t="str">
        <f ca="1">IFERROR(__xludf.DUMMYFUNCTION("""COMPUTED_VALUE"""),"betfin-token")</f>
        <v>betfin-token</v>
      </c>
      <c r="B1504" s="2" t="str">
        <f ca="1">IFERROR(__xludf.DUMMYFUNCTION("""COMPUTED_VALUE"""),"bet")</f>
        <v>bet</v>
      </c>
      <c r="C1504" s="2" t="str">
        <f ca="1">IFERROR(__xludf.DUMMYFUNCTION("""COMPUTED_VALUE"""),"Betfin token")</f>
        <v>Betfin token</v>
      </c>
    </row>
    <row r="1505" spans="1:3" x14ac:dyDescent="0.25">
      <c r="A1505" s="2" t="str">
        <f ca="1">IFERROR(__xludf.DUMMYFUNCTION("""COMPUTED_VALUE"""),"bethel")</f>
        <v>bethel</v>
      </c>
      <c r="B1505" s="2" t="str">
        <f ca="1">IFERROR(__xludf.DUMMYFUNCTION("""COMPUTED_VALUE"""),"becx")</f>
        <v>becx</v>
      </c>
      <c r="C1505" s="2" t="str">
        <f ca="1">IFERROR(__xludf.DUMMYFUNCTION("""COMPUTED_VALUE"""),"Bethel")</f>
        <v>Bethel</v>
      </c>
    </row>
    <row r="1506" spans="1:3" x14ac:dyDescent="0.25">
      <c r="A1506" s="2" t="str">
        <f ca="1">IFERROR(__xludf.DUMMYFUNCTION("""COMPUTED_VALUE"""),"bet-lounge")</f>
        <v>bet-lounge</v>
      </c>
      <c r="B1506" s="2" t="str">
        <f ca="1">IFERROR(__xludf.DUMMYFUNCTION("""COMPUTED_VALUE"""),"betz")</f>
        <v>betz</v>
      </c>
      <c r="C1506" s="2" t="str">
        <f ca="1">IFERROR(__xludf.DUMMYFUNCTION("""COMPUTED_VALUE"""),"Bet Lounge")</f>
        <v>Bet Lounge</v>
      </c>
    </row>
    <row r="1507" spans="1:3" x14ac:dyDescent="0.25">
      <c r="A1507" s="2" t="str">
        <f ca="1">IFERROR(__xludf.DUMMYFUNCTION("""COMPUTED_VALUE"""),"betswap-gg")</f>
        <v>betswap-gg</v>
      </c>
      <c r="B1507" s="2" t="str">
        <f ca="1">IFERROR(__xludf.DUMMYFUNCTION("""COMPUTED_VALUE"""),"bsgg")</f>
        <v>bsgg</v>
      </c>
      <c r="C1507" s="3" t="str">
        <f ca="1">IFERROR(__xludf.DUMMYFUNCTION("""COMPUTED_VALUE"""),"Betswap.gg")</f>
        <v>Betswap.gg</v>
      </c>
    </row>
    <row r="1508" spans="1:3" x14ac:dyDescent="0.25">
      <c r="A1508" s="2" t="str">
        <f ca="1">IFERROR(__xludf.DUMMYFUNCTION("""COMPUTED_VALUE"""),"betswirl")</f>
        <v>betswirl</v>
      </c>
      <c r="B1508" s="2" t="str">
        <f ca="1">IFERROR(__xludf.DUMMYFUNCTION("""COMPUTED_VALUE"""),"bets")</f>
        <v>bets</v>
      </c>
      <c r="C1508" s="2" t="str">
        <f ca="1">IFERROR(__xludf.DUMMYFUNCTION("""COMPUTED_VALUE"""),"BetSwirl")</f>
        <v>BetSwirl</v>
      </c>
    </row>
    <row r="1509" spans="1:3" x14ac:dyDescent="0.25">
      <c r="A1509" s="2" t="str">
        <f ca="1">IFERROR(__xludf.DUMMYFUNCTION("""COMPUTED_VALUE"""),"betted")</f>
        <v>betted</v>
      </c>
      <c r="B1509" s="2" t="str">
        <f ca="1">IFERROR(__xludf.DUMMYFUNCTION("""COMPUTED_VALUE"""),"betted")</f>
        <v>betted</v>
      </c>
      <c r="C1509" s="2" t="str">
        <f ca="1">IFERROR(__xludf.DUMMYFUNCTION("""COMPUTED_VALUE"""),"Green Games")</f>
        <v>Green Games</v>
      </c>
    </row>
    <row r="1510" spans="1:3" x14ac:dyDescent="0.25">
      <c r="A1510" s="2" t="str">
        <f ca="1">IFERROR(__xludf.DUMMYFUNCTION("""COMPUTED_VALUE"""),"betterbelong")</f>
        <v>betterbelong</v>
      </c>
      <c r="B1510" s="2" t="str">
        <f ca="1">IFERROR(__xludf.DUMMYFUNCTION("""COMPUTED_VALUE"""),"long")</f>
        <v>long</v>
      </c>
      <c r="C1510" s="2" t="str">
        <f ca="1">IFERROR(__xludf.DUMMYFUNCTION("""COMPUTED_VALUE"""),"LONG")</f>
        <v>LONG</v>
      </c>
    </row>
    <row r="1511" spans="1:3" x14ac:dyDescent="0.25">
      <c r="A1511" s="2" t="str">
        <f ca="1">IFERROR(__xludf.DUMMYFUNCTION("""COMPUTED_VALUE"""),"betterfan")</f>
        <v>betterfan</v>
      </c>
      <c r="B1511" s="2" t="str">
        <f ca="1">IFERROR(__xludf.DUMMYFUNCTION("""COMPUTED_VALUE"""),"bff")</f>
        <v>bff</v>
      </c>
      <c r="C1511" s="2" t="str">
        <f ca="1">IFERROR(__xludf.DUMMYFUNCTION("""COMPUTED_VALUE"""),"BetterFan")</f>
        <v>BetterFan</v>
      </c>
    </row>
    <row r="1512" spans="1:3" x14ac:dyDescent="0.25">
      <c r="A1512" s="2" t="str">
        <f ca="1">IFERROR(__xludf.DUMMYFUNCTION("""COMPUTED_VALUE"""),"better-fan")</f>
        <v>better-fan</v>
      </c>
      <c r="B1512" s="2" t="str">
        <f ca="1">IFERROR(__xludf.DUMMYFUNCTION("""COMPUTED_VALUE"""),"btb")</f>
        <v>btb</v>
      </c>
      <c r="C1512" s="2" t="str">
        <f ca="1">IFERROR(__xludf.DUMMYFUNCTION("""COMPUTED_VALUE"""),"Better Fan")</f>
        <v>Better Fan</v>
      </c>
    </row>
    <row r="1513" spans="1:3" x14ac:dyDescent="0.25">
      <c r="A1513" s="2" t="str">
        <f ca="1">IFERROR(__xludf.DUMMYFUNCTION("""COMPUTED_VALUE"""),"betterment-digital")</f>
        <v>betterment-digital</v>
      </c>
      <c r="B1513" s="2" t="str">
        <f ca="1">IFERROR(__xludf.DUMMYFUNCTION("""COMPUTED_VALUE"""),"bemd")</f>
        <v>bemd</v>
      </c>
      <c r="C1513" s="2" t="str">
        <f ca="1">IFERROR(__xludf.DUMMYFUNCTION("""COMPUTED_VALUE"""),"Betterment Digital")</f>
        <v>Betterment Digital</v>
      </c>
    </row>
    <row r="1514" spans="1:3" x14ac:dyDescent="0.25">
      <c r="A1514" s="2" t="str">
        <f ca="1">IFERROR(__xludf.DUMMYFUNCTION("""COMPUTED_VALUE"""),"beyond-finance")</f>
        <v>beyond-finance</v>
      </c>
      <c r="B1514" s="2" t="str">
        <f ca="1">IFERROR(__xludf.DUMMYFUNCTION("""COMPUTED_VALUE"""),"byn")</f>
        <v>byn</v>
      </c>
      <c r="C1514" s="2" t="str">
        <f ca="1">IFERROR(__xludf.DUMMYFUNCTION("""COMPUTED_VALUE"""),"NBX")</f>
        <v>NBX</v>
      </c>
    </row>
    <row r="1515" spans="1:3" x14ac:dyDescent="0.25">
      <c r="A1515" s="2" t="str">
        <f ca="1">IFERROR(__xludf.DUMMYFUNCTION("""COMPUTED_VALUE"""),"beyond-protocol")</f>
        <v>beyond-protocol</v>
      </c>
      <c r="B1515" s="2" t="str">
        <f ca="1">IFERROR(__xludf.DUMMYFUNCTION("""COMPUTED_VALUE"""),"bp")</f>
        <v>bp</v>
      </c>
      <c r="C1515" s="2" t="str">
        <f ca="1">IFERROR(__xludf.DUMMYFUNCTION("""COMPUTED_VALUE"""),"Beyond Protocol")</f>
        <v>Beyond Protocol</v>
      </c>
    </row>
    <row r="1516" spans="1:3" x14ac:dyDescent="0.25">
      <c r="A1516" s="2" t="str">
        <f ca="1">IFERROR(__xludf.DUMMYFUNCTION("""COMPUTED_VALUE"""),"bezo")</f>
        <v>bezo</v>
      </c>
      <c r="B1516" s="2" t="str">
        <f ca="1">IFERROR(__xludf.DUMMYFUNCTION("""COMPUTED_VALUE"""),"bezo")</f>
        <v>bezo</v>
      </c>
      <c r="C1516" s="2" t="str">
        <f ca="1">IFERROR(__xludf.DUMMYFUNCTION("""COMPUTED_VALUE"""),"BEZO")</f>
        <v>BEZO</v>
      </c>
    </row>
    <row r="1517" spans="1:3" x14ac:dyDescent="0.25">
      <c r="A1517" s="2" t="str">
        <f ca="1">IFERROR(__xludf.DUMMYFUNCTION("""COMPUTED_VALUE"""),"bezoge-earth")</f>
        <v>bezoge-earth</v>
      </c>
      <c r="B1517" s="2" t="str">
        <f ca="1">IFERROR(__xludf.DUMMYFUNCTION("""COMPUTED_VALUE"""),"bezoge")</f>
        <v>bezoge</v>
      </c>
      <c r="C1517" s="2" t="str">
        <f ca="1">IFERROR(__xludf.DUMMYFUNCTION("""COMPUTED_VALUE"""),"Bezoge Earth")</f>
        <v>Bezoge Earth</v>
      </c>
    </row>
    <row r="1518" spans="1:3" x14ac:dyDescent="0.25">
      <c r="A1518" s="2" t="str">
        <f ca="1">IFERROR(__xludf.DUMMYFUNCTION("""COMPUTED_VALUE"""),"bfg-token")</f>
        <v>bfg-token</v>
      </c>
      <c r="B1518" s="2" t="str">
        <f ca="1">IFERROR(__xludf.DUMMYFUNCTION("""COMPUTED_VALUE"""),"bfg")</f>
        <v>bfg</v>
      </c>
      <c r="C1518" s="2" t="str">
        <f ca="1">IFERROR(__xludf.DUMMYFUNCTION("""COMPUTED_VALUE"""),"BFG Token")</f>
        <v>BFG Token</v>
      </c>
    </row>
    <row r="1519" spans="1:3" x14ac:dyDescent="0.25">
      <c r="A1519" s="2" t="str">
        <f ca="1">IFERROR(__xludf.DUMMYFUNCTION("""COMPUTED_VALUE"""),"bficgold")</f>
        <v>bficgold</v>
      </c>
      <c r="B1519" s="2" t="str">
        <f ca="1">IFERROR(__xludf.DUMMYFUNCTION("""COMPUTED_VALUE"""),"bficgold")</f>
        <v>bficgold</v>
      </c>
      <c r="C1519" s="2" t="str">
        <f ca="1">IFERROR(__xludf.DUMMYFUNCTION("""COMPUTED_VALUE"""),"BFICGOLD")</f>
        <v>BFICGOLD</v>
      </c>
    </row>
    <row r="1520" spans="1:3" x14ac:dyDescent="0.25">
      <c r="A1520" s="2" t="str">
        <f ca="1">IFERROR(__xludf.DUMMYFUNCTION("""COMPUTED_VALUE"""),"bficoin")</f>
        <v>bficoin</v>
      </c>
      <c r="B1520" s="2" t="str">
        <f ca="1">IFERROR(__xludf.DUMMYFUNCTION("""COMPUTED_VALUE"""),"bfic")</f>
        <v>bfic</v>
      </c>
      <c r="C1520" s="2" t="str">
        <f ca="1">IFERROR(__xludf.DUMMYFUNCTION("""COMPUTED_VALUE"""),"BFIC Coin")</f>
        <v>BFIC Coin</v>
      </c>
    </row>
    <row r="1521" spans="1:3" x14ac:dyDescent="0.25">
      <c r="A1521" s="2" t="str">
        <f ca="1">IFERROR(__xludf.DUMMYFUNCTION("""COMPUTED_VALUE"""),"bha")</f>
        <v>bha</v>
      </c>
      <c r="B1521" s="2" t="str">
        <f ca="1">IFERROR(__xludf.DUMMYFUNCTION("""COMPUTED_VALUE"""),"bha")</f>
        <v>bha</v>
      </c>
      <c r="C1521" s="2" t="str">
        <f ca="1">IFERROR(__xludf.DUMMYFUNCTION("""COMPUTED_VALUE"""),"BHA")</f>
        <v>BHA</v>
      </c>
    </row>
    <row r="1522" spans="1:3" x14ac:dyDescent="0.25">
      <c r="A1522" s="2" t="str">
        <f ca="1">IFERROR(__xludf.DUMMYFUNCTION("""COMPUTED_VALUE"""),"bhbd")</f>
        <v>bhbd</v>
      </c>
      <c r="B1522" s="2" t="str">
        <f ca="1">IFERROR(__xludf.DUMMYFUNCTION("""COMPUTED_VALUE"""),"bhbd")</f>
        <v>bhbd</v>
      </c>
      <c r="C1522" s="2" t="str">
        <f ca="1">IFERROR(__xludf.DUMMYFUNCTION("""COMPUTED_VALUE"""),"bHBD")</f>
        <v>bHBD</v>
      </c>
    </row>
    <row r="1523" spans="1:3" x14ac:dyDescent="0.25">
      <c r="A1523" s="2" t="str">
        <f ca="1">IFERROR(__xludf.DUMMYFUNCTION("""COMPUTED_VALUE"""),"bhive")</f>
        <v>bhive</v>
      </c>
      <c r="B1523" s="2" t="str">
        <f ca="1">IFERROR(__xludf.DUMMYFUNCTION("""COMPUTED_VALUE"""),"bhive")</f>
        <v>bhive</v>
      </c>
      <c r="C1523" s="2" t="str">
        <f ca="1">IFERROR(__xludf.DUMMYFUNCTION("""COMPUTED_VALUE"""),"bHIVE")</f>
        <v>bHIVE</v>
      </c>
    </row>
    <row r="1524" spans="1:3" x14ac:dyDescent="0.25">
      <c r="A1524" s="2" t="str">
        <f ca="1">IFERROR(__xludf.DUMMYFUNCTION("""COMPUTED_VALUE"""),"bhnetwork")</f>
        <v>bhnetwork</v>
      </c>
      <c r="B1524" s="2" t="str">
        <f ca="1">IFERROR(__xludf.DUMMYFUNCTION("""COMPUTED_VALUE"""),"bhat")</f>
        <v>bhat</v>
      </c>
      <c r="C1524" s="2" t="str">
        <f ca="1">IFERROR(__xludf.DUMMYFUNCTION("""COMPUTED_VALUE"""),"BHNetwork")</f>
        <v>BHNetwork</v>
      </c>
    </row>
    <row r="1525" spans="1:3" x14ac:dyDescent="0.25">
      <c r="A1525" s="2" t="str">
        <f ca="1">IFERROR(__xludf.DUMMYFUNCTION("""COMPUTED_VALUE"""),"bho-network")</f>
        <v>bho-network</v>
      </c>
      <c r="B1525" s="2" t="str">
        <f ca="1">IFERROR(__xludf.DUMMYFUNCTION("""COMPUTED_VALUE"""),"bho")</f>
        <v>bho</v>
      </c>
      <c r="C1525" s="2" t="str">
        <f ca="1">IFERROR(__xludf.DUMMYFUNCTION("""COMPUTED_VALUE"""),"BHO Network")</f>
        <v>BHO Network</v>
      </c>
    </row>
    <row r="1526" spans="1:3" x14ac:dyDescent="0.25">
      <c r="A1526" s="2" t="str">
        <f ca="1">IFERROR(__xludf.DUMMYFUNCTION("""COMPUTED_VALUE"""),"biaocoin")</f>
        <v>biaocoin</v>
      </c>
      <c r="B1526" s="2" t="str">
        <f ca="1">IFERROR(__xludf.DUMMYFUNCTION("""COMPUTED_VALUE"""),"biao")</f>
        <v>biao</v>
      </c>
      <c r="C1526" s="2" t="str">
        <f ca="1">IFERROR(__xludf.DUMMYFUNCTION("""COMPUTED_VALUE"""),"Biaocoin")</f>
        <v>Biaocoin</v>
      </c>
    </row>
    <row r="1527" spans="1:3" x14ac:dyDescent="0.25">
      <c r="A1527" s="2" t="str">
        <f ca="1">IFERROR(__xludf.DUMMYFUNCTION("""COMPUTED_VALUE"""),"biao-coin")</f>
        <v>biao-coin</v>
      </c>
      <c r="B1527" s="2" t="str">
        <f ca="1">IFERROR(__xludf.DUMMYFUNCTION("""COMPUTED_VALUE"""),"biao")</f>
        <v>biao</v>
      </c>
      <c r="C1527" s="2" t="str">
        <f ca="1">IFERROR(__xludf.DUMMYFUNCTION("""COMPUTED_VALUE"""),"Biao Coin")</f>
        <v>Biao Coin</v>
      </c>
    </row>
    <row r="1528" spans="1:3" x14ac:dyDescent="0.25">
      <c r="A1528" s="2" t="str">
        <f ca="1">IFERROR(__xludf.DUMMYFUNCTION("""COMPUTED_VALUE"""),"biaoqing")</f>
        <v>biaoqing</v>
      </c>
      <c r="B1528" s="2" t="str">
        <f ca="1">IFERROR(__xludf.DUMMYFUNCTION("""COMPUTED_VALUE"""),"biao")</f>
        <v>biao</v>
      </c>
      <c r="C1528" s="2" t="str">
        <f ca="1">IFERROR(__xludf.DUMMYFUNCTION("""COMPUTED_VALUE"""),"Biaoqing")</f>
        <v>Biaoqing</v>
      </c>
    </row>
    <row r="1529" spans="1:3" x14ac:dyDescent="0.25">
      <c r="A1529" s="2" t="str">
        <f ca="1">IFERROR(__xludf.DUMMYFUNCTION("""COMPUTED_VALUE"""),"biaoqing-tron")</f>
        <v>biaoqing-tron</v>
      </c>
      <c r="B1529" s="2" t="str">
        <f ca="1">IFERROR(__xludf.DUMMYFUNCTION("""COMPUTED_VALUE"""),"biao")</f>
        <v>biao</v>
      </c>
      <c r="C1529" s="2" t="str">
        <f ca="1">IFERROR(__xludf.DUMMYFUNCTION("""COMPUTED_VALUE"""),"Biaoqing TRON")</f>
        <v>Biaoqing TRON</v>
      </c>
    </row>
    <row r="1530" spans="1:3" x14ac:dyDescent="0.25">
      <c r="A1530" s="2" t="str">
        <f ca="1">IFERROR(__xludf.DUMMYFUNCTION("""COMPUTED_VALUE"""),"bib")</f>
        <v>bib</v>
      </c>
      <c r="B1530" s="2" t="str">
        <f ca="1">IFERROR(__xludf.DUMMYFUNCTION("""COMPUTED_VALUE"""),"bib")</f>
        <v>bib</v>
      </c>
      <c r="C1530" s="2" t="str">
        <f ca="1">IFERROR(__xludf.DUMMYFUNCTION("""COMPUTED_VALUE"""),"BIB")</f>
        <v>BIB</v>
      </c>
    </row>
    <row r="1531" spans="1:3" x14ac:dyDescent="0.25">
      <c r="A1531" s="2" t="str">
        <f ca="1">IFERROR(__xludf.DUMMYFUNCTION("""COMPUTED_VALUE"""),"bibi")</f>
        <v>bibi</v>
      </c>
      <c r="B1531" s="2" t="str">
        <f ca="1">IFERROR(__xludf.DUMMYFUNCTION("""COMPUTED_VALUE"""),"bibi")</f>
        <v>bibi</v>
      </c>
      <c r="C1531" s="2" t="str">
        <f ca="1">IFERROR(__xludf.DUMMYFUNCTION("""COMPUTED_VALUE"""),"BIBI")</f>
        <v>BIBI</v>
      </c>
    </row>
    <row r="1532" spans="1:3" x14ac:dyDescent="0.25">
      <c r="A1532" s="2" t="str">
        <f ca="1">IFERROR(__xludf.DUMMYFUNCTION("""COMPUTED_VALUE"""),"bibi-2")</f>
        <v>bibi-2</v>
      </c>
      <c r="B1532" s="2" t="str">
        <f ca="1">IFERROR(__xludf.DUMMYFUNCTION("""COMPUTED_VALUE"""),"bibi")</f>
        <v>bibi</v>
      </c>
      <c r="C1532" s="2" t="str">
        <f ca="1">IFERROR(__xludf.DUMMYFUNCTION("""COMPUTED_VALUE"""),"Bibi")</f>
        <v>Bibi</v>
      </c>
    </row>
    <row r="1533" spans="1:3" x14ac:dyDescent="0.25">
      <c r="A1533" s="2" t="str">
        <f ca="1">IFERROR(__xludf.DUMMYFUNCTION("""COMPUTED_VALUE"""),"bibi2-0")</f>
        <v>bibi2-0</v>
      </c>
      <c r="B1533" s="2" t="str">
        <f ca="1">IFERROR(__xludf.DUMMYFUNCTION("""COMPUTED_VALUE"""),"bibi2.0")</f>
        <v>bibi2.0</v>
      </c>
      <c r="C1533" s="2" t="str">
        <f ca="1">IFERROR(__xludf.DUMMYFUNCTION("""COMPUTED_VALUE"""),"BIBI2.0")</f>
        <v>BIBI2.0</v>
      </c>
    </row>
    <row r="1534" spans="1:3" x14ac:dyDescent="0.25">
      <c r="A1534" s="2" t="str">
        <f ca="1">IFERROR(__xludf.DUMMYFUNCTION("""COMPUTED_VALUE"""),"biblecoin")</f>
        <v>biblecoin</v>
      </c>
      <c r="B1534" s="2" t="str">
        <f ca="1">IFERROR(__xludf.DUMMYFUNCTION("""COMPUTED_VALUE"""),"bibl")</f>
        <v>bibl</v>
      </c>
      <c r="C1534" s="2" t="str">
        <f ca="1">IFERROR(__xludf.DUMMYFUNCTION("""COMPUTED_VALUE"""),"Biblecoin")</f>
        <v>Biblecoin</v>
      </c>
    </row>
    <row r="1535" spans="1:3" x14ac:dyDescent="0.25">
      <c r="A1535" s="2" t="str">
        <f ca="1">IFERROR(__xludf.DUMMYFUNCTION("""COMPUTED_VALUE"""),"biblical-truth")</f>
        <v>biblical-truth</v>
      </c>
      <c r="B1535" s="2" t="str">
        <f ca="1">IFERROR(__xludf.DUMMYFUNCTION("""COMPUTED_VALUE"""),"btru")</f>
        <v>btru</v>
      </c>
      <c r="C1535" s="2" t="str">
        <f ca="1">IFERROR(__xludf.DUMMYFUNCTION("""COMPUTED_VALUE"""),"Biblical Truth")</f>
        <v>Biblical Truth</v>
      </c>
    </row>
    <row r="1536" spans="1:3" x14ac:dyDescent="0.25">
      <c r="A1536" s="2" t="str">
        <f ca="1">IFERROR(__xludf.DUMMYFUNCTION("""COMPUTED_VALUE"""),"bibox-token")</f>
        <v>bibox-token</v>
      </c>
      <c r="B1536" s="2" t="str">
        <f ca="1">IFERROR(__xludf.DUMMYFUNCTION("""COMPUTED_VALUE"""),"bix")</f>
        <v>bix</v>
      </c>
      <c r="C1536" s="2" t="str">
        <f ca="1">IFERROR(__xludf.DUMMYFUNCTION("""COMPUTED_VALUE"""),"Bibox")</f>
        <v>Bibox</v>
      </c>
    </row>
    <row r="1537" spans="1:3" x14ac:dyDescent="0.25">
      <c r="A1537" s="2" t="str">
        <f ca="1">IFERROR(__xludf.DUMMYFUNCTION("""COMPUTED_VALUE"""),"biceps")</f>
        <v>biceps</v>
      </c>
      <c r="B1537" s="2" t="str">
        <f ca="1">IFERROR(__xludf.DUMMYFUNCTION("""COMPUTED_VALUE"""),"bics")</f>
        <v>bics</v>
      </c>
      <c r="C1537" s="2" t="str">
        <f ca="1">IFERROR(__xludf.DUMMYFUNCTION("""COMPUTED_VALUE"""),"Biceps")</f>
        <v>Biceps</v>
      </c>
    </row>
    <row r="1538" spans="1:3" x14ac:dyDescent="0.25">
      <c r="A1538" s="2" t="str">
        <f ca="1">IFERROR(__xludf.DUMMYFUNCTION("""COMPUTED_VALUE"""),"bicho")</f>
        <v>bicho</v>
      </c>
      <c r="B1538" s="2" t="str">
        <f ca="1">IFERROR(__xludf.DUMMYFUNCTION("""COMPUTED_VALUE"""),"bicho")</f>
        <v>bicho</v>
      </c>
      <c r="C1538" s="2" t="str">
        <f ca="1">IFERROR(__xludf.DUMMYFUNCTION("""COMPUTED_VALUE"""),"bicho")</f>
        <v>bicho</v>
      </c>
    </row>
    <row r="1539" spans="1:3" x14ac:dyDescent="0.25">
      <c r="A1539" s="2" t="str">
        <f ca="1">IFERROR(__xludf.DUMMYFUNCTION("""COMPUTED_VALUE"""),"bicity-ai-projects")</f>
        <v>bicity-ai-projects</v>
      </c>
      <c r="B1539" s="2" t="str">
        <f ca="1">IFERROR(__xludf.DUMMYFUNCTION("""COMPUTED_VALUE"""),"bicity")</f>
        <v>bicity</v>
      </c>
      <c r="C1539" s="2" t="str">
        <f ca="1">IFERROR(__xludf.DUMMYFUNCTION("""COMPUTED_VALUE"""),"BiCity AI Projects")</f>
        <v>BiCity AI Projects</v>
      </c>
    </row>
    <row r="1540" spans="1:3" x14ac:dyDescent="0.25">
      <c r="A1540" s="2" t="str">
        <f ca="1">IFERROR(__xludf.DUMMYFUNCTION("""COMPUTED_VALUE"""),"biconbase")</f>
        <v>biconbase</v>
      </c>
      <c r="B1540" s="2" t="str">
        <f ca="1">IFERROR(__xludf.DUMMYFUNCTION("""COMPUTED_VALUE"""),"bic")</f>
        <v>bic</v>
      </c>
      <c r="C1540" s="2" t="str">
        <f ca="1">IFERROR(__xludf.DUMMYFUNCTION("""COMPUTED_VALUE"""),"BicOnBase")</f>
        <v>BicOnBase</v>
      </c>
    </row>
    <row r="1541" spans="1:3" x14ac:dyDescent="0.25">
      <c r="A1541" s="2" t="str">
        <f ca="1">IFERROR(__xludf.DUMMYFUNCTION("""COMPUTED_VALUE"""),"biconomy")</f>
        <v>biconomy</v>
      </c>
      <c r="B1541" s="2" t="str">
        <f ca="1">IFERROR(__xludf.DUMMYFUNCTION("""COMPUTED_VALUE"""),"bico")</f>
        <v>bico</v>
      </c>
      <c r="C1541" s="2" t="str">
        <f ca="1">IFERROR(__xludf.DUMMYFUNCTION("""COMPUTED_VALUE"""),"Biconomy")</f>
        <v>Biconomy</v>
      </c>
    </row>
    <row r="1542" spans="1:3" x14ac:dyDescent="0.25">
      <c r="A1542" s="2" t="str">
        <f ca="1">IFERROR(__xludf.DUMMYFUNCTION("""COMPUTED_VALUE"""),"biconomy-exchange-token")</f>
        <v>biconomy-exchange-token</v>
      </c>
      <c r="B1542" s="2" t="str">
        <f ca="1">IFERROR(__xludf.DUMMYFUNCTION("""COMPUTED_VALUE"""),"bit")</f>
        <v>bit</v>
      </c>
      <c r="C1542" s="2" t="str">
        <f ca="1">IFERROR(__xludf.DUMMYFUNCTION("""COMPUTED_VALUE"""),"Biconomy Exchange Token")</f>
        <v>Biconomy Exchange Token</v>
      </c>
    </row>
    <row r="1543" spans="1:3" x14ac:dyDescent="0.25">
      <c r="A1543" s="2" t="str">
        <f ca="1">IFERROR(__xludf.DUMMYFUNCTION("""COMPUTED_VALUE"""),"bictory")</f>
        <v>bictory</v>
      </c>
      <c r="B1543" s="2" t="str">
        <f ca="1">IFERROR(__xludf.DUMMYFUNCTION("""COMPUTED_VALUE"""),"slav")</f>
        <v>slav</v>
      </c>
      <c r="C1543" s="2" t="str">
        <f ca="1">IFERROR(__xludf.DUMMYFUNCTION("""COMPUTED_VALUE"""),"SLAV")</f>
        <v>SLAV</v>
      </c>
    </row>
    <row r="1544" spans="1:3" x14ac:dyDescent="0.25">
      <c r="A1544" s="2" t="str">
        <f ca="1">IFERROR(__xludf.DUMMYFUNCTION("""COMPUTED_VALUE"""),"bidao")</f>
        <v>bidao</v>
      </c>
      <c r="B1544" s="2" t="str">
        <f ca="1">IFERROR(__xludf.DUMMYFUNCTION("""COMPUTED_VALUE"""),"bid")</f>
        <v>bid</v>
      </c>
      <c r="C1544" s="2" t="str">
        <f ca="1">IFERROR(__xludf.DUMMYFUNCTION("""COMPUTED_VALUE"""),"Bidao")</f>
        <v>Bidao</v>
      </c>
    </row>
    <row r="1545" spans="1:3" x14ac:dyDescent="0.25">
      <c r="A1545" s="2" t="str">
        <f ca="1">IFERROR(__xludf.DUMMYFUNCTION("""COMPUTED_VALUE"""),"bidao-smart-chain")</f>
        <v>bidao-smart-chain</v>
      </c>
      <c r="B1545" s="2" t="str">
        <f ca="1">IFERROR(__xludf.DUMMYFUNCTION("""COMPUTED_VALUE"""),"bisc")</f>
        <v>bisc</v>
      </c>
      <c r="C1545" s="2" t="str">
        <f ca="1">IFERROR(__xludf.DUMMYFUNCTION("""COMPUTED_VALUE"""),"Bidao Smart Chain")</f>
        <v>Bidao Smart Chain</v>
      </c>
    </row>
    <row r="1546" spans="1:3" x14ac:dyDescent="0.25">
      <c r="A1546" s="2" t="str">
        <f ca="1">IFERROR(__xludf.DUMMYFUNCTION("""COMPUTED_VALUE"""),"bido-staked-bitcoin")</f>
        <v>bido-staked-bitcoin</v>
      </c>
      <c r="B1546" s="2" t="str">
        <f ca="1">IFERROR(__xludf.DUMMYFUNCTION("""COMPUTED_VALUE"""),"stbtc")</f>
        <v>stbtc</v>
      </c>
      <c r="C1546" s="2" t="str">
        <f ca="1">IFERROR(__xludf.DUMMYFUNCTION("""COMPUTED_VALUE"""),"Bido Staked Bitcoin")</f>
        <v>Bido Staked Bitcoin</v>
      </c>
    </row>
    <row r="1547" spans="1:3" x14ac:dyDescent="0.25">
      <c r="A1547" s="2" t="str">
        <f ca="1">IFERROR(__xludf.DUMMYFUNCTION("""COMPUTED_VALUE"""),"bid-protocol")</f>
        <v>bid-protocol</v>
      </c>
      <c r="B1547" s="2" t="str">
        <f ca="1">IFERROR(__xludf.DUMMYFUNCTION("""COMPUTED_VALUE"""),"bidp")</f>
        <v>bidp</v>
      </c>
      <c r="C1547" s="2" t="str">
        <f ca="1">IFERROR(__xludf.DUMMYFUNCTION("""COMPUTED_VALUE"""),"BID Protocol")</f>
        <v>BID Protocol</v>
      </c>
    </row>
    <row r="1548" spans="1:3" x14ac:dyDescent="0.25">
      <c r="A1548" s="2" t="str">
        <f ca="1">IFERROR(__xludf.DUMMYFUNCTION("""COMPUTED_VALUE"""),"bidz-coin")</f>
        <v>bidz-coin</v>
      </c>
      <c r="B1548" s="2" t="str">
        <f ca="1">IFERROR(__xludf.DUMMYFUNCTION("""COMPUTED_VALUE"""),"bidz")</f>
        <v>bidz</v>
      </c>
      <c r="C1548" s="2" t="str">
        <f ca="1">IFERROR(__xludf.DUMMYFUNCTION("""COMPUTED_VALUE"""),"BIDZ Coin")</f>
        <v>BIDZ Coin</v>
      </c>
    </row>
    <row r="1549" spans="1:3" x14ac:dyDescent="0.25">
      <c r="A1549" s="2" t="str">
        <f ca="1">IFERROR(__xludf.DUMMYFUNCTION("""COMPUTED_VALUE"""),"bifi")</f>
        <v>bifi</v>
      </c>
      <c r="B1549" s="2" t="str">
        <f ca="1">IFERROR(__xludf.DUMMYFUNCTION("""COMPUTED_VALUE"""),"bifi")</f>
        <v>bifi</v>
      </c>
      <c r="C1549" s="2" t="str">
        <f ca="1">IFERROR(__xludf.DUMMYFUNCTION("""COMPUTED_VALUE"""),"BiFi")</f>
        <v>BiFi</v>
      </c>
    </row>
    <row r="1550" spans="1:3" x14ac:dyDescent="0.25">
      <c r="A1550" s="2" t="str">
        <f ca="1">IFERROR(__xludf.DUMMYFUNCTION("""COMPUTED_VALUE"""),"bifrost")</f>
        <v>bifrost</v>
      </c>
      <c r="B1550" s="2" t="str">
        <f ca="1">IFERROR(__xludf.DUMMYFUNCTION("""COMPUTED_VALUE"""),"bfc")</f>
        <v>bfc</v>
      </c>
      <c r="C1550" s="2" t="str">
        <f ca="1">IFERROR(__xludf.DUMMYFUNCTION("""COMPUTED_VALUE"""),"Bifrost")</f>
        <v>Bifrost</v>
      </c>
    </row>
    <row r="1551" spans="1:3" x14ac:dyDescent="0.25">
      <c r="A1551" s="2" t="str">
        <f ca="1">IFERROR(__xludf.DUMMYFUNCTION("""COMPUTED_VALUE"""),"bifrost-bridged-bnb-bifrost")</f>
        <v>bifrost-bridged-bnb-bifrost</v>
      </c>
      <c r="B1551" s="2" t="str">
        <f ca="1">IFERROR(__xludf.DUMMYFUNCTION("""COMPUTED_VALUE"""),"bnb")</f>
        <v>bnb</v>
      </c>
      <c r="C1551" s="2" t="str">
        <f ca="1">IFERROR(__xludf.DUMMYFUNCTION("""COMPUTED_VALUE"""),"Bifrost Bridged BNB (Bifrost)")</f>
        <v>Bifrost Bridged BNB (Bifrost)</v>
      </c>
    </row>
    <row r="1552" spans="1:3" x14ac:dyDescent="0.25">
      <c r="A1552" s="2" t="str">
        <f ca="1">IFERROR(__xludf.DUMMYFUNCTION("""COMPUTED_VALUE"""),"bifrost-bridged-eth-bifrost")</f>
        <v>bifrost-bridged-eth-bifrost</v>
      </c>
      <c r="B1552" s="2" t="str">
        <f ca="1">IFERROR(__xludf.DUMMYFUNCTION("""COMPUTED_VALUE"""),"eth")</f>
        <v>eth</v>
      </c>
      <c r="C1552" s="2" t="str">
        <f ca="1">IFERROR(__xludf.DUMMYFUNCTION("""COMPUTED_VALUE"""),"Bifrost Bridged ETH (Bifrost)")</f>
        <v>Bifrost Bridged ETH (Bifrost)</v>
      </c>
    </row>
    <row r="1553" spans="1:3" x14ac:dyDescent="0.25">
      <c r="A1553" s="2" t="str">
        <f ca="1">IFERROR(__xludf.DUMMYFUNCTION("""COMPUTED_VALUE"""),"bifrost-bridged-matic-bifrost")</f>
        <v>bifrost-bridged-matic-bifrost</v>
      </c>
      <c r="B1553" s="2" t="str">
        <f ca="1">IFERROR(__xludf.DUMMYFUNCTION("""COMPUTED_VALUE"""),"matic")</f>
        <v>matic</v>
      </c>
      <c r="C1553" s="2" t="str">
        <f ca="1">IFERROR(__xludf.DUMMYFUNCTION("""COMPUTED_VALUE"""),"Bifrost Bridged MATIC (Bifrost)")</f>
        <v>Bifrost Bridged MATIC (Bifrost)</v>
      </c>
    </row>
    <row r="1554" spans="1:3" x14ac:dyDescent="0.25">
      <c r="A1554" s="2" t="str">
        <f ca="1">IFERROR(__xludf.DUMMYFUNCTION("""COMPUTED_VALUE"""),"bifrost-bridged-usdc-bifrost")</f>
        <v>bifrost-bridged-usdc-bifrost</v>
      </c>
      <c r="B1554" s="2" t="str">
        <f ca="1">IFERROR(__xludf.DUMMYFUNCTION("""COMPUTED_VALUE"""),"usdc")</f>
        <v>usdc</v>
      </c>
      <c r="C1554" s="2" t="str">
        <f ca="1">IFERROR(__xludf.DUMMYFUNCTION("""COMPUTED_VALUE"""),"Bifrost Bridged USDC (Bifrost)")</f>
        <v>Bifrost Bridged USDC (Bifrost)</v>
      </c>
    </row>
    <row r="1555" spans="1:3" x14ac:dyDescent="0.25">
      <c r="A1555" s="2" t="str">
        <f ca="1">IFERROR(__xludf.DUMMYFUNCTION("""COMPUTED_VALUE"""),"bifrost-native-coin")</f>
        <v>bifrost-native-coin</v>
      </c>
      <c r="B1555" s="2" t="str">
        <f ca="1">IFERROR(__xludf.DUMMYFUNCTION("""COMPUTED_VALUE"""),"bnc")</f>
        <v>bnc</v>
      </c>
      <c r="C1555" s="2" t="str">
        <f ca="1">IFERROR(__xludf.DUMMYFUNCTION("""COMPUTED_VALUE"""),"Bifrost Native Coin")</f>
        <v>Bifrost Native Coin</v>
      </c>
    </row>
    <row r="1556" spans="1:3" x14ac:dyDescent="0.25">
      <c r="A1556" s="2" t="str">
        <f ca="1">IFERROR(__xludf.DUMMYFUNCTION("""COMPUTED_VALUE"""),"bifrost-voucher-astr")</f>
        <v>bifrost-voucher-astr</v>
      </c>
      <c r="B1556" s="2" t="str">
        <f ca="1">IFERROR(__xludf.DUMMYFUNCTION("""COMPUTED_VALUE"""),"vastr")</f>
        <v>vastr</v>
      </c>
      <c r="C1556" s="2" t="str">
        <f ca="1">IFERROR(__xludf.DUMMYFUNCTION("""COMPUTED_VALUE"""),"Bifrost Voucher ASTR")</f>
        <v>Bifrost Voucher ASTR</v>
      </c>
    </row>
    <row r="1557" spans="1:3" x14ac:dyDescent="0.25">
      <c r="A1557" s="2" t="str">
        <f ca="1">IFERROR(__xludf.DUMMYFUNCTION("""COMPUTED_VALUE"""),"bifrost-voucher-manta")</f>
        <v>bifrost-voucher-manta</v>
      </c>
      <c r="B1557" s="2" t="str">
        <f ca="1">IFERROR(__xludf.DUMMYFUNCTION("""COMPUTED_VALUE"""),"vmanta")</f>
        <v>vmanta</v>
      </c>
      <c r="C1557" s="2" t="str">
        <f ca="1">IFERROR(__xludf.DUMMYFUNCTION("""COMPUTED_VALUE"""),"Bifrost Voucher MANTA")</f>
        <v>Bifrost Voucher MANTA</v>
      </c>
    </row>
    <row r="1558" spans="1:3" x14ac:dyDescent="0.25">
      <c r="A1558" s="2" t="str">
        <f ca="1">IFERROR(__xludf.DUMMYFUNCTION("""COMPUTED_VALUE"""),"big-bonus-coin")</f>
        <v>big-bonus-coin</v>
      </c>
      <c r="B1558" s="2" t="str">
        <f ca="1">IFERROR(__xludf.DUMMYFUNCTION("""COMPUTED_VALUE"""),"bbc")</f>
        <v>bbc</v>
      </c>
      <c r="C1558" s="2" t="str">
        <f ca="1">IFERROR(__xludf.DUMMYFUNCTION("""COMPUTED_VALUE"""),"Big Bonus Coin")</f>
        <v>Big Bonus Coin</v>
      </c>
    </row>
    <row r="1559" spans="1:3" x14ac:dyDescent="0.25">
      <c r="A1559" s="2" t="str">
        <f ca="1">IFERROR(__xludf.DUMMYFUNCTION("""COMPUTED_VALUE"""),"big-bonus-coin-2")</f>
        <v>big-bonus-coin-2</v>
      </c>
      <c r="B1559" s="2" t="str">
        <f ca="1">IFERROR(__xludf.DUMMYFUNCTION("""COMPUTED_VALUE"""),"bbc")</f>
        <v>bbc</v>
      </c>
      <c r="C1559" s="2" t="str">
        <f ca="1">IFERROR(__xludf.DUMMYFUNCTION("""COMPUTED_VALUE"""),"Big Bonus Coin [ETH]")</f>
        <v>Big Bonus Coin [ETH]</v>
      </c>
    </row>
    <row r="1560" spans="1:3" x14ac:dyDescent="0.25">
      <c r="A1560" s="2" t="str">
        <f ca="1">IFERROR(__xludf.DUMMYFUNCTION("""COMPUTED_VALUE"""),"big-bud")</f>
        <v>big-bud</v>
      </c>
      <c r="B1560" s="2" t="str">
        <f ca="1">IFERROR(__xludf.DUMMYFUNCTION("""COMPUTED_VALUE"""),"$bud")</f>
        <v>$bud</v>
      </c>
      <c r="C1560" s="2" t="str">
        <f ca="1">IFERROR(__xludf.DUMMYFUNCTION("""COMPUTED_VALUE"""),"Big Bud")</f>
        <v>Big Bud</v>
      </c>
    </row>
    <row r="1561" spans="1:3" x14ac:dyDescent="0.25">
      <c r="A1561" s="2" t="str">
        <f ca="1">IFERROR(__xludf.DUMMYFUNCTION("""COMPUTED_VALUE"""),"big-coin-2")</f>
        <v>big-coin-2</v>
      </c>
      <c r="B1561" s="2" t="str">
        <f ca="1">IFERROR(__xludf.DUMMYFUNCTION("""COMPUTED_VALUE"""),"bcx")</f>
        <v>bcx</v>
      </c>
      <c r="C1561" s="2" t="str">
        <f ca="1">IFERROR(__xludf.DUMMYFUNCTION("""COMPUTED_VALUE"""),"Big Coin")</f>
        <v>Big Coin</v>
      </c>
    </row>
    <row r="1562" spans="1:3" x14ac:dyDescent="0.25">
      <c r="A1562" s="2" t="str">
        <f ca="1">IFERROR(__xludf.DUMMYFUNCTION("""COMPUTED_VALUE"""),"big-data-protocol")</f>
        <v>big-data-protocol</v>
      </c>
      <c r="B1562" s="2" t="str">
        <f ca="1">IFERROR(__xludf.DUMMYFUNCTION("""COMPUTED_VALUE"""),"bdp")</f>
        <v>bdp</v>
      </c>
      <c r="C1562" s="2" t="str">
        <f ca="1">IFERROR(__xludf.DUMMYFUNCTION("""COMPUTED_VALUE"""),"Big Data Protocol")</f>
        <v>Big Data Protocol</v>
      </c>
    </row>
    <row r="1563" spans="1:3" x14ac:dyDescent="0.25">
      <c r="A1563" s="2" t="str">
        <f ca="1">IFERROR(__xludf.DUMMYFUNCTION("""COMPUTED_VALUE"""),"big-defi-energy")</f>
        <v>big-defi-energy</v>
      </c>
      <c r="B1563" s="2" t="str">
        <f ca="1">IFERROR(__xludf.DUMMYFUNCTION("""COMPUTED_VALUE"""),"bde")</f>
        <v>bde</v>
      </c>
      <c r="C1563" s="2" t="str">
        <f ca="1">IFERROR(__xludf.DUMMYFUNCTION("""COMPUTED_VALUE"""),"Big Defi Energy")</f>
        <v>Big Defi Energy</v>
      </c>
    </row>
    <row r="1564" spans="1:3" x14ac:dyDescent="0.25">
      <c r="A1564" s="2" t="str">
        <f ca="1">IFERROR(__xludf.DUMMYFUNCTION("""COMPUTED_VALUE"""),"big-eyes")</f>
        <v>big-eyes</v>
      </c>
      <c r="B1564" s="2" t="str">
        <f ca="1">IFERROR(__xludf.DUMMYFUNCTION("""COMPUTED_VALUE"""),"big")</f>
        <v>big</v>
      </c>
      <c r="C1564" s="2" t="str">
        <f ca="1">IFERROR(__xludf.DUMMYFUNCTION("""COMPUTED_VALUE"""),"Big Eyes")</f>
        <v>Big Eyes</v>
      </c>
    </row>
    <row r="1565" spans="1:3" x14ac:dyDescent="0.25">
      <c r="A1565" s="2" t="str">
        <f ca="1">IFERROR(__xludf.DUMMYFUNCTION("""COMPUTED_VALUE"""),"big-floppa")</f>
        <v>big-floppa</v>
      </c>
      <c r="B1565" s="2" t="str">
        <f ca="1">IFERROR(__xludf.DUMMYFUNCTION("""COMPUTED_VALUE"""),"$floppa")</f>
        <v>$floppa</v>
      </c>
      <c r="C1565" s="2" t="str">
        <f ca="1">IFERROR(__xludf.DUMMYFUNCTION("""COMPUTED_VALUE"""),"Big Floppa")</f>
        <v>Big Floppa</v>
      </c>
    </row>
    <row r="1566" spans="1:3" x14ac:dyDescent="0.25">
      <c r="A1566" s="2" t="str">
        <f ca="1">IFERROR(__xludf.DUMMYFUNCTION("""COMPUTED_VALUE"""),"big-pump")</f>
        <v>big-pump</v>
      </c>
      <c r="B1566" s="2" t="str">
        <f ca="1">IFERROR(__xludf.DUMMYFUNCTION("""COMPUTED_VALUE"""),"pump")</f>
        <v>pump</v>
      </c>
      <c r="C1566" s="2" t="str">
        <f ca="1">IFERROR(__xludf.DUMMYFUNCTION("""COMPUTED_VALUE"""),"Big Pump")</f>
        <v>Big Pump</v>
      </c>
    </row>
    <row r="1567" spans="1:3" x14ac:dyDescent="0.25">
      <c r="A1567" s="2" t="str">
        <f ca="1">IFERROR(__xludf.DUMMYFUNCTION("""COMPUTED_VALUE"""),"bigshortbets")</f>
        <v>bigshortbets</v>
      </c>
      <c r="B1567" s="2" t="str">
        <f ca="1">IFERROR(__xludf.DUMMYFUNCTION("""COMPUTED_VALUE"""),"bigsb")</f>
        <v>bigsb</v>
      </c>
      <c r="C1567" s="2" t="str">
        <f ca="1">IFERROR(__xludf.DUMMYFUNCTION("""COMPUTED_VALUE"""),"BigShortBets")</f>
        <v>BigShortBets</v>
      </c>
    </row>
    <row r="1568" spans="1:3" x14ac:dyDescent="0.25">
      <c r="A1568" s="2" t="str">
        <f ca="1">IFERROR(__xludf.DUMMYFUNCTION("""COMPUTED_VALUE"""),"big-time")</f>
        <v>big-time</v>
      </c>
      <c r="B1568" s="2" t="str">
        <f ca="1">IFERROR(__xludf.DUMMYFUNCTION("""COMPUTED_VALUE"""),"bigtime")</f>
        <v>bigtime</v>
      </c>
      <c r="C1568" s="2" t="str">
        <f ca="1">IFERROR(__xludf.DUMMYFUNCTION("""COMPUTED_VALUE"""),"Big Time")</f>
        <v>Big Time</v>
      </c>
    </row>
    <row r="1569" spans="1:3" x14ac:dyDescent="0.25">
      <c r="A1569" s="2" t="str">
        <f ca="1">IFERROR(__xludf.DUMMYFUNCTION("""COMPUTED_VALUE"""),"big-tom")</f>
        <v>big-tom</v>
      </c>
      <c r="B1569" s="2" t="str">
        <f ca="1">IFERROR(__xludf.DUMMYFUNCTION("""COMPUTED_VALUE"""),"tom")</f>
        <v>tom</v>
      </c>
      <c r="C1569" s="2" t="str">
        <f ca="1">IFERROR(__xludf.DUMMYFUNCTION("""COMPUTED_VALUE"""),"Big Tom")</f>
        <v>Big Tom</v>
      </c>
    </row>
    <row r="1570" spans="1:3" x14ac:dyDescent="0.25">
      <c r="A1570" s="2" t="str">
        <f ca="1">IFERROR(__xludf.DUMMYFUNCTION("""COMPUTED_VALUE"""),"big-tycoon")</f>
        <v>big-tycoon</v>
      </c>
      <c r="B1570" s="2" t="str">
        <f ca="1">IFERROR(__xludf.DUMMYFUNCTION("""COMPUTED_VALUE"""),"mbtyc")</f>
        <v>mbtyc</v>
      </c>
      <c r="C1570" s="2" t="str">
        <f ca="1">IFERROR(__xludf.DUMMYFUNCTION("""COMPUTED_VALUE"""),"Big Tycoon")</f>
        <v>Big Tycoon</v>
      </c>
    </row>
    <row r="1571" spans="1:3" x14ac:dyDescent="0.25">
      <c r="A1571" s="2" t="str">
        <f ca="1">IFERROR(__xludf.DUMMYFUNCTION("""COMPUTED_VALUE"""),"biis-ordinals")</f>
        <v>biis-ordinals</v>
      </c>
      <c r="B1571" s="2" t="str">
        <f ca="1">IFERROR(__xludf.DUMMYFUNCTION("""COMPUTED_VALUE"""),"biis")</f>
        <v>biis</v>
      </c>
      <c r="C1571" s="2" t="str">
        <f ca="1">IFERROR(__xludf.DUMMYFUNCTION("""COMPUTED_VALUE"""),"Biis (Ordinals)")</f>
        <v>Biis (Ordinals)</v>
      </c>
    </row>
    <row r="1572" spans="1:3" x14ac:dyDescent="0.25">
      <c r="A1572" s="2" t="str">
        <f ca="1">IFERROR(__xludf.DUMMYFUNCTION("""COMPUTED_VALUE"""),"bikerush")</f>
        <v>bikerush</v>
      </c>
      <c r="B1572" s="2" t="str">
        <f ca="1">IFERROR(__xludf.DUMMYFUNCTION("""COMPUTED_VALUE"""),"brt")</f>
        <v>brt</v>
      </c>
      <c r="C1572" s="2" t="str">
        <f ca="1">IFERROR(__xludf.DUMMYFUNCTION("""COMPUTED_VALUE"""),"Bikerush")</f>
        <v>Bikerush</v>
      </c>
    </row>
    <row r="1573" spans="1:3" x14ac:dyDescent="0.25">
      <c r="A1573" s="2" t="str">
        <f ca="1">IFERROR(__xludf.DUMMYFUNCTION("""COMPUTED_VALUE"""),"bilira")</f>
        <v>bilira</v>
      </c>
      <c r="B1573" s="2" t="str">
        <f ca="1">IFERROR(__xludf.DUMMYFUNCTION("""COMPUTED_VALUE"""),"tryb")</f>
        <v>tryb</v>
      </c>
      <c r="C1573" s="2" t="str">
        <f ca="1">IFERROR(__xludf.DUMMYFUNCTION("""COMPUTED_VALUE"""),"BiLira")</f>
        <v>BiLira</v>
      </c>
    </row>
    <row r="1574" spans="1:3" x14ac:dyDescent="0.25">
      <c r="A1574" s="2" t="str">
        <f ca="1">IFERROR(__xludf.DUMMYFUNCTION("""COMPUTED_VALUE"""),"billi")</f>
        <v>billi</v>
      </c>
      <c r="B1574" s="2" t="str">
        <f ca="1">IFERROR(__xludf.DUMMYFUNCTION("""COMPUTED_VALUE"""),"billi")</f>
        <v>billi</v>
      </c>
      <c r="C1574" s="2" t="str">
        <f ca="1">IFERROR(__xludf.DUMMYFUNCTION("""COMPUTED_VALUE"""),"Billi")</f>
        <v>Billi</v>
      </c>
    </row>
    <row r="1575" spans="1:3" x14ac:dyDescent="0.25">
      <c r="A1575" s="2" t="str">
        <f ca="1">IFERROR(__xludf.DUMMYFUNCTION("""COMPUTED_VALUE"""),"billicat")</f>
        <v>billicat</v>
      </c>
      <c r="B1575" s="2" t="str">
        <f ca="1">IFERROR(__xludf.DUMMYFUNCTION("""COMPUTED_VALUE"""),"bcat")</f>
        <v>bcat</v>
      </c>
      <c r="C1575" s="2" t="str">
        <f ca="1">IFERROR(__xludf.DUMMYFUNCTION("""COMPUTED_VALUE"""),"BilliCat")</f>
        <v>BilliCat</v>
      </c>
    </row>
    <row r="1576" spans="1:3" x14ac:dyDescent="0.25">
      <c r="A1576" s="2" t="str">
        <f ca="1">IFERROR(__xludf.DUMMYFUNCTION("""COMPUTED_VALUE"""),"billion-dollar-cat-runes")</f>
        <v>billion-dollar-cat-runes</v>
      </c>
      <c r="B1576" s="2" t="str">
        <f ca="1">IFERROR(__xludf.DUMMYFUNCTION("""COMPUTED_VALUE"""),"bdc")</f>
        <v>bdc</v>
      </c>
      <c r="C1576" s="2" t="str">
        <f ca="1">IFERROR(__xludf.DUMMYFUNCTION("""COMPUTED_VALUE"""),"BILLION•DOLLAR•CAT (Runes)")</f>
        <v>BILLION•DOLLAR•CAT (Runes)</v>
      </c>
    </row>
    <row r="1577" spans="1:3" x14ac:dyDescent="0.25">
      <c r="A1577" s="2" t="str">
        <f ca="1">IFERROR(__xludf.DUMMYFUNCTION("""COMPUTED_VALUE"""),"billion-dollar-dog-runes")</f>
        <v>billion-dollar-dog-runes</v>
      </c>
      <c r="B1577" s="2" t="str">
        <f ca="1">IFERROR(__xludf.DUMMYFUNCTION("""COMPUTED_VALUE"""),"billi")</f>
        <v>billi</v>
      </c>
      <c r="C1577" s="2" t="str">
        <f ca="1">IFERROR(__xludf.DUMMYFUNCTION("""COMPUTED_VALUE"""),"BILLION•DOLLAR•DOG (Runes)")</f>
        <v>BILLION•DOLLAR•DOG (Runes)</v>
      </c>
    </row>
    <row r="1578" spans="1:3" x14ac:dyDescent="0.25">
      <c r="A1578" s="2" t="str">
        <f ca="1">IFERROR(__xludf.DUMMYFUNCTION("""COMPUTED_VALUE"""),"billion-dollar-inu")</f>
        <v>billion-dollar-inu</v>
      </c>
      <c r="B1578" s="2" t="str">
        <f ca="1">IFERROR(__xludf.DUMMYFUNCTION("""COMPUTED_VALUE"""),"binu")</f>
        <v>binu</v>
      </c>
      <c r="C1578" s="2" t="str">
        <f ca="1">IFERROR(__xludf.DUMMYFUNCTION("""COMPUTED_VALUE"""),"Billion Dollar Inu")</f>
        <v>Billion Dollar Inu</v>
      </c>
    </row>
    <row r="1579" spans="1:3" x14ac:dyDescent="0.25">
      <c r="A1579" s="2" t="str">
        <f ca="1">IFERROR(__xludf.DUMMYFUNCTION("""COMPUTED_VALUE"""),"billionhappiness")</f>
        <v>billionhappiness</v>
      </c>
      <c r="B1579" s="2" t="str">
        <f ca="1">IFERROR(__xludf.DUMMYFUNCTION("""COMPUTED_VALUE"""),"bhc")</f>
        <v>bhc</v>
      </c>
      <c r="C1579" s="2" t="str">
        <f ca="1">IFERROR(__xludf.DUMMYFUNCTION("""COMPUTED_VALUE"""),"BillionHappiness")</f>
        <v>BillionHappiness</v>
      </c>
    </row>
    <row r="1580" spans="1:3" x14ac:dyDescent="0.25">
      <c r="A1580" s="2" t="str">
        <f ca="1">IFERROR(__xludf.DUMMYFUNCTION("""COMPUTED_VALUE"""),"billionview")</f>
        <v>billionview</v>
      </c>
      <c r="B1580" s="2" t="str">
        <f ca="1">IFERROR(__xludf.DUMMYFUNCTION("""COMPUTED_VALUE"""),"bvt")</f>
        <v>bvt</v>
      </c>
      <c r="C1580" s="2" t="str">
        <f ca="1">IFERROR(__xludf.DUMMYFUNCTION("""COMPUTED_VALUE"""),"Billionview")</f>
        <v>Billionview</v>
      </c>
    </row>
    <row r="1581" spans="1:3" x14ac:dyDescent="0.25">
      <c r="A1581" s="2" t="str">
        <f ca="1">IFERROR(__xludf.DUMMYFUNCTION("""COMPUTED_VALUE"""),"bill-the-bear")</f>
        <v>bill-the-bear</v>
      </c>
      <c r="B1581" s="2" t="str">
        <f ca="1">IFERROR(__xludf.DUMMYFUNCTION("""COMPUTED_VALUE"""),"bill")</f>
        <v>bill</v>
      </c>
      <c r="C1581" s="2" t="str">
        <f ca="1">IFERROR(__xludf.DUMMYFUNCTION("""COMPUTED_VALUE"""),"Bill the Bear")</f>
        <v>Bill the Bear</v>
      </c>
    </row>
    <row r="1582" spans="1:3" x14ac:dyDescent="0.25">
      <c r="A1582" s="2" t="str">
        <f ca="1">IFERROR(__xludf.DUMMYFUNCTION("""COMPUTED_VALUE"""),"billy")</f>
        <v>billy</v>
      </c>
      <c r="B1582" s="2" t="str">
        <f ca="1">IFERROR(__xludf.DUMMYFUNCTION("""COMPUTED_VALUE"""),"billy")</f>
        <v>billy</v>
      </c>
      <c r="C1582" s="2" t="str">
        <f ca="1">IFERROR(__xludf.DUMMYFUNCTION("""COMPUTED_VALUE"""),"Billy")</f>
        <v>Billy</v>
      </c>
    </row>
    <row r="1583" spans="1:3" x14ac:dyDescent="0.25">
      <c r="A1583" s="2" t="str">
        <f ca="1">IFERROR(__xludf.DUMMYFUNCTION("""COMPUTED_VALUE"""),"bim")</f>
        <v>bim</v>
      </c>
      <c r="B1583" s="2" t="str">
        <f ca="1">IFERROR(__xludf.DUMMYFUNCTION("""COMPUTED_VALUE"""),"bim")</f>
        <v>bim</v>
      </c>
      <c r="C1583" s="2" t="str">
        <f ca="1">IFERROR(__xludf.DUMMYFUNCTION("""COMPUTED_VALUE"""),"BIM")</f>
        <v>BIM</v>
      </c>
    </row>
    <row r="1584" spans="1:3" x14ac:dyDescent="0.25">
      <c r="A1584" s="2" t="str">
        <f ca="1">IFERROR(__xludf.DUMMYFUNCTION("""COMPUTED_VALUE"""),"bimbo-the-dog")</f>
        <v>bimbo-the-dog</v>
      </c>
      <c r="B1584" s="2" t="str">
        <f ca="1">IFERROR(__xludf.DUMMYFUNCTION("""COMPUTED_VALUE"""),"bimbo")</f>
        <v>bimbo</v>
      </c>
      <c r="C1584" s="2" t="str">
        <f ca="1">IFERROR(__xludf.DUMMYFUNCTION("""COMPUTED_VALUE"""),"Bimbo The Dog")</f>
        <v>Bimbo The Dog</v>
      </c>
    </row>
    <row r="1585" spans="1:3" x14ac:dyDescent="0.25">
      <c r="A1585" s="2" t="str">
        <f ca="1">IFERROR(__xludf.DUMMYFUNCTION("""COMPUTED_VALUE"""),"binamon")</f>
        <v>binamon</v>
      </c>
      <c r="B1585" s="2" t="str">
        <f ca="1">IFERROR(__xludf.DUMMYFUNCTION("""COMPUTED_VALUE"""),"bmon")</f>
        <v>bmon</v>
      </c>
      <c r="C1585" s="2" t="str">
        <f ca="1">IFERROR(__xludf.DUMMYFUNCTION("""COMPUTED_VALUE"""),"Binamon")</f>
        <v>Binamon</v>
      </c>
    </row>
    <row r="1586" spans="1:3" x14ac:dyDescent="0.25">
      <c r="A1586" s="2" t="str">
        <f ca="1">IFERROR(__xludf.DUMMYFUNCTION("""COMPUTED_VALUE"""),"binance-bitcoin")</f>
        <v>binance-bitcoin</v>
      </c>
      <c r="B1586" s="2" t="str">
        <f ca="1">IFERROR(__xludf.DUMMYFUNCTION("""COMPUTED_VALUE"""),"btcb")</f>
        <v>btcb</v>
      </c>
      <c r="C1586" s="2" t="str">
        <f ca="1">IFERROR(__xludf.DUMMYFUNCTION("""COMPUTED_VALUE"""),"Binance Bitcoin")</f>
        <v>Binance Bitcoin</v>
      </c>
    </row>
    <row r="1587" spans="1:3" x14ac:dyDescent="0.25">
      <c r="A1587" s="2" t="str">
        <f ca="1">IFERROR(__xludf.DUMMYFUNCTION("""COMPUTED_VALUE"""),"binance-bridged-usdc-bnb-smart-chain")</f>
        <v>binance-bridged-usdc-bnb-smart-chain</v>
      </c>
      <c r="B1587" s="2" t="str">
        <f ca="1">IFERROR(__xludf.DUMMYFUNCTION("""COMPUTED_VALUE"""),"usdc")</f>
        <v>usdc</v>
      </c>
      <c r="C1587" s="2" t="str">
        <f ca="1">IFERROR(__xludf.DUMMYFUNCTION("""COMPUTED_VALUE"""),"Binance Bridged USDC (BNB Smart Chain)")</f>
        <v>Binance Bridged USDC (BNB Smart Chain)</v>
      </c>
    </row>
    <row r="1588" spans="1:3" x14ac:dyDescent="0.25">
      <c r="A1588" s="2" t="str">
        <f ca="1">IFERROR(__xludf.DUMMYFUNCTION("""COMPUTED_VALUE"""),"binance-bridged-usdt-bnb-smart-chain")</f>
        <v>binance-bridged-usdt-bnb-smart-chain</v>
      </c>
      <c r="B1588" s="2" t="str">
        <f ca="1">IFERROR(__xludf.DUMMYFUNCTION("""COMPUTED_VALUE"""),"bsc-usd")</f>
        <v>bsc-usd</v>
      </c>
      <c r="C1588" s="2" t="str">
        <f ca="1">IFERROR(__xludf.DUMMYFUNCTION("""COMPUTED_VALUE"""),"Binance Bridged USDT (BNB Smart Chain)")</f>
        <v>Binance Bridged USDT (BNB Smart Chain)</v>
      </c>
    </row>
    <row r="1589" spans="1:3" x14ac:dyDescent="0.25">
      <c r="A1589" s="2" t="str">
        <f ca="1">IFERROR(__xludf.DUMMYFUNCTION("""COMPUTED_VALUE"""),"binancecoin")</f>
        <v>binancecoin</v>
      </c>
      <c r="B1589" s="2" t="str">
        <f ca="1">IFERROR(__xludf.DUMMYFUNCTION("""COMPUTED_VALUE"""),"bnb")</f>
        <v>bnb</v>
      </c>
      <c r="C1589" s="2" t="str">
        <f ca="1">IFERROR(__xludf.DUMMYFUNCTION("""COMPUTED_VALUE"""),"BNB")</f>
        <v>BNB</v>
      </c>
    </row>
    <row r="1590" spans="1:3" x14ac:dyDescent="0.25">
      <c r="A1590" s="2" t="str">
        <f ca="1">IFERROR(__xludf.DUMMYFUNCTION("""COMPUTED_VALUE"""),"binance-coin-wormhole")</f>
        <v>binance-coin-wormhole</v>
      </c>
      <c r="B1590" s="2" t="str">
        <f ca="1">IFERROR(__xludf.DUMMYFUNCTION("""COMPUTED_VALUE"""),"bnb")</f>
        <v>bnb</v>
      </c>
      <c r="C1590" s="2" t="str">
        <f ca="1">IFERROR(__xludf.DUMMYFUNCTION("""COMPUTED_VALUE"""),"Binance Coin (Wormhole)")</f>
        <v>Binance Coin (Wormhole)</v>
      </c>
    </row>
    <row r="1591" spans="1:3" x14ac:dyDescent="0.25">
      <c r="A1591" s="2" t="str">
        <f ca="1">IFERROR(__xludf.DUMMYFUNCTION("""COMPUTED_VALUE"""),"binancedog-2")</f>
        <v>binancedog-2</v>
      </c>
      <c r="B1591" s="2" t="str">
        <f ca="1">IFERROR(__xludf.DUMMYFUNCTION("""COMPUTED_VALUE"""),"binancedog")</f>
        <v>binancedog</v>
      </c>
      <c r="C1591" s="2" t="str">
        <f ca="1">IFERROR(__xludf.DUMMYFUNCTION("""COMPUTED_VALUE"""),"binancedog")</f>
        <v>binancedog</v>
      </c>
    </row>
    <row r="1592" spans="1:3" x14ac:dyDescent="0.25">
      <c r="A1592" s="2" t="str">
        <f ca="1">IFERROR(__xludf.DUMMYFUNCTION("""COMPUTED_VALUE"""),"binance-eth")</f>
        <v>binance-eth</v>
      </c>
      <c r="B1592" s="2" t="str">
        <f ca="1">IFERROR(__xludf.DUMMYFUNCTION("""COMPUTED_VALUE"""),"beth")</f>
        <v>beth</v>
      </c>
      <c r="C1592" s="2" t="str">
        <f ca="1">IFERROR(__xludf.DUMMYFUNCTION("""COMPUTED_VALUE"""),"Binance ETH staking")</f>
        <v>Binance ETH staking</v>
      </c>
    </row>
    <row r="1593" spans="1:3" x14ac:dyDescent="0.25">
      <c r="A1593" s="2" t="str">
        <f ca="1">IFERROR(__xludf.DUMMYFUNCTION("""COMPUTED_VALUE"""),"binance-peg-avalanche")</f>
        <v>binance-peg-avalanche</v>
      </c>
      <c r="B1593" s="2" t="str">
        <f ca="1">IFERROR(__xludf.DUMMYFUNCTION("""COMPUTED_VALUE"""),"avax")</f>
        <v>avax</v>
      </c>
      <c r="C1593" s="2" t="str">
        <f ca="1">IFERROR(__xludf.DUMMYFUNCTION("""COMPUTED_VALUE"""),"Binance-Peg Avalanche")</f>
        <v>Binance-Peg Avalanche</v>
      </c>
    </row>
    <row r="1594" spans="1:3" x14ac:dyDescent="0.25">
      <c r="A1594" s="2" t="str">
        <f ca="1">IFERROR(__xludf.DUMMYFUNCTION("""COMPUTED_VALUE"""),"binance-peg-bitcoin-cash")</f>
        <v>binance-peg-bitcoin-cash</v>
      </c>
      <c r="B1594" s="2" t="str">
        <f ca="1">IFERROR(__xludf.DUMMYFUNCTION("""COMPUTED_VALUE"""),"bch")</f>
        <v>bch</v>
      </c>
      <c r="C1594" s="2" t="str">
        <f ca="1">IFERROR(__xludf.DUMMYFUNCTION("""COMPUTED_VALUE"""),"Binance-Peg Bitcoin Cash")</f>
        <v>Binance-Peg Bitcoin Cash</v>
      </c>
    </row>
    <row r="1595" spans="1:3" x14ac:dyDescent="0.25">
      <c r="A1595" s="2" t="str">
        <f ca="1">IFERROR(__xludf.DUMMYFUNCTION("""COMPUTED_VALUE"""),"binance-peg-busd")</f>
        <v>binance-peg-busd</v>
      </c>
      <c r="B1595" s="2" t="str">
        <f ca="1">IFERROR(__xludf.DUMMYFUNCTION("""COMPUTED_VALUE"""),"busd")</f>
        <v>busd</v>
      </c>
      <c r="C1595" s="2" t="str">
        <f ca="1">IFERROR(__xludf.DUMMYFUNCTION("""COMPUTED_VALUE"""),"Binance-Peg BUSD")</f>
        <v>Binance-Peg BUSD</v>
      </c>
    </row>
    <row r="1596" spans="1:3" x14ac:dyDescent="0.25">
      <c r="A1596" s="2" t="str">
        <f ca="1">IFERROR(__xludf.DUMMYFUNCTION("""COMPUTED_VALUE"""),"binance-peg-cardano")</f>
        <v>binance-peg-cardano</v>
      </c>
      <c r="B1596" s="2" t="str">
        <f ca="1">IFERROR(__xludf.DUMMYFUNCTION("""COMPUTED_VALUE"""),"ada")</f>
        <v>ada</v>
      </c>
      <c r="C1596" s="2" t="str">
        <f ca="1">IFERROR(__xludf.DUMMYFUNCTION("""COMPUTED_VALUE"""),"Binance-Peg Cardano")</f>
        <v>Binance-Peg Cardano</v>
      </c>
    </row>
    <row r="1597" spans="1:3" x14ac:dyDescent="0.25">
      <c r="A1597" s="2" t="str">
        <f ca="1">IFERROR(__xludf.DUMMYFUNCTION("""COMPUTED_VALUE"""),"binance-peg-dai")</f>
        <v>binance-peg-dai</v>
      </c>
      <c r="B1597" s="2" t="str">
        <f ca="1">IFERROR(__xludf.DUMMYFUNCTION("""COMPUTED_VALUE"""),"dai")</f>
        <v>dai</v>
      </c>
      <c r="C1597" s="2" t="str">
        <f ca="1">IFERROR(__xludf.DUMMYFUNCTION("""COMPUTED_VALUE"""),"Binance-Peg DAI")</f>
        <v>Binance-Peg DAI</v>
      </c>
    </row>
    <row r="1598" spans="1:3" x14ac:dyDescent="0.25">
      <c r="A1598" s="2" t="str">
        <f ca="1">IFERROR(__xludf.DUMMYFUNCTION("""COMPUTED_VALUE"""),"binance-peg-dogecoin")</f>
        <v>binance-peg-dogecoin</v>
      </c>
      <c r="B1598" s="2" t="str">
        <f ca="1">IFERROR(__xludf.DUMMYFUNCTION("""COMPUTED_VALUE"""),"doge")</f>
        <v>doge</v>
      </c>
      <c r="C1598" s="2" t="str">
        <f ca="1">IFERROR(__xludf.DUMMYFUNCTION("""COMPUTED_VALUE"""),"Binance-Peg Dogecoin")</f>
        <v>Binance-Peg Dogecoin</v>
      </c>
    </row>
    <row r="1599" spans="1:3" x14ac:dyDescent="0.25">
      <c r="A1599" s="2" t="str">
        <f ca="1">IFERROR(__xludf.DUMMYFUNCTION("""COMPUTED_VALUE"""),"binance-peg-eos")</f>
        <v>binance-peg-eos</v>
      </c>
      <c r="B1599" s="2" t="str">
        <f ca="1">IFERROR(__xludf.DUMMYFUNCTION("""COMPUTED_VALUE"""),"eos")</f>
        <v>eos</v>
      </c>
      <c r="C1599" s="2" t="str">
        <f ca="1">IFERROR(__xludf.DUMMYFUNCTION("""COMPUTED_VALUE"""),"Binance-Peg EOS")</f>
        <v>Binance-Peg EOS</v>
      </c>
    </row>
    <row r="1600" spans="1:3" x14ac:dyDescent="0.25">
      <c r="A1600" s="2" t="str">
        <f ca="1">IFERROR(__xludf.DUMMYFUNCTION("""COMPUTED_VALUE"""),"binance-peg-filecoin")</f>
        <v>binance-peg-filecoin</v>
      </c>
      <c r="B1600" s="2" t="str">
        <f ca="1">IFERROR(__xludf.DUMMYFUNCTION("""COMPUTED_VALUE"""),"fil")</f>
        <v>fil</v>
      </c>
      <c r="C1600" s="2" t="str">
        <f ca="1">IFERROR(__xludf.DUMMYFUNCTION("""COMPUTED_VALUE"""),"Binance-Peg Filecoin")</f>
        <v>Binance-Peg Filecoin</v>
      </c>
    </row>
    <row r="1601" spans="1:3" x14ac:dyDescent="0.25">
      <c r="A1601" s="2" t="str">
        <f ca="1">IFERROR(__xludf.DUMMYFUNCTION("""COMPUTED_VALUE"""),"binance-peg-firo")</f>
        <v>binance-peg-firo</v>
      </c>
      <c r="B1601" s="2" t="str">
        <f ca="1">IFERROR(__xludf.DUMMYFUNCTION("""COMPUTED_VALUE"""),"firo")</f>
        <v>firo</v>
      </c>
      <c r="C1601" s="2" t="str">
        <f ca="1">IFERROR(__xludf.DUMMYFUNCTION("""COMPUTED_VALUE"""),"Binance-Peg Firo")</f>
        <v>Binance-Peg Firo</v>
      </c>
    </row>
    <row r="1602" spans="1:3" x14ac:dyDescent="0.25">
      <c r="A1602" s="2" t="str">
        <f ca="1">IFERROR(__xludf.DUMMYFUNCTION("""COMPUTED_VALUE"""),"binance-peg-iotex")</f>
        <v>binance-peg-iotex</v>
      </c>
      <c r="B1602" s="2" t="str">
        <f ca="1">IFERROR(__xludf.DUMMYFUNCTION("""COMPUTED_VALUE"""),"iotx")</f>
        <v>iotx</v>
      </c>
      <c r="C1602" s="2" t="str">
        <f ca="1">IFERROR(__xludf.DUMMYFUNCTION("""COMPUTED_VALUE"""),"Binance-Peg IoTeX")</f>
        <v>Binance-Peg IoTeX</v>
      </c>
    </row>
    <row r="1603" spans="1:3" x14ac:dyDescent="0.25">
      <c r="A1603" s="2" t="str">
        <f ca="1">IFERROR(__xludf.DUMMYFUNCTION("""COMPUTED_VALUE"""),"binance-peg-litecoin")</f>
        <v>binance-peg-litecoin</v>
      </c>
      <c r="B1603" s="2" t="str">
        <f ca="1">IFERROR(__xludf.DUMMYFUNCTION("""COMPUTED_VALUE"""),"ltc")</f>
        <v>ltc</v>
      </c>
      <c r="C1603" s="2" t="str">
        <f ca="1">IFERROR(__xludf.DUMMYFUNCTION("""COMPUTED_VALUE"""),"Binance-Peg Litecoin")</f>
        <v>Binance-Peg Litecoin</v>
      </c>
    </row>
    <row r="1604" spans="1:3" x14ac:dyDescent="0.25">
      <c r="A1604" s="2" t="str">
        <f ca="1">IFERROR(__xludf.DUMMYFUNCTION("""COMPUTED_VALUE"""),"binance-peg-ontology")</f>
        <v>binance-peg-ontology</v>
      </c>
      <c r="B1604" s="2" t="str">
        <f ca="1">IFERROR(__xludf.DUMMYFUNCTION("""COMPUTED_VALUE"""),"ont")</f>
        <v>ont</v>
      </c>
      <c r="C1604" s="2" t="str">
        <f ca="1">IFERROR(__xludf.DUMMYFUNCTION("""COMPUTED_VALUE"""),"Binance-Peg Ontology")</f>
        <v>Binance-Peg Ontology</v>
      </c>
    </row>
    <row r="1605" spans="1:3" x14ac:dyDescent="0.25">
      <c r="A1605" s="2" t="str">
        <f ca="1">IFERROR(__xludf.DUMMYFUNCTION("""COMPUTED_VALUE"""),"binance-peg-polkadot")</f>
        <v>binance-peg-polkadot</v>
      </c>
      <c r="B1605" s="2" t="str">
        <f ca="1">IFERROR(__xludf.DUMMYFUNCTION("""COMPUTED_VALUE"""),"dot")</f>
        <v>dot</v>
      </c>
      <c r="C1605" s="2" t="str">
        <f ca="1">IFERROR(__xludf.DUMMYFUNCTION("""COMPUTED_VALUE"""),"Binance-Peg Polkadot")</f>
        <v>Binance-Peg Polkadot</v>
      </c>
    </row>
    <row r="1606" spans="1:3" x14ac:dyDescent="0.25">
      <c r="A1606" s="2" t="str">
        <f ca="1">IFERROR(__xludf.DUMMYFUNCTION("""COMPUTED_VALUE"""),"binance-peg-shib")</f>
        <v>binance-peg-shib</v>
      </c>
      <c r="B1606" s="2" t="str">
        <f ca="1">IFERROR(__xludf.DUMMYFUNCTION("""COMPUTED_VALUE"""),"shib")</f>
        <v>shib</v>
      </c>
      <c r="C1606" s="2" t="str">
        <f ca="1">IFERROR(__xludf.DUMMYFUNCTION("""COMPUTED_VALUE"""),"Binance-Peg SHIB")</f>
        <v>Binance-Peg SHIB</v>
      </c>
    </row>
    <row r="1607" spans="1:3" x14ac:dyDescent="0.25">
      <c r="A1607" s="2" t="str">
        <f ca="1">IFERROR(__xludf.DUMMYFUNCTION("""COMPUTED_VALUE"""),"binance-peg-weth")</f>
        <v>binance-peg-weth</v>
      </c>
      <c r="B1607" s="2" t="str">
        <f ca="1">IFERROR(__xludf.DUMMYFUNCTION("""COMPUTED_VALUE"""),"weth")</f>
        <v>weth</v>
      </c>
      <c r="C1607" s="2" t="str">
        <f ca="1">IFERROR(__xludf.DUMMYFUNCTION("""COMPUTED_VALUE"""),"Binance-Peg WETH")</f>
        <v>Binance-Peg WETH</v>
      </c>
    </row>
    <row r="1608" spans="1:3" x14ac:dyDescent="0.25">
      <c r="A1608" s="2" t="str">
        <f ca="1">IFERROR(__xludf.DUMMYFUNCTION("""COMPUTED_VALUE"""),"binance-peg-xrp")</f>
        <v>binance-peg-xrp</v>
      </c>
      <c r="B1608" s="2" t="str">
        <f ca="1">IFERROR(__xludf.DUMMYFUNCTION("""COMPUTED_VALUE"""),"xrp")</f>
        <v>xrp</v>
      </c>
      <c r="C1608" s="2" t="str">
        <f ca="1">IFERROR(__xludf.DUMMYFUNCTION("""COMPUTED_VALUE"""),"Binance-Peg XRP")</f>
        <v>Binance-Peg XRP</v>
      </c>
    </row>
    <row r="1609" spans="1:3" x14ac:dyDescent="0.25">
      <c r="A1609" s="2" t="str">
        <f ca="1">IFERROR(__xludf.DUMMYFUNCTION("""COMPUTED_VALUE"""),"binance-staked-sol")</f>
        <v>binance-staked-sol</v>
      </c>
      <c r="B1609" s="2" t="str">
        <f ca="1">IFERROR(__xludf.DUMMYFUNCTION("""COMPUTED_VALUE"""),"bnsol")</f>
        <v>bnsol</v>
      </c>
      <c r="C1609" s="2" t="str">
        <f ca="1">IFERROR(__xludf.DUMMYFUNCTION("""COMPUTED_VALUE"""),"Binance Staked SOL")</f>
        <v>Binance Staked SOL</v>
      </c>
    </row>
    <row r="1610" spans="1:3" x14ac:dyDescent="0.25">
      <c r="A1610" s="2" t="str">
        <f ca="1">IFERROR(__xludf.DUMMYFUNCTION("""COMPUTED_VALUE"""),"binance-usd")</f>
        <v>binance-usd</v>
      </c>
      <c r="B1610" s="2" t="str">
        <f ca="1">IFERROR(__xludf.DUMMYFUNCTION("""COMPUTED_VALUE"""),"busd")</f>
        <v>busd</v>
      </c>
      <c r="C1610" s="2" t="str">
        <f ca="1">IFERROR(__xludf.DUMMYFUNCTION("""COMPUTED_VALUE"""),"BUSD")</f>
        <v>BUSD</v>
      </c>
    </row>
    <row r="1611" spans="1:3" x14ac:dyDescent="0.25">
      <c r="A1611" s="2" t="str">
        <f ca="1">IFERROR(__xludf.DUMMYFUNCTION("""COMPUTED_VALUE"""),"binance-usd-linea")</f>
        <v>binance-usd-linea</v>
      </c>
      <c r="B1611" s="2" t="str">
        <f ca="1">IFERROR(__xludf.DUMMYFUNCTION("""COMPUTED_VALUE"""),"busd")</f>
        <v>busd</v>
      </c>
      <c r="C1611" s="2" t="str">
        <f ca="1">IFERROR(__xludf.DUMMYFUNCTION("""COMPUTED_VALUE"""),"Binance USD (Linea)")</f>
        <v>Binance USD (Linea)</v>
      </c>
    </row>
    <row r="1612" spans="1:3" x14ac:dyDescent="0.25">
      <c r="A1612" s="2" t="str">
        <f ca="1">IFERROR(__xludf.DUMMYFUNCTION("""COMPUTED_VALUE"""),"binance-wrapped-btc")</f>
        <v>binance-wrapped-btc</v>
      </c>
      <c r="B1612" s="2" t="str">
        <f ca="1">IFERROR(__xludf.DUMMYFUNCTION("""COMPUTED_VALUE"""),"bbtc")</f>
        <v>bbtc</v>
      </c>
      <c r="C1612" s="2" t="str">
        <f ca="1">IFERROR(__xludf.DUMMYFUNCTION("""COMPUTED_VALUE"""),"Binance Wrapped BTC")</f>
        <v>Binance Wrapped BTC</v>
      </c>
    </row>
    <row r="1613" spans="1:3" x14ac:dyDescent="0.25">
      <c r="A1613" s="2" t="str">
        <f ca="1">IFERROR(__xludf.DUMMYFUNCTION("""COMPUTED_VALUE"""),"binarydao")</f>
        <v>binarydao</v>
      </c>
      <c r="B1613" s="2" t="str">
        <f ca="1">IFERROR(__xludf.DUMMYFUNCTION("""COMPUTED_VALUE"""),"byte")</f>
        <v>byte</v>
      </c>
      <c r="C1613" s="2" t="str">
        <f ca="1">IFERROR(__xludf.DUMMYFUNCTION("""COMPUTED_VALUE"""),"BinaryDAO")</f>
        <v>BinaryDAO</v>
      </c>
    </row>
    <row r="1614" spans="1:3" x14ac:dyDescent="0.25">
      <c r="A1614" s="2" t="str">
        <f ca="1">IFERROR(__xludf.DUMMYFUNCTION("""COMPUTED_VALUE"""),"binary-holdings")</f>
        <v>binary-holdings</v>
      </c>
      <c r="B1614" s="2" t="str">
        <f ca="1">IFERROR(__xludf.DUMMYFUNCTION("""COMPUTED_VALUE"""),"bnry")</f>
        <v>bnry</v>
      </c>
      <c r="C1614" s="2" t="str">
        <f ca="1">IFERROR(__xludf.DUMMYFUNCTION("""COMPUTED_VALUE"""),"Binary Holdings")</f>
        <v>Binary Holdings</v>
      </c>
    </row>
    <row r="1615" spans="1:3" x14ac:dyDescent="0.25">
      <c r="A1615" s="2" t="str">
        <f ca="1">IFERROR(__xludf.DUMMYFUNCTION("""COMPUTED_VALUE"""),"binary-swap")</f>
        <v>binary-swap</v>
      </c>
      <c r="B1615" s="2" t="str">
        <f ca="1">IFERROR(__xludf.DUMMYFUNCTION("""COMPUTED_VALUE"""),"0101")</f>
        <v>0101</v>
      </c>
      <c r="C1615" s="2" t="str">
        <f ca="1">IFERROR(__xludf.DUMMYFUNCTION("""COMPUTED_VALUE"""),"Binary Swap")</f>
        <v>Binary Swap</v>
      </c>
    </row>
    <row r="1616" spans="1:3" x14ac:dyDescent="0.25">
      <c r="A1616" s="2" t="str">
        <f ca="1">IFERROR(__xludf.DUMMYFUNCTION("""COMPUTED_VALUE"""),"binaryx")</f>
        <v>binaryx</v>
      </c>
      <c r="B1616" s="2" t="str">
        <f ca="1">IFERROR(__xludf.DUMMYFUNCTION("""COMPUTED_VALUE"""),"bnx")</f>
        <v>bnx</v>
      </c>
      <c r="C1616" s="2" t="str">
        <f ca="1">IFERROR(__xludf.DUMMYFUNCTION("""COMPUTED_VALUE"""),"BinaryX [OLD]")</f>
        <v>BinaryX [OLD]</v>
      </c>
    </row>
    <row r="1617" spans="1:3" x14ac:dyDescent="0.25">
      <c r="A1617" s="2" t="str">
        <f ca="1">IFERROR(__xludf.DUMMYFUNCTION("""COMPUTED_VALUE"""),"binaryx-2")</f>
        <v>binaryx-2</v>
      </c>
      <c r="B1617" s="2" t="str">
        <f ca="1">IFERROR(__xludf.DUMMYFUNCTION("""COMPUTED_VALUE"""),"bnx")</f>
        <v>bnx</v>
      </c>
      <c r="C1617" s="2" t="str">
        <f ca="1">IFERROR(__xludf.DUMMYFUNCTION("""COMPUTED_VALUE"""),"BinaryX")</f>
        <v>BinaryX</v>
      </c>
    </row>
    <row r="1618" spans="1:3" x14ac:dyDescent="0.25">
      <c r="A1618" s="2" t="str">
        <f ca="1">IFERROR(__xludf.DUMMYFUNCTION("""COMPUTED_VALUE"""),"bincentive")</f>
        <v>bincentive</v>
      </c>
      <c r="B1618" s="2" t="str">
        <f ca="1">IFERROR(__xludf.DUMMYFUNCTION("""COMPUTED_VALUE"""),"bcnt")</f>
        <v>bcnt</v>
      </c>
      <c r="C1618" s="2" t="str">
        <f ca="1">IFERROR(__xludf.DUMMYFUNCTION("""COMPUTED_VALUE"""),"Bincentive")</f>
        <v>Bincentive</v>
      </c>
    </row>
    <row r="1619" spans="1:3" x14ac:dyDescent="0.25">
      <c r="A1619" s="2" t="str">
        <f ca="1">IFERROR(__xludf.DUMMYFUNCTION("""COMPUTED_VALUE"""),"binemon")</f>
        <v>binemon</v>
      </c>
      <c r="B1619" s="2" t="str">
        <f ca="1">IFERROR(__xludf.DUMMYFUNCTION("""COMPUTED_VALUE"""),"bin")</f>
        <v>bin</v>
      </c>
      <c r="C1619" s="2" t="str">
        <f ca="1">IFERROR(__xludf.DUMMYFUNCTION("""COMPUTED_VALUE"""),"Binemon")</f>
        <v>Binemon</v>
      </c>
    </row>
    <row r="1620" spans="1:3" x14ac:dyDescent="0.25">
      <c r="A1620" s="2" t="str">
        <f ca="1">IFERROR(__xludf.DUMMYFUNCTION("""COMPUTED_VALUE"""),"bingo-2")</f>
        <v>bingo-2</v>
      </c>
      <c r="B1620" s="2" t="str">
        <f ca="1">IFERROR(__xludf.DUMMYFUNCTION("""COMPUTED_VALUE"""),"catbingolo")</f>
        <v>catbingolo</v>
      </c>
      <c r="C1620" s="2" t="str">
        <f ca="1">IFERROR(__xludf.DUMMYFUNCTION("""COMPUTED_VALUE"""),"Bingo")</f>
        <v>Bingo</v>
      </c>
    </row>
    <row r="1621" spans="1:3" x14ac:dyDescent="0.25">
      <c r="A1621" s="2" t="str">
        <f ca="1">IFERROR(__xludf.DUMMYFUNCTION("""COMPUTED_VALUE"""),"bingo-3")</f>
        <v>bingo-3</v>
      </c>
      <c r="B1621" s="2" t="str">
        <f ca="1">IFERROR(__xludf.DUMMYFUNCTION("""COMPUTED_VALUE"""),"bingo")</f>
        <v>bingo</v>
      </c>
      <c r="C1621" s="2" t="str">
        <f ca="1">IFERROR(__xludf.DUMMYFUNCTION("""COMPUTED_VALUE"""),"Bingo")</f>
        <v>Bingo</v>
      </c>
    </row>
    <row r="1622" spans="1:3" x14ac:dyDescent="0.25">
      <c r="A1622" s="2" t="str">
        <f ca="1">IFERROR(__xludf.DUMMYFUNCTION("""COMPUTED_VALUE"""),"bingus-the-cat")</f>
        <v>bingus-the-cat</v>
      </c>
      <c r="B1622" s="2" t="str">
        <f ca="1">IFERROR(__xludf.DUMMYFUNCTION("""COMPUTED_VALUE"""),"bingus")</f>
        <v>bingus</v>
      </c>
      <c r="C1622" s="2" t="str">
        <f ca="1">IFERROR(__xludf.DUMMYFUNCTION("""COMPUTED_VALUE"""),"Bingus The Cat")</f>
        <v>Bingus The Cat</v>
      </c>
    </row>
    <row r="1623" spans="1:3" x14ac:dyDescent="0.25">
      <c r="A1623" s="2" t="str">
        <f ca="1">IFERROR(__xludf.DUMMYFUNCTION("""COMPUTED_VALUE"""),"binstarter")</f>
        <v>binstarter</v>
      </c>
      <c r="B1623" s="2" t="str">
        <f ca="1">IFERROR(__xludf.DUMMYFUNCTION("""COMPUTED_VALUE"""),"bsr")</f>
        <v>bsr</v>
      </c>
      <c r="C1623" s="2" t="str">
        <f ca="1">IFERROR(__xludf.DUMMYFUNCTION("""COMPUTED_VALUE"""),"BinStarter")</f>
        <v>BinStarter</v>
      </c>
    </row>
    <row r="1624" spans="1:3" x14ac:dyDescent="0.25">
      <c r="A1624" s="2" t="str">
        <f ca="1">IFERROR(__xludf.DUMMYFUNCTION("""COMPUTED_VALUE"""),"biochar")</f>
        <v>biochar</v>
      </c>
      <c r="B1624" s="2" t="str">
        <f ca="1">IFERROR(__xludf.DUMMYFUNCTION("""COMPUTED_VALUE"""),"char")</f>
        <v>char</v>
      </c>
      <c r="C1624" s="2" t="str">
        <f ca="1">IFERROR(__xludf.DUMMYFUNCTION("""COMPUTED_VALUE"""),"Biochar")</f>
        <v>Biochar</v>
      </c>
    </row>
    <row r="1625" spans="1:3" x14ac:dyDescent="0.25">
      <c r="A1625" s="2" t="str">
        <f ca="1">IFERROR(__xludf.DUMMYFUNCTION("""COMPUTED_VALUE"""),"biokript")</f>
        <v>biokript</v>
      </c>
      <c r="B1625" s="2" t="str">
        <f ca="1">IFERROR(__xludf.DUMMYFUNCTION("""COMPUTED_VALUE"""),"bkpt")</f>
        <v>bkpt</v>
      </c>
      <c r="C1625" s="2" t="str">
        <f ca="1">IFERROR(__xludf.DUMMYFUNCTION("""COMPUTED_VALUE"""),"Biokript")</f>
        <v>Biokript</v>
      </c>
    </row>
    <row r="1626" spans="1:3" x14ac:dyDescent="0.25">
      <c r="A1626" s="2" t="str">
        <f ca="1">IFERROR(__xludf.DUMMYFUNCTION("""COMPUTED_VALUE"""),"biokriptx")</f>
        <v>biokriptx</v>
      </c>
      <c r="B1626" s="2" t="str">
        <f ca="1">IFERROR(__xludf.DUMMYFUNCTION("""COMPUTED_VALUE"""),"sbkpt")</f>
        <v>sbkpt</v>
      </c>
      <c r="C1626" s="2" t="str">
        <f ca="1">IFERROR(__xludf.DUMMYFUNCTION("""COMPUTED_VALUE"""),"BiokriptX")</f>
        <v>BiokriptX</v>
      </c>
    </row>
    <row r="1627" spans="1:3" x14ac:dyDescent="0.25">
      <c r="A1627" s="2" t="str">
        <f ca="1">IFERROR(__xludf.DUMMYFUNCTION("""COMPUTED_VALUE"""),"biometric-financial")</f>
        <v>biometric-financial</v>
      </c>
      <c r="B1627" s="2" t="str">
        <f ca="1">IFERROR(__xludf.DUMMYFUNCTION("""COMPUTED_VALUE"""),"biofi")</f>
        <v>biofi</v>
      </c>
      <c r="C1627" s="2" t="str">
        <f ca="1">IFERROR(__xludf.DUMMYFUNCTION("""COMPUTED_VALUE"""),"Biometric Financial")</f>
        <v>Biometric Financial</v>
      </c>
    </row>
    <row r="1628" spans="1:3" x14ac:dyDescent="0.25">
      <c r="A1628" s="2" t="str">
        <f ca="1">IFERROR(__xludf.DUMMYFUNCTION("""COMPUTED_VALUE"""),"biop")</f>
        <v>biop</v>
      </c>
      <c r="B1628" s="2" t="str">
        <f ca="1">IFERROR(__xludf.DUMMYFUNCTION("""COMPUTED_VALUE"""),"$biop")</f>
        <v>$biop</v>
      </c>
      <c r="C1628" s="2" t="str">
        <f ca="1">IFERROR(__xludf.DUMMYFUNCTION("""COMPUTED_VALUE"""),"BIOP")</f>
        <v>BIOP</v>
      </c>
    </row>
    <row r="1629" spans="1:3" x14ac:dyDescent="0.25">
      <c r="A1629" s="2" t="str">
        <f ca="1">IFERROR(__xludf.DUMMYFUNCTION("""COMPUTED_VALUE"""),"biopassport")</f>
        <v>biopassport</v>
      </c>
      <c r="B1629" s="2" t="str">
        <f ca="1">IFERROR(__xludf.DUMMYFUNCTION("""COMPUTED_VALUE"""),"biot")</f>
        <v>biot</v>
      </c>
      <c r="C1629" s="2" t="str">
        <f ca="1">IFERROR(__xludf.DUMMYFUNCTION("""COMPUTED_VALUE"""),"Bio Passport")</f>
        <v>Bio Passport</v>
      </c>
    </row>
    <row r="1630" spans="1:3" x14ac:dyDescent="0.25">
      <c r="A1630" s="2" t="str">
        <f ca="1">IFERROR(__xludf.DUMMYFUNCTION("""COMPUTED_VALUE"""),"biopop")</f>
        <v>biopop</v>
      </c>
      <c r="B1630" s="2" t="str">
        <f ca="1">IFERROR(__xludf.DUMMYFUNCTION("""COMPUTED_VALUE"""),"bopb")</f>
        <v>bopb</v>
      </c>
      <c r="C1630" s="2" t="str">
        <f ca="1">IFERROR(__xludf.DUMMYFUNCTION("""COMPUTED_VALUE"""),"BIOPOP")</f>
        <v>BIOPOP</v>
      </c>
    </row>
    <row r="1631" spans="1:3" x14ac:dyDescent="0.25">
      <c r="A1631" s="2" t="str">
        <f ca="1">IFERROR(__xludf.DUMMYFUNCTION("""COMPUTED_VALUE"""),"bip1")</f>
        <v>bip1</v>
      </c>
      <c r="B1631" s="2" t="str">
        <f ca="1">IFERROR(__xludf.DUMMYFUNCTION("""COMPUTED_VALUE"""),"bip1")</f>
        <v>bip1</v>
      </c>
      <c r="C1631" s="2" t="str">
        <f ca="1">IFERROR(__xludf.DUMMYFUNCTION("""COMPUTED_VALUE"""),"BIP1")</f>
        <v>BIP1</v>
      </c>
    </row>
    <row r="1632" spans="1:3" x14ac:dyDescent="0.25">
      <c r="A1632" s="2" t="str">
        <f ca="1">IFERROR(__xludf.DUMMYFUNCTION("""COMPUTED_VALUE"""),"birake")</f>
        <v>birake</v>
      </c>
      <c r="B1632" s="2" t="str">
        <f ca="1">IFERROR(__xludf.DUMMYFUNCTION("""COMPUTED_VALUE"""),"bir")</f>
        <v>bir</v>
      </c>
      <c r="C1632" s="2" t="str">
        <f ca="1">IFERROR(__xludf.DUMMYFUNCTION("""COMPUTED_VALUE"""),"Birake")</f>
        <v>Birake</v>
      </c>
    </row>
    <row r="1633" spans="1:3" x14ac:dyDescent="0.25">
      <c r="A1633" s="2" t="str">
        <f ca="1">IFERROR(__xludf.DUMMYFUNCTION("""COMPUTED_VALUE"""),"birb-2")</f>
        <v>birb-2</v>
      </c>
      <c r="B1633" s="2" t="str">
        <f ca="1">IFERROR(__xludf.DUMMYFUNCTION("""COMPUTED_VALUE"""),"birb")</f>
        <v>birb</v>
      </c>
      <c r="C1633" s="2" t="str">
        <f ca="1">IFERROR(__xludf.DUMMYFUNCTION("""COMPUTED_VALUE"""),"Birb")</f>
        <v>Birb</v>
      </c>
    </row>
    <row r="1634" spans="1:3" x14ac:dyDescent="0.25">
      <c r="A1634" s="2" t="str">
        <f ca="1">IFERROR(__xludf.DUMMYFUNCTION("""COMPUTED_VALUE"""),"birb-3")</f>
        <v>birb-3</v>
      </c>
      <c r="B1634" s="2" t="str">
        <f ca="1">IFERROR(__xludf.DUMMYFUNCTION("""COMPUTED_VALUE"""),"birb")</f>
        <v>birb</v>
      </c>
      <c r="C1634" s="2" t="str">
        <f ca="1">IFERROR(__xludf.DUMMYFUNCTION("""COMPUTED_VALUE"""),"birb")</f>
        <v>birb</v>
      </c>
    </row>
    <row r="1635" spans="1:3" x14ac:dyDescent="0.25">
      <c r="A1635" s="2" t="str">
        <f ca="1">IFERROR(__xludf.DUMMYFUNCTION("""COMPUTED_VALUE"""),"birddog")</f>
        <v>birddog</v>
      </c>
      <c r="B1635" s="2" t="str">
        <f ca="1">IFERROR(__xludf.DUMMYFUNCTION("""COMPUTED_VALUE"""),"birddog")</f>
        <v>birddog</v>
      </c>
      <c r="C1635" s="2" t="str">
        <f ca="1">IFERROR(__xludf.DUMMYFUNCTION("""COMPUTED_VALUE"""),"Birddog")</f>
        <v>Birddog</v>
      </c>
    </row>
    <row r="1636" spans="1:3" x14ac:dyDescent="0.25">
      <c r="A1636" s="2" t="str">
        <f ca="1">IFERROR(__xludf.DUMMYFUNCTION("""COMPUTED_VALUE"""),"bird-dog")</f>
        <v>bird-dog</v>
      </c>
      <c r="B1636" s="2" t="str">
        <f ca="1">IFERROR(__xludf.DUMMYFUNCTION("""COMPUTED_VALUE"""),"birddog")</f>
        <v>birddog</v>
      </c>
      <c r="C1636" s="2" t="str">
        <f ca="1">IFERROR(__xludf.DUMMYFUNCTION("""COMPUTED_VALUE"""),"Bird Dog")</f>
        <v>Bird Dog</v>
      </c>
    </row>
    <row r="1637" spans="1:3" x14ac:dyDescent="0.25">
      <c r="A1637" s="2" t="str">
        <f ca="1">IFERROR(__xludf.DUMMYFUNCTION("""COMPUTED_VALUE"""),"bird-dog-on-base")</f>
        <v>bird-dog-on-base</v>
      </c>
      <c r="B1637" s="2" t="str">
        <f ca="1">IFERROR(__xludf.DUMMYFUNCTION("""COMPUTED_VALUE"""),"birddog")</f>
        <v>birddog</v>
      </c>
      <c r="C1637" s="2" t="str">
        <f ca="1">IFERROR(__xludf.DUMMYFUNCTION("""COMPUTED_VALUE"""),"Bird Dog on Base")</f>
        <v>Bird Dog on Base</v>
      </c>
    </row>
    <row r="1638" spans="1:3" x14ac:dyDescent="0.25">
      <c r="A1638" s="2" t="str">
        <f ca="1">IFERROR(__xludf.DUMMYFUNCTION("""COMPUTED_VALUE"""),"bird-dog-on-sol")</f>
        <v>bird-dog-on-sol</v>
      </c>
      <c r="B1638" s="2" t="str">
        <f ca="1">IFERROR(__xludf.DUMMYFUNCTION("""COMPUTED_VALUE"""),"birddog")</f>
        <v>birddog</v>
      </c>
      <c r="C1638" s="2" t="str">
        <f ca="1">IFERROR(__xludf.DUMMYFUNCTION("""COMPUTED_VALUE"""),"Bird Dog on SOL")</f>
        <v>Bird Dog on SOL</v>
      </c>
    </row>
    <row r="1639" spans="1:3" x14ac:dyDescent="0.25">
      <c r="A1639" s="2" t="str">
        <f ca="1">IFERROR(__xludf.DUMMYFUNCTION("""COMPUTED_VALUE"""),"birdie")</f>
        <v>birdie</v>
      </c>
      <c r="B1639" s="2" t="str">
        <f ca="1">IFERROR(__xludf.DUMMYFUNCTION("""COMPUTED_VALUE"""),"$birdie")</f>
        <v>$birdie</v>
      </c>
      <c r="C1639" s="2" t="str">
        <f ca="1">IFERROR(__xludf.DUMMYFUNCTION("""COMPUTED_VALUE"""),"Birdie")</f>
        <v>Birdie</v>
      </c>
    </row>
    <row r="1640" spans="1:3" x14ac:dyDescent="0.25">
      <c r="A1640" s="2" t="str">
        <f ca="1">IFERROR(__xludf.DUMMYFUNCTION("""COMPUTED_VALUE"""),"birdies")</f>
        <v>birdies</v>
      </c>
      <c r="B1640" s="2" t="str">
        <f ca="1">IFERROR(__xludf.DUMMYFUNCTION("""COMPUTED_VALUE"""),"birds")</f>
        <v>birds</v>
      </c>
      <c r="C1640" s="2" t="str">
        <f ca="1">IFERROR(__xludf.DUMMYFUNCTION("""COMPUTED_VALUE"""),"BIRDIES")</f>
        <v>BIRDIES</v>
      </c>
    </row>
    <row r="1641" spans="1:3" x14ac:dyDescent="0.25">
      <c r="A1641" s="2" t="str">
        <f ca="1">IFERROR(__xludf.DUMMYFUNCTION("""COMPUTED_VALUE"""),"bird-money")</f>
        <v>bird-money</v>
      </c>
      <c r="B1641" s="2" t="str">
        <f ca="1">IFERROR(__xludf.DUMMYFUNCTION("""COMPUTED_VALUE"""),"bird")</f>
        <v>bird</v>
      </c>
      <c r="C1641" s="2" t="str">
        <f ca="1">IFERROR(__xludf.DUMMYFUNCTION("""COMPUTED_VALUE"""),"Bird.Money")</f>
        <v>Bird.Money</v>
      </c>
    </row>
    <row r="1642" spans="1:3" x14ac:dyDescent="0.25">
      <c r="A1642" s="2" t="str">
        <f ca="1">IFERROR(__xludf.DUMMYFUNCTION("""COMPUTED_VALUE"""),"birdon")</f>
        <v>birdon</v>
      </c>
      <c r="B1642" s="2" t="str">
        <f ca="1">IFERROR(__xludf.DUMMYFUNCTION("""COMPUTED_VALUE"""),"birdón")</f>
        <v>birdón</v>
      </c>
      <c r="C1642" s="2" t="str">
        <f ca="1">IFERROR(__xludf.DUMMYFUNCTION("""COMPUTED_VALUE"""),"birdón")</f>
        <v>birdón</v>
      </c>
    </row>
    <row r="1643" spans="1:3" x14ac:dyDescent="0.25">
      <c r="A1643" s="2" t="str">
        <f ca="1">IFERROR(__xludf.DUMMYFUNCTION("""COMPUTED_VALUE"""),"birdsping")</f>
        <v>birdsping</v>
      </c>
      <c r="B1643" s="2" t="str">
        <f ca="1">IFERROR(__xludf.DUMMYFUNCTION("""COMPUTED_VALUE"""),"ping")</f>
        <v>ping</v>
      </c>
      <c r="C1643" s="2" t="str">
        <f ca="1">IFERROR(__xludf.DUMMYFUNCTION("""COMPUTED_VALUE"""),"BIRDSPING")</f>
        <v>BIRDSPING</v>
      </c>
    </row>
    <row r="1644" spans="1:3" x14ac:dyDescent="0.25">
      <c r="A1644" s="2" t="str">
        <f ca="1">IFERROR(__xludf.DUMMYFUNCTION("""COMPUTED_VALUE"""),"biskit-protocol")</f>
        <v>biskit-protocol</v>
      </c>
      <c r="B1644" s="2" t="str">
        <f ca="1">IFERROR(__xludf.DUMMYFUNCTION("""COMPUTED_VALUE"""),"biskit")</f>
        <v>biskit</v>
      </c>
      <c r="C1644" s="2" t="str">
        <f ca="1">IFERROR(__xludf.DUMMYFUNCTION("""COMPUTED_VALUE"""),"Biskit Protocol")</f>
        <v>Biskit Protocol</v>
      </c>
    </row>
    <row r="1645" spans="1:3" x14ac:dyDescent="0.25">
      <c r="A1645" s="2" t="str">
        <f ca="1">IFERROR(__xludf.DUMMYFUNCTION("""COMPUTED_VALUE"""),"bismuth")</f>
        <v>bismuth</v>
      </c>
      <c r="B1645" s="2" t="str">
        <f ca="1">IFERROR(__xludf.DUMMYFUNCTION("""COMPUTED_VALUE"""),"bis")</f>
        <v>bis</v>
      </c>
      <c r="C1645" s="2" t="str">
        <f ca="1">IFERROR(__xludf.DUMMYFUNCTION("""COMPUTED_VALUE"""),"Bismuth")</f>
        <v>Bismuth</v>
      </c>
    </row>
    <row r="1646" spans="1:3" x14ac:dyDescent="0.25">
      <c r="A1646" s="2" t="str">
        <f ca="1">IFERROR(__xludf.DUMMYFUNCTION("""COMPUTED_VALUE"""),"biso")</f>
        <v>biso</v>
      </c>
      <c r="B1646" s="2" t="str">
        <f ca="1">IFERROR(__xludf.DUMMYFUNCTION("""COMPUTED_VALUE"""),"biso")</f>
        <v>biso</v>
      </c>
      <c r="C1646" s="2" t="str">
        <f ca="1">IFERROR(__xludf.DUMMYFUNCTION("""COMPUTED_VALUE"""),"BISO")</f>
        <v>BISO</v>
      </c>
    </row>
    <row r="1647" spans="1:3" x14ac:dyDescent="0.25">
      <c r="A1647" s="2" t="str">
        <f ca="1">IFERROR(__xludf.DUMMYFUNCTION("""COMPUTED_VALUE"""),"bistroo")</f>
        <v>bistroo</v>
      </c>
      <c r="B1647" s="2" t="str">
        <f ca="1">IFERROR(__xludf.DUMMYFUNCTION("""COMPUTED_VALUE"""),"bist")</f>
        <v>bist</v>
      </c>
      <c r="C1647" s="2" t="str">
        <f ca="1">IFERROR(__xludf.DUMMYFUNCTION("""COMPUTED_VALUE"""),"Bistroo")</f>
        <v>Bistroo</v>
      </c>
    </row>
    <row r="1648" spans="1:3" x14ac:dyDescent="0.25">
      <c r="A1648" s="2" t="str">
        <f ca="1">IFERROR(__xludf.DUMMYFUNCTION("""COMPUTED_VALUE"""),"biswap")</f>
        <v>biswap</v>
      </c>
      <c r="B1648" s="2" t="str">
        <f ca="1">IFERROR(__xludf.DUMMYFUNCTION("""COMPUTED_VALUE"""),"bsw")</f>
        <v>bsw</v>
      </c>
      <c r="C1648" s="2" t="str">
        <f ca="1">IFERROR(__xludf.DUMMYFUNCTION("""COMPUTED_VALUE"""),"Biswap")</f>
        <v>Biswap</v>
      </c>
    </row>
    <row r="1649" spans="1:3" x14ac:dyDescent="0.25">
      <c r="A1649" s="2" t="str">
        <f ca="1">IFERROR(__xludf.DUMMYFUNCTION("""COMPUTED_VALUE"""),"bit2me")</f>
        <v>bit2me</v>
      </c>
      <c r="B1649" s="2" t="str">
        <f ca="1">IFERROR(__xludf.DUMMYFUNCTION("""COMPUTED_VALUE"""),"b2m")</f>
        <v>b2m</v>
      </c>
      <c r="C1649" s="2" t="str">
        <f ca="1">IFERROR(__xludf.DUMMYFUNCTION("""COMPUTED_VALUE"""),"Bit2Me")</f>
        <v>Bit2Me</v>
      </c>
    </row>
    <row r="1650" spans="1:3" x14ac:dyDescent="0.25">
      <c r="A1650" s="2" t="str">
        <f ca="1">IFERROR(__xludf.DUMMYFUNCTION("""COMPUTED_VALUE"""),"bitago-2")</f>
        <v>bitago-2</v>
      </c>
      <c r="B1650" s="2" t="str">
        <f ca="1">IFERROR(__xludf.DUMMYFUNCTION("""COMPUTED_VALUE"""),"xbit")</f>
        <v>xbit</v>
      </c>
      <c r="C1650" s="2" t="str">
        <f ca="1">IFERROR(__xludf.DUMMYFUNCTION("""COMPUTED_VALUE"""),"Bitago")</f>
        <v>Bitago</v>
      </c>
    </row>
    <row r="1651" spans="1:3" x14ac:dyDescent="0.25">
      <c r="A1651" s="2" t="str">
        <f ca="1">IFERROR(__xludf.DUMMYFUNCTION("""COMPUTED_VALUE"""),"bitard")</f>
        <v>bitard</v>
      </c>
      <c r="B1651" s="2" t="str">
        <f ca="1">IFERROR(__xludf.DUMMYFUNCTION("""COMPUTED_VALUE"""),"bitard")</f>
        <v>bitard</v>
      </c>
      <c r="C1651" s="2" t="str">
        <f ca="1">IFERROR(__xludf.DUMMYFUNCTION("""COMPUTED_VALUE"""),"BITARD")</f>
        <v>BITARD</v>
      </c>
    </row>
    <row r="1652" spans="1:3" x14ac:dyDescent="0.25">
      <c r="A1652" s="2" t="str">
        <f ca="1">IFERROR(__xludf.DUMMYFUNCTION("""COMPUTED_VALUE"""),"bitball")</f>
        <v>bitball</v>
      </c>
      <c r="B1652" s="2" t="str">
        <f ca="1">IFERROR(__xludf.DUMMYFUNCTION("""COMPUTED_VALUE"""),"btb")</f>
        <v>btb</v>
      </c>
      <c r="C1652" s="2" t="str">
        <f ca="1">IFERROR(__xludf.DUMMYFUNCTION("""COMPUTED_VALUE"""),"Bitball")</f>
        <v>Bitball</v>
      </c>
    </row>
    <row r="1653" spans="1:3" x14ac:dyDescent="0.25">
      <c r="A1653" s="2" t="str">
        <f ca="1">IFERROR(__xludf.DUMMYFUNCTION("""COMPUTED_VALUE"""),"bitball-treasure")</f>
        <v>bitball-treasure</v>
      </c>
      <c r="B1653" s="2" t="str">
        <f ca="1">IFERROR(__xludf.DUMMYFUNCTION("""COMPUTED_VALUE"""),"btrs")</f>
        <v>btrs</v>
      </c>
      <c r="C1653" s="2" t="str">
        <f ca="1">IFERROR(__xludf.DUMMYFUNCTION("""COMPUTED_VALUE"""),"Bitball Treasure")</f>
        <v>Bitball Treasure</v>
      </c>
    </row>
    <row r="1654" spans="1:3" x14ac:dyDescent="0.25">
      <c r="A1654" s="2" t="str">
        <f ca="1">IFERROR(__xludf.DUMMYFUNCTION("""COMPUTED_VALUE"""),"bitbar")</f>
        <v>bitbar</v>
      </c>
      <c r="B1654" s="2" t="str">
        <f ca="1">IFERROR(__xludf.DUMMYFUNCTION("""COMPUTED_VALUE"""),"btb")</f>
        <v>btb</v>
      </c>
      <c r="C1654" s="2" t="str">
        <f ca="1">IFERROR(__xludf.DUMMYFUNCTION("""COMPUTED_VALUE"""),"Bitbar")</f>
        <v>Bitbar</v>
      </c>
    </row>
    <row r="1655" spans="1:3" x14ac:dyDescent="0.25">
      <c r="A1655" s="2" t="str">
        <f ca="1">IFERROR(__xludf.DUMMYFUNCTION("""COMPUTED_VALUE"""),"bitbedr")</f>
        <v>bitbedr</v>
      </c>
      <c r="B1655" s="2" t="str">
        <f ca="1">IFERROR(__xludf.DUMMYFUNCTION("""COMPUTED_VALUE"""),"bitbedr")</f>
        <v>bitbedr</v>
      </c>
      <c r="C1655" s="2" t="str">
        <f ca="1">IFERROR(__xludf.DUMMYFUNCTION("""COMPUTED_VALUE"""),"BITBEDR")</f>
        <v>BITBEDR</v>
      </c>
    </row>
    <row r="1656" spans="1:3" x14ac:dyDescent="0.25">
      <c r="A1656" s="2" t="str">
        <f ca="1">IFERROR(__xludf.DUMMYFUNCTION("""COMPUTED_VALUE"""),"bitbook-token")</f>
        <v>bitbook-token</v>
      </c>
      <c r="B1656" s="2" t="str">
        <f ca="1">IFERROR(__xludf.DUMMYFUNCTION("""COMPUTED_VALUE"""),"bbt")</f>
        <v>bbt</v>
      </c>
      <c r="C1656" s="2" t="str">
        <f ca="1">IFERROR(__xludf.DUMMYFUNCTION("""COMPUTED_VALUE"""),"BitBook")</f>
        <v>BitBook</v>
      </c>
    </row>
    <row r="1657" spans="1:3" x14ac:dyDescent="0.25">
      <c r="A1657" s="2" t="str">
        <f ca="1">IFERROR(__xludf.DUMMYFUNCTION("""COMPUTED_VALUE"""),"bitboost")</f>
        <v>bitboost</v>
      </c>
      <c r="B1657" s="2" t="str">
        <f ca="1">IFERROR(__xludf.DUMMYFUNCTION("""COMPUTED_VALUE"""),"bbt")</f>
        <v>bbt</v>
      </c>
      <c r="C1657" s="2" t="str">
        <f ca="1">IFERROR(__xludf.DUMMYFUNCTION("""COMPUTED_VALUE"""),"BitBoost")</f>
        <v>BitBoost</v>
      </c>
    </row>
    <row r="1658" spans="1:3" x14ac:dyDescent="0.25">
      <c r="A1658" s="2" t="str">
        <f ca="1">IFERROR(__xludf.DUMMYFUNCTION("""COMPUTED_VALUE"""),"bitbrawl")</f>
        <v>bitbrawl</v>
      </c>
      <c r="B1658" s="2" t="str">
        <f ca="1">IFERROR(__xludf.DUMMYFUNCTION("""COMPUTED_VALUE"""),"brawl")</f>
        <v>brawl</v>
      </c>
      <c r="C1658" s="2" t="str">
        <f ca="1">IFERROR(__xludf.DUMMYFUNCTION("""COMPUTED_VALUE"""),"BitBrawl")</f>
        <v>BitBrawl</v>
      </c>
    </row>
    <row r="1659" spans="1:3" x14ac:dyDescent="0.25">
      <c r="A1659" s="2" t="str">
        <f ca="1">IFERROR(__xludf.DUMMYFUNCTION("""COMPUTED_VALUE"""),"bitcanna")</f>
        <v>bitcanna</v>
      </c>
      <c r="B1659" s="2" t="str">
        <f ca="1">IFERROR(__xludf.DUMMYFUNCTION("""COMPUTED_VALUE"""),"bcna")</f>
        <v>bcna</v>
      </c>
      <c r="C1659" s="2" t="str">
        <f ca="1">IFERROR(__xludf.DUMMYFUNCTION("""COMPUTED_VALUE"""),"BitCanna")</f>
        <v>BitCanna</v>
      </c>
    </row>
    <row r="1660" spans="1:3" x14ac:dyDescent="0.25">
      <c r="A1660" s="2" t="str">
        <f ca="1">IFERROR(__xludf.DUMMYFUNCTION("""COMPUTED_VALUE"""),"bitcastle")</f>
        <v>bitcastle</v>
      </c>
      <c r="B1660" s="2" t="str">
        <f ca="1">IFERROR(__xludf.DUMMYFUNCTION("""COMPUTED_VALUE"""),"castle")</f>
        <v>castle</v>
      </c>
      <c r="C1660" s="2" t="str">
        <f ca="1">IFERROR(__xludf.DUMMYFUNCTION("""COMPUTED_VALUE"""),"bitcastle")</f>
        <v>bitcastle</v>
      </c>
    </row>
    <row r="1661" spans="1:3" x14ac:dyDescent="0.25">
      <c r="A1661" s="2" t="str">
        <f ca="1">IFERROR(__xludf.DUMMYFUNCTION("""COMPUTED_VALUE"""),"bitcat")</f>
        <v>bitcat</v>
      </c>
      <c r="B1661" s="2" t="str">
        <f ca="1">IFERROR(__xludf.DUMMYFUNCTION("""COMPUTED_VALUE"""),"bitcat")</f>
        <v>bitcat</v>
      </c>
      <c r="C1661" s="2" t="str">
        <f ca="1">IFERROR(__xludf.DUMMYFUNCTION("""COMPUTED_VALUE"""),"Bitcat")</f>
        <v>Bitcat</v>
      </c>
    </row>
    <row r="1662" spans="1:3" x14ac:dyDescent="0.25">
      <c r="A1662" s="2" t="str">
        <f ca="1">IFERROR(__xludf.DUMMYFUNCTION("""COMPUTED_VALUE"""),"bitchemical-token")</f>
        <v>bitchemical-token</v>
      </c>
      <c r="B1662" s="2" t="str">
        <f ca="1">IFERROR(__xludf.DUMMYFUNCTION("""COMPUTED_VALUE"""),"bchec")</f>
        <v>bchec</v>
      </c>
      <c r="C1662" s="2" t="str">
        <f ca="1">IFERROR(__xludf.DUMMYFUNCTION("""COMPUTED_VALUE"""),"Bitchemical Token")</f>
        <v>Bitchemical Token</v>
      </c>
    </row>
    <row r="1663" spans="1:3" x14ac:dyDescent="0.25">
      <c r="A1663" s="2" t="str">
        <f ca="1">IFERROR(__xludf.DUMMYFUNCTION("""COMPUTED_VALUE"""),"bitci-blok")</f>
        <v>bitci-blok</v>
      </c>
      <c r="B1663" s="2" t="str">
        <f ca="1">IFERROR(__xludf.DUMMYFUNCTION("""COMPUTED_VALUE"""),"blok")</f>
        <v>blok</v>
      </c>
      <c r="C1663" s="2" t="str">
        <f ca="1">IFERROR(__xludf.DUMMYFUNCTION("""COMPUTED_VALUE"""),"Blok Token")</f>
        <v>Blok Token</v>
      </c>
    </row>
    <row r="1664" spans="1:3" x14ac:dyDescent="0.25">
      <c r="A1664" s="2" t="str">
        <f ca="1">IFERROR(__xludf.DUMMYFUNCTION("""COMPUTED_VALUE"""),"bitci-bonk")</f>
        <v>bitci-bonk</v>
      </c>
      <c r="B1664" s="2" t="str">
        <f ca="1">IFERROR(__xludf.DUMMYFUNCTION("""COMPUTED_VALUE"""),"bbk")</f>
        <v>bbk</v>
      </c>
      <c r="C1664" s="2" t="str">
        <f ca="1">IFERROR(__xludf.DUMMYFUNCTION("""COMPUTED_VALUE"""),"Bitci Bonk")</f>
        <v>Bitci Bonk</v>
      </c>
    </row>
    <row r="1665" spans="1:3" x14ac:dyDescent="0.25">
      <c r="A1665" s="2" t="str">
        <f ca="1">IFERROR(__xludf.DUMMYFUNCTION("""COMPUTED_VALUE"""),"bitcicoin")</f>
        <v>bitcicoin</v>
      </c>
      <c r="B1665" s="2" t="str">
        <f ca="1">IFERROR(__xludf.DUMMYFUNCTION("""COMPUTED_VALUE"""),"bitci")</f>
        <v>bitci</v>
      </c>
      <c r="C1665" s="2" t="str">
        <f ca="1">IFERROR(__xludf.DUMMYFUNCTION("""COMPUTED_VALUE"""),"Bitcicoin")</f>
        <v>Bitcicoin</v>
      </c>
    </row>
    <row r="1666" spans="1:3" x14ac:dyDescent="0.25">
      <c r="A1666" s="2" t="str">
        <f ca="1">IFERROR(__xludf.DUMMYFUNCTION("""COMPUTED_VALUE"""),"bitci-doge")</f>
        <v>bitci-doge</v>
      </c>
      <c r="B1666" s="2" t="str">
        <f ca="1">IFERROR(__xludf.DUMMYFUNCTION("""COMPUTED_VALUE"""),"boge")</f>
        <v>boge</v>
      </c>
      <c r="C1666" s="2" t="str">
        <f ca="1">IFERROR(__xludf.DUMMYFUNCTION("""COMPUTED_VALUE"""),"Bitci DOGE")</f>
        <v>Bitci DOGE</v>
      </c>
    </row>
    <row r="1667" spans="1:3" x14ac:dyDescent="0.25">
      <c r="A1667" s="2" t="str">
        <f ca="1">IFERROR(__xludf.DUMMYFUNCTION("""COMPUTED_VALUE"""),"bitci-edu")</f>
        <v>bitci-edu</v>
      </c>
      <c r="B1667" s="2" t="str">
        <f ca="1">IFERROR(__xludf.DUMMYFUNCTION("""COMPUTED_VALUE"""),"bedu")</f>
        <v>bedu</v>
      </c>
      <c r="C1667" s="2" t="str">
        <f ca="1">IFERROR(__xludf.DUMMYFUNCTION("""COMPUTED_VALUE"""),"Bitci EDU")</f>
        <v>Bitci EDU</v>
      </c>
    </row>
    <row r="1668" spans="1:3" x14ac:dyDescent="0.25">
      <c r="A1668" s="2" t="str">
        <f ca="1">IFERROR(__xludf.DUMMYFUNCTION("""COMPUTED_VALUE"""),"bitci-pepe")</f>
        <v>bitci-pepe</v>
      </c>
      <c r="B1668" s="2" t="str">
        <f ca="1">IFERROR(__xludf.DUMMYFUNCTION("""COMPUTED_VALUE"""),"bepe")</f>
        <v>bepe</v>
      </c>
      <c r="C1668" s="2" t="str">
        <f ca="1">IFERROR(__xludf.DUMMYFUNCTION("""COMPUTED_VALUE"""),"Bitci PEPE")</f>
        <v>Bitci PEPE</v>
      </c>
    </row>
    <row r="1669" spans="1:3" x14ac:dyDescent="0.25">
      <c r="A1669" s="2" t="str">
        <f ca="1">IFERROR(__xludf.DUMMYFUNCTION("""COMPUTED_VALUE"""),"bitci-racing-token")</f>
        <v>bitci-racing-token</v>
      </c>
      <c r="B1669" s="2" t="str">
        <f ca="1">IFERROR(__xludf.DUMMYFUNCTION("""COMPUTED_VALUE"""),"brace")</f>
        <v>brace</v>
      </c>
      <c r="C1669" s="2" t="str">
        <f ca="1">IFERROR(__xludf.DUMMYFUNCTION("""COMPUTED_VALUE"""),"Bitci Racing Token")</f>
        <v>Bitci Racing Token</v>
      </c>
    </row>
    <row r="1670" spans="1:3" x14ac:dyDescent="0.25">
      <c r="A1670" s="2" t="str">
        <f ca="1">IFERROR(__xludf.DUMMYFUNCTION("""COMPUTED_VALUE"""),"bitcix")</f>
        <v>bitcix</v>
      </c>
      <c r="B1670" s="2" t="str">
        <f ca="1">IFERROR(__xludf.DUMMYFUNCTION("""COMPUTED_VALUE"""),"btx")</f>
        <v>btx</v>
      </c>
      <c r="C1670" s="2" t="str">
        <f ca="1">IFERROR(__xludf.DUMMYFUNCTION("""COMPUTED_VALUE"""),"BitciX")</f>
        <v>BitciX</v>
      </c>
    </row>
    <row r="1671" spans="1:3" x14ac:dyDescent="0.25">
      <c r="A1671" s="2" t="str">
        <f ca="1">IFERROR(__xludf.DUMMYFUNCTION("""COMPUTED_VALUE"""),"bitclave")</f>
        <v>bitclave</v>
      </c>
      <c r="B1671" s="2" t="str">
        <f ca="1">IFERROR(__xludf.DUMMYFUNCTION("""COMPUTED_VALUE"""),"cat")</f>
        <v>cat</v>
      </c>
      <c r="C1671" s="2" t="str">
        <f ca="1">IFERROR(__xludf.DUMMYFUNCTION("""COMPUTED_VALUE"""),"BitClave")</f>
        <v>BitClave</v>
      </c>
    </row>
    <row r="1672" spans="1:3" x14ac:dyDescent="0.25">
      <c r="A1672" s="2" t="str">
        <f ca="1">IFERROR(__xludf.DUMMYFUNCTION("""COMPUTED_VALUE"""),"bitclouds")</f>
        <v>bitclouds</v>
      </c>
      <c r="B1672" s="2" t="str">
        <f ca="1">IFERROR(__xludf.DUMMYFUNCTION("""COMPUTED_VALUE"""),"bcs")</f>
        <v>bcs</v>
      </c>
      <c r="C1672" s="2" t="str">
        <f ca="1">IFERROR(__xludf.DUMMYFUNCTION("""COMPUTED_VALUE"""),"Bitclouds")</f>
        <v>Bitclouds</v>
      </c>
    </row>
    <row r="1673" spans="1:3" x14ac:dyDescent="0.25">
      <c r="A1673" s="2" t="str">
        <f ca="1">IFERROR(__xludf.DUMMYFUNCTION("""COMPUTED_VALUE"""),"bitcoin")</f>
        <v>bitcoin</v>
      </c>
      <c r="B1673" s="2" t="str">
        <f ca="1">IFERROR(__xludf.DUMMYFUNCTION("""COMPUTED_VALUE"""),"btc")</f>
        <v>btc</v>
      </c>
      <c r="C1673" s="2" t="str">
        <f ca="1">IFERROR(__xludf.DUMMYFUNCTION("""COMPUTED_VALUE"""),"Bitcoin")</f>
        <v>Bitcoin</v>
      </c>
    </row>
    <row r="1674" spans="1:3" x14ac:dyDescent="0.25">
      <c r="A1674" s="2" t="str">
        <f ca="1">IFERROR(__xludf.DUMMYFUNCTION("""COMPUTED_VALUE"""),"bitcoin-2")</f>
        <v>bitcoin-2</v>
      </c>
      <c r="B1674" s="2" t="str">
        <f ca="1">IFERROR(__xludf.DUMMYFUNCTION("""COMPUTED_VALUE"""),"btc2")</f>
        <v>btc2</v>
      </c>
      <c r="C1674" s="2" t="str">
        <f ca="1">IFERROR(__xludf.DUMMYFUNCTION("""COMPUTED_VALUE"""),"Bitcoin 2")</f>
        <v>Bitcoin 2</v>
      </c>
    </row>
    <row r="1675" spans="1:3" x14ac:dyDescent="0.25">
      <c r="A1675" s="2" t="str">
        <f ca="1">IFERROR(__xludf.DUMMYFUNCTION("""COMPUTED_VALUE"""),"bitcoin20")</f>
        <v>bitcoin20</v>
      </c>
      <c r="B1675" s="2" t="str">
        <f ca="1">IFERROR(__xludf.DUMMYFUNCTION("""COMPUTED_VALUE"""),"btc20")</f>
        <v>btc20</v>
      </c>
      <c r="C1675" s="2" t="str">
        <f ca="1">IFERROR(__xludf.DUMMYFUNCTION("""COMPUTED_VALUE"""),"Bitcoin20")</f>
        <v>Bitcoin20</v>
      </c>
    </row>
    <row r="1676" spans="1:3" x14ac:dyDescent="0.25">
      <c r="A1676" s="2" t="str">
        <f ca="1">IFERROR(__xludf.DUMMYFUNCTION("""COMPUTED_VALUE"""),"bitcoin-2-0")</f>
        <v>bitcoin-2-0</v>
      </c>
      <c r="B1676" s="2" t="str">
        <f ca="1">IFERROR(__xludf.DUMMYFUNCTION("""COMPUTED_VALUE"""),"btc2.0")</f>
        <v>btc2.0</v>
      </c>
      <c r="C1676" s="2" t="str">
        <f ca="1">IFERROR(__xludf.DUMMYFUNCTION("""COMPUTED_VALUE"""),"Bitcoin 2.0")</f>
        <v>Bitcoin 2.0</v>
      </c>
    </row>
    <row r="1677" spans="1:3" x14ac:dyDescent="0.25">
      <c r="A1677" s="2" t="str">
        <f ca="1">IFERROR(__xludf.DUMMYFUNCTION("""COMPUTED_VALUE"""),"bitcoin-2015-wrapper-meme")</f>
        <v>bitcoin-2015-wrapper-meme</v>
      </c>
      <c r="B1677" s="2" t="str">
        <f ca="1">IFERROR(__xludf.DUMMYFUNCTION("""COMPUTED_VALUE"""),"btc")</f>
        <v>btc</v>
      </c>
      <c r="C1677" s="2" t="str">
        <f ca="1">IFERROR(__xludf.DUMMYFUNCTION("""COMPUTED_VALUE"""),"bitcoin (2015 Wrapper) (Meme)")</f>
        <v>bitcoin (2015 Wrapper) (Meme)</v>
      </c>
    </row>
    <row r="1678" spans="1:3" x14ac:dyDescent="0.25">
      <c r="A1678" s="2" t="str">
        <f ca="1">IFERROR(__xludf.DUMMYFUNCTION("""COMPUTED_VALUE"""),"bitcoin-ai")</f>
        <v>bitcoin-ai</v>
      </c>
      <c r="B1678" s="2" t="str">
        <f ca="1">IFERROR(__xludf.DUMMYFUNCTION("""COMPUTED_VALUE"""),"bitcoinai")</f>
        <v>bitcoinai</v>
      </c>
      <c r="C1678" s="2" t="str">
        <f ca="1">IFERROR(__xludf.DUMMYFUNCTION("""COMPUTED_VALUE"""),"Bitcoin AI")</f>
        <v>Bitcoin AI</v>
      </c>
    </row>
    <row r="1679" spans="1:3" x14ac:dyDescent="0.25">
      <c r="A1679" s="2" t="str">
        <f ca="1">IFERROR(__xludf.DUMMYFUNCTION("""COMPUTED_VALUE"""),"bitcoin-atom")</f>
        <v>bitcoin-atom</v>
      </c>
      <c r="B1679" s="2" t="str">
        <f ca="1">IFERROR(__xludf.DUMMYFUNCTION("""COMPUTED_VALUE"""),"bca")</f>
        <v>bca</v>
      </c>
      <c r="C1679" s="2" t="str">
        <f ca="1">IFERROR(__xludf.DUMMYFUNCTION("""COMPUTED_VALUE"""),"Bitcoin Atom")</f>
        <v>Bitcoin Atom</v>
      </c>
    </row>
    <row r="1680" spans="1:3" x14ac:dyDescent="0.25">
      <c r="A1680" s="2" t="str">
        <f ca="1">IFERROR(__xludf.DUMMYFUNCTION("""COMPUTED_VALUE"""),"bitcoin-avalanche-bridged-btc-b")</f>
        <v>bitcoin-avalanche-bridged-btc-b</v>
      </c>
      <c r="B1680" s="2" t="str">
        <f ca="1">IFERROR(__xludf.DUMMYFUNCTION("""COMPUTED_VALUE"""),"btc.b")</f>
        <v>btc.b</v>
      </c>
      <c r="C1680" s="2" t="str">
        <f ca="1">IFERROR(__xludf.DUMMYFUNCTION("""COMPUTED_VALUE"""),"Bitcoin Avalanche Bridged (BTC.b)")</f>
        <v>Bitcoin Avalanche Bridged (BTC.b)</v>
      </c>
    </row>
    <row r="1681" spans="1:3" x14ac:dyDescent="0.25">
      <c r="A1681" s="2" t="str">
        <f ca="1">IFERROR(__xludf.DUMMYFUNCTION("""COMPUTED_VALUE"""),"bitcoinbam")</f>
        <v>bitcoinbam</v>
      </c>
      <c r="B1681" s="2" t="str">
        <f ca="1">IFERROR(__xludf.DUMMYFUNCTION("""COMPUTED_VALUE"""),"btcbam")</f>
        <v>btcbam</v>
      </c>
      <c r="C1681" s="2" t="str">
        <f ca="1">IFERROR(__xludf.DUMMYFUNCTION("""COMPUTED_VALUE"""),"BitcoinBam")</f>
        <v>BitcoinBam</v>
      </c>
    </row>
    <row r="1682" spans="1:3" x14ac:dyDescent="0.25">
      <c r="A1682" s="2" t="str">
        <f ca="1">IFERROR(__xludf.DUMMYFUNCTION("""COMPUTED_VALUE"""),"bitcoin-black-credit-card")</f>
        <v>bitcoin-black-credit-card</v>
      </c>
      <c r="B1682" s="2" t="str">
        <f ca="1">IFERROR(__xludf.DUMMYFUNCTION("""COMPUTED_VALUE"""),"bbcc")</f>
        <v>bbcc</v>
      </c>
      <c r="C1682" s="2" t="str">
        <f ca="1">IFERROR(__xludf.DUMMYFUNCTION("""COMPUTED_VALUE"""),"Bitcoin Black Credit Card")</f>
        <v>Bitcoin Black Credit Card</v>
      </c>
    </row>
    <row r="1683" spans="1:3" x14ac:dyDescent="0.25">
      <c r="A1683" s="2" t="str">
        <f ca="1">IFERROR(__xludf.DUMMYFUNCTION("""COMPUTED_VALUE"""),"bitcoin-bridged-zed20")</f>
        <v>bitcoin-bridged-zed20</v>
      </c>
      <c r="B1683" s="2" t="str">
        <f ca="1">IFERROR(__xludf.DUMMYFUNCTION("""COMPUTED_VALUE"""),"btc.z")</f>
        <v>btc.z</v>
      </c>
      <c r="C1683" s="2" t="str">
        <f ca="1">IFERROR(__xludf.DUMMYFUNCTION("""COMPUTED_VALUE"""),"Bitcoin Bridged ZED20")</f>
        <v>Bitcoin Bridged ZED20</v>
      </c>
    </row>
    <row r="1684" spans="1:3" x14ac:dyDescent="0.25">
      <c r="A1684" s="2" t="str">
        <f ca="1">IFERROR(__xludf.DUMMYFUNCTION("""COMPUTED_VALUE"""),"bitcoin-candy")</f>
        <v>bitcoin-candy</v>
      </c>
      <c r="B1684" s="2" t="str">
        <f ca="1">IFERROR(__xludf.DUMMYFUNCTION("""COMPUTED_VALUE"""),"cdy")</f>
        <v>cdy</v>
      </c>
      <c r="C1684" s="2" t="str">
        <f ca="1">IFERROR(__xludf.DUMMYFUNCTION("""COMPUTED_VALUE"""),"Bitcoin Candy")</f>
        <v>Bitcoin Candy</v>
      </c>
    </row>
    <row r="1685" spans="1:3" x14ac:dyDescent="0.25">
      <c r="A1685" s="2" t="str">
        <f ca="1">IFERROR(__xludf.DUMMYFUNCTION("""COMPUTED_VALUE"""),"bitcoin-cash")</f>
        <v>bitcoin-cash</v>
      </c>
      <c r="B1685" s="2" t="str">
        <f ca="1">IFERROR(__xludf.DUMMYFUNCTION("""COMPUTED_VALUE"""),"bch")</f>
        <v>bch</v>
      </c>
      <c r="C1685" s="2" t="str">
        <f ca="1">IFERROR(__xludf.DUMMYFUNCTION("""COMPUTED_VALUE"""),"Bitcoin Cash")</f>
        <v>Bitcoin Cash</v>
      </c>
    </row>
    <row r="1686" spans="1:3" x14ac:dyDescent="0.25">
      <c r="A1686" s="2" t="str">
        <f ca="1">IFERROR(__xludf.DUMMYFUNCTION("""COMPUTED_VALUE"""),"bitcoin-cash-sv")</f>
        <v>bitcoin-cash-sv</v>
      </c>
      <c r="B1686" s="2" t="str">
        <f ca="1">IFERROR(__xludf.DUMMYFUNCTION("""COMPUTED_VALUE"""),"bsv")</f>
        <v>bsv</v>
      </c>
      <c r="C1686" s="2" t="str">
        <f ca="1">IFERROR(__xludf.DUMMYFUNCTION("""COMPUTED_VALUE"""),"Bitcoin SV")</f>
        <v>Bitcoin SV</v>
      </c>
    </row>
    <row r="1687" spans="1:3" x14ac:dyDescent="0.25">
      <c r="A1687" s="2" t="str">
        <f ca="1">IFERROR(__xludf.DUMMYFUNCTION("""COMPUTED_VALUE"""),"bitcoin-cat")</f>
        <v>bitcoin-cat</v>
      </c>
      <c r="B1687" s="2" t="str">
        <f ca="1">IFERROR(__xludf.DUMMYFUNCTION("""COMPUTED_VALUE"""),"sasha")</f>
        <v>sasha</v>
      </c>
      <c r="C1687" s="2" t="str">
        <f ca="1">IFERROR(__xludf.DUMMYFUNCTION("""COMPUTED_VALUE"""),"Bitcoin Cat")</f>
        <v>Bitcoin Cat</v>
      </c>
    </row>
    <row r="1688" spans="1:3" x14ac:dyDescent="0.25">
      <c r="A1688" s="2" t="str">
        <f ca="1">IFERROR(__xludf.DUMMYFUNCTION("""COMPUTED_VALUE"""),"bitcoin-cats")</f>
        <v>bitcoin-cats</v>
      </c>
      <c r="B1688" s="2" t="str">
        <f ca="1">IFERROR(__xludf.DUMMYFUNCTION("""COMPUTED_VALUE"""),"1cat")</f>
        <v>1cat</v>
      </c>
      <c r="C1688" s="2" t="str">
        <f ca="1">IFERROR(__xludf.DUMMYFUNCTION("""COMPUTED_VALUE"""),"Bitcoin Cats")</f>
        <v>Bitcoin Cats</v>
      </c>
    </row>
    <row r="1689" spans="1:3" x14ac:dyDescent="0.25">
      <c r="A1689" s="2" t="str">
        <f ca="1">IFERROR(__xludf.DUMMYFUNCTION("""COMPUTED_VALUE"""),"bitcoin-diamond")</f>
        <v>bitcoin-diamond</v>
      </c>
      <c r="B1689" s="2" t="str">
        <f ca="1">IFERROR(__xludf.DUMMYFUNCTION("""COMPUTED_VALUE"""),"bcd")</f>
        <v>bcd</v>
      </c>
      <c r="C1689" s="2" t="str">
        <f ca="1">IFERROR(__xludf.DUMMYFUNCTION("""COMPUTED_VALUE"""),"Bitcoin Diamond")</f>
        <v>Bitcoin Diamond</v>
      </c>
    </row>
    <row r="1690" spans="1:3" x14ac:dyDescent="0.25">
      <c r="A1690" s="2" t="str">
        <f ca="1">IFERROR(__xludf.DUMMYFUNCTION("""COMPUTED_VALUE"""),"bitcoin-dog")</f>
        <v>bitcoin-dog</v>
      </c>
      <c r="B1690" s="2" t="str">
        <f ca="1">IFERROR(__xludf.DUMMYFUNCTION("""COMPUTED_VALUE"""),"gargoyle")</f>
        <v>gargoyle</v>
      </c>
      <c r="C1690" s="2" t="str">
        <f ca="1">IFERROR(__xludf.DUMMYFUNCTION("""COMPUTED_VALUE"""),"Bitcoin Dog")</f>
        <v>Bitcoin Dog</v>
      </c>
    </row>
    <row r="1691" spans="1:3" x14ac:dyDescent="0.25">
      <c r="A1691" s="2" t="str">
        <f ca="1">IFERROR(__xludf.DUMMYFUNCTION("""COMPUTED_VALUE"""),"bitcoin-e-wallet")</f>
        <v>bitcoin-e-wallet</v>
      </c>
      <c r="B1691" s="2" t="str">
        <f ca="1">IFERROR(__xludf.DUMMYFUNCTION("""COMPUTED_VALUE"""),"bitwallet")</f>
        <v>bitwallet</v>
      </c>
      <c r="C1691" s="2" t="str">
        <f ca="1">IFERROR(__xludf.DUMMYFUNCTION("""COMPUTED_VALUE"""),"Bitcoin E-wallet")</f>
        <v>Bitcoin E-wallet</v>
      </c>
    </row>
    <row r="1692" spans="1:3" x14ac:dyDescent="0.25">
      <c r="A1692" s="2" t="str">
        <f ca="1">IFERROR(__xludf.DUMMYFUNCTION("""COMPUTED_VALUE"""),"bitcoin-fast")</f>
        <v>bitcoin-fast</v>
      </c>
      <c r="B1692" s="2" t="str">
        <f ca="1">IFERROR(__xludf.DUMMYFUNCTION("""COMPUTED_VALUE"""),"bcf")</f>
        <v>bcf</v>
      </c>
      <c r="C1692" s="2" t="str">
        <f ca="1">IFERROR(__xludf.DUMMYFUNCTION("""COMPUTED_VALUE"""),"Bitcoin Fast")</f>
        <v>Bitcoin Fast</v>
      </c>
    </row>
    <row r="1693" spans="1:3" x14ac:dyDescent="0.25">
      <c r="A1693" s="2" t="str">
        <f ca="1">IFERROR(__xludf.DUMMYFUNCTION("""COMPUTED_VALUE"""),"bitcoin-god")</f>
        <v>bitcoin-god</v>
      </c>
      <c r="B1693" s="2" t="str">
        <f ca="1">IFERROR(__xludf.DUMMYFUNCTION("""COMPUTED_VALUE"""),"god")</f>
        <v>god</v>
      </c>
      <c r="C1693" s="2" t="str">
        <f ca="1">IFERROR(__xludf.DUMMYFUNCTION("""COMPUTED_VALUE"""),"Bitcoin God")</f>
        <v>Bitcoin God</v>
      </c>
    </row>
    <row r="1694" spans="1:3" x14ac:dyDescent="0.25">
      <c r="A1694" s="2" t="str">
        <f ca="1">IFERROR(__xludf.DUMMYFUNCTION("""COMPUTED_VALUE"""),"bitcoin-gold")</f>
        <v>bitcoin-gold</v>
      </c>
      <c r="B1694" s="2" t="str">
        <f ca="1">IFERROR(__xludf.DUMMYFUNCTION("""COMPUTED_VALUE"""),"btg")</f>
        <v>btg</v>
      </c>
      <c r="C1694" s="2" t="str">
        <f ca="1">IFERROR(__xludf.DUMMYFUNCTION("""COMPUTED_VALUE"""),"Bitcoin Gold")</f>
        <v>Bitcoin Gold</v>
      </c>
    </row>
    <row r="1695" spans="1:3" x14ac:dyDescent="0.25">
      <c r="A1695" s="2" t="str">
        <f ca="1">IFERROR(__xludf.DUMMYFUNCTION("""COMPUTED_VALUE"""),"bitcoin-inu")</f>
        <v>bitcoin-inu</v>
      </c>
      <c r="B1695" s="2" t="str">
        <f ca="1">IFERROR(__xludf.DUMMYFUNCTION("""COMPUTED_VALUE"""),"btcinu")</f>
        <v>btcinu</v>
      </c>
      <c r="C1695" s="2" t="str">
        <f ca="1">IFERROR(__xludf.DUMMYFUNCTION("""COMPUTED_VALUE"""),"Bitcoin Inu")</f>
        <v>Bitcoin Inu</v>
      </c>
    </row>
    <row r="1696" spans="1:3" x14ac:dyDescent="0.25">
      <c r="A1696" s="2" t="str">
        <f ca="1">IFERROR(__xludf.DUMMYFUNCTION("""COMPUTED_VALUE"""),"bitcoin-name-service-system")</f>
        <v>bitcoin-name-service-system</v>
      </c>
      <c r="B1696" s="2" t="str">
        <f ca="1">IFERROR(__xludf.DUMMYFUNCTION("""COMPUTED_VALUE"""),"bnsx")</f>
        <v>bnsx</v>
      </c>
      <c r="C1696" s="2" t="str">
        <f ca="1">IFERROR(__xludf.DUMMYFUNCTION("""COMPUTED_VALUE"""),"Bitcoin Name Service System")</f>
        <v>Bitcoin Name Service System</v>
      </c>
    </row>
    <row r="1697" spans="1:3" x14ac:dyDescent="0.25">
      <c r="A1697" s="2" t="str">
        <f ca="1">IFERROR(__xludf.DUMMYFUNCTION("""COMPUTED_VALUE"""),"bitcoin-on-base")</f>
        <v>bitcoin-on-base</v>
      </c>
      <c r="B1697" s="2" t="str">
        <f ca="1">IFERROR(__xludf.DUMMYFUNCTION("""COMPUTED_VALUE"""),"btcb")</f>
        <v>btcb</v>
      </c>
      <c r="C1697" s="2" t="str">
        <f ca="1">IFERROR(__xludf.DUMMYFUNCTION("""COMPUTED_VALUE"""),"Bitcoin on Base")</f>
        <v>Bitcoin on Base</v>
      </c>
    </row>
    <row r="1698" spans="1:3" x14ac:dyDescent="0.25">
      <c r="A1698" s="2" t="str">
        <f ca="1">IFERROR(__xludf.DUMMYFUNCTION("""COMPUTED_VALUE"""),"bitcoin-pay")</f>
        <v>bitcoin-pay</v>
      </c>
      <c r="B1698" s="2" t="str">
        <f ca="1">IFERROR(__xludf.DUMMYFUNCTION("""COMPUTED_VALUE"""),"btcpay")</f>
        <v>btcpay</v>
      </c>
      <c r="C1698" s="2" t="str">
        <f ca="1">IFERROR(__xludf.DUMMYFUNCTION("""COMPUTED_VALUE"""),"Bitcoin Pay")</f>
        <v>Bitcoin Pay</v>
      </c>
    </row>
    <row r="1699" spans="1:3" x14ac:dyDescent="0.25">
      <c r="A1699" s="2" t="str">
        <f ca="1">IFERROR(__xludf.DUMMYFUNCTION("""COMPUTED_VALUE"""),"bitcoin-plus")</f>
        <v>bitcoin-plus</v>
      </c>
      <c r="B1699" s="2" t="str">
        <f ca="1">IFERROR(__xludf.DUMMYFUNCTION("""COMPUTED_VALUE"""),"xbc")</f>
        <v>xbc</v>
      </c>
      <c r="C1699" s="2" t="str">
        <f ca="1">IFERROR(__xludf.DUMMYFUNCTION("""COMPUTED_VALUE"""),"Bitcoin Plus")</f>
        <v>Bitcoin Plus</v>
      </c>
    </row>
    <row r="1700" spans="1:3" x14ac:dyDescent="0.25">
      <c r="A1700" s="2" t="str">
        <f ca="1">IFERROR(__xludf.DUMMYFUNCTION("""COMPUTED_VALUE"""),"bitcoinpow")</f>
        <v>bitcoinpow</v>
      </c>
      <c r="B1700" s="2" t="str">
        <f ca="1">IFERROR(__xludf.DUMMYFUNCTION("""COMPUTED_VALUE"""),"btcw")</f>
        <v>btcw</v>
      </c>
      <c r="C1700" s="2" t="str">
        <f ca="1">IFERROR(__xludf.DUMMYFUNCTION("""COMPUTED_VALUE"""),"BitcoinPoW")</f>
        <v>BitcoinPoW</v>
      </c>
    </row>
    <row r="1701" spans="1:3" x14ac:dyDescent="0.25">
      <c r="A1701" s="2" t="str">
        <f ca="1">IFERROR(__xludf.DUMMYFUNCTION("""COMPUTED_VALUE"""),"bitcoin-private")</f>
        <v>bitcoin-private</v>
      </c>
      <c r="B1701" s="2" t="str">
        <f ca="1">IFERROR(__xludf.DUMMYFUNCTION("""COMPUTED_VALUE"""),"btcp")</f>
        <v>btcp</v>
      </c>
      <c r="C1701" s="2" t="str">
        <f ca="1">IFERROR(__xludf.DUMMYFUNCTION("""COMPUTED_VALUE"""),"Bitcoin Private")</f>
        <v>Bitcoin Private</v>
      </c>
    </row>
    <row r="1702" spans="1:3" x14ac:dyDescent="0.25">
      <c r="A1702" s="2" t="str">
        <f ca="1">IFERROR(__xludf.DUMMYFUNCTION("""COMPUTED_VALUE"""),"bitcoin-pro")</f>
        <v>bitcoin-pro</v>
      </c>
      <c r="B1702" s="2" t="str">
        <f ca="1">IFERROR(__xludf.DUMMYFUNCTION("""COMPUTED_VALUE"""),"btcp")</f>
        <v>btcp</v>
      </c>
      <c r="C1702" s="2" t="str">
        <f ca="1">IFERROR(__xludf.DUMMYFUNCTION("""COMPUTED_VALUE"""),"Bitcoin Pro")</f>
        <v>Bitcoin Pro</v>
      </c>
    </row>
    <row r="1703" spans="1:3" x14ac:dyDescent="0.25">
      <c r="A1703" s="2" t="str">
        <f ca="1">IFERROR(__xludf.DUMMYFUNCTION("""COMPUTED_VALUE"""),"bitcoin-puppets-solona")</f>
        <v>bitcoin-puppets-solona</v>
      </c>
      <c r="B1703" s="2" t="str">
        <f ca="1">IFERROR(__xludf.DUMMYFUNCTION("""COMPUTED_VALUE"""),"puppet")</f>
        <v>puppet</v>
      </c>
      <c r="C1703" s="2" t="str">
        <f ca="1">IFERROR(__xludf.DUMMYFUNCTION("""COMPUTED_VALUE"""),"bitcoin puppets solona")</f>
        <v>bitcoin puppets solona</v>
      </c>
    </row>
    <row r="1704" spans="1:3" x14ac:dyDescent="0.25">
      <c r="A1704" s="2" t="str">
        <f ca="1">IFERROR(__xludf.DUMMYFUNCTION("""COMPUTED_VALUE"""),"bitcoinsov")</f>
        <v>bitcoinsov</v>
      </c>
      <c r="B1704" s="2" t="str">
        <f ca="1">IFERROR(__xludf.DUMMYFUNCTION("""COMPUTED_VALUE"""),"bsov")</f>
        <v>bsov</v>
      </c>
      <c r="C1704" s="2" t="str">
        <f ca="1">IFERROR(__xludf.DUMMYFUNCTION("""COMPUTED_VALUE"""),"BitcoinSoV")</f>
        <v>BitcoinSoV</v>
      </c>
    </row>
    <row r="1705" spans="1:3" x14ac:dyDescent="0.25">
      <c r="A1705" s="2" t="str">
        <f ca="1">IFERROR(__xludf.DUMMYFUNCTION("""COMPUTED_VALUE"""),"bitcoin-subsidium")</f>
        <v>bitcoin-subsidium</v>
      </c>
      <c r="B1705" s="2" t="str">
        <f ca="1">IFERROR(__xludf.DUMMYFUNCTION("""COMPUTED_VALUE"""),"xbtx")</f>
        <v>xbtx</v>
      </c>
      <c r="C1705" s="2" t="str">
        <f ca="1">IFERROR(__xludf.DUMMYFUNCTION("""COMPUTED_VALUE"""),"Bitcoin Subsidium")</f>
        <v>Bitcoin Subsidium</v>
      </c>
    </row>
    <row r="1706" spans="1:3" x14ac:dyDescent="0.25">
      <c r="A1706" s="2" t="str">
        <f ca="1">IFERROR(__xludf.DUMMYFUNCTION("""COMPUTED_VALUE"""),"bitcoin-ton")</f>
        <v>bitcoin-ton</v>
      </c>
      <c r="B1706" s="2" t="str">
        <f ca="1">IFERROR(__xludf.DUMMYFUNCTION("""COMPUTED_VALUE"""),"bitton")</f>
        <v>bitton</v>
      </c>
      <c r="C1706" s="2" t="str">
        <f ca="1">IFERROR(__xludf.DUMMYFUNCTION("""COMPUTED_VALUE"""),"Bitcoin TON")</f>
        <v>Bitcoin TON</v>
      </c>
    </row>
    <row r="1707" spans="1:3" x14ac:dyDescent="0.25">
      <c r="A1707" s="2" t="str">
        <f ca="1">IFERROR(__xludf.DUMMYFUNCTION("""COMPUTED_VALUE"""),"bitcoin-trc20")</f>
        <v>bitcoin-trc20</v>
      </c>
      <c r="B1707" s="2" t="str">
        <f ca="1">IFERROR(__xludf.DUMMYFUNCTION("""COMPUTED_VALUE"""),"btct")</f>
        <v>btct</v>
      </c>
      <c r="C1707" s="2" t="str">
        <f ca="1">IFERROR(__xludf.DUMMYFUNCTION("""COMPUTED_VALUE"""),"Bitcoin TRC20")</f>
        <v>Bitcoin TRC20</v>
      </c>
    </row>
    <row r="1708" spans="1:3" x14ac:dyDescent="0.25">
      <c r="A1708" s="2" t="str">
        <f ca="1">IFERROR(__xludf.DUMMYFUNCTION("""COMPUTED_VALUE"""),"bitcointry-token")</f>
        <v>bitcointry-token</v>
      </c>
      <c r="B1708" s="2" t="str">
        <f ca="1">IFERROR(__xludf.DUMMYFUNCTION("""COMPUTED_VALUE"""),"btty")</f>
        <v>btty</v>
      </c>
      <c r="C1708" s="2" t="str">
        <f ca="1">IFERROR(__xludf.DUMMYFUNCTION("""COMPUTED_VALUE"""),"Bitcointry Token")</f>
        <v>Bitcointry Token</v>
      </c>
    </row>
    <row r="1709" spans="1:3" x14ac:dyDescent="0.25">
      <c r="A1709" s="2" t="str">
        <f ca="1">IFERROR(__xludf.DUMMYFUNCTION("""COMPUTED_VALUE"""),"bitcoin-usd-btcfi")</f>
        <v>bitcoin-usd-btcfi</v>
      </c>
      <c r="B1709" s="2" t="str">
        <f ca="1">IFERROR(__xludf.DUMMYFUNCTION("""COMPUTED_VALUE"""),"btcusd")</f>
        <v>btcusd</v>
      </c>
      <c r="C1709" s="2" t="str">
        <f ca="1">IFERROR(__xludf.DUMMYFUNCTION("""COMPUTED_VALUE"""),"Bitcoin USD (BTCFi)")</f>
        <v>Bitcoin USD (BTCFi)</v>
      </c>
    </row>
    <row r="1710" spans="1:3" x14ac:dyDescent="0.25">
      <c r="A1710" s="2" t="str">
        <f ca="1">IFERROR(__xludf.DUMMYFUNCTION("""COMPUTED_VALUE"""),"bitcoin-vault")</f>
        <v>bitcoin-vault</v>
      </c>
      <c r="B1710" s="2" t="str">
        <f ca="1">IFERROR(__xludf.DUMMYFUNCTION("""COMPUTED_VALUE"""),"btcv")</f>
        <v>btcv</v>
      </c>
      <c r="C1710" s="2" t="str">
        <f ca="1">IFERROR(__xludf.DUMMYFUNCTION("""COMPUTED_VALUE"""),"Bitcoin Vault")</f>
        <v>Bitcoin Vault</v>
      </c>
    </row>
    <row r="1711" spans="1:3" x14ac:dyDescent="0.25">
      <c r="A1711" s="2" t="str">
        <f ca="1">IFERROR(__xludf.DUMMYFUNCTION("""COMPUTED_VALUE"""),"bitcoin-wizards")</f>
        <v>bitcoin-wizards</v>
      </c>
      <c r="B1711" s="2" t="str">
        <f ca="1">IFERROR(__xludf.DUMMYFUNCTION("""COMPUTED_VALUE"""),"wzrd")</f>
        <v>wzrd</v>
      </c>
      <c r="C1711" s="2" t="str">
        <f ca="1">IFERROR(__xludf.DUMMYFUNCTION("""COMPUTED_VALUE"""),"Bitcoin Wizards")</f>
        <v>Bitcoin Wizards</v>
      </c>
    </row>
    <row r="1712" spans="1:3" x14ac:dyDescent="0.25">
      <c r="A1712" s="2" t="str">
        <f ca="1">IFERROR(__xludf.DUMMYFUNCTION("""COMPUTED_VALUE"""),"bitcoinx")</f>
        <v>bitcoinx</v>
      </c>
      <c r="B1712" s="2" t="str">
        <f ca="1">IFERROR(__xludf.DUMMYFUNCTION("""COMPUTED_VALUE"""),"bcx")</f>
        <v>bcx</v>
      </c>
      <c r="C1712" s="2" t="str">
        <f ca="1">IFERROR(__xludf.DUMMYFUNCTION("""COMPUTED_VALUE"""),"BitcoinX")</f>
        <v>BitcoinX</v>
      </c>
    </row>
    <row r="1713" spans="1:3" x14ac:dyDescent="0.25">
      <c r="A1713" s="2" t="str">
        <f ca="1">IFERROR(__xludf.DUMMYFUNCTION("""COMPUTED_VALUE"""),"bitcoinz")</f>
        <v>bitcoinz</v>
      </c>
      <c r="B1713" s="2" t="str">
        <f ca="1">IFERROR(__xludf.DUMMYFUNCTION("""COMPUTED_VALUE"""),"btcz")</f>
        <v>btcz</v>
      </c>
      <c r="C1713" s="2" t="str">
        <f ca="1">IFERROR(__xludf.DUMMYFUNCTION("""COMPUTED_VALUE"""),"BitcoinZ")</f>
        <v>BitcoinZ</v>
      </c>
    </row>
    <row r="1714" spans="1:3" x14ac:dyDescent="0.25">
      <c r="A1714" s="2" t="str">
        <f ca="1">IFERROR(__xludf.DUMMYFUNCTION("""COMPUTED_VALUE"""),"bitcoiva")</f>
        <v>bitcoiva</v>
      </c>
      <c r="B1714" s="2" t="str">
        <f ca="1">IFERROR(__xludf.DUMMYFUNCTION("""COMPUTED_VALUE"""),"bca")</f>
        <v>bca</v>
      </c>
      <c r="C1714" s="2" t="str">
        <f ca="1">IFERROR(__xludf.DUMMYFUNCTION("""COMPUTED_VALUE"""),"Bitcoiva")</f>
        <v>Bitcoiva</v>
      </c>
    </row>
    <row r="1715" spans="1:3" x14ac:dyDescent="0.25">
      <c r="A1715" s="2" t="str">
        <f ca="1">IFERROR(__xludf.DUMMYFUNCTION("""COMPUTED_VALUE"""),"bitcone")</f>
        <v>bitcone</v>
      </c>
      <c r="B1715" s="2" t="str">
        <f ca="1">IFERROR(__xludf.DUMMYFUNCTION("""COMPUTED_VALUE"""),"cone")</f>
        <v>cone</v>
      </c>
      <c r="C1715" s="2" t="str">
        <f ca="1">IFERROR(__xludf.DUMMYFUNCTION("""COMPUTED_VALUE"""),"BitCone")</f>
        <v>BitCone</v>
      </c>
    </row>
    <row r="1716" spans="1:3" x14ac:dyDescent="0.25">
      <c r="A1716" s="2" t="str">
        <f ca="1">IFERROR(__xludf.DUMMYFUNCTION("""COMPUTED_VALUE"""),"bitcore")</f>
        <v>bitcore</v>
      </c>
      <c r="B1716" s="2" t="str">
        <f ca="1">IFERROR(__xludf.DUMMYFUNCTION("""COMPUTED_VALUE"""),"btx")</f>
        <v>btx</v>
      </c>
      <c r="C1716" s="2" t="str">
        <f ca="1">IFERROR(__xludf.DUMMYFUNCTION("""COMPUTED_VALUE"""),"BitCore")</f>
        <v>BitCore</v>
      </c>
    </row>
    <row r="1717" spans="1:3" x14ac:dyDescent="0.25">
      <c r="A1717" s="2" t="str">
        <f ca="1">IFERROR(__xludf.DUMMYFUNCTION("""COMPUTED_VALUE"""),"bitdao")</f>
        <v>bitdao</v>
      </c>
      <c r="B1717" s="2" t="str">
        <f ca="1">IFERROR(__xludf.DUMMYFUNCTION("""COMPUTED_VALUE"""),"bit")</f>
        <v>bit</v>
      </c>
      <c r="C1717" s="2" t="str">
        <f ca="1">IFERROR(__xludf.DUMMYFUNCTION("""COMPUTED_VALUE"""),"BitDAO")</f>
        <v>BitDAO</v>
      </c>
    </row>
    <row r="1718" spans="1:3" x14ac:dyDescent="0.25">
      <c r="A1718" s="2" t="str">
        <f ca="1">IFERROR(__xludf.DUMMYFUNCTION("""COMPUTED_VALUE"""),"bitdelta")</f>
        <v>bitdelta</v>
      </c>
      <c r="B1718" s="2" t="str">
        <f ca="1">IFERROR(__xludf.DUMMYFUNCTION("""COMPUTED_VALUE"""),"bdt")</f>
        <v>bdt</v>
      </c>
      <c r="C1718" s="2" t="str">
        <f ca="1">IFERROR(__xludf.DUMMYFUNCTION("""COMPUTED_VALUE"""),"BitDelta")</f>
        <v>BitDelta</v>
      </c>
    </row>
    <row r="1719" spans="1:3" x14ac:dyDescent="0.25">
      <c r="A1719" s="2" t="str">
        <f ca="1">IFERROR(__xludf.DUMMYFUNCTION("""COMPUTED_VALUE"""),"bitenium-token")</f>
        <v>bitenium-token</v>
      </c>
      <c r="B1719" s="2" t="str">
        <f ca="1">IFERROR(__xludf.DUMMYFUNCTION("""COMPUTED_VALUE"""),"bt")</f>
        <v>bt</v>
      </c>
      <c r="C1719" s="2" t="str">
        <f ca="1">IFERROR(__xludf.DUMMYFUNCTION("""COMPUTED_VALUE"""),"Bitenium")</f>
        <v>Bitenium</v>
      </c>
    </row>
    <row r="1720" spans="1:3" x14ac:dyDescent="0.25">
      <c r="A1720" s="2" t="str">
        <f ca="1">IFERROR(__xludf.DUMMYFUNCTION("""COMPUTED_VALUE"""),"bitfloki")</f>
        <v>bitfloki</v>
      </c>
      <c r="B1720" s="2" t="str">
        <f ca="1">IFERROR(__xludf.DUMMYFUNCTION("""COMPUTED_VALUE"""),"bfloki")</f>
        <v>bfloki</v>
      </c>
      <c r="C1720" s="2" t="str">
        <f ca="1">IFERROR(__xludf.DUMMYFUNCTION("""COMPUTED_VALUE"""),"bitFloki")</f>
        <v>bitFloki</v>
      </c>
    </row>
    <row r="1721" spans="1:3" x14ac:dyDescent="0.25">
      <c r="A1721" s="2" t="str">
        <f ca="1">IFERROR(__xludf.DUMMYFUNCTION("""COMPUTED_VALUE"""),"bitforex")</f>
        <v>bitforex</v>
      </c>
      <c r="B1721" s="2" t="str">
        <f ca="1">IFERROR(__xludf.DUMMYFUNCTION("""COMPUTED_VALUE"""),"bf")</f>
        <v>bf</v>
      </c>
      <c r="C1721" s="2" t="str">
        <f ca="1">IFERROR(__xludf.DUMMYFUNCTION("""COMPUTED_VALUE"""),"Bitforex")</f>
        <v>Bitforex</v>
      </c>
    </row>
    <row r="1722" spans="1:3" x14ac:dyDescent="0.25">
      <c r="A1722" s="2" t="str">
        <f ca="1">IFERROR(__xludf.DUMMYFUNCTION("""COMPUTED_VALUE"""),"bit-game-verse-token")</f>
        <v>bit-game-verse-token</v>
      </c>
      <c r="B1722" s="2" t="str">
        <f ca="1">IFERROR(__xludf.DUMMYFUNCTION("""COMPUTED_VALUE"""),"bgvt")</f>
        <v>bgvt</v>
      </c>
      <c r="C1722" s="2" t="str">
        <f ca="1">IFERROR(__xludf.DUMMYFUNCTION("""COMPUTED_VALUE"""),"Bit Game Verse Token")</f>
        <v>Bit Game Verse Token</v>
      </c>
    </row>
    <row r="1723" spans="1:3" x14ac:dyDescent="0.25">
      <c r="A1723" s="2" t="str">
        <f ca="1">IFERROR(__xludf.DUMMYFUNCTION("""COMPUTED_VALUE"""),"bitgate")</f>
        <v>bitgate</v>
      </c>
      <c r="B1723" s="2" t="str">
        <f ca="1">IFERROR(__xludf.DUMMYFUNCTION("""COMPUTED_VALUE"""),"bitg")</f>
        <v>bitg</v>
      </c>
      <c r="C1723" s="2" t="str">
        <f ca="1">IFERROR(__xludf.DUMMYFUNCTION("""COMPUTED_VALUE"""),"BitGate")</f>
        <v>BitGate</v>
      </c>
    </row>
    <row r="1724" spans="1:3" x14ac:dyDescent="0.25">
      <c r="A1724" s="2" t="str">
        <f ca="1">IFERROR(__xludf.DUMMYFUNCTION("""COMPUTED_VALUE"""),"bitgenie")</f>
        <v>bitgenie</v>
      </c>
      <c r="B1724" s="2" t="str">
        <f ca="1">IFERROR(__xludf.DUMMYFUNCTION("""COMPUTED_VALUE"""),"wish")</f>
        <v>wish</v>
      </c>
      <c r="C1724" s="2" t="str">
        <f ca="1">IFERROR(__xludf.DUMMYFUNCTION("""COMPUTED_VALUE"""),"BitGenie")</f>
        <v>BitGenie</v>
      </c>
    </row>
    <row r="1725" spans="1:3" x14ac:dyDescent="0.25">
      <c r="A1725" s="2" t="str">
        <f ca="1">IFERROR(__xludf.DUMMYFUNCTION("""COMPUTED_VALUE"""),"bitget-token")</f>
        <v>bitget-token</v>
      </c>
      <c r="B1725" s="2" t="str">
        <f ca="1">IFERROR(__xludf.DUMMYFUNCTION("""COMPUTED_VALUE"""),"bgb")</f>
        <v>bgb</v>
      </c>
      <c r="C1725" s="2" t="str">
        <f ca="1">IFERROR(__xludf.DUMMYFUNCTION("""COMPUTED_VALUE"""),"Bitget Token")</f>
        <v>Bitget Token</v>
      </c>
    </row>
    <row r="1726" spans="1:3" x14ac:dyDescent="0.25">
      <c r="A1726" s="2" t="str">
        <f ca="1">IFERROR(__xludf.DUMMYFUNCTION("""COMPUTED_VALUE"""),"bitget-wallet-token")</f>
        <v>bitget-wallet-token</v>
      </c>
      <c r="B1726" s="2" t="str">
        <f ca="1">IFERROR(__xludf.DUMMYFUNCTION("""COMPUTED_VALUE"""),"bwb")</f>
        <v>bwb</v>
      </c>
      <c r="C1726" s="2" t="str">
        <f ca="1">IFERROR(__xludf.DUMMYFUNCTION("""COMPUTED_VALUE"""),"Bitget Wallet Token")</f>
        <v>Bitget Wallet Token</v>
      </c>
    </row>
    <row r="1727" spans="1:3" x14ac:dyDescent="0.25">
      <c r="A1727" s="2" t="str">
        <f ca="1">IFERROR(__xludf.DUMMYFUNCTION("""COMPUTED_VALUE"""),"bitgrok-ai")</f>
        <v>bitgrok-ai</v>
      </c>
      <c r="B1727" s="2" t="str">
        <f ca="1">IFERROR(__xludf.DUMMYFUNCTION("""COMPUTED_VALUE"""),"bgai")</f>
        <v>bgai</v>
      </c>
      <c r="C1727" s="2" t="str">
        <f ca="1">IFERROR(__xludf.DUMMYFUNCTION("""COMPUTED_VALUE"""),"Bitgrok AI")</f>
        <v>Bitgrok AI</v>
      </c>
    </row>
    <row r="1728" spans="1:3" x14ac:dyDescent="0.25">
      <c r="A1728" s="2" t="str">
        <f ca="1">IFERROR(__xludf.DUMMYFUNCTION("""COMPUTED_VALUE"""),"bit-hotel")</f>
        <v>bit-hotel</v>
      </c>
      <c r="B1728" s="2" t="str">
        <f ca="1">IFERROR(__xludf.DUMMYFUNCTION("""COMPUTED_VALUE"""),"bth")</f>
        <v>bth</v>
      </c>
      <c r="C1728" s="2" t="str">
        <f ca="1">IFERROR(__xludf.DUMMYFUNCTION("""COMPUTED_VALUE"""),"Bit Hotel")</f>
        <v>Bit Hotel</v>
      </c>
    </row>
    <row r="1729" spans="1:3" x14ac:dyDescent="0.25">
      <c r="A1729" s="2" t="str">
        <f ca="1">IFERROR(__xludf.DUMMYFUNCTION("""COMPUTED_VALUE"""),"bitkub-coin")</f>
        <v>bitkub-coin</v>
      </c>
      <c r="B1729" s="2" t="str">
        <f ca="1">IFERROR(__xludf.DUMMYFUNCTION("""COMPUTED_VALUE"""),"kub")</f>
        <v>kub</v>
      </c>
      <c r="C1729" s="2" t="str">
        <f ca="1">IFERROR(__xludf.DUMMYFUNCTION("""COMPUTED_VALUE"""),"Bitkub Coin")</f>
        <v>Bitkub Coin</v>
      </c>
    </row>
    <row r="1730" spans="1:3" x14ac:dyDescent="0.25">
      <c r="A1730" s="2" t="str">
        <f ca="1">IFERROR(__xludf.DUMMYFUNCTION("""COMPUTED_VALUE"""),"bitlocus")</f>
        <v>bitlocus</v>
      </c>
      <c r="B1730" s="2" t="str">
        <f ca="1">IFERROR(__xludf.DUMMYFUNCTION("""COMPUTED_VALUE"""),"btl")</f>
        <v>btl</v>
      </c>
      <c r="C1730" s="2" t="str">
        <f ca="1">IFERROR(__xludf.DUMMYFUNCTION("""COMPUTED_VALUE"""),"Bitlocus")</f>
        <v>Bitlocus</v>
      </c>
    </row>
    <row r="1731" spans="1:3" x14ac:dyDescent="0.25">
      <c r="A1731" s="2" t="str">
        <f ca="1">IFERROR(__xludf.DUMMYFUNCTION("""COMPUTED_VALUE"""),"bitmark")</f>
        <v>bitmark</v>
      </c>
      <c r="B1731" s="2" t="str">
        <f ca="1">IFERROR(__xludf.DUMMYFUNCTION("""COMPUTED_VALUE"""),"marks")</f>
        <v>marks</v>
      </c>
      <c r="C1731" s="2" t="str">
        <f ca="1">IFERROR(__xludf.DUMMYFUNCTION("""COMPUTED_VALUE"""),"Bitmark")</f>
        <v>Bitmark</v>
      </c>
    </row>
    <row r="1732" spans="1:3" x14ac:dyDescent="0.25">
      <c r="A1732" s="2" t="str">
        <f ca="1">IFERROR(__xludf.DUMMYFUNCTION("""COMPUTED_VALUE"""),"bitmarkets-token")</f>
        <v>bitmarkets-token</v>
      </c>
      <c r="B1732" s="2" t="str">
        <f ca="1">IFERROR(__xludf.DUMMYFUNCTION("""COMPUTED_VALUE"""),"btmt")</f>
        <v>btmt</v>
      </c>
      <c r="C1732" s="2" t="str">
        <f ca="1">IFERROR(__xludf.DUMMYFUNCTION("""COMPUTED_VALUE"""),"BITmarkets Token")</f>
        <v>BITmarkets Token</v>
      </c>
    </row>
    <row r="1733" spans="1:3" x14ac:dyDescent="0.25">
      <c r="A1733" s="2" t="str">
        <f ca="1">IFERROR(__xludf.DUMMYFUNCTION("""COMPUTED_VALUE"""),"bitmart-token")</f>
        <v>bitmart-token</v>
      </c>
      <c r="B1733" s="2" t="str">
        <f ca="1">IFERROR(__xludf.DUMMYFUNCTION("""COMPUTED_VALUE"""),"bmx")</f>
        <v>bmx</v>
      </c>
      <c r="C1733" s="2" t="str">
        <f ca="1">IFERROR(__xludf.DUMMYFUNCTION("""COMPUTED_VALUE"""),"BitMart")</f>
        <v>BitMart</v>
      </c>
    </row>
    <row r="1734" spans="1:3" x14ac:dyDescent="0.25">
      <c r="A1734" s="2" t="str">
        <f ca="1">IFERROR(__xludf.DUMMYFUNCTION("""COMPUTED_VALUE"""),"bitmex-token")</f>
        <v>bitmex-token</v>
      </c>
      <c r="B1734" s="2" t="str">
        <f ca="1">IFERROR(__xludf.DUMMYFUNCTION("""COMPUTED_VALUE"""),"bmex")</f>
        <v>bmex</v>
      </c>
      <c r="C1734" s="2" t="str">
        <f ca="1">IFERROR(__xludf.DUMMYFUNCTION("""COMPUTED_VALUE"""),"BitMEX")</f>
        <v>BitMEX</v>
      </c>
    </row>
    <row r="1735" spans="1:3" x14ac:dyDescent="0.25">
      <c r="A1735" s="2" t="str">
        <f ca="1">IFERROR(__xludf.DUMMYFUNCTION("""COMPUTED_VALUE"""),"bitminerx")</f>
        <v>bitminerx</v>
      </c>
      <c r="B1735" s="2" t="str">
        <f ca="1">IFERROR(__xludf.DUMMYFUNCTION("""COMPUTED_VALUE"""),"bmx")</f>
        <v>bmx</v>
      </c>
      <c r="C1735" s="2" t="str">
        <f ca="1">IFERROR(__xludf.DUMMYFUNCTION("""COMPUTED_VALUE"""),"BitMinerX")</f>
        <v>BitMinerX</v>
      </c>
    </row>
    <row r="1736" spans="1:3" x14ac:dyDescent="0.25">
      <c r="A1736" s="2" t="str">
        <f ca="1">IFERROR(__xludf.DUMMYFUNCTION("""COMPUTED_VALUE"""),"bitnasdaq")</f>
        <v>bitnasdaq</v>
      </c>
      <c r="B1736" s="2" t="str">
        <f ca="1">IFERROR(__xludf.DUMMYFUNCTION("""COMPUTED_VALUE"""),"bnq")</f>
        <v>bnq</v>
      </c>
      <c r="C1736" s="2" t="str">
        <f ca="1">IFERROR(__xludf.DUMMYFUNCTION("""COMPUTED_VALUE"""),"BitNasdaq")</f>
        <v>BitNasdaq</v>
      </c>
    </row>
    <row r="1737" spans="1:3" x14ac:dyDescent="0.25">
      <c r="A1737" s="2" t="str">
        <f ca="1">IFERROR(__xludf.DUMMYFUNCTION("""COMPUTED_VALUE"""),"bitnet")</f>
        <v>bitnet</v>
      </c>
      <c r="B1737" s="2" t="str">
        <f ca="1">IFERROR(__xludf.DUMMYFUNCTION("""COMPUTED_VALUE"""),"btn")</f>
        <v>btn</v>
      </c>
      <c r="C1737" s="2" t="str">
        <f ca="1">IFERROR(__xludf.DUMMYFUNCTION("""COMPUTED_VALUE"""),"Bitnet")</f>
        <v>Bitnet</v>
      </c>
    </row>
    <row r="1738" spans="1:3" x14ac:dyDescent="0.25">
      <c r="A1738" s="2" t="str">
        <f ca="1">IFERROR(__xludf.DUMMYFUNCTION("""COMPUTED_VALUE"""),"bitnet-io")</f>
        <v>bitnet-io</v>
      </c>
      <c r="B1738" s="2" t="str">
        <f ca="1">IFERROR(__xludf.DUMMYFUNCTION("""COMPUTED_VALUE"""),"bit")</f>
        <v>bit</v>
      </c>
      <c r="C1738" s="2" t="str">
        <f ca="1">IFERROR(__xludf.DUMMYFUNCTION("""COMPUTED_VALUE"""),"Bitnet IO")</f>
        <v>Bitnet IO</v>
      </c>
    </row>
    <row r="1739" spans="1:3" x14ac:dyDescent="0.25">
      <c r="A1739" s="2" t="str">
        <f ca="1">IFERROR(__xludf.DUMMYFUNCTION("""COMPUTED_VALUE"""),"bitnex-ai")</f>
        <v>bitnex-ai</v>
      </c>
      <c r="B1739" s="2" t="str">
        <f ca="1">IFERROR(__xludf.DUMMYFUNCTION("""COMPUTED_VALUE"""),"btx")</f>
        <v>btx</v>
      </c>
      <c r="C1739" s="2" t="str">
        <f ca="1">IFERROR(__xludf.DUMMYFUNCTION("""COMPUTED_VALUE"""),"Bitnex AI")</f>
        <v>Bitnex AI</v>
      </c>
    </row>
    <row r="1740" spans="1:3" x14ac:dyDescent="0.25">
      <c r="A1740" s="2" t="str">
        <f ca="1">IFERROR(__xludf.DUMMYFUNCTION("""COMPUTED_VALUE"""),"bito-coin")</f>
        <v>bito-coin</v>
      </c>
      <c r="B1740" s="2" t="str">
        <f ca="1">IFERROR(__xludf.DUMMYFUNCTION("""COMPUTED_VALUE"""),"bito")</f>
        <v>bito</v>
      </c>
      <c r="C1740" s="2" t="str">
        <f ca="1">IFERROR(__xludf.DUMMYFUNCTION("""COMPUTED_VALUE"""),"BITO Coin")</f>
        <v>BITO Coin</v>
      </c>
    </row>
    <row r="1741" spans="1:3" x14ac:dyDescent="0.25">
      <c r="A1741" s="2" t="str">
        <f ca="1">IFERROR(__xludf.DUMMYFUNCTION("""COMPUTED_VALUE"""),"bitorbit")</f>
        <v>bitorbit</v>
      </c>
      <c r="B1741" s="2" t="str">
        <f ca="1">IFERROR(__xludf.DUMMYFUNCTION("""COMPUTED_VALUE"""),"bitorb")</f>
        <v>bitorb</v>
      </c>
      <c r="C1741" s="2" t="str">
        <f ca="1">IFERROR(__xludf.DUMMYFUNCTION("""COMPUTED_VALUE"""),"BitOrbit")</f>
        <v>BitOrbit</v>
      </c>
    </row>
    <row r="1742" spans="1:3" x14ac:dyDescent="0.25">
      <c r="A1742" s="2" t="str">
        <f ca="1">IFERROR(__xludf.DUMMYFUNCTION("""COMPUTED_VALUE"""),"bitoreum")</f>
        <v>bitoreum</v>
      </c>
      <c r="B1742" s="2" t="str">
        <f ca="1">IFERROR(__xludf.DUMMYFUNCTION("""COMPUTED_VALUE"""),"btrm")</f>
        <v>btrm</v>
      </c>
      <c r="C1742" s="2" t="str">
        <f ca="1">IFERROR(__xludf.DUMMYFUNCTION("""COMPUTED_VALUE"""),"Bitoreum")</f>
        <v>Bitoreum</v>
      </c>
    </row>
    <row r="1743" spans="1:3" x14ac:dyDescent="0.25">
      <c r="A1743" s="2" t="str">
        <f ca="1">IFERROR(__xludf.DUMMYFUNCTION("""COMPUTED_VALUE"""),"bitoro-network")</f>
        <v>bitoro-network</v>
      </c>
      <c r="B1743" s="2" t="str">
        <f ca="1">IFERROR(__xludf.DUMMYFUNCTION("""COMPUTED_VALUE"""),"btoro")</f>
        <v>btoro</v>
      </c>
      <c r="C1743" s="2" t="str">
        <f ca="1">IFERROR(__xludf.DUMMYFUNCTION("""COMPUTED_VALUE"""),"Bitoro Network")</f>
        <v>Bitoro Network</v>
      </c>
    </row>
    <row r="1744" spans="1:3" x14ac:dyDescent="0.25">
      <c r="A1744" s="2" t="str">
        <f ca="1">IFERROR(__xludf.DUMMYFUNCTION("""COMPUTED_VALUE"""),"bitpanda-ecosystem-token")</f>
        <v>bitpanda-ecosystem-token</v>
      </c>
      <c r="B1744" s="2" t="str">
        <f ca="1">IFERROR(__xludf.DUMMYFUNCTION("""COMPUTED_VALUE"""),"best")</f>
        <v>best</v>
      </c>
      <c r="C1744" s="2" t="str">
        <f ca="1">IFERROR(__xludf.DUMMYFUNCTION("""COMPUTED_VALUE"""),"Bitpanda Ecosystem")</f>
        <v>Bitpanda Ecosystem</v>
      </c>
    </row>
    <row r="1745" spans="1:3" x14ac:dyDescent="0.25">
      <c r="A1745" s="2" t="str">
        <f ca="1">IFERROR(__xludf.DUMMYFUNCTION("""COMPUTED_VALUE"""),"bitpro")</f>
        <v>bitpro</v>
      </c>
      <c r="B1745" s="2" t="str">
        <f ca="1">IFERROR(__xludf.DUMMYFUNCTION("""COMPUTED_VALUE"""),"bpro")</f>
        <v>bpro</v>
      </c>
      <c r="C1745" s="2" t="str">
        <f ca="1">IFERROR(__xludf.DUMMYFUNCTION("""COMPUTED_VALUE"""),"BitPRO")</f>
        <v>BitPRO</v>
      </c>
    </row>
    <row r="1746" spans="1:3" x14ac:dyDescent="0.25">
      <c r="A1746" s="2" t="str">
        <f ca="1">IFERROR(__xludf.DUMMYFUNCTION("""COMPUTED_VALUE"""),"bitrise-token")</f>
        <v>bitrise-token</v>
      </c>
      <c r="B1746" s="2" t="str">
        <f ca="1">IFERROR(__xludf.DUMMYFUNCTION("""COMPUTED_VALUE"""),"brise")</f>
        <v>brise</v>
      </c>
      <c r="C1746" s="2" t="str">
        <f ca="1">IFERROR(__xludf.DUMMYFUNCTION("""COMPUTED_VALUE"""),"Bitgert")</f>
        <v>Bitgert</v>
      </c>
    </row>
    <row r="1747" spans="1:3" x14ac:dyDescent="0.25">
      <c r="A1747" s="2" t="str">
        <f ca="1">IFERROR(__xludf.DUMMYFUNCTION("""COMPUTED_VALUE"""),"bitrium")</f>
        <v>bitrium</v>
      </c>
      <c r="B1747" s="2" t="str">
        <f ca="1">IFERROR(__xludf.DUMMYFUNCTION("""COMPUTED_VALUE"""),"btrm")</f>
        <v>btrm</v>
      </c>
      <c r="C1747" s="2" t="str">
        <f ca="1">IFERROR(__xludf.DUMMYFUNCTION("""COMPUTED_VALUE"""),"Bitrium")</f>
        <v>Bitrium</v>
      </c>
    </row>
    <row r="1748" spans="1:3" x14ac:dyDescent="0.25">
      <c r="A1748" s="2" t="str">
        <f ca="1">IFERROR(__xludf.DUMMYFUNCTION("""COMPUTED_VALUE"""),"bitrock")</f>
        <v>bitrock</v>
      </c>
      <c r="B1748" s="2" t="str">
        <f ca="1">IFERROR(__xludf.DUMMYFUNCTION("""COMPUTED_VALUE"""),"brock")</f>
        <v>brock</v>
      </c>
      <c r="C1748" s="2" t="str">
        <f ca="1">IFERROR(__xludf.DUMMYFUNCTION("""COMPUTED_VALUE"""),"Bitrock")</f>
        <v>Bitrock</v>
      </c>
    </row>
    <row r="1749" spans="1:3" x14ac:dyDescent="0.25">
      <c r="A1749" s="2" t="str">
        <f ca="1">IFERROR(__xludf.DUMMYFUNCTION("""COMPUTED_VALUE"""),"bitrock-wallet-token")</f>
        <v>bitrock-wallet-token</v>
      </c>
      <c r="B1749" s="2" t="str">
        <f ca="1">IFERROR(__xludf.DUMMYFUNCTION("""COMPUTED_VALUE"""),"brw")</f>
        <v>brw</v>
      </c>
      <c r="C1749" s="2" t="str">
        <f ca="1">IFERROR(__xludf.DUMMYFUNCTION("""COMPUTED_VALUE"""),"Bitrock Wallet Token")</f>
        <v>Bitrock Wallet Token</v>
      </c>
    </row>
    <row r="1750" spans="1:3" x14ac:dyDescent="0.25">
      <c r="A1750" s="2" t="str">
        <f ca="1">IFERROR(__xludf.DUMMYFUNCTION("""COMPUTED_VALUE"""),"bitrue-token")</f>
        <v>bitrue-token</v>
      </c>
      <c r="B1750" s="2" t="str">
        <f ca="1">IFERROR(__xludf.DUMMYFUNCTION("""COMPUTED_VALUE"""),"btr")</f>
        <v>btr</v>
      </c>
      <c r="C1750" s="2" t="str">
        <f ca="1">IFERROR(__xludf.DUMMYFUNCTION("""COMPUTED_VALUE"""),"Bitrue Coin")</f>
        <v>Bitrue Coin</v>
      </c>
    </row>
    <row r="1751" spans="1:3" x14ac:dyDescent="0.25">
      <c r="A1751" s="2" t="str">
        <f ca="1">IFERROR(__xludf.DUMMYFUNCTION("""COMPUTED_VALUE"""),"bitrunes")</f>
        <v>bitrunes</v>
      </c>
      <c r="B1751" s="2" t="str">
        <f ca="1">IFERROR(__xludf.DUMMYFUNCTION("""COMPUTED_VALUE"""),"brune")</f>
        <v>brune</v>
      </c>
      <c r="C1751" s="2" t="str">
        <f ca="1">IFERROR(__xludf.DUMMYFUNCTION("""COMPUTED_VALUE"""),"BitRunes")</f>
        <v>BitRunes</v>
      </c>
    </row>
    <row r="1752" spans="1:3" x14ac:dyDescent="0.25">
      <c r="A1752" s="2" t="str">
        <f ca="1">IFERROR(__xludf.DUMMYFUNCTION("""COMPUTED_VALUE"""),"bits-brc-20")</f>
        <v>bits-brc-20</v>
      </c>
      <c r="B1752" s="2" t="str">
        <f ca="1">IFERROR(__xludf.DUMMYFUNCTION("""COMPUTED_VALUE"""),"bits")</f>
        <v>bits</v>
      </c>
      <c r="C1752" s="2" t="str">
        <f ca="1">IFERROR(__xludf.DUMMYFUNCTION("""COMPUTED_VALUE"""),"BITS (BRC-20)")</f>
        <v>BITS (BRC-20)</v>
      </c>
    </row>
    <row r="1753" spans="1:3" x14ac:dyDescent="0.25">
      <c r="A1753" s="2" t="str">
        <f ca="1">IFERROR(__xludf.DUMMYFUNCTION("""COMPUTED_VALUE"""),"bitscrunch-token")</f>
        <v>bitscrunch-token</v>
      </c>
      <c r="B1753" s="2" t="str">
        <f ca="1">IFERROR(__xludf.DUMMYFUNCTION("""COMPUTED_VALUE"""),"bcut")</f>
        <v>bcut</v>
      </c>
      <c r="C1753" s="2" t="str">
        <f ca="1">IFERROR(__xludf.DUMMYFUNCTION("""COMPUTED_VALUE"""),"bitsCrunch Token")</f>
        <v>bitsCrunch Token</v>
      </c>
    </row>
    <row r="1754" spans="1:3" x14ac:dyDescent="0.25">
      <c r="A1754" s="2" t="str">
        <f ca="1">IFERROR(__xludf.DUMMYFUNCTION("""COMPUTED_VALUE"""),"bitshares")</f>
        <v>bitshares</v>
      </c>
      <c r="B1754" s="2" t="str">
        <f ca="1">IFERROR(__xludf.DUMMYFUNCTION("""COMPUTED_VALUE"""),"bts")</f>
        <v>bts</v>
      </c>
      <c r="C1754" s="2" t="str">
        <f ca="1">IFERROR(__xludf.DUMMYFUNCTION("""COMPUTED_VALUE"""),"BitShares")</f>
        <v>BitShares</v>
      </c>
    </row>
    <row r="1755" spans="1:3" x14ac:dyDescent="0.25">
      <c r="A1755" s="2" t="str">
        <f ca="1">IFERROR(__xludf.DUMMYFUNCTION("""COMPUTED_VALUE"""),"bitshiba")</f>
        <v>bitshiba</v>
      </c>
      <c r="B1755" s="2" t="str">
        <f ca="1">IFERROR(__xludf.DUMMYFUNCTION("""COMPUTED_VALUE"""),"shiba")</f>
        <v>shiba</v>
      </c>
      <c r="C1755" s="2" t="str">
        <f ca="1">IFERROR(__xludf.DUMMYFUNCTION("""COMPUTED_VALUE"""),"BitShiba")</f>
        <v>BitShiba</v>
      </c>
    </row>
    <row r="1756" spans="1:3" x14ac:dyDescent="0.25">
      <c r="A1756" s="2" t="str">
        <f ca="1">IFERROR(__xludf.DUMMYFUNCTION("""COMPUTED_VALUE"""),"bitsong")</f>
        <v>bitsong</v>
      </c>
      <c r="B1756" s="2" t="str">
        <f ca="1">IFERROR(__xludf.DUMMYFUNCTION("""COMPUTED_VALUE"""),"btsg")</f>
        <v>btsg</v>
      </c>
      <c r="C1756" s="2" t="str">
        <f ca="1">IFERROR(__xludf.DUMMYFUNCTION("""COMPUTED_VALUE"""),"BitSong")</f>
        <v>BitSong</v>
      </c>
    </row>
    <row r="1757" spans="1:3" x14ac:dyDescent="0.25">
      <c r="A1757" s="2" t="str">
        <f ca="1">IFERROR(__xludf.DUMMYFUNCTION("""COMPUTED_VALUE"""),"bitspawn")</f>
        <v>bitspawn</v>
      </c>
      <c r="B1757" s="2" t="str">
        <f ca="1">IFERROR(__xludf.DUMMYFUNCTION("""COMPUTED_VALUE"""),"spwn")</f>
        <v>spwn</v>
      </c>
      <c r="C1757" s="2" t="str">
        <f ca="1">IFERROR(__xludf.DUMMYFUNCTION("""COMPUTED_VALUE"""),"Bitspawn")</f>
        <v>Bitspawn</v>
      </c>
    </row>
    <row r="1758" spans="1:3" x14ac:dyDescent="0.25">
      <c r="A1758" s="2" t="str">
        <f ca="1">IFERROR(__xludf.DUMMYFUNCTION("""COMPUTED_VALUE"""),"bitstable-finance")</f>
        <v>bitstable-finance</v>
      </c>
      <c r="B1758" s="2" t="str">
        <f ca="1">IFERROR(__xludf.DUMMYFUNCTION("""COMPUTED_VALUE"""),"$bssb")</f>
        <v>$bssb</v>
      </c>
      <c r="C1758" s="2" t="str">
        <f ca="1">IFERROR(__xludf.DUMMYFUNCTION("""COMPUTED_VALUE"""),"BitStable Finance")</f>
        <v>BitStable Finance</v>
      </c>
    </row>
    <row r="1759" spans="1:3" x14ac:dyDescent="0.25">
      <c r="A1759" s="2" t="str">
        <f ca="1">IFERROR(__xludf.DUMMYFUNCTION("""COMPUTED_VALUE"""),"bitstarters")</f>
        <v>bitstarters</v>
      </c>
      <c r="B1759" s="2" t="str">
        <f ca="1">IFERROR(__xludf.DUMMYFUNCTION("""COMPUTED_VALUE"""),"bits")</f>
        <v>bits</v>
      </c>
      <c r="C1759" s="2" t="str">
        <f ca="1">IFERROR(__xludf.DUMMYFUNCTION("""COMPUTED_VALUE"""),"BitStarters")</f>
        <v>BitStarters</v>
      </c>
    </row>
    <row r="1760" spans="1:3" x14ac:dyDescent="0.25">
      <c r="A1760" s="2" t="str">
        <f ca="1">IFERROR(__xludf.DUMMYFUNCTION("""COMPUTED_VALUE"""),"bit-store-coin")</f>
        <v>bit-store-coin</v>
      </c>
      <c r="B1760" s="2" t="str">
        <f ca="1">IFERROR(__xludf.DUMMYFUNCTION("""COMPUTED_VALUE"""),"store")</f>
        <v>store</v>
      </c>
      <c r="C1760" s="2" t="str">
        <f ca="1">IFERROR(__xludf.DUMMYFUNCTION("""COMPUTED_VALUE"""),"Bit Store")</f>
        <v>Bit Store</v>
      </c>
    </row>
    <row r="1761" spans="1:3" x14ac:dyDescent="0.25">
      <c r="A1761" s="2" t="str">
        <f ca="1">IFERROR(__xludf.DUMMYFUNCTION("""COMPUTED_VALUE"""),"bitswap")</f>
        <v>bitswap</v>
      </c>
      <c r="B1761" s="2" t="str">
        <f ca="1">IFERROR(__xludf.DUMMYFUNCTION("""COMPUTED_VALUE"""),"bits")</f>
        <v>bits</v>
      </c>
      <c r="C1761" s="2" t="str">
        <f ca="1">IFERROR(__xludf.DUMMYFUNCTION("""COMPUTED_VALUE"""),"BitSwap")</f>
        <v>BitSwap</v>
      </c>
    </row>
    <row r="1762" spans="1:3" x14ac:dyDescent="0.25">
      <c r="A1762" s="2" t="str">
        <f ca="1">IFERROR(__xludf.DUMMYFUNCTION("""COMPUTED_VALUE"""),"bittensor")</f>
        <v>bittensor</v>
      </c>
      <c r="B1762" s="2" t="str">
        <f ca="1">IFERROR(__xludf.DUMMYFUNCTION("""COMPUTED_VALUE"""),"tao")</f>
        <v>tao</v>
      </c>
      <c r="C1762" s="2" t="str">
        <f ca="1">IFERROR(__xludf.DUMMYFUNCTION("""COMPUTED_VALUE"""),"Bittensor")</f>
        <v>Bittensor</v>
      </c>
    </row>
    <row r="1763" spans="1:3" x14ac:dyDescent="0.25">
      <c r="A1763" s="2" t="str">
        <f ca="1">IFERROR(__xludf.DUMMYFUNCTION("""COMPUTED_VALUE"""),"bittoken")</f>
        <v>bittoken</v>
      </c>
      <c r="B1763" s="2" t="str">
        <f ca="1">IFERROR(__xludf.DUMMYFUNCTION("""COMPUTED_VALUE"""),"bitt")</f>
        <v>bitt</v>
      </c>
      <c r="C1763" s="2" t="str">
        <f ca="1">IFERROR(__xludf.DUMMYFUNCTION("""COMPUTED_VALUE"""),"BITT")</f>
        <v>BITT</v>
      </c>
    </row>
    <row r="1764" spans="1:3" x14ac:dyDescent="0.25">
      <c r="A1764" s="2" t="str">
        <f ca="1">IFERROR(__xludf.DUMMYFUNCTION("""COMPUTED_VALUE"""),"bittorrent")</f>
        <v>bittorrent</v>
      </c>
      <c r="B1764" s="2" t="str">
        <f ca="1">IFERROR(__xludf.DUMMYFUNCTION("""COMPUTED_VALUE"""),"btt")</f>
        <v>btt</v>
      </c>
      <c r="C1764" s="2" t="str">
        <f ca="1">IFERROR(__xludf.DUMMYFUNCTION("""COMPUTED_VALUE"""),"BitTorrent")</f>
        <v>BitTorrent</v>
      </c>
    </row>
    <row r="1765" spans="1:3" x14ac:dyDescent="0.25">
      <c r="A1765" s="2" t="str">
        <f ca="1">IFERROR(__xludf.DUMMYFUNCTION("""COMPUTED_VALUE"""),"bittorrent-old")</f>
        <v>bittorrent-old</v>
      </c>
      <c r="B1765" s="2" t="str">
        <f ca="1">IFERROR(__xludf.DUMMYFUNCTION("""COMPUTED_VALUE"""),"bttold")</f>
        <v>bttold</v>
      </c>
      <c r="C1765" s="2" t="str">
        <f ca="1">IFERROR(__xludf.DUMMYFUNCTION("""COMPUTED_VALUE"""),"BitTorrent [OLD]")</f>
        <v>BitTorrent [OLD]</v>
      </c>
    </row>
    <row r="1766" spans="1:3" x14ac:dyDescent="0.25">
      <c r="A1766" s="2" t="str">
        <f ca="1">IFERROR(__xludf.DUMMYFUNCTION("""COMPUTED_VALUE"""),"biturbo")</f>
        <v>biturbo</v>
      </c>
      <c r="B1766" s="2" t="str">
        <f ca="1">IFERROR(__xludf.DUMMYFUNCTION("""COMPUTED_VALUE"""),"tbo")</f>
        <v>tbo</v>
      </c>
      <c r="C1766" s="2" t="str">
        <f ca="1">IFERROR(__xludf.DUMMYFUNCTION("""COMPUTED_VALUE"""),"Biturbo")</f>
        <v>Biturbo</v>
      </c>
    </row>
    <row r="1767" spans="1:3" x14ac:dyDescent="0.25">
      <c r="A1767" s="2" t="str">
        <f ca="1">IFERROR(__xludf.DUMMYFUNCTION("""COMPUTED_VALUE"""),"bitweb")</f>
        <v>bitweb</v>
      </c>
      <c r="B1767" s="2" t="str">
        <f ca="1">IFERROR(__xludf.DUMMYFUNCTION("""COMPUTED_VALUE"""),"bte")</f>
        <v>bte</v>
      </c>
      <c r="C1767" s="2" t="str">
        <f ca="1">IFERROR(__xludf.DUMMYFUNCTION("""COMPUTED_VALUE"""),"Bitweb")</f>
        <v>Bitweb</v>
      </c>
    </row>
    <row r="1768" spans="1:3" x14ac:dyDescent="0.25">
      <c r="A1768" s="2" t="str">
        <f ca="1">IFERROR(__xludf.DUMMYFUNCTION("""COMPUTED_VALUE"""),"bitxor")</f>
        <v>bitxor</v>
      </c>
      <c r="B1768" s="2" t="str">
        <f ca="1">IFERROR(__xludf.DUMMYFUNCTION("""COMPUTED_VALUE"""),"bxr")</f>
        <v>bxr</v>
      </c>
      <c r="C1768" s="2" t="str">
        <f ca="1">IFERROR(__xludf.DUMMYFUNCTION("""COMPUTED_VALUE"""),"Bitxor")</f>
        <v>Bitxor</v>
      </c>
    </row>
    <row r="1769" spans="1:3" x14ac:dyDescent="0.25">
      <c r="A1769" s="2" t="str">
        <f ca="1">IFERROR(__xludf.DUMMYFUNCTION("""COMPUTED_VALUE"""),"bityuan")</f>
        <v>bityuan</v>
      </c>
      <c r="B1769" s="2" t="str">
        <f ca="1">IFERROR(__xludf.DUMMYFUNCTION("""COMPUTED_VALUE"""),"bty")</f>
        <v>bty</v>
      </c>
      <c r="C1769" s="2" t="str">
        <f ca="1">IFERROR(__xludf.DUMMYFUNCTION("""COMPUTED_VALUE"""),"Bityuan")</f>
        <v>Bityuan</v>
      </c>
    </row>
    <row r="1770" spans="1:3" x14ac:dyDescent="0.25">
      <c r="A1770" s="2" t="str">
        <f ca="1">IFERROR(__xludf.DUMMYFUNCTION("""COMPUTED_VALUE"""),"bivreost")</f>
        <v>bivreost</v>
      </c>
      <c r="B1770" s="2" t="str">
        <f ca="1">IFERROR(__xludf.DUMMYFUNCTION("""COMPUTED_VALUE"""),"bi")</f>
        <v>bi</v>
      </c>
      <c r="C1770" s="2" t="str">
        <f ca="1">IFERROR(__xludf.DUMMYFUNCTION("""COMPUTED_VALUE"""),"Bivreost")</f>
        <v>Bivreost</v>
      </c>
    </row>
    <row r="1771" spans="1:3" x14ac:dyDescent="0.25">
      <c r="A1771" s="2" t="str">
        <f ca="1">IFERROR(__xludf.DUMMYFUNCTION("""COMPUTED_VALUE"""),"bizauto")</f>
        <v>bizauto</v>
      </c>
      <c r="B1771" s="2" t="str">
        <f ca="1">IFERROR(__xludf.DUMMYFUNCTION("""COMPUTED_VALUE"""),"biza")</f>
        <v>biza</v>
      </c>
      <c r="C1771" s="2" t="str">
        <f ca="1">IFERROR(__xludf.DUMMYFUNCTION("""COMPUTED_VALUE"""),"BizAuto")</f>
        <v>BizAuto</v>
      </c>
    </row>
    <row r="1772" spans="1:3" x14ac:dyDescent="0.25">
      <c r="A1772" s="2" t="str">
        <f ca="1">IFERROR(__xludf.DUMMYFUNCTION("""COMPUTED_VALUE"""),"bl00p")</f>
        <v>bl00p</v>
      </c>
      <c r="B1772" s="2" t="str">
        <f ca="1">IFERROR(__xludf.DUMMYFUNCTION("""COMPUTED_VALUE"""),"bl00p")</f>
        <v>bl00p</v>
      </c>
      <c r="C1772" s="2" t="str">
        <f ca="1">IFERROR(__xludf.DUMMYFUNCTION("""COMPUTED_VALUE"""),"BL00P")</f>
        <v>BL00P</v>
      </c>
    </row>
    <row r="1773" spans="1:3" x14ac:dyDescent="0.25">
      <c r="A1773" s="2" t="str">
        <f ca="1">IFERROR(__xludf.DUMMYFUNCTION("""COMPUTED_VALUE"""),"black")</f>
        <v>black</v>
      </c>
      <c r="B1773" s="2" t="str">
        <f ca="1">IFERROR(__xludf.DUMMYFUNCTION("""COMPUTED_VALUE"""),"black")</f>
        <v>black</v>
      </c>
      <c r="C1773" s="2" t="str">
        <f ca="1">IFERROR(__xludf.DUMMYFUNCTION("""COMPUTED_VALUE"""),"Black")</f>
        <v>Black</v>
      </c>
    </row>
    <row r="1774" spans="1:3" x14ac:dyDescent="0.25">
      <c r="A1774" s="2" t="str">
        <f ca="1">IFERROR(__xludf.DUMMYFUNCTION("""COMPUTED_VALUE"""),"black-agnus")</f>
        <v>black-agnus</v>
      </c>
      <c r="B1774" s="2" t="str">
        <f ca="1">IFERROR(__xludf.DUMMYFUNCTION("""COMPUTED_VALUE"""),"ftw")</f>
        <v>ftw</v>
      </c>
      <c r="C1774" s="2" t="str">
        <f ca="1">IFERROR(__xludf.DUMMYFUNCTION("""COMPUTED_VALUE"""),"Black Agnus")</f>
        <v>Black Agnus</v>
      </c>
    </row>
    <row r="1775" spans="1:3" x14ac:dyDescent="0.25">
      <c r="A1775" s="2" t="str">
        <f ca="1">IFERROR(__xludf.DUMMYFUNCTION("""COMPUTED_VALUE"""),"blackcardcoin")</f>
        <v>blackcardcoin</v>
      </c>
      <c r="B1775" s="2" t="str">
        <f ca="1">IFERROR(__xludf.DUMMYFUNCTION("""COMPUTED_VALUE"""),"bccoin")</f>
        <v>bccoin</v>
      </c>
      <c r="C1775" s="2" t="str">
        <f ca="1">IFERROR(__xludf.DUMMYFUNCTION("""COMPUTED_VALUE"""),"BlackCardCoin")</f>
        <v>BlackCardCoin</v>
      </c>
    </row>
    <row r="1776" spans="1:3" x14ac:dyDescent="0.25">
      <c r="A1776" s="2" t="str">
        <f ca="1">IFERROR(__xludf.DUMMYFUNCTION("""COMPUTED_VALUE"""),"blackcoin")</f>
        <v>blackcoin</v>
      </c>
      <c r="B1776" s="2" t="str">
        <f ca="1">IFERROR(__xludf.DUMMYFUNCTION("""COMPUTED_VALUE"""),"blk")</f>
        <v>blk</v>
      </c>
      <c r="C1776" s="2" t="str">
        <f ca="1">IFERROR(__xludf.DUMMYFUNCTION("""COMPUTED_VALUE"""),"BlackCoin")</f>
        <v>BlackCoin</v>
      </c>
    </row>
    <row r="1777" spans="1:3" x14ac:dyDescent="0.25">
      <c r="A1777" s="2" t="str">
        <f ca="1">IFERROR(__xludf.DUMMYFUNCTION("""COMPUTED_VALUE"""),"blackcroc")</f>
        <v>blackcroc</v>
      </c>
      <c r="B1777" s="2" t="str">
        <f ca="1">IFERROR(__xludf.DUMMYFUNCTION("""COMPUTED_VALUE"""),"blackcroc")</f>
        <v>blackcroc</v>
      </c>
      <c r="C1777" s="2" t="str">
        <f ca="1">IFERROR(__xludf.DUMMYFUNCTION("""COMPUTED_VALUE"""),"Blackcroc")</f>
        <v>Blackcroc</v>
      </c>
    </row>
    <row r="1778" spans="1:3" x14ac:dyDescent="0.25">
      <c r="A1778" s="2" t="str">
        <f ca="1">IFERROR(__xludf.DUMMYFUNCTION("""COMPUTED_VALUE"""),"blackder-ai")</f>
        <v>blackder-ai</v>
      </c>
      <c r="B1778" s="2" t="str">
        <f ca="1">IFERROR(__xludf.DUMMYFUNCTION("""COMPUTED_VALUE"""),"bld")</f>
        <v>bld</v>
      </c>
      <c r="C1778" s="2" t="str">
        <f ca="1">IFERROR(__xludf.DUMMYFUNCTION("""COMPUTED_VALUE"""),"Blackder AI")</f>
        <v>Blackder AI</v>
      </c>
    </row>
    <row r="1779" spans="1:3" x14ac:dyDescent="0.25">
      <c r="A1779" s="2" t="str">
        <f ca="1">IFERROR(__xludf.DUMMYFUNCTION("""COMPUTED_VALUE"""),"black-dragon")</f>
        <v>black-dragon</v>
      </c>
      <c r="B1779" s="2" t="str">
        <f ca="1">IFERROR(__xludf.DUMMYFUNCTION("""COMPUTED_VALUE"""),"blackdragon")</f>
        <v>blackdragon</v>
      </c>
      <c r="C1779" s="2" t="str">
        <f ca="1">IFERROR(__xludf.DUMMYFUNCTION("""COMPUTED_VALUE"""),"Black Dragon")</f>
        <v>Black Dragon</v>
      </c>
    </row>
    <row r="1780" spans="1:3" x14ac:dyDescent="0.25">
      <c r="A1780" s="2" t="str">
        <f ca="1">IFERROR(__xludf.DUMMYFUNCTION("""COMPUTED_VALUE"""),"blackdragon-token")</f>
        <v>blackdragon-token</v>
      </c>
      <c r="B1780" s="2" t="str">
        <f ca="1">IFERROR(__xludf.DUMMYFUNCTION("""COMPUTED_VALUE"""),"bdt")</f>
        <v>bdt</v>
      </c>
      <c r="C1780" s="2" t="str">
        <f ca="1">IFERROR(__xludf.DUMMYFUNCTION("""COMPUTED_VALUE"""),"BlackDragon")</f>
        <v>BlackDragon</v>
      </c>
    </row>
    <row r="1781" spans="1:3" x14ac:dyDescent="0.25">
      <c r="A1781" s="2" t="str">
        <f ca="1">IFERROR(__xludf.DUMMYFUNCTION("""COMPUTED_VALUE"""),"blackhat-coin")</f>
        <v>blackhat-coin</v>
      </c>
      <c r="B1781" s="2" t="str">
        <f ca="1">IFERROR(__xludf.DUMMYFUNCTION("""COMPUTED_VALUE"""),"blkc")</f>
        <v>blkc</v>
      </c>
      <c r="C1781" s="2" t="str">
        <f ca="1">IFERROR(__xludf.DUMMYFUNCTION("""COMPUTED_VALUE"""),"BlackHat Coin")</f>
        <v>BlackHat Coin</v>
      </c>
    </row>
    <row r="1782" spans="1:3" x14ac:dyDescent="0.25">
      <c r="A1782" s="2" t="str">
        <f ca="1">IFERROR(__xludf.DUMMYFUNCTION("""COMPUTED_VALUE"""),"black-hole-coin")</f>
        <v>black-hole-coin</v>
      </c>
      <c r="B1782" s="2" t="str">
        <f ca="1">IFERROR(__xludf.DUMMYFUNCTION("""COMPUTED_VALUE"""),"bhc")</f>
        <v>bhc</v>
      </c>
      <c r="C1782" s="2" t="str">
        <f ca="1">IFERROR(__xludf.DUMMYFUNCTION("""COMPUTED_VALUE"""),"Black Hole Coin")</f>
        <v>Black Hole Coin</v>
      </c>
    </row>
    <row r="1783" spans="1:3" x14ac:dyDescent="0.25">
      <c r="A1783" s="2" t="str">
        <f ca="1">IFERROR(__xludf.DUMMYFUNCTION("""COMPUTED_VALUE"""),"blackhole-protocol")</f>
        <v>blackhole-protocol</v>
      </c>
      <c r="B1783" s="2" t="str">
        <f ca="1">IFERROR(__xludf.DUMMYFUNCTION("""COMPUTED_VALUE"""),"black")</f>
        <v>black</v>
      </c>
      <c r="C1783" s="2" t="str">
        <f ca="1">IFERROR(__xludf.DUMMYFUNCTION("""COMPUTED_VALUE"""),"BlackHole Protocol")</f>
        <v>BlackHole Protocol</v>
      </c>
    </row>
    <row r="1784" spans="1:3" x14ac:dyDescent="0.25">
      <c r="A1784" s="2" t="str">
        <f ca="1">IFERROR(__xludf.DUMMYFUNCTION("""COMPUTED_VALUE"""),"blackjack-fun")</f>
        <v>blackjack-fun</v>
      </c>
      <c r="B1784" s="2" t="str">
        <f ca="1">IFERROR(__xludf.DUMMYFUNCTION("""COMPUTED_VALUE"""),"jack")</f>
        <v>jack</v>
      </c>
      <c r="C1784" s="2" t="str">
        <f ca="1">IFERROR(__xludf.DUMMYFUNCTION("""COMPUTED_VALUE"""),"Blackjack.fun")</f>
        <v>Blackjack.fun</v>
      </c>
    </row>
    <row r="1785" spans="1:3" x14ac:dyDescent="0.25">
      <c r="A1785" s="2" t="str">
        <f ca="1">IFERROR(__xludf.DUMMYFUNCTION("""COMPUTED_VALUE"""),"blacklatexfist")</f>
        <v>blacklatexfist</v>
      </c>
      <c r="B1785" s="2" t="str">
        <f ca="1">IFERROR(__xludf.DUMMYFUNCTION("""COMPUTED_VALUE"""),"blf")</f>
        <v>blf</v>
      </c>
      <c r="C1785" s="2" t="str">
        <f ca="1">IFERROR(__xludf.DUMMYFUNCTION("""COMPUTED_VALUE"""),"BlackLatexFist")</f>
        <v>BlackLatexFist</v>
      </c>
    </row>
    <row r="1786" spans="1:3" x14ac:dyDescent="0.25">
      <c r="A1786" s="2" t="str">
        <f ca="1">IFERROR(__xludf.DUMMYFUNCTION("""COMPUTED_VALUE"""),"black-panther-fi")</f>
        <v>black-panther-fi</v>
      </c>
      <c r="B1786" s="2" t="str">
        <f ca="1">IFERROR(__xludf.DUMMYFUNCTION("""COMPUTED_VALUE"""),"black")</f>
        <v>black</v>
      </c>
      <c r="C1786" s="2" t="str">
        <f ca="1">IFERROR(__xludf.DUMMYFUNCTION("""COMPUTED_VALUE"""),"Black Panther")</f>
        <v>Black Panther</v>
      </c>
    </row>
    <row r="1787" spans="1:3" x14ac:dyDescent="0.25">
      <c r="A1787" s="2" t="str">
        <f ca="1">IFERROR(__xludf.DUMMYFUNCTION("""COMPUTED_VALUE"""),"blackpearl-chain")</f>
        <v>blackpearl-chain</v>
      </c>
      <c r="B1787" s="2" t="str">
        <f ca="1">IFERROR(__xludf.DUMMYFUNCTION("""COMPUTED_VALUE"""),"bplc")</f>
        <v>bplc</v>
      </c>
      <c r="C1787" s="2" t="str">
        <f ca="1">IFERROR(__xludf.DUMMYFUNCTION("""COMPUTED_VALUE"""),"BlackPearl")</f>
        <v>BlackPearl</v>
      </c>
    </row>
    <row r="1788" spans="1:3" x14ac:dyDescent="0.25">
      <c r="A1788" s="2" t="str">
        <f ca="1">IFERROR(__xludf.DUMMYFUNCTION("""COMPUTED_VALUE"""),"black-phoenix")</f>
        <v>black-phoenix</v>
      </c>
      <c r="B1788" s="2" t="str">
        <f ca="1">IFERROR(__xludf.DUMMYFUNCTION("""COMPUTED_VALUE"""),"bpx")</f>
        <v>bpx</v>
      </c>
      <c r="C1788" s="2" t="str">
        <f ca="1">IFERROR(__xludf.DUMMYFUNCTION("""COMPUTED_VALUE"""),"Black Phoenix")</f>
        <v>Black Phoenix</v>
      </c>
    </row>
    <row r="1789" spans="1:3" x14ac:dyDescent="0.25">
      <c r="A1789" s="2" t="str">
        <f ca="1">IFERROR(__xludf.DUMMYFUNCTION("""COMPUTED_VALUE"""),"blackpool-token")</f>
        <v>blackpool-token</v>
      </c>
      <c r="B1789" s="2" t="str">
        <f ca="1">IFERROR(__xludf.DUMMYFUNCTION("""COMPUTED_VALUE"""),"bpt")</f>
        <v>bpt</v>
      </c>
      <c r="C1789" s="2" t="str">
        <f ca="1">IFERROR(__xludf.DUMMYFUNCTION("""COMPUTED_VALUE"""),"BlackPool")</f>
        <v>BlackPool</v>
      </c>
    </row>
    <row r="1790" spans="1:3" x14ac:dyDescent="0.25">
      <c r="A1790" s="2" t="str">
        <f ca="1">IFERROR(__xludf.DUMMYFUNCTION("""COMPUTED_VALUE"""),"blackrocktradingcurrency")</f>
        <v>blackrocktradingcurrency</v>
      </c>
      <c r="B1790" s="2" t="str">
        <f ca="1">IFERROR(__xludf.DUMMYFUNCTION("""COMPUTED_VALUE"""),"btc")</f>
        <v>btc</v>
      </c>
      <c r="C1790" s="2" t="str">
        <f ca="1">IFERROR(__xludf.DUMMYFUNCTION("""COMPUTED_VALUE"""),"BlackrockTradingCurrency")</f>
        <v>BlackrockTradingCurrency</v>
      </c>
    </row>
    <row r="1791" spans="1:3" x14ac:dyDescent="0.25">
      <c r="A1791" s="2" t="str">
        <f ca="1">IFERROR(__xludf.DUMMYFUNCTION("""COMPUTED_VALUE"""),"blackrock-usd-institutional-digital-liquidity-fund")</f>
        <v>blackrock-usd-institutional-digital-liquidity-fund</v>
      </c>
      <c r="B1791" s="2" t="str">
        <f ca="1">IFERROR(__xludf.DUMMYFUNCTION("""COMPUTED_VALUE"""),"buidl")</f>
        <v>buidl</v>
      </c>
      <c r="C1791" s="2" t="str">
        <f ca="1">IFERROR(__xludf.DUMMYFUNCTION("""COMPUTED_VALUE"""),"BlackRock USD Institutional Digital Liquidity Fund")</f>
        <v>BlackRock USD Institutional Digital Liquidity Fund</v>
      </c>
    </row>
    <row r="1792" spans="1:3" x14ac:dyDescent="0.25">
      <c r="A1792" s="2" t="str">
        <f ca="1">IFERROR(__xludf.DUMMYFUNCTION("""COMPUTED_VALUE"""),"blacksmith-token")</f>
        <v>blacksmith-token</v>
      </c>
      <c r="B1792" s="2" t="str">
        <f ca="1">IFERROR(__xludf.DUMMYFUNCTION("""COMPUTED_VALUE"""),"bs")</f>
        <v>bs</v>
      </c>
      <c r="C1792" s="2" t="str">
        <f ca="1">IFERROR(__xludf.DUMMYFUNCTION("""COMPUTED_VALUE"""),"Blacksmith Token")</f>
        <v>Blacksmith Token</v>
      </c>
    </row>
    <row r="1793" spans="1:3" x14ac:dyDescent="0.25">
      <c r="A1793" s="2" t="str">
        <f ca="1">IFERROR(__xludf.DUMMYFUNCTION("""COMPUTED_VALUE"""),"black-stallion")</f>
        <v>black-stallion</v>
      </c>
      <c r="B1793" s="2" t="str">
        <f ca="1">IFERROR(__xludf.DUMMYFUNCTION("""COMPUTED_VALUE"""),"bs")</f>
        <v>bs</v>
      </c>
      <c r="C1793" s="2" t="str">
        <f ca="1">IFERROR(__xludf.DUMMYFUNCTION("""COMPUTED_VALUE"""),"Black Stallion")</f>
        <v>Black Stallion</v>
      </c>
    </row>
    <row r="1794" spans="1:3" x14ac:dyDescent="0.25">
      <c r="A1794" s="2" t="str">
        <f ca="1">IFERROR(__xludf.DUMMYFUNCTION("""COMPUTED_VALUE"""),"black-swan")</f>
        <v>black-swan</v>
      </c>
      <c r="B1794" s="2" t="str">
        <f ca="1">IFERROR(__xludf.DUMMYFUNCTION("""COMPUTED_VALUE"""),"swan")</f>
        <v>swan</v>
      </c>
      <c r="C1794" s="2" t="str">
        <f ca="1">IFERROR(__xludf.DUMMYFUNCTION("""COMPUTED_VALUE"""),"Black Swan")</f>
        <v>Black Swan</v>
      </c>
    </row>
    <row r="1795" spans="1:3" x14ac:dyDescent="0.25">
      <c r="A1795" s="2" t="str">
        <f ca="1">IFERROR(__xludf.DUMMYFUNCTION("""COMPUTED_VALUE"""),"black-token")</f>
        <v>black-token</v>
      </c>
      <c r="B1795" s="2" t="str">
        <f ca="1">IFERROR(__xludf.DUMMYFUNCTION("""COMPUTED_VALUE"""),"black")</f>
        <v>black</v>
      </c>
      <c r="C1795" s="2" t="str">
        <f ca="1">IFERROR(__xludf.DUMMYFUNCTION("""COMPUTED_VALUE"""),"Black Token")</f>
        <v>Black Token</v>
      </c>
    </row>
    <row r="1796" spans="1:3" x14ac:dyDescent="0.25">
      <c r="A1796" s="2" t="str">
        <f ca="1">IFERROR(__xludf.DUMMYFUNCTION("""COMPUTED_VALUE"""),"blacky")</f>
        <v>blacky</v>
      </c>
      <c r="B1796" s="2" t="str">
        <f ca="1">IFERROR(__xludf.DUMMYFUNCTION("""COMPUTED_VALUE"""),"blacky")</f>
        <v>blacky</v>
      </c>
      <c r="C1796" s="2" t="str">
        <f ca="1">IFERROR(__xludf.DUMMYFUNCTION("""COMPUTED_VALUE"""),"Blacky")</f>
        <v>Blacky</v>
      </c>
    </row>
    <row r="1797" spans="1:3" x14ac:dyDescent="0.25">
      <c r="A1797" s="2" t="str">
        <f ca="1">IFERROR(__xludf.DUMMYFUNCTION("""COMPUTED_VALUE"""),"bladeswap")</f>
        <v>bladeswap</v>
      </c>
      <c r="B1797" s="2" t="str">
        <f ca="1">IFERROR(__xludf.DUMMYFUNCTION("""COMPUTED_VALUE"""),"blade")</f>
        <v>blade</v>
      </c>
      <c r="C1797" s="2" t="str">
        <f ca="1">IFERROR(__xludf.DUMMYFUNCTION("""COMPUTED_VALUE"""),"BladeSwap")</f>
        <v>BladeSwap</v>
      </c>
    </row>
    <row r="1798" spans="1:3" x14ac:dyDescent="0.25">
      <c r="A1798" s="2" t="str">
        <f ca="1">IFERROR(__xludf.DUMMYFUNCTION("""COMPUTED_VALUE"""),"blake")</f>
        <v>blake</v>
      </c>
      <c r="B1798" s="2" t="str">
        <f ca="1">IFERROR(__xludf.DUMMYFUNCTION("""COMPUTED_VALUE"""),"blake")</f>
        <v>blake</v>
      </c>
      <c r="C1798" s="2" t="str">
        <f ca="1">IFERROR(__xludf.DUMMYFUNCTION("""COMPUTED_VALUE"""),"BLAKE")</f>
        <v>BLAKE</v>
      </c>
    </row>
    <row r="1799" spans="1:3" x14ac:dyDescent="0.25">
      <c r="A1799" s="2" t="str">
        <f ca="1">IFERROR(__xludf.DUMMYFUNCTION("""COMPUTED_VALUE"""),"blank")</f>
        <v>blank</v>
      </c>
      <c r="B1799" s="2" t="str">
        <f ca="1">IFERROR(__xludf.DUMMYFUNCTION("""COMPUTED_VALUE"""),"blank")</f>
        <v>blank</v>
      </c>
      <c r="C1799" s="2" t="str">
        <f ca="1">IFERROR(__xludf.DUMMYFUNCTION("""COMPUTED_VALUE"""),"BlockWallet")</f>
        <v>BlockWallet</v>
      </c>
    </row>
    <row r="1800" spans="1:3" x14ac:dyDescent="0.25">
      <c r="A1800" s="2" t="str">
        <f ca="1">IFERROR(__xludf.DUMMYFUNCTION("""COMPUTED_VALUE"""),"blarb")</f>
        <v>blarb</v>
      </c>
      <c r="B1800" s="2" t="str">
        <f ca="1">IFERROR(__xludf.DUMMYFUNCTION("""COMPUTED_VALUE"""),"blarb")</f>
        <v>blarb</v>
      </c>
      <c r="C1800" s="2" t="str">
        <f ca="1">IFERROR(__xludf.DUMMYFUNCTION("""COMPUTED_VALUE"""),"BLARB")</f>
        <v>BLARB</v>
      </c>
    </row>
    <row r="1801" spans="1:3" x14ac:dyDescent="0.25">
      <c r="A1801" s="2" t="str">
        <f ca="1">IFERROR(__xludf.DUMMYFUNCTION("""COMPUTED_VALUE"""),"blast")</f>
        <v>blast</v>
      </c>
      <c r="B1801" s="2" t="str">
        <f ca="1">IFERROR(__xludf.DUMMYFUNCTION("""COMPUTED_VALUE"""),"blast")</f>
        <v>blast</v>
      </c>
      <c r="C1801" s="2" t="str">
        <f ca="1">IFERROR(__xludf.DUMMYFUNCTION("""COMPUTED_VALUE"""),"Blast")</f>
        <v>Blast</v>
      </c>
    </row>
    <row r="1802" spans="1:3" x14ac:dyDescent="0.25">
      <c r="A1802" s="2" t="str">
        <f ca="1">IFERROR(__xludf.DUMMYFUNCTION("""COMPUTED_VALUE"""),"blastai")</f>
        <v>blastai</v>
      </c>
      <c r="B1802" s="2" t="str">
        <f ca="1">IFERROR(__xludf.DUMMYFUNCTION("""COMPUTED_VALUE"""),"blast")</f>
        <v>blast</v>
      </c>
      <c r="C1802" s="2" t="str">
        <f ca="1">IFERROR(__xludf.DUMMYFUNCTION("""COMPUTED_VALUE"""),"BlastAI")</f>
        <v>BlastAI</v>
      </c>
    </row>
    <row r="1803" spans="1:3" x14ac:dyDescent="0.25">
      <c r="A1803" s="2" t="str">
        <f ca="1">IFERROR(__xludf.DUMMYFUNCTION("""COMPUTED_VALUE"""),"blastar")</f>
        <v>blastar</v>
      </c>
      <c r="B1803" s="2" t="str">
        <f ca="1">IFERROR(__xludf.DUMMYFUNCTION("""COMPUTED_VALUE"""),"blast")</f>
        <v>blast</v>
      </c>
      <c r="C1803" s="2" t="str">
        <f ca="1">IFERROR(__xludf.DUMMYFUNCTION("""COMPUTED_VALUE"""),"Blastar")</f>
        <v>Blastar</v>
      </c>
    </row>
    <row r="1804" spans="1:3" x14ac:dyDescent="0.25">
      <c r="A1804" s="2" t="str">
        <f ca="1">IFERROR(__xludf.DUMMYFUNCTION("""COMPUTED_VALUE"""),"blastardio")</f>
        <v>blastardio</v>
      </c>
      <c r="B1804" s="2" t="str">
        <f ca="1">IFERROR(__xludf.DUMMYFUNCTION("""COMPUTED_VALUE"""),"btard")</f>
        <v>btard</v>
      </c>
      <c r="C1804" s="2" t="str">
        <f ca="1">IFERROR(__xludf.DUMMYFUNCTION("""COMPUTED_VALUE"""),"Blastardio")</f>
        <v>Blastardio</v>
      </c>
    </row>
    <row r="1805" spans="1:3" x14ac:dyDescent="0.25">
      <c r="A1805" s="2" t="str">
        <f ca="1">IFERROR(__xludf.DUMMYFUNCTION("""COMPUTED_VALUE"""),"blastcat")</f>
        <v>blastcat</v>
      </c>
      <c r="B1805" s="2" t="str">
        <f ca="1">IFERROR(__xludf.DUMMYFUNCTION("""COMPUTED_VALUE"""),"bcat")</f>
        <v>bcat</v>
      </c>
      <c r="C1805" s="2" t="str">
        <f ca="1">IFERROR(__xludf.DUMMYFUNCTION("""COMPUTED_VALUE"""),"BlastCat")</f>
        <v>BlastCat</v>
      </c>
    </row>
    <row r="1806" spans="1:3" x14ac:dyDescent="0.25">
      <c r="A1806" s="2" t="str">
        <f ca="1">IFERROR(__xludf.DUMMYFUNCTION("""COMPUTED_VALUE"""),"blastdex")</f>
        <v>blastdex</v>
      </c>
      <c r="B1806" s="2" t="str">
        <f ca="1">IFERROR(__xludf.DUMMYFUNCTION("""COMPUTED_VALUE"""),"bd")</f>
        <v>bd</v>
      </c>
      <c r="C1806" s="2" t="str">
        <f ca="1">IFERROR(__xludf.DUMMYFUNCTION("""COMPUTED_VALUE"""),"BlastDEX")</f>
        <v>BlastDEX</v>
      </c>
    </row>
    <row r="1807" spans="1:3" x14ac:dyDescent="0.25">
      <c r="A1807" s="2" t="str">
        <f ca="1">IFERROR(__xludf.DUMMYFUNCTION("""COMPUTED_VALUE"""),"blaster")</f>
        <v>blaster</v>
      </c>
      <c r="B1807" s="2" t="str">
        <f ca="1">IFERROR(__xludf.DUMMYFUNCTION("""COMPUTED_VALUE"""),"blstr")</f>
        <v>blstr</v>
      </c>
      <c r="C1807" s="2" t="str">
        <f ca="1">IFERROR(__xludf.DUMMYFUNCTION("""COMPUTED_VALUE"""),"Blaster")</f>
        <v>Blaster</v>
      </c>
    </row>
    <row r="1808" spans="1:3" x14ac:dyDescent="0.25">
      <c r="A1808" s="2" t="str">
        <f ca="1">IFERROR(__xludf.DUMMYFUNCTION("""COMPUTED_VALUE"""),"blastfi-ecosystem-token")</f>
        <v>blastfi-ecosystem-token</v>
      </c>
      <c r="B1808" s="2" t="str">
        <f ca="1">IFERROR(__xludf.DUMMYFUNCTION("""COMPUTED_VALUE"""),"$bres")</f>
        <v>$bres</v>
      </c>
      <c r="C1808" s="2" t="str">
        <f ca="1">IFERROR(__xludf.DUMMYFUNCTION("""COMPUTED_VALUE"""),"BlastFi Ecosystem Token")</f>
        <v>BlastFi Ecosystem Token</v>
      </c>
    </row>
    <row r="1809" spans="1:3" x14ac:dyDescent="0.25">
      <c r="A1809" s="2" t="str">
        <f ca="1">IFERROR(__xludf.DUMMYFUNCTION("""COMPUTED_VALUE"""),"blast-frontiers")</f>
        <v>blast-frontiers</v>
      </c>
      <c r="B1809" s="2" t="str">
        <f ca="1">IFERROR(__xludf.DUMMYFUNCTION("""COMPUTED_VALUE"""),"blast")</f>
        <v>blast</v>
      </c>
      <c r="C1809" s="2" t="str">
        <f ca="1">IFERROR(__xludf.DUMMYFUNCTION("""COMPUTED_VALUE"""),"Blast Frontiers")</f>
        <v>Blast Frontiers</v>
      </c>
    </row>
    <row r="1810" spans="1:3" x14ac:dyDescent="0.25">
      <c r="A1810" s="2" t="str">
        <f ca="1">IFERROR(__xludf.DUMMYFUNCTION("""COMPUTED_VALUE"""),"blast-futures-token")</f>
        <v>blast-futures-token</v>
      </c>
      <c r="B1810" s="2" t="str">
        <f ca="1">IFERROR(__xludf.DUMMYFUNCTION("""COMPUTED_VALUE"""),"bfx")</f>
        <v>bfx</v>
      </c>
      <c r="C1810" s="2" t="str">
        <f ca="1">IFERROR(__xludf.DUMMYFUNCTION("""COMPUTED_VALUE"""),"Blast Futures Token")</f>
        <v>Blast Futures Token</v>
      </c>
    </row>
    <row r="1811" spans="1:3" x14ac:dyDescent="0.25">
      <c r="A1811" s="2" t="str">
        <f ca="1">IFERROR(__xludf.DUMMYFUNCTION("""COMPUTED_VALUE"""),"blast-hoge")</f>
        <v>blast-hoge</v>
      </c>
      <c r="B1811" s="2" t="str">
        <f ca="1">IFERROR(__xludf.DUMMYFUNCTION("""COMPUTED_VALUE"""),"hoge")</f>
        <v>hoge</v>
      </c>
      <c r="C1811" s="2" t="str">
        <f ca="1">IFERROR(__xludf.DUMMYFUNCTION("""COMPUTED_VALUE"""),"Blast Hoge")</f>
        <v>Blast Hoge</v>
      </c>
    </row>
    <row r="1812" spans="1:3" x14ac:dyDescent="0.25">
      <c r="A1812" s="2" t="str">
        <f ca="1">IFERROR(__xludf.DUMMYFUNCTION("""COMPUTED_VALUE"""),"blastin-pepes")</f>
        <v>blastin-pepes</v>
      </c>
      <c r="B1812" s="2" t="str">
        <f ca="1">IFERROR(__xludf.DUMMYFUNCTION("""COMPUTED_VALUE"""),"bpepe")</f>
        <v>bpepe</v>
      </c>
      <c r="C1812" s="2" t="str">
        <f ca="1">IFERROR(__xludf.DUMMYFUNCTION("""COMPUTED_VALUE"""),"Blastin Pepes")</f>
        <v>Blastin Pepes</v>
      </c>
    </row>
    <row r="1813" spans="1:3" x14ac:dyDescent="0.25">
      <c r="A1813" s="2" t="str">
        <f ca="1">IFERROR(__xludf.DUMMYFUNCTION("""COMPUTED_VALUE"""),"blast-inu")</f>
        <v>blast-inu</v>
      </c>
      <c r="B1813" s="2" t="str">
        <f ca="1">IFERROR(__xludf.DUMMYFUNCTION("""COMPUTED_VALUE"""),"blast")</f>
        <v>blast</v>
      </c>
      <c r="C1813" s="2" t="str">
        <f ca="1">IFERROR(__xludf.DUMMYFUNCTION("""COMPUTED_VALUE"""),"Blast Inu")</f>
        <v>Blast Inu</v>
      </c>
    </row>
    <row r="1814" spans="1:3" x14ac:dyDescent="0.25">
      <c r="A1814" s="2" t="str">
        <f ca="1">IFERROR(__xludf.DUMMYFUNCTION("""COMPUTED_VALUE"""),"blast-inu-2")</f>
        <v>blast-inu-2</v>
      </c>
      <c r="B1814" s="2" t="str">
        <f ca="1">IFERROR(__xludf.DUMMYFUNCTION("""COMPUTED_VALUE"""),"binu")</f>
        <v>binu</v>
      </c>
      <c r="C1814" s="2" t="str">
        <f ca="1">IFERROR(__xludf.DUMMYFUNCTION("""COMPUTED_VALUE"""),"Blast Inu")</f>
        <v>Blast Inu</v>
      </c>
    </row>
    <row r="1815" spans="1:3" x14ac:dyDescent="0.25">
      <c r="A1815" s="2" t="str">
        <f ca="1">IFERROR(__xludf.DUMMYFUNCTION("""COMPUTED_VALUE"""),"blastoff")</f>
        <v>blastoff</v>
      </c>
      <c r="B1815" s="2" t="str">
        <f ca="1">IFERROR(__xludf.DUMMYFUNCTION("""COMPUTED_VALUE"""),"off")</f>
        <v>off</v>
      </c>
      <c r="C1815" s="2" t="str">
        <f ca="1">IFERROR(__xludf.DUMMYFUNCTION("""COMPUTED_VALUE"""),"BlastOff")</f>
        <v>BlastOff</v>
      </c>
    </row>
    <row r="1816" spans="1:3" x14ac:dyDescent="0.25">
      <c r="A1816" s="2" t="str">
        <f ca="1">IFERROR(__xludf.DUMMYFUNCTION("""COMPUTED_VALUE"""),"blast-pepe")</f>
        <v>blast-pepe</v>
      </c>
      <c r="B1816" s="2" t="str">
        <f ca="1">IFERROR(__xludf.DUMMYFUNCTION("""COMPUTED_VALUE"""),"bepe")</f>
        <v>bepe</v>
      </c>
      <c r="C1816" s="2" t="str">
        <f ca="1">IFERROR(__xludf.DUMMYFUNCTION("""COMPUTED_VALUE"""),"Blast Pepe")</f>
        <v>Blast Pepe</v>
      </c>
    </row>
    <row r="1817" spans="1:3" x14ac:dyDescent="0.25">
      <c r="A1817" s="2" t="str">
        <f ca="1">IFERROR(__xludf.DUMMYFUNCTION("""COMPUTED_VALUE"""),"blastup")</f>
        <v>blastup</v>
      </c>
      <c r="B1817" s="2" t="str">
        <f ca="1">IFERROR(__xludf.DUMMYFUNCTION("""COMPUTED_VALUE"""),"blastup")</f>
        <v>blastup</v>
      </c>
      <c r="C1817" s="2" t="str">
        <f ca="1">IFERROR(__xludf.DUMMYFUNCTION("""COMPUTED_VALUE"""),"BlastUP")</f>
        <v>BlastUP</v>
      </c>
    </row>
    <row r="1818" spans="1:3" x14ac:dyDescent="0.25">
      <c r="A1818" s="2" t="str">
        <f ca="1">IFERROR(__xludf.DUMMYFUNCTION("""COMPUTED_VALUE"""),"blazestake-staked-sol")</f>
        <v>blazestake-staked-sol</v>
      </c>
      <c r="B1818" s="2" t="str">
        <f ca="1">IFERROR(__xludf.DUMMYFUNCTION("""COMPUTED_VALUE"""),"bsol")</f>
        <v>bsol</v>
      </c>
      <c r="C1818" s="2" t="str">
        <f ca="1">IFERROR(__xludf.DUMMYFUNCTION("""COMPUTED_VALUE"""),"BlazeStake Staked SOL")</f>
        <v>BlazeStake Staked SOL</v>
      </c>
    </row>
    <row r="1819" spans="1:3" x14ac:dyDescent="0.25">
      <c r="A1819" s="2" t="str">
        <f ca="1">IFERROR(__xludf.DUMMYFUNCTION("""COMPUTED_VALUE"""),"blazex")</f>
        <v>blazex</v>
      </c>
      <c r="B1819" s="2" t="str">
        <f ca="1">IFERROR(__xludf.DUMMYFUNCTION("""COMPUTED_VALUE"""),"blazex")</f>
        <v>blazex</v>
      </c>
      <c r="C1819" s="2" t="str">
        <f ca="1">IFERROR(__xludf.DUMMYFUNCTION("""COMPUTED_VALUE"""),"BlazeX")</f>
        <v>BlazeX</v>
      </c>
    </row>
    <row r="1820" spans="1:3" x14ac:dyDescent="0.25">
      <c r="A1820" s="2" t="str">
        <f ca="1">IFERROR(__xludf.DUMMYFUNCTION("""COMPUTED_VALUE"""),"blendr-network")</f>
        <v>blendr-network</v>
      </c>
      <c r="B1820" s="2" t="str">
        <f ca="1">IFERROR(__xludf.DUMMYFUNCTION("""COMPUTED_VALUE"""),"blendr")</f>
        <v>blendr</v>
      </c>
      <c r="C1820" s="2" t="str">
        <f ca="1">IFERROR(__xludf.DUMMYFUNCTION("""COMPUTED_VALUE"""),"Blendr Network")</f>
        <v>Blendr Network</v>
      </c>
    </row>
    <row r="1821" spans="1:3" x14ac:dyDescent="0.25">
      <c r="A1821" s="2" t="str">
        <f ca="1">IFERROR(__xludf.DUMMYFUNCTION("""COMPUTED_VALUE"""),"blepe")</f>
        <v>blepe</v>
      </c>
      <c r="B1821" s="2" t="str">
        <f ca="1">IFERROR(__xludf.DUMMYFUNCTION("""COMPUTED_VALUE"""),"blepe")</f>
        <v>blepe</v>
      </c>
      <c r="C1821" s="2" t="str">
        <f ca="1">IFERROR(__xludf.DUMMYFUNCTION("""COMPUTED_VALUE"""),"Blepe")</f>
        <v>Blepe</v>
      </c>
    </row>
    <row r="1822" spans="1:3" x14ac:dyDescent="0.25">
      <c r="A1822" s="2" t="str">
        <f ca="1">IFERROR(__xludf.DUMMYFUNCTION("""COMPUTED_VALUE"""),"blepe-the-blue")</f>
        <v>blepe-the-blue</v>
      </c>
      <c r="B1822" s="2" t="str">
        <f ca="1">IFERROR(__xludf.DUMMYFUNCTION("""COMPUTED_VALUE"""),"blepe")</f>
        <v>blepe</v>
      </c>
      <c r="C1822" s="2" t="str">
        <f ca="1">IFERROR(__xludf.DUMMYFUNCTION("""COMPUTED_VALUE"""),"Blepe the Blue")</f>
        <v>Blepe the Blue</v>
      </c>
    </row>
    <row r="1823" spans="1:3" x14ac:dyDescent="0.25">
      <c r="A1823" s="2" t="str">
        <f ca="1">IFERROR(__xludf.DUMMYFUNCTION("""COMPUTED_VALUE"""),"blerf")</f>
        <v>blerf</v>
      </c>
      <c r="B1823" s="2" t="str">
        <f ca="1">IFERROR(__xludf.DUMMYFUNCTION("""COMPUTED_VALUE"""),"blerf")</f>
        <v>blerf</v>
      </c>
      <c r="C1823" s="2" t="str">
        <f ca="1">IFERROR(__xludf.DUMMYFUNCTION("""COMPUTED_VALUE"""),"BLERF")</f>
        <v>BLERF</v>
      </c>
    </row>
    <row r="1824" spans="1:3" x14ac:dyDescent="0.25">
      <c r="A1824" s="2" t="str">
        <f ca="1">IFERROR(__xludf.DUMMYFUNCTION("""COMPUTED_VALUE"""),"bless-global-credit")</f>
        <v>bless-global-credit</v>
      </c>
      <c r="B1824" s="2" t="str">
        <f ca="1">IFERROR(__xludf.DUMMYFUNCTION("""COMPUTED_VALUE"""),"blec")</f>
        <v>blec</v>
      </c>
      <c r="C1824" s="2" t="str">
        <f ca="1">IFERROR(__xludf.DUMMYFUNCTION("""COMPUTED_VALUE"""),"Bless Global Credit")</f>
        <v>Bless Global Credit</v>
      </c>
    </row>
    <row r="1825" spans="1:3" x14ac:dyDescent="0.25">
      <c r="A1825" s="2" t="str">
        <f ca="1">IFERROR(__xludf.DUMMYFUNCTION("""COMPUTED_VALUE"""),"blind-boxes")</f>
        <v>blind-boxes</v>
      </c>
      <c r="B1825" s="2" t="str">
        <f ca="1">IFERROR(__xludf.DUMMYFUNCTION("""COMPUTED_VALUE"""),"bles")</f>
        <v>bles</v>
      </c>
      <c r="C1825" s="2" t="str">
        <f ca="1">IFERROR(__xludf.DUMMYFUNCTION("""COMPUTED_VALUE"""),"Blind Boxes")</f>
        <v>Blind Boxes</v>
      </c>
    </row>
    <row r="1826" spans="1:3" x14ac:dyDescent="0.25">
      <c r="A1826" s="2" t="str">
        <f ca="1">IFERROR(__xludf.DUMMYFUNCTION("""COMPUTED_VALUE"""),"blinks-gg")</f>
        <v>blinks-gg</v>
      </c>
      <c r="B1826" s="2" t="str">
        <f ca="1">IFERROR(__xludf.DUMMYFUNCTION("""COMPUTED_VALUE"""),"bgg1")</f>
        <v>bgg1</v>
      </c>
      <c r="C1826" s="3" t="str">
        <f ca="1">IFERROR(__xludf.DUMMYFUNCTION("""COMPUTED_VALUE"""),"Blinks.gg")</f>
        <v>Blinks.gg</v>
      </c>
    </row>
    <row r="1827" spans="1:3" x14ac:dyDescent="0.25">
      <c r="A1827" s="2" t="str">
        <f ca="1">IFERROR(__xludf.DUMMYFUNCTION("""COMPUTED_VALUE"""),"blin-metaverse")</f>
        <v>blin-metaverse</v>
      </c>
      <c r="B1827" s="2" t="str">
        <f ca="1">IFERROR(__xludf.DUMMYFUNCTION("""COMPUTED_VALUE"""),"blin")</f>
        <v>blin</v>
      </c>
      <c r="C1827" s="2" t="str">
        <f ca="1">IFERROR(__xludf.DUMMYFUNCTION("""COMPUTED_VALUE"""),"Blin Metaverse")</f>
        <v>Blin Metaverse</v>
      </c>
    </row>
    <row r="1828" spans="1:3" x14ac:dyDescent="0.25">
      <c r="A1828" s="2" t="str">
        <f ca="1">IFERROR(__xludf.DUMMYFUNCTION("""COMPUTED_VALUE"""),"blitz-labs")</f>
        <v>blitz-labs</v>
      </c>
      <c r="B1828" s="2" t="str">
        <f ca="1">IFERROR(__xludf.DUMMYFUNCTION("""COMPUTED_VALUE"""),"blitz")</f>
        <v>blitz</v>
      </c>
      <c r="C1828" s="2" t="str">
        <f ca="1">IFERROR(__xludf.DUMMYFUNCTION("""COMPUTED_VALUE"""),"Blitz Labs")</f>
        <v>Blitz Labs</v>
      </c>
    </row>
    <row r="1829" spans="1:3" x14ac:dyDescent="0.25">
      <c r="A1829" s="2" t="str">
        <f ca="1">IFERROR(__xludf.DUMMYFUNCTION("""COMPUTED_VALUE"""),"blob-2")</f>
        <v>blob-2</v>
      </c>
      <c r="B1829" s="2" t="str">
        <f ca="1">IFERROR(__xludf.DUMMYFUNCTION("""COMPUTED_VALUE"""),"blob")</f>
        <v>blob</v>
      </c>
      <c r="C1829" s="2" t="str">
        <f ca="1">IFERROR(__xludf.DUMMYFUNCTION("""COMPUTED_VALUE"""),"Blob")</f>
        <v>Blob</v>
      </c>
    </row>
    <row r="1830" spans="1:3" x14ac:dyDescent="0.25">
      <c r="A1830" s="2" t="str">
        <f ca="1">IFERROR(__xludf.DUMMYFUNCTION("""COMPUTED_VALUE"""),"blob-avax")</f>
        <v>blob-avax</v>
      </c>
      <c r="B1830" s="2" t="str">
        <f ca="1">IFERROR(__xludf.DUMMYFUNCTION("""COMPUTED_VALUE"""),"blob")</f>
        <v>blob</v>
      </c>
      <c r="C1830" s="2" t="str">
        <f ca="1">IFERROR(__xludf.DUMMYFUNCTION("""COMPUTED_VALUE"""),"BLOB")</f>
        <v>BLOB</v>
      </c>
    </row>
    <row r="1831" spans="1:3" x14ac:dyDescent="0.25">
      <c r="A1831" s="2" t="str">
        <f ca="1">IFERROR(__xludf.DUMMYFUNCTION("""COMPUTED_VALUE"""),"blobs")</f>
        <v>blobs</v>
      </c>
      <c r="B1831" s="2" t="str">
        <f ca="1">IFERROR(__xludf.DUMMYFUNCTION("""COMPUTED_VALUE"""),"blobs")</f>
        <v>blobs</v>
      </c>
      <c r="C1831" s="2" t="str">
        <f ca="1">IFERROR(__xludf.DUMMYFUNCTION("""COMPUTED_VALUE"""),"blobs")</f>
        <v>blobs</v>
      </c>
    </row>
    <row r="1832" spans="1:3" x14ac:dyDescent="0.25">
      <c r="A1832" s="2" t="str">
        <f ca="1">IFERROR(__xludf.DUMMYFUNCTION("""COMPUTED_VALUE"""),"blocery")</f>
        <v>blocery</v>
      </c>
      <c r="B1832" s="2" t="str">
        <f ca="1">IFERROR(__xludf.DUMMYFUNCTION("""COMPUTED_VALUE"""),"bly")</f>
        <v>bly</v>
      </c>
      <c r="C1832" s="2" t="str">
        <f ca="1">IFERROR(__xludf.DUMMYFUNCTION("""COMPUTED_VALUE"""),"Blocery")</f>
        <v>Blocery</v>
      </c>
    </row>
    <row r="1833" spans="1:3" x14ac:dyDescent="0.25">
      <c r="A1833" s="2" t="str">
        <f ca="1">IFERROR(__xludf.DUMMYFUNCTION("""COMPUTED_VALUE"""),"block")</f>
        <v>block</v>
      </c>
      <c r="B1833" s="2" t="str">
        <f ca="1">IFERROR(__xludf.DUMMYFUNCTION("""COMPUTED_VALUE"""),"block")</f>
        <v>block</v>
      </c>
      <c r="C1833" s="2" t="str">
        <f ca="1">IFERROR(__xludf.DUMMYFUNCTION("""COMPUTED_VALUE"""),"Block")</f>
        <v>Block</v>
      </c>
    </row>
    <row r="1834" spans="1:3" x14ac:dyDescent="0.25">
      <c r="A1834" s="2" t="str">
        <f ca="1">IFERROR(__xludf.DUMMYFUNCTION("""COMPUTED_VALUE"""),"blockai")</f>
        <v>blockai</v>
      </c>
      <c r="B1834" s="2" t="str">
        <f ca="1">IFERROR(__xludf.DUMMYFUNCTION("""COMPUTED_VALUE"""),"bai")</f>
        <v>bai</v>
      </c>
      <c r="C1834" s="2" t="str">
        <f ca="1">IFERROR(__xludf.DUMMYFUNCTION("""COMPUTED_VALUE"""),"BlockAI")</f>
        <v>BlockAI</v>
      </c>
    </row>
    <row r="1835" spans="1:3" x14ac:dyDescent="0.25">
      <c r="A1835" s="2" t="str">
        <f ca="1">IFERROR(__xludf.DUMMYFUNCTION("""COMPUTED_VALUE"""),"block-ape-scissors")</f>
        <v>block-ape-scissors</v>
      </c>
      <c r="B1835" s="2" t="str">
        <f ca="1">IFERROR(__xludf.DUMMYFUNCTION("""COMPUTED_VALUE"""),"arcas")</f>
        <v>arcas</v>
      </c>
      <c r="C1835" s="2" t="str">
        <f ca="1">IFERROR(__xludf.DUMMYFUNCTION("""COMPUTED_VALUE"""),"Arcas")</f>
        <v>Arcas</v>
      </c>
    </row>
    <row r="1836" spans="1:3" x14ac:dyDescent="0.25">
      <c r="A1836" s="2" t="str">
        <f ca="1">IFERROR(__xludf.DUMMYFUNCTION("""COMPUTED_VALUE"""),"blockasset")</f>
        <v>blockasset</v>
      </c>
      <c r="B1836" s="2" t="str">
        <f ca="1">IFERROR(__xludf.DUMMYFUNCTION("""COMPUTED_VALUE"""),"block")</f>
        <v>block</v>
      </c>
      <c r="C1836" s="2" t="str">
        <f ca="1">IFERROR(__xludf.DUMMYFUNCTION("""COMPUTED_VALUE"""),"Blockasset")</f>
        <v>Blockasset</v>
      </c>
    </row>
    <row r="1837" spans="1:3" x14ac:dyDescent="0.25">
      <c r="A1837" s="2" t="str">
        <f ca="1">IFERROR(__xludf.DUMMYFUNCTION("""COMPUTED_VALUE"""),"blockbank")</f>
        <v>blockbank</v>
      </c>
      <c r="B1837" s="2" t="str">
        <f ca="1">IFERROR(__xludf.DUMMYFUNCTION("""COMPUTED_VALUE"""),"bbank")</f>
        <v>bbank</v>
      </c>
      <c r="C1837" s="2" t="str">
        <f ca="1">IFERROR(__xludf.DUMMYFUNCTION("""COMPUTED_VALUE"""),"blockbank")</f>
        <v>blockbank</v>
      </c>
    </row>
    <row r="1838" spans="1:3" x14ac:dyDescent="0.25">
      <c r="A1838" s="2" t="str">
        <f ca="1">IFERROR(__xludf.DUMMYFUNCTION("""COMPUTED_VALUE"""),"blockblend-2")</f>
        <v>blockblend-2</v>
      </c>
      <c r="B1838" s="2" t="str">
        <f ca="1">IFERROR(__xludf.DUMMYFUNCTION("""COMPUTED_VALUE"""),"bbl")</f>
        <v>bbl</v>
      </c>
      <c r="C1838" s="2" t="str">
        <f ca="1">IFERROR(__xludf.DUMMYFUNCTION("""COMPUTED_VALUE"""),"BlockBlend")</f>
        <v>BlockBlend</v>
      </c>
    </row>
    <row r="1839" spans="1:3" x14ac:dyDescent="0.25">
      <c r="A1839" s="2" t="str">
        <f ca="1">IFERROR(__xludf.DUMMYFUNCTION("""COMPUTED_VALUE"""),"blockbox")</f>
        <v>blockbox</v>
      </c>
      <c r="B1839" s="2" t="str">
        <f ca="1">IFERROR(__xludf.DUMMYFUNCTION("""COMPUTED_VALUE"""),"bbox")</f>
        <v>bbox</v>
      </c>
      <c r="C1839" s="2" t="str">
        <f ca="1">IFERROR(__xludf.DUMMYFUNCTION("""COMPUTED_VALUE"""),"BlockBox")</f>
        <v>BlockBox</v>
      </c>
    </row>
    <row r="1840" spans="1:3" x14ac:dyDescent="0.25">
      <c r="A1840" s="2" t="str">
        <f ca="1">IFERROR(__xludf.DUMMYFUNCTION("""COMPUTED_VALUE"""),"block-browser")</f>
        <v>block-browser</v>
      </c>
      <c r="B1840" s="2" t="str">
        <f ca="1">IFERROR(__xludf.DUMMYFUNCTION("""COMPUTED_VALUE"""),"block")</f>
        <v>block</v>
      </c>
      <c r="C1840" s="2" t="str">
        <f ca="1">IFERROR(__xludf.DUMMYFUNCTION("""COMPUTED_VALUE"""),"Block Browser")</f>
        <v>Block Browser</v>
      </c>
    </row>
    <row r="1841" spans="1:3" x14ac:dyDescent="0.25">
      <c r="A1841" s="2" t="str">
        <f ca="1">IFERROR(__xludf.DUMMYFUNCTION("""COMPUTED_VALUE"""),"blockcdn")</f>
        <v>blockcdn</v>
      </c>
      <c r="B1841" s="2" t="str">
        <f ca="1">IFERROR(__xludf.DUMMYFUNCTION("""COMPUTED_VALUE"""),"bcdn")</f>
        <v>bcdn</v>
      </c>
      <c r="C1841" s="2" t="str">
        <f ca="1">IFERROR(__xludf.DUMMYFUNCTION("""COMPUTED_VALUE"""),"BlockCDN")</f>
        <v>BlockCDN</v>
      </c>
    </row>
    <row r="1842" spans="1:3" x14ac:dyDescent="0.25">
      <c r="A1842" s="2" t="str">
        <f ca="1">IFERROR(__xludf.DUMMYFUNCTION("""COMPUTED_VALUE"""),"blockchain-bets")</f>
        <v>blockchain-bets</v>
      </c>
      <c r="B1842" s="2" t="str">
        <f ca="1">IFERROR(__xludf.DUMMYFUNCTION("""COMPUTED_VALUE"""),"bcb")</f>
        <v>bcb</v>
      </c>
      <c r="C1842" s="2" t="str">
        <f ca="1">IFERROR(__xludf.DUMMYFUNCTION("""COMPUTED_VALUE"""),"Blockchain Bets")</f>
        <v>Blockchain Bets</v>
      </c>
    </row>
    <row r="1843" spans="1:3" x14ac:dyDescent="0.25">
      <c r="A1843" s="2" t="str">
        <f ca="1">IFERROR(__xludf.DUMMYFUNCTION("""COMPUTED_VALUE"""),"blockchain-brawlers")</f>
        <v>blockchain-brawlers</v>
      </c>
      <c r="B1843" s="2" t="str">
        <f ca="1">IFERROR(__xludf.DUMMYFUNCTION("""COMPUTED_VALUE"""),"brwl")</f>
        <v>brwl</v>
      </c>
      <c r="C1843" s="2" t="str">
        <f ca="1">IFERROR(__xludf.DUMMYFUNCTION("""COMPUTED_VALUE"""),"Blockchain Brawlers")</f>
        <v>Blockchain Brawlers</v>
      </c>
    </row>
    <row r="1844" spans="1:3" x14ac:dyDescent="0.25">
      <c r="A1844" s="2" t="str">
        <f ca="1">IFERROR(__xludf.DUMMYFUNCTION("""COMPUTED_VALUE"""),"blockchain-certified-data-token")</f>
        <v>blockchain-certified-data-token</v>
      </c>
      <c r="B1844" s="2" t="str">
        <f ca="1">IFERROR(__xludf.DUMMYFUNCTION("""COMPUTED_VALUE"""),"bcdt")</f>
        <v>bcdt</v>
      </c>
      <c r="C1844" s="2" t="str">
        <f ca="1">IFERROR(__xludf.DUMMYFUNCTION("""COMPUTED_VALUE"""),"EvidenZ")</f>
        <v>EvidenZ</v>
      </c>
    </row>
    <row r="1845" spans="1:3" x14ac:dyDescent="0.25">
      <c r="A1845" s="2" t="str">
        <f ca="1">IFERROR(__xludf.DUMMYFUNCTION("""COMPUTED_VALUE"""),"blockchaincoinx")</f>
        <v>blockchaincoinx</v>
      </c>
      <c r="B1845" s="2" t="str">
        <f ca="1">IFERROR(__xludf.DUMMYFUNCTION("""COMPUTED_VALUE"""),"xccx")</f>
        <v>xccx</v>
      </c>
      <c r="C1845" s="2" t="str">
        <f ca="1">IFERROR(__xludf.DUMMYFUNCTION("""COMPUTED_VALUE"""),"BlockChainCoinX")</f>
        <v>BlockChainCoinX</v>
      </c>
    </row>
    <row r="1846" spans="1:3" x14ac:dyDescent="0.25">
      <c r="A1846" s="2" t="str">
        <f ca="1">IFERROR(__xludf.DUMMYFUNCTION("""COMPUTED_VALUE"""),"blockchain-cuties-universe-governance")</f>
        <v>blockchain-cuties-universe-governance</v>
      </c>
      <c r="B1846" s="2" t="str">
        <f ca="1">IFERROR(__xludf.DUMMYFUNCTION("""COMPUTED_VALUE"""),"bcug")</f>
        <v>bcug</v>
      </c>
      <c r="C1846" s="2" t="str">
        <f ca="1">IFERROR(__xludf.DUMMYFUNCTION("""COMPUTED_VALUE"""),"Blockchain Cuties Universe Governance")</f>
        <v>Blockchain Cuties Universe Governance</v>
      </c>
    </row>
    <row r="1847" spans="1:3" x14ac:dyDescent="0.25">
      <c r="A1847" s="2" t="str">
        <f ca="1">IFERROR(__xludf.DUMMYFUNCTION("""COMPUTED_VALUE"""),"blockchain-island")</f>
        <v>blockchain-island</v>
      </c>
      <c r="B1847" s="2" t="str">
        <f ca="1">IFERROR(__xludf.DUMMYFUNCTION("""COMPUTED_VALUE"""),"bcl")</f>
        <v>bcl</v>
      </c>
      <c r="C1847" s="2" t="str">
        <f ca="1">IFERROR(__xludf.DUMMYFUNCTION("""COMPUTED_VALUE"""),"Blockchain Island")</f>
        <v>Blockchain Island</v>
      </c>
    </row>
    <row r="1848" spans="1:3" x14ac:dyDescent="0.25">
      <c r="A1848" s="2" t="str">
        <f ca="1">IFERROR(__xludf.DUMMYFUNCTION("""COMPUTED_VALUE"""),"blockchain-monster-hunt")</f>
        <v>blockchain-monster-hunt</v>
      </c>
      <c r="B1848" s="2" t="str">
        <f ca="1">IFERROR(__xludf.DUMMYFUNCTION("""COMPUTED_VALUE"""),"bcmc")</f>
        <v>bcmc</v>
      </c>
      <c r="C1848" s="2" t="str">
        <f ca="1">IFERROR(__xludf.DUMMYFUNCTION("""COMPUTED_VALUE"""),"Blockchain Monster Hunt")</f>
        <v>Blockchain Monster Hunt</v>
      </c>
    </row>
    <row r="1849" spans="1:3" x14ac:dyDescent="0.25">
      <c r="A1849" s="2" t="str">
        <f ca="1">IFERROR(__xludf.DUMMYFUNCTION("""COMPUTED_VALUE"""),"blockchainpeople")</f>
        <v>blockchainpeople</v>
      </c>
      <c r="B1849" s="2" t="str">
        <f ca="1">IFERROR(__xludf.DUMMYFUNCTION("""COMPUTED_VALUE"""),"bcp")</f>
        <v>bcp</v>
      </c>
      <c r="C1849" s="2" t="str">
        <f ca="1">IFERROR(__xludf.DUMMYFUNCTION("""COMPUTED_VALUE"""),"BlockChainPeople")</f>
        <v>BlockChainPeople</v>
      </c>
    </row>
    <row r="1850" spans="1:3" x14ac:dyDescent="0.25">
      <c r="A1850" s="2" t="str">
        <f ca="1">IFERROR(__xludf.DUMMYFUNCTION("""COMPUTED_VALUE"""),"blockchainspace")</f>
        <v>blockchainspace</v>
      </c>
      <c r="B1850" s="2" t="str">
        <f ca="1">IFERROR(__xludf.DUMMYFUNCTION("""COMPUTED_VALUE"""),"guild")</f>
        <v>guild</v>
      </c>
      <c r="C1850" s="2" t="str">
        <f ca="1">IFERROR(__xludf.DUMMYFUNCTION("""COMPUTED_VALUE"""),"BlockchainSpace")</f>
        <v>BlockchainSpace</v>
      </c>
    </row>
    <row r="1851" spans="1:3" x14ac:dyDescent="0.25">
      <c r="A1851" s="2" t="str">
        <f ca="1">IFERROR(__xludf.DUMMYFUNCTION("""COMPUTED_VALUE"""),"blockchat")</f>
        <v>blockchat</v>
      </c>
      <c r="B1851" s="2" t="str">
        <f ca="1">IFERROR(__xludf.DUMMYFUNCTION("""COMPUTED_VALUE"""),"bcd")</f>
        <v>bcd</v>
      </c>
      <c r="C1851" s="2" t="str">
        <f ca="1">IFERROR(__xludf.DUMMYFUNCTION("""COMPUTED_VALUE"""),"BlockChat")</f>
        <v>BlockChat</v>
      </c>
    </row>
    <row r="1852" spans="1:3" x14ac:dyDescent="0.25">
      <c r="A1852" s="2" t="str">
        <f ca="1">IFERROR(__xludf.DUMMYFUNCTION("""COMPUTED_VALUE"""),"blockcreate")</f>
        <v>blockcreate</v>
      </c>
      <c r="B1852" s="2" t="str">
        <f ca="1">IFERROR(__xludf.DUMMYFUNCTION("""COMPUTED_VALUE"""),"block")</f>
        <v>block</v>
      </c>
      <c r="C1852" s="2" t="str">
        <f ca="1">IFERROR(__xludf.DUMMYFUNCTION("""COMPUTED_VALUE"""),"BlockCreate")</f>
        <v>BlockCreate</v>
      </c>
    </row>
    <row r="1853" spans="1:3" x14ac:dyDescent="0.25">
      <c r="A1853" s="2" t="str">
        <f ca="1">IFERROR(__xludf.DUMMYFUNCTION("""COMPUTED_VALUE"""),"blockdefend-ai")</f>
        <v>blockdefend-ai</v>
      </c>
      <c r="B1853" s="2" t="str">
        <f ca="1">IFERROR(__xludf.DUMMYFUNCTION("""COMPUTED_VALUE"""),"defend")</f>
        <v>defend</v>
      </c>
      <c r="C1853" s="2" t="str">
        <f ca="1">IFERROR(__xludf.DUMMYFUNCTION("""COMPUTED_VALUE"""),"BlockDefend AI")</f>
        <v>BlockDefend AI</v>
      </c>
    </row>
    <row r="1854" spans="1:3" x14ac:dyDescent="0.25">
      <c r="A1854" s="2" t="str">
        <f ca="1">IFERROR(__xludf.DUMMYFUNCTION("""COMPUTED_VALUE"""),"blockdrop")</f>
        <v>blockdrop</v>
      </c>
      <c r="B1854" s="2" t="str">
        <f ca="1">IFERROR(__xludf.DUMMYFUNCTION("""COMPUTED_VALUE"""),"bdrop")</f>
        <v>bdrop</v>
      </c>
      <c r="C1854" s="2" t="str">
        <f ca="1">IFERROR(__xludf.DUMMYFUNCTION("""COMPUTED_VALUE"""),"BlockDrop")</f>
        <v>BlockDrop</v>
      </c>
    </row>
    <row r="1855" spans="1:3" x14ac:dyDescent="0.25">
      <c r="A1855" s="2" t="str">
        <f ca="1">IFERROR(__xludf.DUMMYFUNCTION("""COMPUTED_VALUE"""),"blockgames")</f>
        <v>blockgames</v>
      </c>
      <c r="B1855" s="2" t="str">
        <f ca="1">IFERROR(__xludf.DUMMYFUNCTION("""COMPUTED_VALUE"""),"block")</f>
        <v>block</v>
      </c>
      <c r="C1855" s="2" t="str">
        <f ca="1">IFERROR(__xludf.DUMMYFUNCTION("""COMPUTED_VALUE"""),"BlockGames")</f>
        <v>BlockGames</v>
      </c>
    </row>
    <row r="1856" spans="1:3" x14ac:dyDescent="0.25">
      <c r="A1856" s="2" t="str">
        <f ca="1">IFERROR(__xludf.DUMMYFUNCTION("""COMPUTED_VALUE"""),"blockgpt")</f>
        <v>blockgpt</v>
      </c>
      <c r="B1856" s="2" t="str">
        <f ca="1">IFERROR(__xludf.DUMMYFUNCTION("""COMPUTED_VALUE"""),"bgpt")</f>
        <v>bgpt</v>
      </c>
      <c r="C1856" s="2" t="str">
        <f ca="1">IFERROR(__xludf.DUMMYFUNCTION("""COMPUTED_VALUE"""),"BlockGPT")</f>
        <v>BlockGPT</v>
      </c>
    </row>
    <row r="1857" spans="1:3" x14ac:dyDescent="0.25">
      <c r="A1857" s="2" t="str">
        <f ca="1">IFERROR(__xludf.DUMMYFUNCTION("""COMPUTED_VALUE"""),"blockless")</f>
        <v>blockless</v>
      </c>
      <c r="B1857" s="2" t="str">
        <f ca="1">IFERROR(__xludf.DUMMYFUNCTION("""COMPUTED_VALUE"""),"bls")</f>
        <v>bls</v>
      </c>
      <c r="C1857" s="2" t="str">
        <f ca="1">IFERROR(__xludf.DUMMYFUNCTION("""COMPUTED_VALUE"""),"Blockless")</f>
        <v>Blockless</v>
      </c>
    </row>
    <row r="1858" spans="1:3" x14ac:dyDescent="0.25">
      <c r="A1858" s="2" t="str">
        <f ca="1">IFERROR(__xludf.DUMMYFUNCTION("""COMPUTED_VALUE"""),"blocklords")</f>
        <v>blocklords</v>
      </c>
      <c r="B1858" s="2" t="str">
        <f ca="1">IFERROR(__xludf.DUMMYFUNCTION("""COMPUTED_VALUE"""),"lrds")</f>
        <v>lrds</v>
      </c>
      <c r="C1858" s="2" t="str">
        <f ca="1">IFERROR(__xludf.DUMMYFUNCTION("""COMPUTED_VALUE"""),"BLOCKLORDS")</f>
        <v>BLOCKLORDS</v>
      </c>
    </row>
    <row r="1859" spans="1:3" x14ac:dyDescent="0.25">
      <c r="A1859" s="2" t="str">
        <f ca="1">IFERROR(__xludf.DUMMYFUNCTION("""COMPUTED_VALUE"""),"blockmate")</f>
        <v>blockmate</v>
      </c>
      <c r="B1859" s="2" t="str">
        <f ca="1">IFERROR(__xludf.DUMMYFUNCTION("""COMPUTED_VALUE"""),"mate")</f>
        <v>mate</v>
      </c>
      <c r="C1859" s="2" t="str">
        <f ca="1">IFERROR(__xludf.DUMMYFUNCTION("""COMPUTED_VALUE"""),"BlockMate")</f>
        <v>BlockMate</v>
      </c>
    </row>
    <row r="1860" spans="1:3" x14ac:dyDescent="0.25">
      <c r="A1860" s="2" t="str">
        <f ca="1">IFERROR(__xludf.DUMMYFUNCTION("""COMPUTED_VALUE"""),"blocknet")</f>
        <v>blocknet</v>
      </c>
      <c r="B1860" s="2" t="str">
        <f ca="1">IFERROR(__xludf.DUMMYFUNCTION("""COMPUTED_VALUE"""),"block")</f>
        <v>block</v>
      </c>
      <c r="C1860" s="2" t="str">
        <f ca="1">IFERROR(__xludf.DUMMYFUNCTION("""COMPUTED_VALUE"""),"Blocknet")</f>
        <v>Blocknet</v>
      </c>
    </row>
    <row r="1861" spans="1:3" x14ac:dyDescent="0.25">
      <c r="A1861" s="2" t="str">
        <f ca="1">IFERROR(__xludf.DUMMYFUNCTION("""COMPUTED_VALUE"""),"blockrock")</f>
        <v>blockrock</v>
      </c>
      <c r="B1861" s="2" t="str">
        <f ca="1">IFERROR(__xludf.DUMMYFUNCTION("""COMPUTED_VALUE"""),"bro$")</f>
        <v>bro$</v>
      </c>
      <c r="C1861" s="2" t="str">
        <f ca="1">IFERROR(__xludf.DUMMYFUNCTION("""COMPUTED_VALUE"""),"BlockRock")</f>
        <v>BlockRock</v>
      </c>
    </row>
    <row r="1862" spans="1:3" x14ac:dyDescent="0.25">
      <c r="A1862" s="2" t="str">
        <f ca="1">IFERROR(__xludf.DUMMYFUNCTION("""COMPUTED_VALUE"""),"blocks")</f>
        <v>blocks</v>
      </c>
      <c r="B1862" s="2" t="str">
        <f ca="1">IFERROR(__xludf.DUMMYFUNCTION("""COMPUTED_VALUE"""),"blocks")</f>
        <v>blocks</v>
      </c>
      <c r="C1862" s="2" t="str">
        <f ca="1">IFERROR(__xludf.DUMMYFUNCTION("""COMPUTED_VALUE"""),"BLOCKS")</f>
        <v>BLOCKS</v>
      </c>
    </row>
    <row r="1863" spans="1:3" x14ac:dyDescent="0.25">
      <c r="A1863" s="2" t="str">
        <f ca="1">IFERROR(__xludf.DUMMYFUNCTION("""COMPUTED_VALUE"""),"blocksmith-labs-forge")</f>
        <v>blocksmith-labs-forge</v>
      </c>
      <c r="B1863" s="2" t="str">
        <f ca="1">IFERROR(__xludf.DUMMYFUNCTION("""COMPUTED_VALUE"""),"$forge")</f>
        <v>$forge</v>
      </c>
      <c r="C1863" s="2" t="str">
        <f ca="1">IFERROR(__xludf.DUMMYFUNCTION("""COMPUTED_VALUE"""),"$FORGE")</f>
        <v>$FORGE</v>
      </c>
    </row>
    <row r="1864" spans="1:3" x14ac:dyDescent="0.25">
      <c r="A1864" s="2" t="str">
        <f ca="1">IFERROR(__xludf.DUMMYFUNCTION("""COMPUTED_VALUE"""),"blocksport")</f>
        <v>blocksport</v>
      </c>
      <c r="B1864" s="2" t="str">
        <f ca="1">IFERROR(__xludf.DUMMYFUNCTION("""COMPUTED_VALUE"""),"bspt")</f>
        <v>bspt</v>
      </c>
      <c r="C1864" s="2" t="str">
        <f ca="1">IFERROR(__xludf.DUMMYFUNCTION("""COMPUTED_VALUE"""),"Blocksport")</f>
        <v>Blocksport</v>
      </c>
    </row>
    <row r="1865" spans="1:3" x14ac:dyDescent="0.25">
      <c r="A1865" s="2" t="str">
        <f ca="1">IFERROR(__xludf.DUMMYFUNCTION("""COMPUTED_VALUE"""),"blocksquare")</f>
        <v>blocksquare</v>
      </c>
      <c r="B1865" s="2" t="str">
        <f ca="1">IFERROR(__xludf.DUMMYFUNCTION("""COMPUTED_VALUE"""),"bst")</f>
        <v>bst</v>
      </c>
      <c r="C1865" s="2" t="str">
        <f ca="1">IFERROR(__xludf.DUMMYFUNCTION("""COMPUTED_VALUE"""),"Blocksquare")</f>
        <v>Blocksquare</v>
      </c>
    </row>
    <row r="1866" spans="1:3" x14ac:dyDescent="0.25">
      <c r="A1866" s="2" t="str">
        <f ca="1">IFERROR(__xludf.DUMMYFUNCTION("""COMPUTED_VALUE"""),"blockstack")</f>
        <v>blockstack</v>
      </c>
      <c r="B1866" s="2" t="str">
        <f ca="1">IFERROR(__xludf.DUMMYFUNCTION("""COMPUTED_VALUE"""),"stx")</f>
        <v>stx</v>
      </c>
      <c r="C1866" s="2" t="str">
        <f ca="1">IFERROR(__xludf.DUMMYFUNCTION("""COMPUTED_VALUE"""),"Stacks")</f>
        <v>Stacks</v>
      </c>
    </row>
    <row r="1867" spans="1:3" x14ac:dyDescent="0.25">
      <c r="A1867" s="2" t="str">
        <f ca="1">IFERROR(__xludf.DUMMYFUNCTION("""COMPUTED_VALUE"""),"blocktools")</f>
        <v>blocktools</v>
      </c>
      <c r="B1867" s="2" t="str">
        <f ca="1">IFERROR(__xludf.DUMMYFUNCTION("""COMPUTED_VALUE"""),"tools")</f>
        <v>tools</v>
      </c>
      <c r="C1867" s="2" t="str">
        <f ca="1">IFERROR(__xludf.DUMMYFUNCTION("""COMPUTED_VALUE"""),"Blocktools")</f>
        <v>Blocktools</v>
      </c>
    </row>
    <row r="1868" spans="1:3" x14ac:dyDescent="0.25">
      <c r="A1868" s="2" t="str">
        <f ca="1">IFERROR(__xludf.DUMMYFUNCTION("""COMPUTED_VALUE"""),"blockv")</f>
        <v>blockv</v>
      </c>
      <c r="B1868" s="2" t="str">
        <f ca="1">IFERROR(__xludf.DUMMYFUNCTION("""COMPUTED_VALUE"""),"vee")</f>
        <v>vee</v>
      </c>
      <c r="C1868" s="2" t="str">
        <f ca="1">IFERROR(__xludf.DUMMYFUNCTION("""COMPUTED_VALUE"""),"BLOCKv")</f>
        <v>BLOCKv</v>
      </c>
    </row>
    <row r="1869" spans="1:3" x14ac:dyDescent="0.25">
      <c r="A1869" s="2" t="str">
        <f ca="1">IFERROR(__xludf.DUMMYFUNCTION("""COMPUTED_VALUE"""),"blockx")</f>
        <v>blockx</v>
      </c>
      <c r="B1869" s="2" t="str">
        <f ca="1">IFERROR(__xludf.DUMMYFUNCTION("""COMPUTED_VALUE"""),"bcx")</f>
        <v>bcx</v>
      </c>
      <c r="C1869" s="2" t="str">
        <f ca="1">IFERROR(__xludf.DUMMYFUNCTION("""COMPUTED_VALUE"""),"BlockX")</f>
        <v>BlockX</v>
      </c>
    </row>
    <row r="1870" spans="1:3" x14ac:dyDescent="0.25">
      <c r="A1870" s="2" t="str">
        <f ca="1">IFERROR(__xludf.DUMMYFUNCTION("""COMPUTED_VALUE"""),"bloc-money")</f>
        <v>bloc-money</v>
      </c>
      <c r="B1870" s="2" t="str">
        <f ca="1">IFERROR(__xludf.DUMMYFUNCTION("""COMPUTED_VALUE"""),"bloc")</f>
        <v>bloc</v>
      </c>
      <c r="C1870" s="2" t="str">
        <f ca="1">IFERROR(__xludf.DUMMYFUNCTION("""COMPUTED_VALUE"""),"Bloc.Money")</f>
        <v>Bloc.Money</v>
      </c>
    </row>
    <row r="1871" spans="1:3" x14ac:dyDescent="0.25">
      <c r="A1871" s="2" t="str">
        <f ca="1">IFERROR(__xludf.DUMMYFUNCTION("""COMPUTED_VALUE"""),"blocsport-one")</f>
        <v>blocsport-one</v>
      </c>
      <c r="B1871" s="2" t="str">
        <f ca="1">IFERROR(__xludf.DUMMYFUNCTION("""COMPUTED_VALUE"""),"bls")</f>
        <v>bls</v>
      </c>
      <c r="C1871" s="2" t="str">
        <f ca="1">IFERROR(__xludf.DUMMYFUNCTION("""COMPUTED_VALUE"""),"Metacourt")</f>
        <v>Metacourt</v>
      </c>
    </row>
    <row r="1872" spans="1:3" x14ac:dyDescent="0.25">
      <c r="A1872" s="2" t="str">
        <f ca="1">IFERROR(__xludf.DUMMYFUNCTION("""COMPUTED_VALUE"""),"blocto-token")</f>
        <v>blocto-token</v>
      </c>
      <c r="B1872" s="2" t="str">
        <f ca="1">IFERROR(__xludf.DUMMYFUNCTION("""COMPUTED_VALUE"""),"blt")</f>
        <v>blt</v>
      </c>
      <c r="C1872" s="2" t="str">
        <f ca="1">IFERROR(__xludf.DUMMYFUNCTION("""COMPUTED_VALUE"""),"Blocto")</f>
        <v>Blocto</v>
      </c>
    </row>
    <row r="1873" spans="1:3" x14ac:dyDescent="0.25">
      <c r="A1873" s="2" t="str">
        <f ca="1">IFERROR(__xludf.DUMMYFUNCTION("""COMPUTED_VALUE"""),"blocx-2")</f>
        <v>blocx-2</v>
      </c>
      <c r="B1873" s="2" t="str">
        <f ca="1">IFERROR(__xludf.DUMMYFUNCTION("""COMPUTED_VALUE"""),"blocx")</f>
        <v>blocx</v>
      </c>
      <c r="C1873" s="2" t="str">
        <f ca="1">IFERROR(__xludf.DUMMYFUNCTION("""COMPUTED_VALUE"""),"BLOCX.")</f>
        <v>BLOCX.</v>
      </c>
    </row>
    <row r="1874" spans="1:3" x14ac:dyDescent="0.25">
      <c r="A1874" s="2" t="str">
        <f ca="1">IFERROR(__xludf.DUMMYFUNCTION("""COMPUTED_VALUE"""),"blokpad")</f>
        <v>blokpad</v>
      </c>
      <c r="B1874" s="2" t="str">
        <f ca="1">IFERROR(__xludf.DUMMYFUNCTION("""COMPUTED_VALUE"""),"bpad")</f>
        <v>bpad</v>
      </c>
      <c r="C1874" s="2" t="str">
        <f ca="1">IFERROR(__xludf.DUMMYFUNCTION("""COMPUTED_VALUE"""),"BlokPad")</f>
        <v>BlokPad</v>
      </c>
    </row>
    <row r="1875" spans="1:3" x14ac:dyDescent="0.25">
      <c r="A1875" s="2" t="str">
        <f ca="1">IFERROR(__xludf.DUMMYFUNCTION("""COMPUTED_VALUE"""),"bloktopia")</f>
        <v>bloktopia</v>
      </c>
      <c r="B1875" s="2" t="str">
        <f ca="1">IFERROR(__xludf.DUMMYFUNCTION("""COMPUTED_VALUE"""),"blok")</f>
        <v>blok</v>
      </c>
      <c r="C1875" s="2" t="str">
        <f ca="1">IFERROR(__xludf.DUMMYFUNCTION("""COMPUTED_VALUE"""),"Bloktopia")</f>
        <v>Bloktopia</v>
      </c>
    </row>
    <row r="1876" spans="1:3" x14ac:dyDescent="0.25">
      <c r="A1876" s="2" t="str">
        <f ca="1">IFERROR(__xludf.DUMMYFUNCTION("""COMPUTED_VALUE"""),"blombard")</f>
        <v>blombard</v>
      </c>
      <c r="B1876" s="2" t="str">
        <f ca="1">IFERROR(__xludf.DUMMYFUNCTION("""COMPUTED_VALUE"""),"blm")</f>
        <v>blm</v>
      </c>
      <c r="C1876" s="2" t="str">
        <f ca="1">IFERROR(__xludf.DUMMYFUNCTION("""COMPUTED_VALUE"""),"Blombard")</f>
        <v>Blombard</v>
      </c>
    </row>
    <row r="1877" spans="1:3" x14ac:dyDescent="0.25">
      <c r="A1877" s="2" t="str">
        <f ca="1">IFERROR(__xludf.DUMMYFUNCTION("""COMPUTED_VALUE"""),"blood-2")</f>
        <v>blood-2</v>
      </c>
      <c r="B1877" s="2" t="str">
        <f ca="1">IFERROR(__xludf.DUMMYFUNCTION("""COMPUTED_VALUE"""),"$blood")</f>
        <v>$blood</v>
      </c>
      <c r="C1877" s="2" t="str">
        <f ca="1">IFERROR(__xludf.DUMMYFUNCTION("""COMPUTED_VALUE"""),"BLOOD")</f>
        <v>BLOOD</v>
      </c>
    </row>
    <row r="1878" spans="1:3" x14ac:dyDescent="0.25">
      <c r="A1878" s="2" t="str">
        <f ca="1">IFERROR(__xludf.DUMMYFUNCTION("""COMPUTED_VALUE"""),"bloodboy")</f>
        <v>bloodboy</v>
      </c>
      <c r="B1878" s="2" t="str">
        <f ca="1">IFERROR(__xludf.DUMMYFUNCTION("""COMPUTED_VALUE"""),"blood")</f>
        <v>blood</v>
      </c>
      <c r="C1878" s="2" t="str">
        <f ca="1">IFERROR(__xludf.DUMMYFUNCTION("""COMPUTED_VALUE"""),"Bloodboy")</f>
        <v>Bloodboy</v>
      </c>
    </row>
    <row r="1879" spans="1:3" x14ac:dyDescent="0.25">
      <c r="A1879" s="2" t="str">
        <f ca="1">IFERROR(__xludf.DUMMYFUNCTION("""COMPUTED_VALUE"""),"blood-crystal")</f>
        <v>blood-crystal</v>
      </c>
      <c r="B1879" s="2" t="str">
        <f ca="1">IFERROR(__xludf.DUMMYFUNCTION("""COMPUTED_VALUE"""),"bc")</f>
        <v>bc</v>
      </c>
      <c r="C1879" s="2" t="str">
        <f ca="1">IFERROR(__xludf.DUMMYFUNCTION("""COMPUTED_VALUE"""),"Blood Crystal")</f>
        <v>Blood Crystal</v>
      </c>
    </row>
    <row r="1880" spans="1:3" x14ac:dyDescent="0.25">
      <c r="A1880" s="2" t="str">
        <f ca="1">IFERROR(__xludf.DUMMYFUNCTION("""COMPUTED_VALUE"""),"bloodloop")</f>
        <v>bloodloop</v>
      </c>
      <c r="B1880" s="2" t="str">
        <f ca="1">IFERROR(__xludf.DUMMYFUNCTION("""COMPUTED_VALUE"""),"$bls")</f>
        <v>$bls</v>
      </c>
      <c r="C1880" s="2" t="str">
        <f ca="1">IFERROR(__xludf.DUMMYFUNCTION("""COMPUTED_VALUE"""),"BloodLoop")</f>
        <v>BloodLoop</v>
      </c>
    </row>
    <row r="1881" spans="1:3" x14ac:dyDescent="0.25">
      <c r="A1881" s="2" t="str">
        <f ca="1">IFERROR(__xludf.DUMMYFUNCTION("""COMPUTED_VALUE"""),"bloombeans-bloom")</f>
        <v>bloombeans-bloom</v>
      </c>
      <c r="B1881" s="2" t="str">
        <f ca="1">IFERROR(__xludf.DUMMYFUNCTION("""COMPUTED_VALUE"""),"bloom")</f>
        <v>bloom</v>
      </c>
      <c r="C1881" s="2" t="str">
        <f ca="1">IFERROR(__xludf.DUMMYFUNCTION("""COMPUTED_VALUE"""),"BloomBeans BLOOM")</f>
        <v>BloomBeans BLOOM</v>
      </c>
    </row>
    <row r="1882" spans="1:3" x14ac:dyDescent="0.25">
      <c r="A1882" s="2" t="str">
        <f ca="1">IFERROR(__xludf.DUMMYFUNCTION("""COMPUTED_VALUE"""),"bloomer")</f>
        <v>bloomer</v>
      </c>
      <c r="B1882" s="2" t="str">
        <f ca="1">IFERROR(__xludf.DUMMYFUNCTION("""COMPUTED_VALUE"""),"bloom")</f>
        <v>bloom</v>
      </c>
      <c r="C1882" s="2" t="str">
        <f ca="1">IFERROR(__xludf.DUMMYFUNCTION("""COMPUTED_VALUE"""),"Bloomer")</f>
        <v>Bloomer</v>
      </c>
    </row>
    <row r="1883" spans="1:3" x14ac:dyDescent="0.25">
      <c r="A1883" s="2" t="str">
        <f ca="1">IFERROR(__xludf.DUMMYFUNCTION("""COMPUTED_VALUE"""),"blox")</f>
        <v>blox</v>
      </c>
      <c r="B1883" s="2" t="str">
        <f ca="1">IFERROR(__xludf.DUMMYFUNCTION("""COMPUTED_VALUE"""),"cdt")</f>
        <v>cdt</v>
      </c>
      <c r="C1883" s="2" t="str">
        <f ca="1">IFERROR(__xludf.DUMMYFUNCTION("""COMPUTED_VALUE"""),"Blox")</f>
        <v>Blox</v>
      </c>
    </row>
    <row r="1884" spans="1:3" x14ac:dyDescent="0.25">
      <c r="A1884" s="2" t="str">
        <f ca="1">IFERROR(__xludf.DUMMYFUNCTION("""COMPUTED_VALUE"""),"blox-2")</f>
        <v>blox-2</v>
      </c>
      <c r="B1884" s="2" t="str">
        <f ca="1">IFERROR(__xludf.DUMMYFUNCTION("""COMPUTED_VALUE"""),"blox")</f>
        <v>blox</v>
      </c>
      <c r="C1884" s="2" t="str">
        <f ca="1">IFERROR(__xludf.DUMMYFUNCTION("""COMPUTED_VALUE"""),"BLOX")</f>
        <v>BLOX</v>
      </c>
    </row>
    <row r="1885" spans="1:3" x14ac:dyDescent="0.25">
      <c r="A1885" s="2" t="str">
        <f ca="1">IFERROR(__xludf.DUMMYFUNCTION("""COMPUTED_VALUE"""),"bloxies-coin")</f>
        <v>bloxies-coin</v>
      </c>
      <c r="B1885" s="2" t="str">
        <f ca="1">IFERROR(__xludf.DUMMYFUNCTION("""COMPUTED_VALUE"""),"bxc")</f>
        <v>bxc</v>
      </c>
      <c r="C1885" s="2" t="str">
        <f ca="1">IFERROR(__xludf.DUMMYFUNCTION("""COMPUTED_VALUE"""),"BitcoinX")</f>
        <v>BitcoinX</v>
      </c>
    </row>
    <row r="1886" spans="1:3" x14ac:dyDescent="0.25">
      <c r="A1886" s="2" t="str">
        <f ca="1">IFERROR(__xludf.DUMMYFUNCTION("""COMPUTED_VALUE"""),"bloxmove-erc20")</f>
        <v>bloxmove-erc20</v>
      </c>
      <c r="B1886" s="2" t="str">
        <f ca="1">IFERROR(__xludf.DUMMYFUNCTION("""COMPUTED_VALUE"""),"blxm")</f>
        <v>blxm</v>
      </c>
      <c r="C1886" s="2" t="str">
        <f ca="1">IFERROR(__xludf.DUMMYFUNCTION("""COMPUTED_VALUE"""),"bloXmove")</f>
        <v>bloXmove</v>
      </c>
    </row>
    <row r="1887" spans="1:3" x14ac:dyDescent="0.25">
      <c r="A1887" s="2" t="str">
        <f ca="1">IFERROR(__xludf.DUMMYFUNCTION("""COMPUTED_VALUE"""),"blox-myrc")</f>
        <v>blox-myrc</v>
      </c>
      <c r="B1887" s="2" t="str">
        <f ca="1">IFERROR(__xludf.DUMMYFUNCTION("""COMPUTED_VALUE"""),"myrc")</f>
        <v>myrc</v>
      </c>
      <c r="C1887" s="2" t="str">
        <f ca="1">IFERROR(__xludf.DUMMYFUNCTION("""COMPUTED_VALUE"""),"Blox MYRC")</f>
        <v>Blox MYRC</v>
      </c>
    </row>
    <row r="1888" spans="1:3" x14ac:dyDescent="0.25">
      <c r="A1888" s="2" t="str">
        <f ca="1">IFERROR(__xludf.DUMMYFUNCTION("""COMPUTED_VALUE"""),"bloxsim")</f>
        <v>bloxsim</v>
      </c>
      <c r="B1888" s="2" t="str">
        <f ca="1">IFERROR(__xludf.DUMMYFUNCTION("""COMPUTED_VALUE"""),"bsim")</f>
        <v>bsim</v>
      </c>
      <c r="C1888" s="2" t="str">
        <f ca="1">IFERROR(__xludf.DUMMYFUNCTION("""COMPUTED_VALUE"""),"BloxSIM")</f>
        <v>BloxSIM</v>
      </c>
    </row>
    <row r="1889" spans="1:3" x14ac:dyDescent="0.25">
      <c r="A1889" s="2" t="str">
        <f ca="1">IFERROR(__xludf.DUMMYFUNCTION("""COMPUTED_VALUE"""),"blu")</f>
        <v>blu</v>
      </c>
      <c r="B1889" s="2" t="str">
        <f ca="1">IFERROR(__xludf.DUMMYFUNCTION("""COMPUTED_VALUE"""),"blu")</f>
        <v>blu</v>
      </c>
      <c r="C1889" s="2" t="str">
        <f ca="1">IFERROR(__xludf.DUMMYFUNCTION("""COMPUTED_VALUE"""),"BLU")</f>
        <v>BLU</v>
      </c>
    </row>
    <row r="1890" spans="1:3" x14ac:dyDescent="0.25">
      <c r="A1890" s="2" t="str">
        <f ca="1">IFERROR(__xludf.DUMMYFUNCTION("""COMPUTED_VALUE"""),"blub")</f>
        <v>blub</v>
      </c>
      <c r="B1890" s="2" t="str">
        <f ca="1">IFERROR(__xludf.DUMMYFUNCTION("""COMPUTED_VALUE"""),"blub")</f>
        <v>blub</v>
      </c>
      <c r="C1890" s="2" t="str">
        <f ca="1">IFERROR(__xludf.DUMMYFUNCTION("""COMPUTED_VALUE"""),"BLUB")</f>
        <v>BLUB</v>
      </c>
    </row>
    <row r="1891" spans="1:3" x14ac:dyDescent="0.25">
      <c r="A1891" s="2" t="str">
        <f ca="1">IFERROR(__xludf.DUMMYFUNCTION("""COMPUTED_VALUE"""),"blubi")</f>
        <v>blubi</v>
      </c>
      <c r="B1891" s="2" t="str">
        <f ca="1">IFERROR(__xludf.DUMMYFUNCTION("""COMPUTED_VALUE"""),"blubi")</f>
        <v>blubi</v>
      </c>
      <c r="C1891" s="2" t="str">
        <f ca="1">IFERROR(__xludf.DUMMYFUNCTION("""COMPUTED_VALUE"""),"Blubi")</f>
        <v>Blubi</v>
      </c>
    </row>
    <row r="1892" spans="1:3" x14ac:dyDescent="0.25">
      <c r="A1892" s="2" t="str">
        <f ca="1">IFERROR(__xludf.DUMMYFUNCTION("""COMPUTED_VALUE"""),"blubia")</f>
        <v>blubia</v>
      </c>
      <c r="B1892" s="2" t="str">
        <f ca="1">IFERROR(__xludf.DUMMYFUNCTION("""COMPUTED_VALUE"""),"blubia")</f>
        <v>blubia</v>
      </c>
      <c r="C1892" s="2" t="str">
        <f ca="1">IFERROR(__xludf.DUMMYFUNCTION("""COMPUTED_VALUE"""),"Blubia")</f>
        <v>Blubia</v>
      </c>
    </row>
    <row r="1893" spans="1:3" x14ac:dyDescent="0.25">
      <c r="A1893" s="2" t="str">
        <f ca="1">IFERROR(__xludf.DUMMYFUNCTION("""COMPUTED_VALUE"""),"blubird")</f>
        <v>blubird</v>
      </c>
      <c r="B1893" s="2" t="str">
        <f ca="1">IFERROR(__xludf.DUMMYFUNCTION("""COMPUTED_VALUE"""),"blu")</f>
        <v>blu</v>
      </c>
      <c r="C1893" s="2" t="str">
        <f ca="1">IFERROR(__xludf.DUMMYFUNCTION("""COMPUTED_VALUE"""),"Blubird")</f>
        <v>Blubird</v>
      </c>
    </row>
    <row r="1894" spans="1:3" x14ac:dyDescent="0.25">
      <c r="A1894" s="2" t="str">
        <f ca="1">IFERROR(__xludf.DUMMYFUNCTION("""COMPUTED_VALUE"""),"blueart")</f>
        <v>blueart</v>
      </c>
      <c r="B1894" s="2" t="str">
        <f ca="1">IFERROR(__xludf.DUMMYFUNCTION("""COMPUTED_VALUE"""),"bla")</f>
        <v>bla</v>
      </c>
      <c r="C1894" s="2" t="str">
        <f ca="1">IFERROR(__xludf.DUMMYFUNCTION("""COMPUTED_VALUE"""),"BLUEART TOKEN")</f>
        <v>BLUEART TOKEN</v>
      </c>
    </row>
    <row r="1895" spans="1:3" x14ac:dyDescent="0.25">
      <c r="A1895" s="2" t="str">
        <f ca="1">IFERROR(__xludf.DUMMYFUNCTION("""COMPUTED_VALUE"""),"bluebenx-2")</f>
        <v>bluebenx-2</v>
      </c>
      <c r="B1895" s="2" t="str">
        <f ca="1">IFERROR(__xludf.DUMMYFUNCTION("""COMPUTED_VALUE"""),"benx")</f>
        <v>benx</v>
      </c>
      <c r="C1895" s="2" t="str">
        <f ca="1">IFERROR(__xludf.DUMMYFUNCTION("""COMPUTED_VALUE"""),"BlueBenx")</f>
        <v>BlueBenx</v>
      </c>
    </row>
    <row r="1896" spans="1:3" x14ac:dyDescent="0.25">
      <c r="A1896" s="2" t="str">
        <f ca="1">IFERROR(__xludf.DUMMYFUNCTION("""COMPUTED_VALUE"""),"blueberry")</f>
        <v>blueberry</v>
      </c>
      <c r="B1896" s="2" t="str">
        <f ca="1">IFERROR(__xludf.DUMMYFUNCTION("""COMPUTED_VALUE"""),"blb")</f>
        <v>blb</v>
      </c>
      <c r="C1896" s="2" t="str">
        <f ca="1">IFERROR(__xludf.DUMMYFUNCTION("""COMPUTED_VALUE"""),"Blueberry")</f>
        <v>Blueberry</v>
      </c>
    </row>
    <row r="1897" spans="1:3" x14ac:dyDescent="0.25">
      <c r="A1897" s="2" t="str">
        <f ca="1">IFERROR(__xludf.DUMMYFUNCTION("""COMPUTED_VALUE"""),"blue-chip")</f>
        <v>blue-chip</v>
      </c>
      <c r="B1897" s="2" t="str">
        <f ca="1">IFERROR(__xludf.DUMMYFUNCTION("""COMPUTED_VALUE"""),"chip")</f>
        <v>chip</v>
      </c>
      <c r="C1897" s="2" t="str">
        <f ca="1">IFERROR(__xludf.DUMMYFUNCTION("""COMPUTED_VALUE"""),"Blue Chip")</f>
        <v>Blue Chip</v>
      </c>
    </row>
    <row r="1898" spans="1:3" x14ac:dyDescent="0.25">
      <c r="A1898" s="2" t="str">
        <f ca="1">IFERROR(__xludf.DUMMYFUNCTION("""COMPUTED_VALUE"""),"bluecore")</f>
        <v>bluecore</v>
      </c>
      <c r="B1898" s="2" t="str">
        <f ca="1">IFERROR(__xludf.DUMMYFUNCTION("""COMPUTED_VALUE"""),"bcor")</f>
        <v>bcor</v>
      </c>
      <c r="C1898" s="2" t="str">
        <f ca="1">IFERROR(__xludf.DUMMYFUNCTION("""COMPUTED_VALUE"""),"BlueCore")</f>
        <v>BlueCore</v>
      </c>
    </row>
    <row r="1899" spans="1:3" x14ac:dyDescent="0.25">
      <c r="A1899" s="2" t="str">
        <f ca="1">IFERROR(__xludf.DUMMYFUNCTION("""COMPUTED_VALUE"""),"bluefin")</f>
        <v>bluefin</v>
      </c>
      <c r="B1899" s="2" t="str">
        <f ca="1">IFERROR(__xludf.DUMMYFUNCTION("""COMPUTED_VALUE"""),"blue")</f>
        <v>blue</v>
      </c>
      <c r="C1899" s="2" t="str">
        <f ca="1">IFERROR(__xludf.DUMMYFUNCTION("""COMPUTED_VALUE"""),"Bluefin")</f>
        <v>Bluefin</v>
      </c>
    </row>
    <row r="1900" spans="1:3" x14ac:dyDescent="0.25">
      <c r="A1900" s="2" t="str">
        <f ca="1">IFERROR(__xludf.DUMMYFUNCTION("""COMPUTED_VALUE"""),"bluefloki")</f>
        <v>bluefloki</v>
      </c>
      <c r="B1900" s="2" t="str">
        <f ca="1">IFERROR(__xludf.DUMMYFUNCTION("""COMPUTED_VALUE"""),"bluefloki")</f>
        <v>bluefloki</v>
      </c>
      <c r="C1900" s="2" t="str">
        <f ca="1">IFERROR(__xludf.DUMMYFUNCTION("""COMPUTED_VALUE"""),"BlueFloki")</f>
        <v>BlueFloki</v>
      </c>
    </row>
    <row r="1901" spans="1:3" x14ac:dyDescent="0.25">
      <c r="A1901" s="2" t="str">
        <f ca="1">IFERROR(__xludf.DUMMYFUNCTION("""COMPUTED_VALUE"""),"blue-footed-booby")</f>
        <v>blue-footed-booby</v>
      </c>
      <c r="B1901" s="2" t="str">
        <f ca="1">IFERROR(__xludf.DUMMYFUNCTION("""COMPUTED_VALUE"""),"booby")</f>
        <v>booby</v>
      </c>
      <c r="C1901" s="2" t="str">
        <f ca="1">IFERROR(__xludf.DUMMYFUNCTION("""COMPUTED_VALUE"""),"Blue-Footed Booby")</f>
        <v>Blue-Footed Booby</v>
      </c>
    </row>
    <row r="1902" spans="1:3" x14ac:dyDescent="0.25">
      <c r="A1902" s="2" t="str">
        <f ca="1">IFERROR(__xludf.DUMMYFUNCTION("""COMPUTED_VALUE"""),"blue-frog")</f>
        <v>blue-frog</v>
      </c>
      <c r="B1902" s="2" t="str">
        <f ca="1">IFERROR(__xludf.DUMMYFUNCTION("""COMPUTED_VALUE"""),"bluefrog")</f>
        <v>bluefrog</v>
      </c>
      <c r="C1902" s="2" t="str">
        <f ca="1">IFERROR(__xludf.DUMMYFUNCTION("""COMPUTED_VALUE"""),"Blue Frog")</f>
        <v>Blue Frog</v>
      </c>
    </row>
    <row r="1903" spans="1:3" x14ac:dyDescent="0.25">
      <c r="A1903" s="2" t="str">
        <f ca="1">IFERROR(__xludf.DUMMYFUNCTION("""COMPUTED_VALUE"""),"blue-guy")</f>
        <v>blue-guy</v>
      </c>
      <c r="B1903" s="2" t="str">
        <f ca="1">IFERROR(__xludf.DUMMYFUNCTION("""COMPUTED_VALUE"""),"blue")</f>
        <v>blue</v>
      </c>
      <c r="C1903" s="2" t="str">
        <f ca="1">IFERROR(__xludf.DUMMYFUNCTION("""COMPUTED_VALUE"""),"Blue Guy")</f>
        <v>Blue Guy</v>
      </c>
    </row>
    <row r="1904" spans="1:3" x14ac:dyDescent="0.25">
      <c r="A1904" s="2" t="str">
        <f ca="1">IFERROR(__xludf.DUMMYFUNCTION("""COMPUTED_VALUE"""),"blue-inbetweeners")</f>
        <v>blue-inbetweeners</v>
      </c>
      <c r="B1904" s="2" t="str">
        <f ca="1">IFERROR(__xludf.DUMMYFUNCTION("""COMPUTED_VALUE"""),"blue")</f>
        <v>blue</v>
      </c>
      <c r="C1904" s="2" t="str">
        <f ca="1">IFERROR(__xludf.DUMMYFUNCTION("""COMPUTED_VALUE"""),"Blue")</f>
        <v>Blue</v>
      </c>
    </row>
    <row r="1905" spans="1:3" x14ac:dyDescent="0.25">
      <c r="A1905" s="2" t="str">
        <f ca="1">IFERROR(__xludf.DUMMYFUNCTION("""COMPUTED_VALUE"""),"blue-kirby")</f>
        <v>blue-kirby</v>
      </c>
      <c r="B1905" s="2" t="str">
        <f ca="1">IFERROR(__xludf.DUMMYFUNCTION("""COMPUTED_VALUE"""),"kirby")</f>
        <v>kirby</v>
      </c>
      <c r="C1905" s="2" t="str">
        <f ca="1">IFERROR(__xludf.DUMMYFUNCTION("""COMPUTED_VALUE"""),"Blue Kirby")</f>
        <v>Blue Kirby</v>
      </c>
    </row>
    <row r="1906" spans="1:3" x14ac:dyDescent="0.25">
      <c r="A1906" s="2" t="str">
        <f ca="1">IFERROR(__xludf.DUMMYFUNCTION("""COMPUTED_VALUE"""),"bluelotusdao")</f>
        <v>bluelotusdao</v>
      </c>
      <c r="B1906" s="2" t="str">
        <f ca="1">IFERROR(__xludf.DUMMYFUNCTION("""COMPUTED_VALUE"""),"bldt")</f>
        <v>bldt</v>
      </c>
      <c r="C1906" s="2" t="str">
        <f ca="1">IFERROR(__xludf.DUMMYFUNCTION("""COMPUTED_VALUE"""),"BlueLotusDAO")</f>
        <v>BlueLotusDAO</v>
      </c>
    </row>
    <row r="1907" spans="1:3" x14ac:dyDescent="0.25">
      <c r="A1907" s="2" t="str">
        <f ca="1">IFERROR(__xludf.DUMMYFUNCTION("""COMPUTED_VALUE"""),"bluemove")</f>
        <v>bluemove</v>
      </c>
      <c r="B1907" s="2" t="str">
        <f ca="1">IFERROR(__xludf.DUMMYFUNCTION("""COMPUTED_VALUE"""),"move")</f>
        <v>move</v>
      </c>
      <c r="C1907" s="2" t="str">
        <f ca="1">IFERROR(__xludf.DUMMYFUNCTION("""COMPUTED_VALUE"""),"BlueMove")</f>
        <v>BlueMove</v>
      </c>
    </row>
    <row r="1908" spans="1:3" x14ac:dyDescent="0.25">
      <c r="A1908" s="2" t="str">
        <f ca="1">IFERROR(__xludf.DUMMYFUNCTION("""COMPUTED_VALUE"""),"blue-on-base")</f>
        <v>blue-on-base</v>
      </c>
      <c r="B1908" s="2" t="str">
        <f ca="1">IFERROR(__xludf.DUMMYFUNCTION("""COMPUTED_VALUE"""),"$blue")</f>
        <v>$blue</v>
      </c>
      <c r="C1908" s="2" t="str">
        <f ca="1">IFERROR(__xludf.DUMMYFUNCTION("""COMPUTED_VALUE"""),"blue on base")</f>
        <v>blue on base</v>
      </c>
    </row>
    <row r="1909" spans="1:3" x14ac:dyDescent="0.25">
      <c r="A1909" s="2" t="str">
        <f ca="1">IFERROR(__xludf.DUMMYFUNCTION("""COMPUTED_VALUE"""),"blueprint-oblue")</f>
        <v>blueprint-oblue</v>
      </c>
      <c r="B1909" s="2" t="str">
        <f ca="1">IFERROR(__xludf.DUMMYFUNCTION("""COMPUTED_VALUE"""),"oblue")</f>
        <v>oblue</v>
      </c>
      <c r="C1909" s="2" t="str">
        <f ca="1">IFERROR(__xludf.DUMMYFUNCTION("""COMPUTED_VALUE"""),"Blueprint oBLUE")</f>
        <v>Blueprint oBLUE</v>
      </c>
    </row>
    <row r="1910" spans="1:3" x14ac:dyDescent="0.25">
      <c r="A1910" s="2" t="str">
        <f ca="1">IFERROR(__xludf.DUMMYFUNCTION("""COMPUTED_VALUE"""),"bluesale")</f>
        <v>bluesale</v>
      </c>
      <c r="B1910" s="2" t="str">
        <f ca="1">IFERROR(__xludf.DUMMYFUNCTION("""COMPUTED_VALUE"""),"bls")</f>
        <v>bls</v>
      </c>
      <c r="C1910" s="2" t="str">
        <f ca="1">IFERROR(__xludf.DUMMYFUNCTION("""COMPUTED_VALUE"""),"BlueSale")</f>
        <v>BlueSale</v>
      </c>
    </row>
    <row r="1911" spans="1:3" x14ac:dyDescent="0.25">
      <c r="A1911" s="2" t="str">
        <f ca="1">IFERROR(__xludf.DUMMYFUNCTION("""COMPUTED_VALUE"""),"blueshift")</f>
        <v>blueshift</v>
      </c>
      <c r="B1911" s="2" t="str">
        <f ca="1">IFERROR(__xludf.DUMMYFUNCTION("""COMPUTED_VALUE"""),"blues")</f>
        <v>blues</v>
      </c>
      <c r="C1911" s="2" t="str">
        <f ca="1">IFERROR(__xludf.DUMMYFUNCTION("""COMPUTED_VALUE"""),"Blueshift")</f>
        <v>Blueshift</v>
      </c>
    </row>
    <row r="1912" spans="1:3" x14ac:dyDescent="0.25">
      <c r="A1912" s="2" t="str">
        <f ca="1">IFERROR(__xludf.DUMMYFUNCTION("""COMPUTED_VALUE"""),"bluesparrow")</f>
        <v>bluesparrow</v>
      </c>
      <c r="B1912" s="2" t="str">
        <f ca="1">IFERROR(__xludf.DUMMYFUNCTION("""COMPUTED_VALUE"""),"bluesparrow")</f>
        <v>bluesparrow</v>
      </c>
      <c r="C1912" s="2" t="str">
        <f ca="1">IFERROR(__xludf.DUMMYFUNCTION("""COMPUTED_VALUE"""),"BlueSparrow")</f>
        <v>BlueSparrow</v>
      </c>
    </row>
    <row r="1913" spans="1:3" x14ac:dyDescent="0.25">
      <c r="A1913" s="2" t="str">
        <f ca="1">IFERROR(__xludf.DUMMYFUNCTION("""COMPUTED_VALUE"""),"bluesparrow-token")</f>
        <v>bluesparrow-token</v>
      </c>
      <c r="B1913" s="2" t="str">
        <f ca="1">IFERROR(__xludf.DUMMYFUNCTION("""COMPUTED_VALUE"""),"bluesparrow")</f>
        <v>bluesparrow</v>
      </c>
      <c r="C1913" s="2" t="str">
        <f ca="1">IFERROR(__xludf.DUMMYFUNCTION("""COMPUTED_VALUE"""),"BlueSparrow [OLD]")</f>
        <v>BlueSparrow [OLD]</v>
      </c>
    </row>
    <row r="1914" spans="1:3" x14ac:dyDescent="0.25">
      <c r="A1914" s="2" t="str">
        <f ca="1">IFERROR(__xludf.DUMMYFUNCTION("""COMPUTED_VALUE"""),"blue-whale-2")</f>
        <v>blue-whale-2</v>
      </c>
      <c r="B1914" s="2" t="str">
        <f ca="1">IFERROR(__xludf.DUMMYFUNCTION("""COMPUTED_VALUE"""),"whale")</f>
        <v>whale</v>
      </c>
      <c r="C1914" s="2" t="str">
        <f ca="1">IFERROR(__xludf.DUMMYFUNCTION("""COMPUTED_VALUE"""),"Blue Whale")</f>
        <v>Blue Whale</v>
      </c>
    </row>
    <row r="1915" spans="1:3" x14ac:dyDescent="0.25">
      <c r="A1915" s="2" t="str">
        <f ca="1">IFERROR(__xludf.DUMMYFUNCTION("""COMPUTED_VALUE"""),"blunny")</f>
        <v>blunny</v>
      </c>
      <c r="B1915" s="2" t="str">
        <f ca="1">IFERROR(__xludf.DUMMYFUNCTION("""COMPUTED_VALUE"""),"blunny")</f>
        <v>blunny</v>
      </c>
      <c r="C1915" s="2" t="str">
        <f ca="1">IFERROR(__xludf.DUMMYFUNCTION("""COMPUTED_VALUE"""),"Blunny")</f>
        <v>Blunny</v>
      </c>
    </row>
    <row r="1916" spans="1:3" x14ac:dyDescent="0.25">
      <c r="A1916" s="2" t="str">
        <f ca="1">IFERROR(__xludf.DUMMYFUNCTION("""COMPUTED_VALUE"""),"blur")</f>
        <v>blur</v>
      </c>
      <c r="B1916" s="2" t="str">
        <f ca="1">IFERROR(__xludf.DUMMYFUNCTION("""COMPUTED_VALUE"""),"blur")</f>
        <v>blur</v>
      </c>
      <c r="C1916" s="2" t="str">
        <f ca="1">IFERROR(__xludf.DUMMYFUNCTION("""COMPUTED_VALUE"""),"Blur")</f>
        <v>Blur</v>
      </c>
    </row>
    <row r="1917" spans="1:3" x14ac:dyDescent="0.25">
      <c r="A1917" s="2" t="str">
        <f ca="1">IFERROR(__xludf.DUMMYFUNCTION("""COMPUTED_VALUE"""),"blurt")</f>
        <v>blurt</v>
      </c>
      <c r="B1917" s="2" t="str">
        <f ca="1">IFERROR(__xludf.DUMMYFUNCTION("""COMPUTED_VALUE"""),"blurt")</f>
        <v>blurt</v>
      </c>
      <c r="C1917" s="2" t="str">
        <f ca="1">IFERROR(__xludf.DUMMYFUNCTION("""COMPUTED_VALUE"""),"Blurt")</f>
        <v>Blurt</v>
      </c>
    </row>
    <row r="1918" spans="1:3" x14ac:dyDescent="0.25">
      <c r="A1918" s="2" t="str">
        <f ca="1">IFERROR(__xludf.DUMMYFUNCTION("""COMPUTED_VALUE"""),"bluzelle")</f>
        <v>bluzelle</v>
      </c>
      <c r="B1918" s="2" t="str">
        <f ca="1">IFERROR(__xludf.DUMMYFUNCTION("""COMPUTED_VALUE"""),"blz")</f>
        <v>blz</v>
      </c>
      <c r="C1918" s="2" t="str">
        <f ca="1">IFERROR(__xludf.DUMMYFUNCTION("""COMPUTED_VALUE"""),"Bluzelle")</f>
        <v>Bluzelle</v>
      </c>
    </row>
    <row r="1919" spans="1:3" x14ac:dyDescent="0.25">
      <c r="A1919" s="2" t="str">
        <f ca="1">IFERROR(__xludf.DUMMYFUNCTION("""COMPUTED_VALUE"""),"blwise")</f>
        <v>blwise</v>
      </c>
      <c r="B1919" s="2" t="str">
        <f ca="1">IFERROR(__xludf.DUMMYFUNCTION("""COMPUTED_VALUE"""),"bw")</f>
        <v>bw</v>
      </c>
      <c r="C1919" s="2" t="str">
        <f ca="1">IFERROR(__xludf.DUMMYFUNCTION("""COMPUTED_VALUE"""),"BLWise")</f>
        <v>BLWise</v>
      </c>
    </row>
    <row r="1920" spans="1:3" x14ac:dyDescent="0.25">
      <c r="A1920" s="2" t="str">
        <f ca="1">IFERROR(__xludf.DUMMYFUNCTION("""COMPUTED_VALUE"""),"bm2k")</f>
        <v>bm2k</v>
      </c>
      <c r="B1920" s="2" t="str">
        <f ca="1">IFERROR(__xludf.DUMMYFUNCTION("""COMPUTED_VALUE"""),"bm2k")</f>
        <v>bm2k</v>
      </c>
      <c r="C1920" s="2" t="str">
        <f ca="1">IFERROR(__xludf.DUMMYFUNCTION("""COMPUTED_VALUE"""),"bm2k")</f>
        <v>bm2k</v>
      </c>
    </row>
    <row r="1921" spans="1:3" x14ac:dyDescent="0.25">
      <c r="A1921" s="2" t="str">
        <f ca="1">IFERROR(__xludf.DUMMYFUNCTION("""COMPUTED_VALUE"""),"bmax")</f>
        <v>bmax</v>
      </c>
      <c r="B1921" s="2" t="str">
        <f ca="1">IFERROR(__xludf.DUMMYFUNCTION("""COMPUTED_VALUE"""),"bmax")</f>
        <v>bmax</v>
      </c>
      <c r="C1921" s="2" t="str">
        <f ca="1">IFERROR(__xludf.DUMMYFUNCTION("""COMPUTED_VALUE"""),"BMAX")</f>
        <v>BMAX</v>
      </c>
    </row>
    <row r="1922" spans="1:3" x14ac:dyDescent="0.25">
      <c r="A1922" s="2" t="str">
        <f ca="1">IFERROR(__xludf.DUMMYFUNCTION("""COMPUTED_VALUE"""),"bmchain-token")</f>
        <v>bmchain-token</v>
      </c>
      <c r="B1922" s="2" t="str">
        <f ca="1">IFERROR(__xludf.DUMMYFUNCTION("""COMPUTED_VALUE"""),"bmt")</f>
        <v>bmt</v>
      </c>
      <c r="C1922" s="2" t="str">
        <f ca="1">IFERROR(__xludf.DUMMYFUNCTION("""COMPUTED_VALUE"""),"BMCHAIN")</f>
        <v>BMCHAIN</v>
      </c>
    </row>
    <row r="1923" spans="1:3" x14ac:dyDescent="0.25">
      <c r="A1923" s="2" t="str">
        <f ca="1">IFERROR(__xludf.DUMMYFUNCTION("""COMPUTED_VALUE"""),"b-money")</f>
        <v>b-money</v>
      </c>
      <c r="B1923" s="2" t="str">
        <f ca="1">IFERROR(__xludf.DUMMYFUNCTION("""COMPUTED_VALUE"""),"bmoney")</f>
        <v>bmoney</v>
      </c>
      <c r="C1923" s="2" t="str">
        <f ca="1">IFERROR(__xludf.DUMMYFUNCTION("""COMPUTED_VALUE"""),"B-MONEY")</f>
        <v>B-MONEY</v>
      </c>
    </row>
    <row r="1924" spans="1:3" x14ac:dyDescent="0.25">
      <c r="A1924" s="2" t="str">
        <f ca="1">IFERROR(__xludf.DUMMYFUNCTION("""COMPUTED_VALUE"""),"bmp")</f>
        <v>bmp</v>
      </c>
      <c r="B1924" s="2" t="str">
        <f ca="1">IFERROR(__xludf.DUMMYFUNCTION("""COMPUTED_VALUE"""),"$bmp")</f>
        <v>$bmp</v>
      </c>
      <c r="C1924" s="2" t="str">
        <f ca="1">IFERROR(__xludf.DUMMYFUNCTION("""COMPUTED_VALUE"""),"BMP")</f>
        <v>BMP</v>
      </c>
    </row>
    <row r="1925" spans="1:3" x14ac:dyDescent="0.25">
      <c r="A1925" s="2" t="str">
        <f ca="1">IFERROR(__xludf.DUMMYFUNCTION("""COMPUTED_VALUE"""),"bmx")</f>
        <v>bmx</v>
      </c>
      <c r="B1925" s="2" t="str">
        <f ca="1">IFERROR(__xludf.DUMMYFUNCTION("""COMPUTED_VALUE"""),"bmx")</f>
        <v>bmx</v>
      </c>
      <c r="C1925" s="2" t="str">
        <f ca="1">IFERROR(__xludf.DUMMYFUNCTION("""COMPUTED_VALUE"""),"BMX")</f>
        <v>BMX</v>
      </c>
    </row>
    <row r="1926" spans="1:3" x14ac:dyDescent="0.25">
      <c r="A1926" s="2" t="str">
        <f ca="1">IFERROR(__xludf.DUMMYFUNCTION("""COMPUTED_VALUE"""),"bmx-wrapped-mode-liquidity-token")</f>
        <v>bmx-wrapped-mode-liquidity-token</v>
      </c>
      <c r="B1926" s="2" t="str">
        <f ca="1">IFERROR(__xludf.DUMMYFUNCTION("""COMPUTED_VALUE"""),"wmlt")</f>
        <v>wmlt</v>
      </c>
      <c r="C1926" s="2" t="str">
        <f ca="1">IFERROR(__xludf.DUMMYFUNCTION("""COMPUTED_VALUE"""),"BMX: Wrapped Mode Liquidity Token")</f>
        <v>BMX: Wrapped Mode Liquidity Token</v>
      </c>
    </row>
    <row r="1927" spans="1:3" x14ac:dyDescent="0.25">
      <c r="A1927" s="2" t="str">
        <f ca="1">IFERROR(__xludf.DUMMYFUNCTION("""COMPUTED_VALUE"""),"bnacoin")</f>
        <v>bnacoin</v>
      </c>
      <c r="B1927" s="2" t="str">
        <f ca="1">IFERROR(__xludf.DUMMYFUNCTION("""COMPUTED_VALUE"""),"bna")</f>
        <v>bna</v>
      </c>
      <c r="C1927" s="2" t="str">
        <f ca="1">IFERROR(__xludf.DUMMYFUNCTION("""COMPUTED_VALUE"""),"Bnacoin")</f>
        <v>Bnacoin</v>
      </c>
    </row>
    <row r="1928" spans="1:3" x14ac:dyDescent="0.25">
      <c r="A1928" s="2" t="str">
        <f ca="1">IFERROR(__xludf.DUMMYFUNCTION("""COMPUTED_VALUE"""),"bnb48-club-token")</f>
        <v>bnb48-club-token</v>
      </c>
      <c r="B1928" s="2" t="str">
        <f ca="1">IFERROR(__xludf.DUMMYFUNCTION("""COMPUTED_VALUE"""),"koge")</f>
        <v>koge</v>
      </c>
      <c r="C1928" s="2" t="str">
        <f ca="1">IFERROR(__xludf.DUMMYFUNCTION("""COMPUTED_VALUE"""),"KOGE")</f>
        <v>KOGE</v>
      </c>
    </row>
    <row r="1929" spans="1:3" x14ac:dyDescent="0.25">
      <c r="A1929" s="2" t="str">
        <f ca="1">IFERROR(__xludf.DUMMYFUNCTION("""COMPUTED_VALUE"""),"bnb-bank")</f>
        <v>bnb-bank</v>
      </c>
      <c r="B1929" s="2" t="str">
        <f ca="1">IFERROR(__xludf.DUMMYFUNCTION("""COMPUTED_VALUE"""),"bbk")</f>
        <v>bbk</v>
      </c>
      <c r="C1929" s="2" t="str">
        <f ca="1">IFERROR(__xludf.DUMMYFUNCTION("""COMPUTED_VALUE"""),"BNB Bank")</f>
        <v>BNB Bank</v>
      </c>
    </row>
    <row r="1930" spans="1:3" x14ac:dyDescent="0.25">
      <c r="A1930" s="2" t="str">
        <f ca="1">IFERROR(__xludf.DUMMYFUNCTION("""COMPUTED_VALUE"""),"bnb-cat")</f>
        <v>bnb-cat</v>
      </c>
      <c r="B1930" s="2" t="str">
        <f ca="1">IFERROR(__xludf.DUMMYFUNCTION("""COMPUTED_VALUE"""),"poseidon")</f>
        <v>poseidon</v>
      </c>
      <c r="C1930" s="2" t="str">
        <f ca="1">IFERROR(__xludf.DUMMYFUNCTION("""COMPUTED_VALUE"""),"Binance Cat")</f>
        <v>Binance Cat</v>
      </c>
    </row>
    <row r="1931" spans="1:3" x14ac:dyDescent="0.25">
      <c r="A1931" s="2" t="str">
        <f ca="1">IFERROR(__xludf.DUMMYFUNCTION("""COMPUTED_VALUE"""),"bnb-diamond")</f>
        <v>bnb-diamond</v>
      </c>
      <c r="B1931" s="2" t="str">
        <f ca="1">IFERROR(__xludf.DUMMYFUNCTION("""COMPUTED_VALUE"""),"bnbd")</f>
        <v>bnbd</v>
      </c>
      <c r="C1931" s="2" t="str">
        <f ca="1">IFERROR(__xludf.DUMMYFUNCTION("""COMPUTED_VALUE"""),"BNB Diamond")</f>
        <v>BNB Diamond</v>
      </c>
    </row>
    <row r="1932" spans="1:3" x14ac:dyDescent="0.25">
      <c r="A1932" s="2" t="str">
        <f ca="1">IFERROR(__xludf.DUMMYFUNCTION("""COMPUTED_VALUE"""),"bnbee")</f>
        <v>bnbee</v>
      </c>
      <c r="B1932" s="2" t="str">
        <f ca="1">IFERROR(__xludf.DUMMYFUNCTION("""COMPUTED_VALUE"""),"bee")</f>
        <v>bee</v>
      </c>
      <c r="C1932" s="2" t="str">
        <f ca="1">IFERROR(__xludf.DUMMYFUNCTION("""COMPUTED_VALUE"""),"BNBEE")</f>
        <v>BNBEE</v>
      </c>
    </row>
    <row r="1933" spans="1:3" x14ac:dyDescent="0.25">
      <c r="A1933" s="2" t="str">
        <f ca="1">IFERROR(__xludf.DUMMYFUNCTION("""COMPUTED_VALUE"""),"bnbking")</f>
        <v>bnbking</v>
      </c>
      <c r="B1933" s="2" t="str">
        <f ca="1">IFERROR(__xludf.DUMMYFUNCTION("""COMPUTED_VALUE"""),"bnbking")</f>
        <v>bnbking</v>
      </c>
      <c r="C1933" s="2" t="str">
        <f ca="1">IFERROR(__xludf.DUMMYFUNCTION("""COMPUTED_VALUE"""),"BNBKinG")</f>
        <v>BNBKinG</v>
      </c>
    </row>
    <row r="1934" spans="1:3" x14ac:dyDescent="0.25">
      <c r="A1934" s="2" t="str">
        <f ca="1">IFERROR(__xludf.DUMMYFUNCTION("""COMPUTED_VALUE"""),"bnb-pets")</f>
        <v>bnb-pets</v>
      </c>
      <c r="B1934" s="2" t="str">
        <f ca="1">IFERROR(__xludf.DUMMYFUNCTION("""COMPUTED_VALUE"""),"pets")</f>
        <v>pets</v>
      </c>
      <c r="C1934" s="2" t="str">
        <f ca="1">IFERROR(__xludf.DUMMYFUNCTION("""COMPUTED_VALUE"""),"BNB Pets")</f>
        <v>BNB Pets</v>
      </c>
    </row>
    <row r="1935" spans="1:3" x14ac:dyDescent="0.25">
      <c r="A1935" s="2" t="str">
        <f ca="1">IFERROR(__xludf.DUMMYFUNCTION("""COMPUTED_VALUE"""),"bnbtiger")</f>
        <v>bnbtiger</v>
      </c>
      <c r="B1935" s="2" t="str">
        <f ca="1">IFERROR(__xludf.DUMMYFUNCTION("""COMPUTED_VALUE"""),"bnbtiger")</f>
        <v>bnbtiger</v>
      </c>
      <c r="C1935" s="2" t="str">
        <f ca="1">IFERROR(__xludf.DUMMYFUNCTION("""COMPUTED_VALUE"""),"BNB Tiger Inu")</f>
        <v>BNB Tiger Inu</v>
      </c>
    </row>
    <row r="1936" spans="1:3" x14ac:dyDescent="0.25">
      <c r="A1936" s="2" t="str">
        <f ca="1">IFERROR(__xludf.DUMMYFUNCTION("""COMPUTED_VALUE"""),"bnb-tiger")</f>
        <v>bnb-tiger</v>
      </c>
      <c r="B1936" s="2" t="str">
        <f ca="1">IFERROR(__xludf.DUMMYFUNCTION("""COMPUTED_VALUE"""),"$bnbtiger")</f>
        <v>$bnbtiger</v>
      </c>
      <c r="C1936" s="2" t="str">
        <f ca="1">IFERROR(__xludf.DUMMYFUNCTION("""COMPUTED_VALUE"""),"BNB Tiger")</f>
        <v>BNB Tiger</v>
      </c>
    </row>
    <row r="1937" spans="1:3" x14ac:dyDescent="0.25">
      <c r="A1937" s="2" t="str">
        <f ca="1">IFERROR(__xludf.DUMMYFUNCTION("""COMPUTED_VALUE"""),"bnb-whales")</f>
        <v>bnb-whales</v>
      </c>
      <c r="B1937" s="2" t="str">
        <f ca="1">IFERROR(__xludf.DUMMYFUNCTION("""COMPUTED_VALUE"""),"bnb whales")</f>
        <v>bnb whales</v>
      </c>
      <c r="C1937" s="2" t="str">
        <f ca="1">IFERROR(__xludf.DUMMYFUNCTION("""COMPUTED_VALUE"""),"BNB Whales")</f>
        <v>BNB Whales</v>
      </c>
    </row>
    <row r="1938" spans="1:3" x14ac:dyDescent="0.25">
      <c r="A1938" s="2" t="str">
        <f ca="1">IFERROR(__xludf.DUMMYFUNCTION("""COMPUTED_VALUE"""),"bndr")</f>
        <v>bndr</v>
      </c>
      <c r="B1938" s="2" t="str">
        <f ca="1">IFERROR(__xludf.DUMMYFUNCTION("""COMPUTED_VALUE"""),"swipes")</f>
        <v>swipes</v>
      </c>
      <c r="C1938" s="2" t="str">
        <f ca="1">IFERROR(__xludf.DUMMYFUNCTION("""COMPUTED_VALUE"""),"Bndr")</f>
        <v>Bndr</v>
      </c>
    </row>
    <row r="1939" spans="1:3" x14ac:dyDescent="0.25">
      <c r="A1939" s="2" t="str">
        <f ca="1">IFERROR(__xludf.DUMMYFUNCTION("""COMPUTED_VALUE"""),"bndva-backed-nvidia")</f>
        <v>bndva-backed-nvidia</v>
      </c>
      <c r="B1939" s="2" t="str">
        <f ca="1">IFERROR(__xludf.DUMMYFUNCTION("""COMPUTED_VALUE"""),"bnvda")</f>
        <v>bnvda</v>
      </c>
      <c r="C1939" s="2" t="str">
        <f ca="1">IFERROR(__xludf.DUMMYFUNCTION("""COMPUTED_VALUE"""),"Backed NVIDIA")</f>
        <v>Backed NVIDIA</v>
      </c>
    </row>
    <row r="1940" spans="1:3" x14ac:dyDescent="0.25">
      <c r="A1940" s="2" t="str">
        <f ca="1">IFERROR(__xludf.DUMMYFUNCTION("""COMPUTED_VALUE"""),"bnext-b3x")</f>
        <v>bnext-b3x</v>
      </c>
      <c r="B1940" s="2" t="str">
        <f ca="1">IFERROR(__xludf.DUMMYFUNCTION("""COMPUTED_VALUE"""),"b3x")</f>
        <v>b3x</v>
      </c>
      <c r="C1940" s="2" t="str">
        <f ca="1">IFERROR(__xludf.DUMMYFUNCTION("""COMPUTED_VALUE"""),"Bnext B3X")</f>
        <v>Bnext B3X</v>
      </c>
    </row>
    <row r="1941" spans="1:3" x14ac:dyDescent="0.25">
      <c r="A1941" s="2" t="str">
        <f ca="1">IFERROR(__xludf.DUMMYFUNCTION("""COMPUTED_VALUE"""),"bnktothefuture")</f>
        <v>bnktothefuture</v>
      </c>
      <c r="B1941" s="2" t="str">
        <f ca="1">IFERROR(__xludf.DUMMYFUNCTION("""COMPUTED_VALUE"""),"bft")</f>
        <v>bft</v>
      </c>
      <c r="C1941" s="2" t="str">
        <f ca="1">IFERROR(__xludf.DUMMYFUNCTION("""COMPUTED_VALUE"""),"BnkToTheFuture")</f>
        <v>BnkToTheFuture</v>
      </c>
    </row>
    <row r="1942" spans="1:3" x14ac:dyDescent="0.25">
      <c r="A1942" s="2" t="str">
        <f ca="1">IFERROR(__xludf.DUMMYFUNCTION("""COMPUTED_VALUE"""),"bnsd-finance")</f>
        <v>bnsd-finance</v>
      </c>
      <c r="B1942" s="2" t="str">
        <f ca="1">IFERROR(__xludf.DUMMYFUNCTION("""COMPUTED_VALUE"""),"bnsd")</f>
        <v>bnsd</v>
      </c>
      <c r="C1942" s="2" t="str">
        <f ca="1">IFERROR(__xludf.DUMMYFUNCTION("""COMPUTED_VALUE"""),"BNSD Finance")</f>
        <v>BNSD Finance</v>
      </c>
    </row>
    <row r="1943" spans="1:3" x14ac:dyDescent="0.25">
      <c r="A1943" s="2" t="str">
        <f ca="1">IFERROR(__xludf.DUMMYFUNCTION("""COMPUTED_VALUE"""),"bns-token")</f>
        <v>bns-token</v>
      </c>
      <c r="B1943" s="2" t="str">
        <f ca="1">IFERROR(__xludf.DUMMYFUNCTION("""COMPUTED_VALUE"""),"bns")</f>
        <v>bns</v>
      </c>
      <c r="C1943" s="2" t="str">
        <f ca="1">IFERROR(__xludf.DUMMYFUNCTION("""COMPUTED_VALUE"""),"BNS")</f>
        <v>BNS</v>
      </c>
    </row>
    <row r="1944" spans="1:3" x14ac:dyDescent="0.25">
      <c r="A1944" s="2" t="str">
        <f ca="1">IFERROR(__xludf.DUMMYFUNCTION("""COMPUTED_VALUE"""),"bnv")</f>
        <v>bnv</v>
      </c>
      <c r="B1944" s="2" t="str">
        <f ca="1">IFERROR(__xludf.DUMMYFUNCTION("""COMPUTED_VALUE"""),"fa$h")</f>
        <v>fa$h</v>
      </c>
      <c r="C1944" s="2" t="str">
        <f ca="1">IFERROR(__xludf.DUMMYFUNCTION("""COMPUTED_VALUE"""),"BNV")</f>
        <v>BNV</v>
      </c>
    </row>
    <row r="1945" spans="1:3" x14ac:dyDescent="0.25">
      <c r="A1945" s="2" t="str">
        <f ca="1">IFERROR(__xludf.DUMMYFUNCTION("""COMPUTED_VALUE"""),"bob")</f>
        <v>bob</v>
      </c>
      <c r="B1945" s="2" t="str">
        <f ca="1">IFERROR(__xludf.DUMMYFUNCTION("""COMPUTED_VALUE"""),"bob")</f>
        <v>bob</v>
      </c>
      <c r="C1945" s="2" t="str">
        <f ca="1">IFERROR(__xludf.DUMMYFUNCTION("""COMPUTED_VALUE"""),"BOB")</f>
        <v>BOB</v>
      </c>
    </row>
    <row r="1946" spans="1:3" x14ac:dyDescent="0.25">
      <c r="A1946" s="2" t="str">
        <f ca="1">IFERROR(__xludf.DUMMYFUNCTION("""COMPUTED_VALUE"""),"bob-2")</f>
        <v>bob-2</v>
      </c>
      <c r="B1946" s="2" t="str">
        <f ca="1">IFERROR(__xludf.DUMMYFUNCTION("""COMPUTED_VALUE"""),"bob")</f>
        <v>bob</v>
      </c>
      <c r="C1946" s="2" t="str">
        <f ca="1">IFERROR(__xludf.DUMMYFUNCTION("""COMPUTED_VALUE"""),"BOB")</f>
        <v>BOB</v>
      </c>
    </row>
    <row r="1947" spans="1:3" x14ac:dyDescent="0.25">
      <c r="A1947" s="2" t="str">
        <f ca="1">IFERROR(__xludf.DUMMYFUNCTION("""COMPUTED_VALUE"""),"bob-3")</f>
        <v>bob-3</v>
      </c>
      <c r="B1947" s="2" t="str">
        <f ca="1">IFERROR(__xludf.DUMMYFUNCTION("""COMPUTED_VALUE"""),"bob")</f>
        <v>bob</v>
      </c>
      <c r="C1947" s="2" t="str">
        <f ca="1">IFERROR(__xludf.DUMMYFUNCTION("""COMPUTED_VALUE"""),"BOB")</f>
        <v>BOB</v>
      </c>
    </row>
    <row r="1948" spans="1:3" x14ac:dyDescent="0.25">
      <c r="A1948" s="2" t="str">
        <f ca="1">IFERROR(__xludf.DUMMYFUNCTION("""COMPUTED_VALUE"""),"boba")</f>
        <v>boba</v>
      </c>
      <c r="B1948" s="2" t="str">
        <f ca="1">IFERROR(__xludf.DUMMYFUNCTION("""COMPUTED_VALUE"""),"boba")</f>
        <v>boba</v>
      </c>
      <c r="C1948" s="2" t="str">
        <f ca="1">IFERROR(__xludf.DUMMYFUNCTION("""COMPUTED_VALUE"""),"BOBA")</f>
        <v>BOBA</v>
      </c>
    </row>
    <row r="1949" spans="1:3" x14ac:dyDescent="0.25">
      <c r="A1949" s="2" t="str">
        <f ca="1">IFERROR(__xludf.DUMMYFUNCTION("""COMPUTED_VALUE"""),"bobacat")</f>
        <v>bobacat</v>
      </c>
      <c r="B1949" s="2" t="str">
        <f ca="1">IFERROR(__xludf.DUMMYFUNCTION("""COMPUTED_VALUE"""),"psps")</f>
        <v>psps</v>
      </c>
      <c r="C1949" s="2" t="str">
        <f ca="1">IFERROR(__xludf.DUMMYFUNCTION("""COMPUTED_VALUE"""),"BobaCat")</f>
        <v>BobaCat</v>
      </c>
    </row>
    <row r="1950" spans="1:3" x14ac:dyDescent="0.25">
      <c r="A1950" s="2" t="str">
        <f ca="1">IFERROR(__xludf.DUMMYFUNCTION("""COMPUTED_VALUE"""),"boba-finance")</f>
        <v>boba-finance</v>
      </c>
      <c r="B1950" s="2" t="str">
        <f ca="1">IFERROR(__xludf.DUMMYFUNCTION("""COMPUTED_VALUE"""),"bfi")</f>
        <v>bfi</v>
      </c>
      <c r="C1950" s="2" t="str">
        <f ca="1">IFERROR(__xludf.DUMMYFUNCTION("""COMPUTED_VALUE"""),"Boba Finance")</f>
        <v>Boba Finance</v>
      </c>
    </row>
    <row r="1951" spans="1:3" x14ac:dyDescent="0.25">
      <c r="A1951" s="2" t="str">
        <f ca="1">IFERROR(__xludf.DUMMYFUNCTION("""COMPUTED_VALUE"""),"boba-network")</f>
        <v>boba-network</v>
      </c>
      <c r="B1951" s="2" t="str">
        <f ca="1">IFERROR(__xludf.DUMMYFUNCTION("""COMPUTED_VALUE"""),"boba")</f>
        <v>boba</v>
      </c>
      <c r="C1951" s="2" t="str">
        <f ca="1">IFERROR(__xludf.DUMMYFUNCTION("""COMPUTED_VALUE"""),"Boba Network")</f>
        <v>Boba Network</v>
      </c>
    </row>
    <row r="1952" spans="1:3" x14ac:dyDescent="0.25">
      <c r="A1952" s="2" t="str">
        <f ca="1">IFERROR(__xludf.DUMMYFUNCTION("""COMPUTED_VALUE"""),"boba-oppa")</f>
        <v>boba-oppa</v>
      </c>
      <c r="B1952" s="2" t="str">
        <f ca="1">IFERROR(__xludf.DUMMYFUNCTION("""COMPUTED_VALUE"""),"bobaoppa")</f>
        <v>bobaoppa</v>
      </c>
      <c r="C1952" s="2" t="str">
        <f ca="1">IFERROR(__xludf.DUMMYFUNCTION("""COMPUTED_VALUE"""),"Boba Oppa")</f>
        <v>Boba Oppa</v>
      </c>
    </row>
    <row r="1953" spans="1:3" x14ac:dyDescent="0.25">
      <c r="A1953" s="2" t="str">
        <f ca="1">IFERROR(__xludf.DUMMYFUNCTION("""COMPUTED_VALUE"""),"boba-standard-bridged-wbtc-boba-network")</f>
        <v>boba-standard-bridged-wbtc-boba-network</v>
      </c>
      <c r="B1953" s="2" t="str">
        <f ca="1">IFERROR(__xludf.DUMMYFUNCTION("""COMPUTED_VALUE"""),"wbtc")</f>
        <v>wbtc</v>
      </c>
      <c r="C1953" s="2" t="str">
        <f ca="1">IFERROR(__xludf.DUMMYFUNCTION("""COMPUTED_VALUE"""),"Boba Standard Bridged WBTC (Boba Network)")</f>
        <v>Boba Standard Bridged WBTC (Boba Network)</v>
      </c>
    </row>
    <row r="1954" spans="1:3" x14ac:dyDescent="0.25">
      <c r="A1954" s="2" t="str">
        <f ca="1">IFERROR(__xludf.DUMMYFUNCTION("""COMPUTED_VALUE"""),"boba-standard-bridged-weth-boba-network")</f>
        <v>boba-standard-bridged-weth-boba-network</v>
      </c>
      <c r="B1954" s="2" t="str">
        <f ca="1">IFERROR(__xludf.DUMMYFUNCTION("""COMPUTED_VALUE"""),"weth")</f>
        <v>weth</v>
      </c>
      <c r="C1954" s="2" t="str">
        <f ca="1">IFERROR(__xludf.DUMMYFUNCTION("""COMPUTED_VALUE"""),"Boba Standard Bridged WETH (Boba Network)")</f>
        <v>Boba Standard Bridged WETH (Boba Network)</v>
      </c>
    </row>
    <row r="1955" spans="1:3" x14ac:dyDescent="0.25">
      <c r="A1955" s="2" t="str">
        <f ca="1">IFERROR(__xludf.DUMMYFUNCTION("""COMPUTED_VALUE"""),"bobby")</f>
        <v>bobby</v>
      </c>
      <c r="B1955" s="2" t="str">
        <f ca="1">IFERROR(__xludf.DUMMYFUNCTION("""COMPUTED_VALUE"""),"bobby")</f>
        <v>bobby</v>
      </c>
      <c r="C1955" s="2" t="str">
        <f ca="1">IFERROR(__xludf.DUMMYFUNCTION("""COMPUTED_VALUE"""),"Bobby")</f>
        <v>Bobby</v>
      </c>
    </row>
    <row r="1956" spans="1:3" x14ac:dyDescent="0.25">
      <c r="A1956" s="2" t="str">
        <f ca="1">IFERROR(__xludf.DUMMYFUNCTION("""COMPUTED_VALUE"""),"bobcoin")</f>
        <v>bobcoin</v>
      </c>
      <c r="B1956" s="2" t="str">
        <f ca="1">IFERROR(__xludf.DUMMYFUNCTION("""COMPUTED_VALUE"""),"bobc")</f>
        <v>bobc</v>
      </c>
      <c r="C1956" s="2" t="str">
        <f ca="1">IFERROR(__xludf.DUMMYFUNCTION("""COMPUTED_VALUE"""),"Bobcoin")</f>
        <v>Bobcoin</v>
      </c>
    </row>
    <row r="1957" spans="1:3" x14ac:dyDescent="0.25">
      <c r="A1957" s="2" t="str">
        <f ca="1">IFERROR(__xludf.DUMMYFUNCTION("""COMPUTED_VALUE"""),"bober")</f>
        <v>bober</v>
      </c>
      <c r="B1957" s="2" t="str">
        <f ca="1">IFERROR(__xludf.DUMMYFUNCTION("""COMPUTED_VALUE"""),"bober")</f>
        <v>bober</v>
      </c>
      <c r="C1957" s="2" t="str">
        <f ca="1">IFERROR(__xludf.DUMMYFUNCTION("""COMPUTED_VALUE"""),"BOBER")</f>
        <v>BOBER</v>
      </c>
    </row>
    <row r="1958" spans="1:3" x14ac:dyDescent="0.25">
      <c r="A1958" s="2" t="str">
        <f ca="1">IFERROR(__xludf.DUMMYFUNCTION("""COMPUTED_VALUE"""),"bobo")</f>
        <v>bobo</v>
      </c>
      <c r="B1958" s="2" t="str">
        <f ca="1">IFERROR(__xludf.DUMMYFUNCTION("""COMPUTED_VALUE"""),"bobo")</f>
        <v>bobo</v>
      </c>
      <c r="C1958" s="2" t="str">
        <f ca="1">IFERROR(__xludf.DUMMYFUNCTION("""COMPUTED_VALUE"""),"Bobo")</f>
        <v>Bobo</v>
      </c>
    </row>
    <row r="1959" spans="1:3" x14ac:dyDescent="0.25">
      <c r="A1959" s="2" t="str">
        <f ca="1">IFERROR(__xludf.DUMMYFUNCTION("""COMPUTED_VALUE"""),"bobo-coin")</f>
        <v>bobo-coin</v>
      </c>
      <c r="B1959" s="2" t="str">
        <f ca="1">IFERROR(__xludf.DUMMYFUNCTION("""COMPUTED_VALUE"""),"bobo")</f>
        <v>bobo</v>
      </c>
      <c r="C1959" s="2" t="str">
        <f ca="1">IFERROR(__xludf.DUMMYFUNCTION("""COMPUTED_VALUE"""),"BOBO Coin")</f>
        <v>BOBO Coin</v>
      </c>
    </row>
    <row r="1960" spans="1:3" x14ac:dyDescent="0.25">
      <c r="A1960" s="2" t="str">
        <f ca="1">IFERROR(__xludf.DUMMYFUNCTION("""COMPUTED_VALUE"""),"bobo-on-sol")</f>
        <v>bobo-on-sol</v>
      </c>
      <c r="B1960" s="2" t="str">
        <f ca="1">IFERROR(__xludf.DUMMYFUNCTION("""COMPUTED_VALUE"""),"bobo")</f>
        <v>bobo</v>
      </c>
      <c r="C1960" s="2" t="str">
        <f ca="1">IFERROR(__xludf.DUMMYFUNCTION("""COMPUTED_VALUE"""),"Bobo on SOL")</f>
        <v>Bobo on SOL</v>
      </c>
    </row>
    <row r="1961" spans="1:3" x14ac:dyDescent="0.25">
      <c r="A1961" s="2" t="str">
        <f ca="1">IFERROR(__xludf.DUMMYFUNCTION("""COMPUTED_VALUE"""),"bobo-the-bear")</f>
        <v>bobo-the-bear</v>
      </c>
      <c r="B1961" s="2" t="str">
        <f ca="1">IFERROR(__xludf.DUMMYFUNCTION("""COMPUTED_VALUE"""),"bobo")</f>
        <v>bobo</v>
      </c>
      <c r="C1961" s="2" t="str">
        <f ca="1">IFERROR(__xludf.DUMMYFUNCTION("""COMPUTED_VALUE"""),"Bobo the Bear")</f>
        <v>Bobo the Bear</v>
      </c>
    </row>
    <row r="1962" spans="1:3" x14ac:dyDescent="0.25">
      <c r="A1962" s="2" t="str">
        <f ca="1">IFERROR(__xludf.DUMMYFUNCTION("""COMPUTED_VALUE"""),"bobs")</f>
        <v>bobs</v>
      </c>
      <c r="B1962" s="2" t="str">
        <f ca="1">IFERROR(__xludf.DUMMYFUNCTION("""COMPUTED_VALUE"""),"bobs")</f>
        <v>bobs</v>
      </c>
      <c r="C1962" s="2" t="str">
        <f ca="1">IFERROR(__xludf.DUMMYFUNCTION("""COMPUTED_VALUE"""),"BOBS")</f>
        <v>BOBS</v>
      </c>
    </row>
    <row r="1963" spans="1:3" x14ac:dyDescent="0.25">
      <c r="A1963" s="2" t="str">
        <f ca="1">IFERROR(__xludf.DUMMYFUNCTION("""COMPUTED_VALUE"""),"bob-token")</f>
        <v>bob-token</v>
      </c>
      <c r="B1963" s="2" t="str">
        <f ca="1">IFERROR(__xludf.DUMMYFUNCTION("""COMPUTED_VALUE"""),"bob")</f>
        <v>bob</v>
      </c>
      <c r="C1963" s="2" t="str">
        <f ca="1">IFERROR(__xludf.DUMMYFUNCTION("""COMPUTED_VALUE"""),"BOB Token")</f>
        <v>BOB Token</v>
      </c>
    </row>
    <row r="1964" spans="1:3" x14ac:dyDescent="0.25">
      <c r="A1964" s="2" t="str">
        <f ca="1">IFERROR(__xludf.DUMMYFUNCTION("""COMPUTED_VALUE"""),"bobuki-neko")</f>
        <v>bobuki-neko</v>
      </c>
      <c r="B1964" s="2" t="str">
        <f ca="1">IFERROR(__xludf.DUMMYFUNCTION("""COMPUTED_VALUE"""),"bobuki")</f>
        <v>bobuki</v>
      </c>
      <c r="C1964" s="2" t="str">
        <f ca="1">IFERROR(__xludf.DUMMYFUNCTION("""COMPUTED_VALUE"""),"Bobuki Neko")</f>
        <v>Bobuki Neko</v>
      </c>
    </row>
    <row r="1965" spans="1:3" x14ac:dyDescent="0.25">
      <c r="A1965" s="2" t="str">
        <f ca="1">IFERROR(__xludf.DUMMYFUNCTION("""COMPUTED_VALUE"""),"bocachica")</f>
        <v>bocachica</v>
      </c>
      <c r="B1965" s="2" t="str">
        <f ca="1">IFERROR(__xludf.DUMMYFUNCTION("""COMPUTED_VALUE"""),"chica")</f>
        <v>chica</v>
      </c>
      <c r="C1965" s="2" t="str">
        <f ca="1">IFERROR(__xludf.DUMMYFUNCTION("""COMPUTED_VALUE"""),"BocaChica")</f>
        <v>BocaChica</v>
      </c>
    </row>
    <row r="1966" spans="1:3" x14ac:dyDescent="0.25">
      <c r="A1966" s="2" t="str">
        <f ca="1">IFERROR(__xludf.DUMMYFUNCTION("""COMPUTED_VALUE"""),"boda-token")</f>
        <v>boda-token</v>
      </c>
      <c r="B1966" s="2" t="str">
        <f ca="1">IFERROR(__xludf.DUMMYFUNCTION("""COMPUTED_VALUE"""),"bodav2")</f>
        <v>bodav2</v>
      </c>
      <c r="C1966" s="2" t="str">
        <f ca="1">IFERROR(__xludf.DUMMYFUNCTION("""COMPUTED_VALUE"""),"BODA")</f>
        <v>BODA</v>
      </c>
    </row>
    <row r="1967" spans="1:3" x14ac:dyDescent="0.25">
      <c r="A1967" s="2" t="str">
        <f ca="1">IFERROR(__xludf.DUMMYFUNCTION("""COMPUTED_VALUE"""),"bodge")</f>
        <v>bodge</v>
      </c>
      <c r="B1967" s="2" t="str">
        <f ca="1">IFERROR(__xludf.DUMMYFUNCTION("""COMPUTED_VALUE"""),"bodge")</f>
        <v>bodge</v>
      </c>
      <c r="C1967" s="2" t="str">
        <f ca="1">IFERROR(__xludf.DUMMYFUNCTION("""COMPUTED_VALUE"""),"Bodge")</f>
        <v>Bodge</v>
      </c>
    </row>
    <row r="1968" spans="1:3" x14ac:dyDescent="0.25">
      <c r="A1968" s="2" t="str">
        <f ca="1">IFERROR(__xludf.DUMMYFUNCTION("""COMPUTED_VALUE"""),"bodrumspor-fan-token")</f>
        <v>bodrumspor-fan-token</v>
      </c>
      <c r="B1968" s="2" t="str">
        <f ca="1">IFERROR(__xludf.DUMMYFUNCTION("""COMPUTED_VALUE"""),"bdrm")</f>
        <v>bdrm</v>
      </c>
      <c r="C1968" s="2" t="str">
        <f ca="1">IFERROR(__xludf.DUMMYFUNCTION("""COMPUTED_VALUE"""),"Bodrumspor Fan Token")</f>
        <v>Bodrumspor Fan Token</v>
      </c>
    </row>
    <row r="1969" spans="1:3" x14ac:dyDescent="0.25">
      <c r="A1969" s="2" t="str">
        <f ca="1">IFERROR(__xludf.DUMMYFUNCTION("""COMPUTED_VALUE"""),"boe")</f>
        <v>boe</v>
      </c>
      <c r="B1969" s="2" t="str">
        <f ca="1">IFERROR(__xludf.DUMMYFUNCTION("""COMPUTED_VALUE"""),"boe")</f>
        <v>boe</v>
      </c>
      <c r="C1969" s="2" t="str">
        <f ca="1">IFERROR(__xludf.DUMMYFUNCTION("""COMPUTED_VALUE"""),"Boe")</f>
        <v>Boe</v>
      </c>
    </row>
    <row r="1970" spans="1:3" x14ac:dyDescent="0.25">
      <c r="A1970" s="2" t="str">
        <f ca="1">IFERROR(__xludf.DUMMYFUNCTION("""COMPUTED_VALUE"""),"bogdanoff")</f>
        <v>bogdanoff</v>
      </c>
      <c r="B1970" s="2" t="str">
        <f ca="1">IFERROR(__xludf.DUMMYFUNCTION("""COMPUTED_VALUE"""),"bog")</f>
        <v>bog</v>
      </c>
      <c r="C1970" s="2" t="str">
        <f ca="1">IFERROR(__xludf.DUMMYFUNCTION("""COMPUTED_VALUE"""),"Bogdanoff")</f>
        <v>Bogdanoff</v>
      </c>
    </row>
    <row r="1971" spans="1:3" x14ac:dyDescent="0.25">
      <c r="A1971" s="2" t="str">
        <f ca="1">IFERROR(__xludf.DUMMYFUNCTION("""COMPUTED_VALUE"""),"boge")</f>
        <v>boge</v>
      </c>
      <c r="B1971" s="2" t="str">
        <f ca="1">IFERROR(__xludf.DUMMYFUNCTION("""COMPUTED_VALUE"""),"boge")</f>
        <v>boge</v>
      </c>
      <c r="C1971" s="2" t="str">
        <f ca="1">IFERROR(__xludf.DUMMYFUNCTION("""COMPUTED_VALUE"""),"BOGE")</f>
        <v>BOGE</v>
      </c>
    </row>
    <row r="1972" spans="1:3" x14ac:dyDescent="0.25">
      <c r="A1972" s="2" t="str">
        <f ca="1">IFERROR(__xludf.DUMMYFUNCTION("""COMPUTED_VALUE"""),"bogged-finance")</f>
        <v>bogged-finance</v>
      </c>
      <c r="B1972" s="2" t="str">
        <f ca="1">IFERROR(__xludf.DUMMYFUNCTION("""COMPUTED_VALUE"""),"bog")</f>
        <v>bog</v>
      </c>
      <c r="C1972" s="2" t="str">
        <f ca="1">IFERROR(__xludf.DUMMYFUNCTION("""COMPUTED_VALUE"""),"Bogged Finance")</f>
        <v>Bogged Finance</v>
      </c>
    </row>
    <row r="1973" spans="1:3" x14ac:dyDescent="0.25">
      <c r="A1973" s="2" t="str">
        <f ca="1">IFERROR(__xludf.DUMMYFUNCTION("""COMPUTED_VALUE"""),"boggy-coin")</f>
        <v>boggy-coin</v>
      </c>
      <c r="B1973" s="2" t="str">
        <f ca="1">IFERROR(__xludf.DUMMYFUNCTION("""COMPUTED_VALUE"""),"boggy")</f>
        <v>boggy</v>
      </c>
      <c r="C1973" s="2" t="str">
        <f ca="1">IFERROR(__xludf.DUMMYFUNCTION("""COMPUTED_VALUE"""),"Boggy Coin")</f>
        <v>Boggy Coin</v>
      </c>
    </row>
    <row r="1974" spans="1:3" x14ac:dyDescent="0.25">
      <c r="A1974" s="2" t="str">
        <f ca="1">IFERROR(__xludf.DUMMYFUNCTION("""COMPUTED_VALUE"""),"bogus")</f>
        <v>bogus</v>
      </c>
      <c r="B1974" s="2" t="str">
        <f ca="1">IFERROR(__xludf.DUMMYFUNCTION("""COMPUTED_VALUE"""),"bogus")</f>
        <v>bogus</v>
      </c>
      <c r="C1974" s="2" t="str">
        <f ca="1">IFERROR(__xludf.DUMMYFUNCTION("""COMPUTED_VALUE"""),"BOGUS")</f>
        <v>BOGUS</v>
      </c>
    </row>
    <row r="1975" spans="1:3" x14ac:dyDescent="0.25">
      <c r="A1975" s="2" t="str">
        <f ca="1">IFERROR(__xludf.DUMMYFUNCTION("""COMPUTED_VALUE"""),"bojack")</f>
        <v>bojack</v>
      </c>
      <c r="B1975" s="2" t="str">
        <f ca="1">IFERROR(__xludf.DUMMYFUNCTION("""COMPUTED_VALUE"""),"$bojack")</f>
        <v>$bojack</v>
      </c>
      <c r="C1975" s="2" t="str">
        <f ca="1">IFERROR(__xludf.DUMMYFUNCTION("""COMPUTED_VALUE"""),"BOJACK")</f>
        <v>BOJACK</v>
      </c>
    </row>
    <row r="1976" spans="1:3" x14ac:dyDescent="0.25">
      <c r="A1976" s="2" t="str">
        <f ca="1">IFERROR(__xludf.DUMMYFUNCTION("""COMPUTED_VALUE"""),"bolic-ai")</f>
        <v>bolic-ai</v>
      </c>
      <c r="B1976" s="2" t="str">
        <f ca="1">IFERROR(__xludf.DUMMYFUNCTION("""COMPUTED_VALUE"""),"boai")</f>
        <v>boai</v>
      </c>
      <c r="C1976" s="2" t="str">
        <f ca="1">IFERROR(__xludf.DUMMYFUNCTION("""COMPUTED_VALUE"""),"Bolic AI")</f>
        <v>Bolic AI</v>
      </c>
    </row>
    <row r="1977" spans="1:3" x14ac:dyDescent="0.25">
      <c r="A1977" s="2" t="str">
        <f ca="1">IFERROR(__xludf.DUMMYFUNCTION("""COMPUTED_VALUE"""),"bolivarcoin")</f>
        <v>bolivarcoin</v>
      </c>
      <c r="B1977" s="2" t="str">
        <f ca="1">IFERROR(__xludf.DUMMYFUNCTION("""COMPUTED_VALUE"""),"boli")</f>
        <v>boli</v>
      </c>
      <c r="C1977" s="2" t="str">
        <f ca="1">IFERROR(__xludf.DUMMYFUNCTION("""COMPUTED_VALUE"""),"Bolivarcoin")</f>
        <v>Bolivarcoin</v>
      </c>
    </row>
    <row r="1978" spans="1:3" x14ac:dyDescent="0.25">
      <c r="A1978" s="2" t="str">
        <f ca="1">IFERROR(__xludf.DUMMYFUNCTION("""COMPUTED_VALUE"""),"bologna-fc-fan-token")</f>
        <v>bologna-fc-fan-token</v>
      </c>
      <c r="B1978" s="2" t="str">
        <f ca="1">IFERROR(__xludf.DUMMYFUNCTION("""COMPUTED_VALUE"""),"bfc")</f>
        <v>bfc</v>
      </c>
      <c r="C1978" s="2" t="str">
        <f ca="1">IFERROR(__xludf.DUMMYFUNCTION("""COMPUTED_VALUE"""),"Bologna FC Fan Token")</f>
        <v>Bologna FC Fan Token</v>
      </c>
    </row>
    <row r="1979" spans="1:3" x14ac:dyDescent="0.25">
      <c r="A1979" s="2" t="str">
        <f ca="1">IFERROR(__xludf.DUMMYFUNCTION("""COMPUTED_VALUE"""),"bolt")</f>
        <v>bolt</v>
      </c>
      <c r="B1979" s="2" t="str">
        <f ca="1">IFERROR(__xludf.DUMMYFUNCTION("""COMPUTED_VALUE"""),"bolt")</f>
        <v>bolt</v>
      </c>
      <c r="C1979" s="2" t="str">
        <f ca="1">IFERROR(__xludf.DUMMYFUNCTION("""COMPUTED_VALUE"""),"Bolt")</f>
        <v>Bolt</v>
      </c>
    </row>
    <row r="1980" spans="1:3" x14ac:dyDescent="0.25">
      <c r="A1980" s="2" t="str">
        <f ca="1">IFERROR(__xludf.DUMMYFUNCTION("""COMPUTED_VALUE"""),"bolt-on-base")</f>
        <v>bolt-on-base</v>
      </c>
      <c r="B1980" s="2" t="str">
        <f ca="1">IFERROR(__xludf.DUMMYFUNCTION("""COMPUTED_VALUE"""),"bolt")</f>
        <v>bolt</v>
      </c>
      <c r="C1980" s="2" t="str">
        <f ca="1">IFERROR(__xludf.DUMMYFUNCTION("""COMPUTED_VALUE"""),"BOLT on Base")</f>
        <v>BOLT on Base</v>
      </c>
    </row>
    <row r="1981" spans="1:3" x14ac:dyDescent="0.25">
      <c r="A1981" s="2" t="str">
        <f ca="1">IFERROR(__xludf.DUMMYFUNCTION("""COMPUTED_VALUE"""),"bolt-token-023ba86e-eb38-41a1-8d32-8b48ecfcb2c7")</f>
        <v>bolt-token-023ba86e-eb38-41a1-8d32-8b48ecfcb2c7</v>
      </c>
      <c r="B1981" s="2" t="str">
        <f ca="1">IFERROR(__xludf.DUMMYFUNCTION("""COMPUTED_VALUE"""),"$bolt")</f>
        <v>$bolt</v>
      </c>
      <c r="C1981" s="2" t="str">
        <f ca="1">IFERROR(__xludf.DUMMYFUNCTION("""COMPUTED_VALUE"""),"Bolt Token")</f>
        <v>Bolt Token</v>
      </c>
    </row>
    <row r="1982" spans="1:3" x14ac:dyDescent="0.25">
      <c r="A1982" s="2" t="str">
        <f ca="1">IFERROR(__xludf.DUMMYFUNCTION("""COMPUTED_VALUE"""),"bomb")</f>
        <v>bomb</v>
      </c>
      <c r="B1982" s="2" t="str">
        <f ca="1">IFERROR(__xludf.DUMMYFUNCTION("""COMPUTED_VALUE"""),"bomb")</f>
        <v>bomb</v>
      </c>
      <c r="C1982" s="2" t="str">
        <f ca="1">IFERROR(__xludf.DUMMYFUNCTION("""COMPUTED_VALUE"""),"BOMB")</f>
        <v>BOMB</v>
      </c>
    </row>
    <row r="1983" spans="1:3" x14ac:dyDescent="0.25">
      <c r="A1983" s="2" t="str">
        <f ca="1">IFERROR(__xludf.DUMMYFUNCTION("""COMPUTED_VALUE"""),"bombcrypto-coin")</f>
        <v>bombcrypto-coin</v>
      </c>
      <c r="B1983" s="2" t="str">
        <f ca="1">IFERROR(__xludf.DUMMYFUNCTION("""COMPUTED_VALUE"""),"bcoin")</f>
        <v>bcoin</v>
      </c>
      <c r="C1983" s="2" t="str">
        <f ca="1">IFERROR(__xludf.DUMMYFUNCTION("""COMPUTED_VALUE"""),"Bomb Crypto (POL)")</f>
        <v>Bomb Crypto (POL)</v>
      </c>
    </row>
    <row r="1984" spans="1:3" x14ac:dyDescent="0.25">
      <c r="A1984" s="2" t="str">
        <f ca="1">IFERROR(__xludf.DUMMYFUNCTION("""COMPUTED_VALUE"""),"bomber-coin")</f>
        <v>bomber-coin</v>
      </c>
      <c r="B1984" s="2" t="str">
        <f ca="1">IFERROR(__xludf.DUMMYFUNCTION("""COMPUTED_VALUE"""),"bcoin")</f>
        <v>bcoin</v>
      </c>
      <c r="C1984" s="2" t="str">
        <f ca="1">IFERROR(__xludf.DUMMYFUNCTION("""COMPUTED_VALUE"""),"Bomb Crypto (BNB)")</f>
        <v>Bomb Crypto (BNB)</v>
      </c>
    </row>
    <row r="1985" spans="1:3" x14ac:dyDescent="0.25">
      <c r="A1985" s="2" t="str">
        <f ca="1">IFERROR(__xludf.DUMMYFUNCTION("""COMPUTED_VALUE"""),"bomb-money")</f>
        <v>bomb-money</v>
      </c>
      <c r="B1985" s="2" t="str">
        <f ca="1">IFERROR(__xludf.DUMMYFUNCTION("""COMPUTED_VALUE"""),"bomb")</f>
        <v>bomb</v>
      </c>
      <c r="C1985" s="2" t="str">
        <f ca="1">IFERROR(__xludf.DUMMYFUNCTION("""COMPUTED_VALUE"""),"Bomb Money")</f>
        <v>Bomb Money</v>
      </c>
    </row>
    <row r="1986" spans="1:3" x14ac:dyDescent="0.25">
      <c r="A1986" s="2" t="str">
        <f ca="1">IFERROR(__xludf.DUMMYFUNCTION("""COMPUTED_VALUE"""),"bombo")</f>
        <v>bombo</v>
      </c>
      <c r="B1986" s="2" t="str">
        <f ca="1">IFERROR(__xludf.DUMMYFUNCTION("""COMPUTED_VALUE"""),"bombo")</f>
        <v>bombo</v>
      </c>
      <c r="C1986" s="2" t="str">
        <f ca="1">IFERROR(__xludf.DUMMYFUNCTION("""COMPUTED_VALUE"""),"BOMBO")</f>
        <v>BOMBO</v>
      </c>
    </row>
    <row r="1987" spans="1:3" x14ac:dyDescent="0.25">
      <c r="A1987" s="2" t="str">
        <f ca="1">IFERROR(__xludf.DUMMYFUNCTION("""COMPUTED_VALUE"""),"bomboclat")</f>
        <v>bomboclat</v>
      </c>
      <c r="B1987" s="2" t="str">
        <f ca="1">IFERROR(__xludf.DUMMYFUNCTION("""COMPUTED_VALUE"""),"bclat")</f>
        <v>bclat</v>
      </c>
      <c r="C1987" s="2" t="str">
        <f ca="1">IFERROR(__xludf.DUMMYFUNCTION("""COMPUTED_VALUE"""),"Bomboclat")</f>
        <v>Bomboclat</v>
      </c>
    </row>
    <row r="1988" spans="1:3" x14ac:dyDescent="0.25">
      <c r="A1988" s="2" t="str">
        <f ca="1">IFERROR(__xludf.DUMMYFUNCTION("""COMPUTED_VALUE"""),"bomb-shelter-inu")</f>
        <v>bomb-shelter-inu</v>
      </c>
      <c r="B1988" s="2" t="str">
        <f ca="1">IFERROR(__xludf.DUMMYFUNCTION("""COMPUTED_VALUE"""),"boom")</f>
        <v>boom</v>
      </c>
      <c r="C1988" s="2" t="str">
        <f ca="1">IFERROR(__xludf.DUMMYFUNCTION("""COMPUTED_VALUE"""),"Bomb Shelter Inu")</f>
        <v>Bomb Shelter Inu</v>
      </c>
    </row>
    <row r="1989" spans="1:3" x14ac:dyDescent="0.25">
      <c r="A1989" s="2" t="str">
        <f ca="1">IFERROR(__xludf.DUMMYFUNCTION("""COMPUTED_VALUE"""),"bome-ai")</f>
        <v>bome-ai</v>
      </c>
      <c r="B1989" s="2" t="str">
        <f ca="1">IFERROR(__xludf.DUMMYFUNCTION("""COMPUTED_VALUE"""),"bome 2.0")</f>
        <v>bome 2.0</v>
      </c>
      <c r="C1989" s="2" t="str">
        <f ca="1">IFERROR(__xludf.DUMMYFUNCTION("""COMPUTED_VALUE"""),"BOME AI")</f>
        <v>BOME AI</v>
      </c>
    </row>
    <row r="1990" spans="1:3" x14ac:dyDescent="0.25">
      <c r="A1990" s="2" t="str">
        <f ca="1">IFERROR(__xludf.DUMMYFUNCTION("""COMPUTED_VALUE"""),"bonded-cronos")</f>
        <v>bonded-cronos</v>
      </c>
      <c r="B1990" s="2" t="str">
        <f ca="1">IFERROR(__xludf.DUMMYFUNCTION("""COMPUTED_VALUE"""),"bcro")</f>
        <v>bcro</v>
      </c>
      <c r="C1990" s="2" t="str">
        <f ca="1">IFERROR(__xludf.DUMMYFUNCTION("""COMPUTED_VALUE"""),"Bonded Cronos")</f>
        <v>Bonded Cronos</v>
      </c>
    </row>
    <row r="1991" spans="1:3" x14ac:dyDescent="0.25">
      <c r="A1991" s="2" t="str">
        <f ca="1">IFERROR(__xludf.DUMMYFUNCTION("""COMPUTED_VALUE"""),"bondex")</f>
        <v>bondex</v>
      </c>
      <c r="B1991" s="2" t="str">
        <f ca="1">IFERROR(__xludf.DUMMYFUNCTION("""COMPUTED_VALUE"""),"bdxn")</f>
        <v>bdxn</v>
      </c>
      <c r="C1991" s="2" t="str">
        <f ca="1">IFERROR(__xludf.DUMMYFUNCTION("""COMPUTED_VALUE"""),"Bondex")</f>
        <v>Bondex</v>
      </c>
    </row>
    <row r="1992" spans="1:3" x14ac:dyDescent="0.25">
      <c r="A1992" s="2" t="str">
        <f ca="1">IFERROR(__xludf.DUMMYFUNCTION("""COMPUTED_VALUE"""),"bondly")</f>
        <v>bondly</v>
      </c>
      <c r="B1992" s="2" t="str">
        <f ca="1">IFERROR(__xludf.DUMMYFUNCTION("""COMPUTED_VALUE"""),"bondly")</f>
        <v>bondly</v>
      </c>
      <c r="C1992" s="2" t="str">
        <f ca="1">IFERROR(__xludf.DUMMYFUNCTION("""COMPUTED_VALUE"""),"Forj")</f>
        <v>Forj</v>
      </c>
    </row>
    <row r="1993" spans="1:3" x14ac:dyDescent="0.25">
      <c r="A1993" s="2" t="str">
        <f ca="1">IFERROR(__xludf.DUMMYFUNCTION("""COMPUTED_VALUE"""),"bone-bone")</f>
        <v>bone-bone</v>
      </c>
      <c r="B1993" s="2" t="str">
        <f ca="1">IFERROR(__xludf.DUMMYFUNCTION("""COMPUTED_VALUE"""),"bone")</f>
        <v>bone</v>
      </c>
      <c r="C1993" s="2" t="str">
        <f ca="1">IFERROR(__xludf.DUMMYFUNCTION("""COMPUTED_VALUE"""),"Bone")</f>
        <v>Bone</v>
      </c>
    </row>
    <row r="1994" spans="1:3" x14ac:dyDescent="0.25">
      <c r="A1994" s="2" t="str">
        <f ca="1">IFERROR(__xludf.DUMMYFUNCTION("""COMPUTED_VALUE"""),"boner")</f>
        <v>boner</v>
      </c>
      <c r="B1994" s="2" t="str">
        <f ca="1">IFERROR(__xludf.DUMMYFUNCTION("""COMPUTED_VALUE"""),"$boner")</f>
        <v>$boner</v>
      </c>
      <c r="C1994" s="2" t="str">
        <f ca="1">IFERROR(__xludf.DUMMYFUNCTION("""COMPUTED_VALUE"""),"BONER")</f>
        <v>BONER</v>
      </c>
    </row>
    <row r="1995" spans="1:3" x14ac:dyDescent="0.25">
      <c r="A1995" s="2" t="str">
        <f ca="1">IFERROR(__xludf.DUMMYFUNCTION("""COMPUTED_VALUE"""),"bonerium-boneswap")</f>
        <v>bonerium-boneswap</v>
      </c>
      <c r="B1995" s="2" t="str">
        <f ca="1">IFERROR(__xludf.DUMMYFUNCTION("""COMPUTED_VALUE"""),"bswp")</f>
        <v>bswp</v>
      </c>
      <c r="C1995" s="2" t="str">
        <f ca="1">IFERROR(__xludf.DUMMYFUNCTION("""COMPUTED_VALUE"""),"Bonerium BoneSwap")</f>
        <v>Bonerium BoneSwap</v>
      </c>
    </row>
    <row r="1996" spans="1:3" x14ac:dyDescent="0.25">
      <c r="A1996" s="2" t="str">
        <f ca="1">IFERROR(__xludf.DUMMYFUNCTION("""COMPUTED_VALUE"""),"bones")</f>
        <v>bones</v>
      </c>
      <c r="B1996" s="2" t="str">
        <f ca="1">IFERROR(__xludf.DUMMYFUNCTION("""COMPUTED_VALUE"""),"bones")</f>
        <v>bones</v>
      </c>
      <c r="C1996" s="2" t="str">
        <f ca="1">IFERROR(__xludf.DUMMYFUNCTION("""COMPUTED_VALUE"""),"Bones")</f>
        <v>Bones</v>
      </c>
    </row>
    <row r="1997" spans="1:3" x14ac:dyDescent="0.25">
      <c r="A1997" s="2" t="str">
        <f ca="1">IFERROR(__xludf.DUMMYFUNCTION("""COMPUTED_VALUE"""),"bone-shibaswap")</f>
        <v>bone-shibaswap</v>
      </c>
      <c r="B1997" s="2" t="str">
        <f ca="1">IFERROR(__xludf.DUMMYFUNCTION("""COMPUTED_VALUE"""),"bone")</f>
        <v>bone</v>
      </c>
      <c r="C1997" s="2" t="str">
        <f ca="1">IFERROR(__xludf.DUMMYFUNCTION("""COMPUTED_VALUE"""),"Bone ShibaSwap")</f>
        <v>Bone ShibaSwap</v>
      </c>
    </row>
    <row r="1998" spans="1:3" x14ac:dyDescent="0.25">
      <c r="A1998" s="2" t="str">
        <f ca="1">IFERROR(__xludf.DUMMYFUNCTION("""COMPUTED_VALUE"""),"boneswap")</f>
        <v>boneswap</v>
      </c>
      <c r="B1998" s="2" t="str">
        <f ca="1">IFERROR(__xludf.DUMMYFUNCTION("""COMPUTED_VALUE"""),"bone")</f>
        <v>bone</v>
      </c>
      <c r="C1998" s="2" t="str">
        <f ca="1">IFERROR(__xludf.DUMMYFUNCTION("""COMPUTED_VALUE"""),"BoneSwap")</f>
        <v>BoneSwap</v>
      </c>
    </row>
    <row r="1999" spans="1:3" x14ac:dyDescent="0.25">
      <c r="A1999" s="2" t="str">
        <f ca="1">IFERROR(__xludf.DUMMYFUNCTION("""COMPUTED_VALUE"""),"bone-token")</f>
        <v>bone-token</v>
      </c>
      <c r="B1999" s="2" t="str">
        <f ca="1">IFERROR(__xludf.DUMMYFUNCTION("""COMPUTED_VALUE"""),"bone")</f>
        <v>bone</v>
      </c>
      <c r="C1999" s="2" t="str">
        <f ca="1">IFERROR(__xludf.DUMMYFUNCTION("""COMPUTED_VALUE"""),"PolyPup Bone")</f>
        <v>PolyPup Bone</v>
      </c>
    </row>
    <row r="2000" spans="1:3" x14ac:dyDescent="0.25">
      <c r="A2000" s="2" t="str">
        <f ca="1">IFERROR(__xludf.DUMMYFUNCTION("""COMPUTED_VALUE"""),"bonfida")</f>
        <v>bonfida</v>
      </c>
      <c r="B2000" s="2" t="str">
        <f ca="1">IFERROR(__xludf.DUMMYFUNCTION("""COMPUTED_VALUE"""),"fida")</f>
        <v>fida</v>
      </c>
      <c r="C2000" s="2" t="str">
        <f ca="1">IFERROR(__xludf.DUMMYFUNCTION("""COMPUTED_VALUE"""),"Solana Name Service")</f>
        <v>Solana Name Service</v>
      </c>
    </row>
    <row r="2001" spans="1:3" x14ac:dyDescent="0.25">
      <c r="A2001" s="2" t="str">
        <f ca="1">IFERROR(__xludf.DUMMYFUNCTION("""COMPUTED_VALUE"""),"bonfire")</f>
        <v>bonfire</v>
      </c>
      <c r="B2001" s="2" t="str">
        <f ca="1">IFERROR(__xludf.DUMMYFUNCTION("""COMPUTED_VALUE"""),"bonfire")</f>
        <v>bonfire</v>
      </c>
      <c r="C2001" s="2" t="str">
        <f ca="1">IFERROR(__xludf.DUMMYFUNCTION("""COMPUTED_VALUE"""),"Bonfire")</f>
        <v>Bonfire</v>
      </c>
    </row>
    <row r="2002" spans="1:3" x14ac:dyDescent="0.25">
      <c r="A2002" s="2" t="str">
        <f ca="1">IFERROR(__xludf.DUMMYFUNCTION("""COMPUTED_VALUE"""),"bong-bonk-s-brother")</f>
        <v>bong-bonk-s-brother</v>
      </c>
      <c r="B2002" s="2" t="str">
        <f ca="1">IFERROR(__xludf.DUMMYFUNCTION("""COMPUTED_VALUE"""),"bong")</f>
        <v>bong</v>
      </c>
      <c r="C2002" s="2" t="str">
        <f ca="1">IFERROR(__xludf.DUMMYFUNCTION("""COMPUTED_VALUE"""),"BONG BONK'S BROTHER")</f>
        <v>BONG BONK'S BROTHER</v>
      </c>
    </row>
    <row r="2003" spans="1:3" x14ac:dyDescent="0.25">
      <c r="A2003" s="2" t="str">
        <f ca="1">IFERROR(__xludf.DUMMYFUNCTION("""COMPUTED_VALUE"""),"bongo-cat")</f>
        <v>bongo-cat</v>
      </c>
      <c r="B2003" s="2" t="str">
        <f ca="1">IFERROR(__xludf.DUMMYFUNCTION("""COMPUTED_VALUE"""),"bongo")</f>
        <v>bongo</v>
      </c>
      <c r="C2003" s="2" t="str">
        <f ca="1">IFERROR(__xludf.DUMMYFUNCTION("""COMPUTED_VALUE"""),"BONGO CAT")</f>
        <v>BONGO CAT</v>
      </c>
    </row>
    <row r="2004" spans="1:3" x14ac:dyDescent="0.25">
      <c r="A2004" s="2" t="str">
        <f ca="1">IFERROR(__xludf.DUMMYFUNCTION("""COMPUTED_VALUE"""),"bonk")</f>
        <v>bonk</v>
      </c>
      <c r="B2004" s="2" t="str">
        <f ca="1">IFERROR(__xludf.DUMMYFUNCTION("""COMPUTED_VALUE"""),"bonk")</f>
        <v>bonk</v>
      </c>
      <c r="C2004" s="2" t="str">
        <f ca="1">IFERROR(__xludf.DUMMYFUNCTION("""COMPUTED_VALUE"""),"Bonk")</f>
        <v>Bonk</v>
      </c>
    </row>
    <row r="2005" spans="1:3" x14ac:dyDescent="0.25">
      <c r="A2005" s="2" t="str">
        <f ca="1">IFERROR(__xludf.DUMMYFUNCTION("""COMPUTED_VALUE"""),"bonk-2-0")</f>
        <v>bonk-2-0</v>
      </c>
      <c r="B2005" s="2" t="str">
        <f ca="1">IFERROR(__xludf.DUMMYFUNCTION("""COMPUTED_VALUE"""),"bonk 2.0")</f>
        <v>bonk 2.0</v>
      </c>
      <c r="C2005" s="2" t="str">
        <f ca="1">IFERROR(__xludf.DUMMYFUNCTION("""COMPUTED_VALUE"""),"Bonk 2.0")</f>
        <v>Bonk 2.0</v>
      </c>
    </row>
    <row r="2006" spans="1:3" x14ac:dyDescent="0.25">
      <c r="A2006" s="2" t="str">
        <f ca="1">IFERROR(__xludf.DUMMYFUNCTION("""COMPUTED_VALUE"""),"bonk2-0")</f>
        <v>bonk2-0</v>
      </c>
      <c r="B2006" s="2" t="str">
        <f ca="1">IFERROR(__xludf.DUMMYFUNCTION("""COMPUTED_VALUE"""),"bonk2.0")</f>
        <v>bonk2.0</v>
      </c>
      <c r="C2006" s="2" t="str">
        <f ca="1">IFERROR(__xludf.DUMMYFUNCTION("""COMPUTED_VALUE"""),"Bonk2.0")</f>
        <v>Bonk2.0</v>
      </c>
    </row>
    <row r="2007" spans="1:3" x14ac:dyDescent="0.25">
      <c r="A2007" s="2" t="str">
        <f ca="1">IFERROR(__xludf.DUMMYFUNCTION("""COMPUTED_VALUE"""),"bonk-2-0-sol")</f>
        <v>bonk-2-0-sol</v>
      </c>
      <c r="B2007" s="2" t="str">
        <f ca="1">IFERROR(__xludf.DUMMYFUNCTION("""COMPUTED_VALUE"""),"bonk2.0")</f>
        <v>bonk2.0</v>
      </c>
      <c r="C2007" s="2" t="str">
        <f ca="1">IFERROR(__xludf.DUMMYFUNCTION("""COMPUTED_VALUE"""),"Bonk 2.0 (Sol)")</f>
        <v>Bonk 2.0 (Sol)</v>
      </c>
    </row>
    <row r="2008" spans="1:3" x14ac:dyDescent="0.25">
      <c r="A2008" s="2" t="str">
        <f ca="1">IFERROR(__xludf.DUMMYFUNCTION("""COMPUTED_VALUE"""),"bonkbaby")</f>
        <v>bonkbaby</v>
      </c>
      <c r="B2008" s="2" t="str">
        <f ca="1">IFERROR(__xludf.DUMMYFUNCTION("""COMPUTED_VALUE"""),"boby")</f>
        <v>boby</v>
      </c>
      <c r="C2008" s="2" t="str">
        <f ca="1">IFERROR(__xludf.DUMMYFUNCTION("""COMPUTED_VALUE"""),"BonkBaby")</f>
        <v>BonkBaby</v>
      </c>
    </row>
    <row r="2009" spans="1:3" x14ac:dyDescent="0.25">
      <c r="A2009" s="2" t="str">
        <f ca="1">IFERROR(__xludf.DUMMYFUNCTION("""COMPUTED_VALUE"""),"bonkbest")</f>
        <v>bonkbest</v>
      </c>
      <c r="B2009" s="2" t="str">
        <f ca="1">IFERROR(__xludf.DUMMYFUNCTION("""COMPUTED_VALUE"""),"bonkbest")</f>
        <v>bonkbest</v>
      </c>
      <c r="C2009" s="2" t="str">
        <f ca="1">IFERROR(__xludf.DUMMYFUNCTION("""COMPUTED_VALUE"""),"BONKBEST")</f>
        <v>BONKBEST</v>
      </c>
    </row>
    <row r="2010" spans="1:3" x14ac:dyDescent="0.25">
      <c r="A2010" s="2" t="str">
        <f ca="1">IFERROR(__xludf.DUMMYFUNCTION("""COMPUTED_VALUE"""),"bonke")</f>
        <v>bonke</v>
      </c>
      <c r="B2010" s="2" t="str">
        <f ca="1">IFERROR(__xludf.DUMMYFUNCTION("""COMPUTED_VALUE"""),"bonke")</f>
        <v>bonke</v>
      </c>
      <c r="C2010" s="2" t="str">
        <f ca="1">IFERROR(__xludf.DUMMYFUNCTION("""COMPUTED_VALUE"""),"BONKE")</f>
        <v>BONKE</v>
      </c>
    </row>
    <row r="2011" spans="1:3" x14ac:dyDescent="0.25">
      <c r="A2011" s="2" t="str">
        <f ca="1">IFERROR(__xludf.DUMMYFUNCTION("""COMPUTED_VALUE"""),"bonkearn")</f>
        <v>bonkearn</v>
      </c>
      <c r="B2011" s="2" t="str">
        <f ca="1">IFERROR(__xludf.DUMMYFUNCTION("""COMPUTED_VALUE"""),"bern")</f>
        <v>bern</v>
      </c>
      <c r="C2011" s="2" t="str">
        <f ca="1">IFERROR(__xludf.DUMMYFUNCTION("""COMPUTED_VALUE"""),"BonkEarn")</f>
        <v>BonkEarn</v>
      </c>
    </row>
    <row r="2012" spans="1:3" x14ac:dyDescent="0.25">
      <c r="A2012" s="2" t="str">
        <f ca="1">IFERROR(__xludf.DUMMYFUNCTION("""COMPUTED_VALUE"""),"bonke-base")</f>
        <v>bonke-base</v>
      </c>
      <c r="B2012" s="2" t="str">
        <f ca="1">IFERROR(__xludf.DUMMYFUNCTION("""COMPUTED_VALUE"""),"bonke")</f>
        <v>bonke</v>
      </c>
      <c r="C2012" s="2" t="str">
        <f ca="1">IFERROR(__xludf.DUMMYFUNCTION("""COMPUTED_VALUE"""),"Bonke (Base)")</f>
        <v>Bonke (Base)</v>
      </c>
    </row>
    <row r="2013" spans="1:3" x14ac:dyDescent="0.25">
      <c r="A2013" s="2" t="str">
        <f ca="1">IFERROR(__xludf.DUMMYFUNCTION("""COMPUTED_VALUE"""),"bonk-inu")</f>
        <v>bonk-inu</v>
      </c>
      <c r="B2013" s="2" t="str">
        <f ca="1">IFERROR(__xludf.DUMMYFUNCTION("""COMPUTED_VALUE"""),"bonki")</f>
        <v>bonki</v>
      </c>
      <c r="C2013" s="2" t="str">
        <f ca="1">IFERROR(__xludf.DUMMYFUNCTION("""COMPUTED_VALUE"""),"BONK Inu")</f>
        <v>BONK Inu</v>
      </c>
    </row>
    <row r="2014" spans="1:3" x14ac:dyDescent="0.25">
      <c r="A2014" s="2" t="str">
        <f ca="1">IFERROR(__xludf.DUMMYFUNCTION("""COMPUTED_VALUE"""),"bonklana")</f>
        <v>bonklana</v>
      </c>
      <c r="B2014" s="2" t="str">
        <f ca="1">IFERROR(__xludf.DUMMYFUNCTION("""COMPUTED_VALUE"""),"bok")</f>
        <v>bok</v>
      </c>
      <c r="C2014" s="2" t="str">
        <f ca="1">IFERROR(__xludf.DUMMYFUNCTION("""COMPUTED_VALUE"""),"BONKLANA")</f>
        <v>BONKLANA</v>
      </c>
    </row>
    <row r="2015" spans="1:3" x14ac:dyDescent="0.25">
      <c r="A2015" s="2" t="str">
        <f ca="1">IFERROR(__xludf.DUMMYFUNCTION("""COMPUTED_VALUE"""),"bonk-of-america")</f>
        <v>bonk-of-america</v>
      </c>
      <c r="B2015" s="2" t="str">
        <f ca="1">IFERROR(__xludf.DUMMYFUNCTION("""COMPUTED_VALUE"""),"bonkfa")</f>
        <v>bonkfa</v>
      </c>
      <c r="C2015" s="2" t="str">
        <f ca="1">IFERROR(__xludf.DUMMYFUNCTION("""COMPUTED_VALUE"""),"Bonk of America")</f>
        <v>Bonk of America</v>
      </c>
    </row>
    <row r="2016" spans="1:3" x14ac:dyDescent="0.25">
      <c r="A2016" s="2" t="str">
        <f ca="1">IFERROR(__xludf.DUMMYFUNCTION("""COMPUTED_VALUE"""),"bonk-on-base")</f>
        <v>bonk-on-base</v>
      </c>
      <c r="B2016" s="2" t="str">
        <f ca="1">IFERROR(__xludf.DUMMYFUNCTION("""COMPUTED_VALUE"""),"bonk")</f>
        <v>bonk</v>
      </c>
      <c r="C2016" s="2" t="str">
        <f ca="1">IFERROR(__xludf.DUMMYFUNCTION("""COMPUTED_VALUE"""),"Bonk On Base")</f>
        <v>Bonk On Base</v>
      </c>
    </row>
    <row r="2017" spans="1:3" x14ac:dyDescent="0.25">
      <c r="A2017" s="2" t="str">
        <f ca="1">IFERROR(__xludf.DUMMYFUNCTION("""COMPUTED_VALUE"""),"bonk-on-eth")</f>
        <v>bonk-on-eth</v>
      </c>
      <c r="B2017" s="2" t="str">
        <f ca="1">IFERROR(__xludf.DUMMYFUNCTION("""COMPUTED_VALUE"""),"bonk")</f>
        <v>bonk</v>
      </c>
      <c r="C2017" s="2" t="str">
        <f ca="1">IFERROR(__xludf.DUMMYFUNCTION("""COMPUTED_VALUE"""),"BONK on ETH")</f>
        <v>BONK on ETH</v>
      </c>
    </row>
    <row r="2018" spans="1:3" x14ac:dyDescent="0.25">
      <c r="A2018" s="2" t="str">
        <f ca="1">IFERROR(__xludf.DUMMYFUNCTION("""COMPUTED_VALUE"""),"bonk-staked-sol")</f>
        <v>bonk-staked-sol</v>
      </c>
      <c r="B2018" s="2" t="str">
        <f ca="1">IFERROR(__xludf.DUMMYFUNCTION("""COMPUTED_VALUE"""),"bonksol")</f>
        <v>bonksol</v>
      </c>
      <c r="C2018" s="2" t="str">
        <f ca="1">IFERROR(__xludf.DUMMYFUNCTION("""COMPUTED_VALUE"""),"Bonk Staked SOL")</f>
        <v>Bonk Staked SOL</v>
      </c>
    </row>
    <row r="2019" spans="1:3" x14ac:dyDescent="0.25">
      <c r="A2019" s="2" t="str">
        <f ca="1">IFERROR(__xludf.DUMMYFUNCTION("""COMPUTED_VALUE"""),"bonk-wif-glass")</f>
        <v>bonk-wif-glass</v>
      </c>
      <c r="B2019" s="2" t="str">
        <f ca="1">IFERROR(__xludf.DUMMYFUNCTION("""COMPUTED_VALUE"""),"bong")</f>
        <v>bong</v>
      </c>
      <c r="C2019" s="2" t="str">
        <f ca="1">IFERROR(__xludf.DUMMYFUNCTION("""COMPUTED_VALUE"""),"Bonk wif glass")</f>
        <v>Bonk wif glass</v>
      </c>
    </row>
    <row r="2020" spans="1:3" x14ac:dyDescent="0.25">
      <c r="A2020" s="2" t="str">
        <f ca="1">IFERROR(__xludf.DUMMYFUNCTION("""COMPUTED_VALUE"""),"bonkwifhat")</f>
        <v>bonkwifhat</v>
      </c>
      <c r="B2020" s="2" t="str">
        <f ca="1">IFERROR(__xludf.DUMMYFUNCTION("""COMPUTED_VALUE"""),"bif")</f>
        <v>bif</v>
      </c>
      <c r="C2020" s="2" t="str">
        <f ca="1">IFERROR(__xludf.DUMMYFUNCTION("""COMPUTED_VALUE"""),"bonkwifhat")</f>
        <v>bonkwifhat</v>
      </c>
    </row>
    <row r="2021" spans="1:3" x14ac:dyDescent="0.25">
      <c r="A2021" s="2" t="str">
        <f ca="1">IFERROR(__xludf.DUMMYFUNCTION("""COMPUTED_VALUE"""),"bonsai")</f>
        <v>bonsai</v>
      </c>
      <c r="B2021" s="2" t="str">
        <f ca="1">IFERROR(__xludf.DUMMYFUNCTION("""COMPUTED_VALUE"""),"bonsai")</f>
        <v>bonsai</v>
      </c>
      <c r="C2021" s="2" t="str">
        <f ca="1">IFERROR(__xludf.DUMMYFUNCTION("""COMPUTED_VALUE"""),"Bonsai")</f>
        <v>Bonsai</v>
      </c>
    </row>
    <row r="2022" spans="1:3" x14ac:dyDescent="0.25">
      <c r="A2022" s="2" t="str">
        <f ca="1">IFERROR(__xludf.DUMMYFUNCTION("""COMPUTED_VALUE"""),"bonsai3")</f>
        <v>bonsai3</v>
      </c>
      <c r="B2022" s="2" t="str">
        <f ca="1">IFERROR(__xludf.DUMMYFUNCTION("""COMPUTED_VALUE"""),"seed")</f>
        <v>seed</v>
      </c>
      <c r="C2022" s="2" t="str">
        <f ca="1">IFERROR(__xludf.DUMMYFUNCTION("""COMPUTED_VALUE"""),"Bonsai3")</f>
        <v>Bonsai3</v>
      </c>
    </row>
    <row r="2023" spans="1:3" x14ac:dyDescent="0.25">
      <c r="A2023" s="2" t="str">
        <f ca="1">IFERROR(__xludf.DUMMYFUNCTION("""COMPUTED_VALUE"""),"bonsai-coin")</f>
        <v>bonsai-coin</v>
      </c>
      <c r="B2023" s="2" t="str">
        <f ca="1">IFERROR(__xludf.DUMMYFUNCTION("""COMPUTED_VALUE"""),"bonsaicoin")</f>
        <v>bonsaicoin</v>
      </c>
      <c r="C2023" s="2" t="str">
        <f ca="1">IFERROR(__xludf.DUMMYFUNCTION("""COMPUTED_VALUE"""),"Bonsai Coin")</f>
        <v>Bonsai Coin</v>
      </c>
    </row>
    <row r="2024" spans="1:3" x14ac:dyDescent="0.25">
      <c r="A2024" s="2" t="str">
        <f ca="1">IFERROR(__xludf.DUMMYFUNCTION("""COMPUTED_VALUE"""),"bonsai-network")</f>
        <v>bonsai-network</v>
      </c>
      <c r="B2024" s="2" t="str">
        <f ca="1">IFERROR(__xludf.DUMMYFUNCTION("""COMPUTED_VALUE"""),"bnsai")</f>
        <v>bnsai</v>
      </c>
      <c r="C2024" s="2" t="str">
        <f ca="1">IFERROR(__xludf.DUMMYFUNCTION("""COMPUTED_VALUE"""),"bonsAI Network")</f>
        <v>bonsAI Network</v>
      </c>
    </row>
    <row r="2025" spans="1:3" x14ac:dyDescent="0.25">
      <c r="A2025" s="2" t="str">
        <f ca="1">IFERROR(__xludf.DUMMYFUNCTION("""COMPUTED_VALUE"""),"bonsai-token")</f>
        <v>bonsai-token</v>
      </c>
      <c r="B2025" s="2" t="str">
        <f ca="1">IFERROR(__xludf.DUMMYFUNCTION("""COMPUTED_VALUE"""),"bonsai")</f>
        <v>bonsai</v>
      </c>
      <c r="C2025" s="2" t="str">
        <f ca="1">IFERROR(__xludf.DUMMYFUNCTION("""COMPUTED_VALUE"""),"Bonsai Token")</f>
        <v>Bonsai Token</v>
      </c>
    </row>
    <row r="2026" spans="1:3" x14ac:dyDescent="0.25">
      <c r="A2026" s="2" t="str">
        <f ca="1">IFERROR(__xludf.DUMMYFUNCTION("""COMPUTED_VALUE"""),"bontecoin")</f>
        <v>bontecoin</v>
      </c>
      <c r="B2026" s="2" t="str">
        <f ca="1">IFERROR(__xludf.DUMMYFUNCTION("""COMPUTED_VALUE"""),"bonte")</f>
        <v>bonte</v>
      </c>
      <c r="C2026" s="2" t="str">
        <f ca="1">IFERROR(__xludf.DUMMYFUNCTION("""COMPUTED_VALUE"""),"Bontecoin")</f>
        <v>Bontecoin</v>
      </c>
    </row>
    <row r="2027" spans="1:3" x14ac:dyDescent="0.25">
      <c r="A2027" s="2" t="str">
        <f ca="1">IFERROR(__xludf.DUMMYFUNCTION("""COMPUTED_VALUE"""),"bonusblock")</f>
        <v>bonusblock</v>
      </c>
      <c r="B2027" s="2" t="str">
        <f ca="1">IFERROR(__xludf.DUMMYFUNCTION("""COMPUTED_VALUE"""),"bonus")</f>
        <v>bonus</v>
      </c>
      <c r="C2027" s="2" t="str">
        <f ca="1">IFERROR(__xludf.DUMMYFUNCTION("""COMPUTED_VALUE"""),"BonusBlock")</f>
        <v>BonusBlock</v>
      </c>
    </row>
    <row r="2028" spans="1:3" x14ac:dyDescent="0.25">
      <c r="A2028" s="2" t="str">
        <f ca="1">IFERROR(__xludf.DUMMYFUNCTION("""COMPUTED_VALUE"""),"bonzai-depin")</f>
        <v>bonzai-depin</v>
      </c>
      <c r="B2028" s="2" t="str">
        <f ca="1">IFERROR(__xludf.DUMMYFUNCTION("""COMPUTED_VALUE"""),"bonzai")</f>
        <v>bonzai</v>
      </c>
      <c r="C2028" s="2" t="str">
        <f ca="1">IFERROR(__xludf.DUMMYFUNCTION("""COMPUTED_VALUE"""),"BonzAI DePIN")</f>
        <v>BonzAI DePIN</v>
      </c>
    </row>
    <row r="2029" spans="1:3" x14ac:dyDescent="0.25">
      <c r="A2029" s="2" t="str">
        <f ca="1">IFERROR(__xludf.DUMMYFUNCTION("""COMPUTED_VALUE"""),"bonzi")</f>
        <v>bonzi</v>
      </c>
      <c r="B2029" s="2" t="str">
        <f ca="1">IFERROR(__xludf.DUMMYFUNCTION("""COMPUTED_VALUE"""),"bonzi")</f>
        <v>bonzi</v>
      </c>
      <c r="C2029" s="2" t="str">
        <f ca="1">IFERROR(__xludf.DUMMYFUNCTION("""COMPUTED_VALUE"""),"Bonzi")</f>
        <v>Bonzi</v>
      </c>
    </row>
    <row r="2030" spans="1:3" x14ac:dyDescent="0.25">
      <c r="A2030" s="2" t="str">
        <f ca="1">IFERROR(__xludf.DUMMYFUNCTION("""COMPUTED_VALUE"""),"boo-2")</f>
        <v>boo-2</v>
      </c>
      <c r="B2030" s="2" t="str">
        <f ca="1">IFERROR(__xludf.DUMMYFUNCTION("""COMPUTED_VALUE"""),"$boo")</f>
        <v>$boo</v>
      </c>
      <c r="C2030" s="2" t="str">
        <f ca="1">IFERROR(__xludf.DUMMYFUNCTION("""COMPUTED_VALUE"""),"BOO")</f>
        <v>BOO</v>
      </c>
    </row>
    <row r="2031" spans="1:3" x14ac:dyDescent="0.25">
      <c r="A2031" s="2" t="str">
        <f ca="1">IFERROR(__xludf.DUMMYFUNCTION("""COMPUTED_VALUE"""),"book-2")</f>
        <v>book-2</v>
      </c>
      <c r="B2031" s="2" t="str">
        <f ca="1">IFERROR(__xludf.DUMMYFUNCTION("""COMPUTED_VALUE"""),"stuff")</f>
        <v>stuff</v>
      </c>
      <c r="C2031" s="3" t="str">
        <f ca="1">IFERROR(__xludf.DUMMYFUNCTION("""COMPUTED_VALUE"""),"STUFF.io")</f>
        <v>STUFF.io</v>
      </c>
    </row>
    <row r="2032" spans="1:3" x14ac:dyDescent="0.25">
      <c r="A2032" s="2" t="str">
        <f ca="1">IFERROR(__xludf.DUMMYFUNCTION("""COMPUTED_VALUE"""),"bookiebot")</f>
        <v>bookiebot</v>
      </c>
      <c r="B2032" s="2" t="str">
        <f ca="1">IFERROR(__xludf.DUMMYFUNCTION("""COMPUTED_VALUE"""),"bb")</f>
        <v>bb</v>
      </c>
      <c r="C2032" s="2" t="str">
        <f ca="1">IFERROR(__xludf.DUMMYFUNCTION("""COMPUTED_VALUE"""),"BookieBot")</f>
        <v>BookieBot</v>
      </c>
    </row>
    <row r="2033" spans="1:3" x14ac:dyDescent="0.25">
      <c r="A2033" s="2" t="str">
        <f ca="1">IFERROR(__xludf.DUMMYFUNCTION("""COMPUTED_VALUE"""),"book-of-ai-meow")</f>
        <v>book-of-ai-meow</v>
      </c>
      <c r="B2033" s="2" t="str">
        <f ca="1">IFERROR(__xludf.DUMMYFUNCTION("""COMPUTED_VALUE"""),"boam")</f>
        <v>boam</v>
      </c>
      <c r="C2033" s="2" t="str">
        <f ca="1">IFERROR(__xludf.DUMMYFUNCTION("""COMPUTED_VALUE"""),"BOOK OF AI MEOW")</f>
        <v>BOOK OF AI MEOW</v>
      </c>
    </row>
    <row r="2034" spans="1:3" x14ac:dyDescent="0.25">
      <c r="A2034" s="2" t="str">
        <f ca="1">IFERROR(__xludf.DUMMYFUNCTION("""COMPUTED_VALUE"""),"book-of-baby-memes")</f>
        <v>book-of-baby-memes</v>
      </c>
      <c r="B2034" s="2" t="str">
        <f ca="1">IFERROR(__xludf.DUMMYFUNCTION("""COMPUTED_VALUE"""),"babybome")</f>
        <v>babybome</v>
      </c>
      <c r="C2034" s="2" t="str">
        <f ca="1">IFERROR(__xludf.DUMMYFUNCTION("""COMPUTED_VALUE"""),"Book of Baby Memes")</f>
        <v>Book of Baby Memes</v>
      </c>
    </row>
    <row r="2035" spans="1:3" x14ac:dyDescent="0.25">
      <c r="A2035" s="2" t="str">
        <f ca="1">IFERROR(__xludf.DUMMYFUNCTION("""COMPUTED_VALUE"""),"book-of-billionaires")</f>
        <v>book-of-billionaires</v>
      </c>
      <c r="B2035" s="2" t="str">
        <f ca="1">IFERROR(__xludf.DUMMYFUNCTION("""COMPUTED_VALUE"""),"bobe")</f>
        <v>bobe</v>
      </c>
      <c r="C2035" s="2" t="str">
        <f ca="1">IFERROR(__xludf.DUMMYFUNCTION("""COMPUTED_VALUE"""),"BOOK OF BILLIONAIRES")</f>
        <v>BOOK OF BILLIONAIRES</v>
      </c>
    </row>
    <row r="2036" spans="1:3" x14ac:dyDescent="0.25">
      <c r="A2036" s="2" t="str">
        <f ca="1">IFERROR(__xludf.DUMMYFUNCTION("""COMPUTED_VALUE"""),"book-of-bitcoin")</f>
        <v>book-of-bitcoin</v>
      </c>
      <c r="B2036" s="2" t="str">
        <f ca="1">IFERROR(__xludf.DUMMYFUNCTION("""COMPUTED_VALUE"""),"boob")</f>
        <v>boob</v>
      </c>
      <c r="C2036" s="2" t="str">
        <f ca="1">IFERROR(__xludf.DUMMYFUNCTION("""COMPUTED_VALUE"""),"Book Of Bitcoin")</f>
        <v>Book Of Bitcoin</v>
      </c>
    </row>
    <row r="2037" spans="1:3" x14ac:dyDescent="0.25">
      <c r="A2037" s="2" t="str">
        <f ca="1">IFERROR(__xludf.DUMMYFUNCTION("""COMPUTED_VALUE"""),"bookofbullrun")</f>
        <v>bookofbullrun</v>
      </c>
      <c r="B2037" s="2" t="str">
        <f ca="1">IFERROR(__xludf.DUMMYFUNCTION("""COMPUTED_VALUE"""),"$boob")</f>
        <v>$boob</v>
      </c>
      <c r="C2037" s="2" t="str">
        <f ca="1">IFERROR(__xludf.DUMMYFUNCTION("""COMPUTED_VALUE"""),"BookOfBullrun")</f>
        <v>BookOfBullrun</v>
      </c>
    </row>
    <row r="2038" spans="1:3" x14ac:dyDescent="0.25">
      <c r="A2038" s="2" t="str">
        <f ca="1">IFERROR(__xludf.DUMMYFUNCTION("""COMPUTED_VALUE"""),"book-of-buzz")</f>
        <v>book-of-buzz</v>
      </c>
      <c r="B2038" s="2" t="str">
        <f ca="1">IFERROR(__xludf.DUMMYFUNCTION("""COMPUTED_VALUE"""),"boobz")</f>
        <v>boobz</v>
      </c>
      <c r="C2038" s="2" t="str">
        <f ca="1">IFERROR(__xludf.DUMMYFUNCTION("""COMPUTED_VALUE"""),"Book Of Buzz")</f>
        <v>Book Of Buzz</v>
      </c>
    </row>
    <row r="2039" spans="1:3" x14ac:dyDescent="0.25">
      <c r="A2039" s="2" t="str">
        <f ca="1">IFERROR(__xludf.DUMMYFUNCTION("""COMPUTED_VALUE"""),"book-of-derp")</f>
        <v>book-of-derp</v>
      </c>
      <c r="B2039" s="2" t="str">
        <f ca="1">IFERROR(__xludf.DUMMYFUNCTION("""COMPUTED_VALUE"""),"bode")</f>
        <v>bode</v>
      </c>
      <c r="C2039" s="2" t="str">
        <f ca="1">IFERROR(__xludf.DUMMYFUNCTION("""COMPUTED_VALUE"""),"Book of Derp")</f>
        <v>Book of Derp</v>
      </c>
    </row>
    <row r="2040" spans="1:3" x14ac:dyDescent="0.25">
      <c r="A2040" s="2" t="str">
        <f ca="1">IFERROR(__xludf.DUMMYFUNCTION("""COMPUTED_VALUE"""),"book-of-doge-memes")</f>
        <v>book-of-doge-memes</v>
      </c>
      <c r="B2040" s="2" t="str">
        <f ca="1">IFERROR(__xludf.DUMMYFUNCTION("""COMPUTED_VALUE"""),"bomedoge")</f>
        <v>bomedoge</v>
      </c>
      <c r="C2040" s="2" t="str">
        <f ca="1">IFERROR(__xludf.DUMMYFUNCTION("""COMPUTED_VALUE"""),"BOOK OF DOGE MEMES")</f>
        <v>BOOK OF DOGE MEMES</v>
      </c>
    </row>
    <row r="2041" spans="1:3" x14ac:dyDescent="0.25">
      <c r="A2041" s="2" t="str">
        <f ca="1">IFERROR(__xludf.DUMMYFUNCTION("""COMPUTED_VALUE"""),"book-of-dyor")</f>
        <v>book-of-dyor</v>
      </c>
      <c r="B2041" s="2" t="str">
        <f ca="1">IFERROR(__xludf.DUMMYFUNCTION("""COMPUTED_VALUE"""),"dyor")</f>
        <v>dyor</v>
      </c>
      <c r="C2041" s="2" t="str">
        <f ca="1">IFERROR(__xludf.DUMMYFUNCTION("""COMPUTED_VALUE"""),"Book of DYOR")</f>
        <v>Book of DYOR</v>
      </c>
    </row>
    <row r="2042" spans="1:3" x14ac:dyDescent="0.25">
      <c r="A2042" s="2" t="str">
        <f ca="1">IFERROR(__xludf.DUMMYFUNCTION("""COMPUTED_VALUE"""),"book-of-ethereum")</f>
        <v>book-of-ethereum</v>
      </c>
      <c r="B2042" s="2" t="str">
        <f ca="1">IFERROR(__xludf.DUMMYFUNCTION("""COMPUTED_VALUE"""),"booe")</f>
        <v>booe</v>
      </c>
      <c r="C2042" s="2" t="str">
        <f ca="1">IFERROR(__xludf.DUMMYFUNCTION("""COMPUTED_VALUE"""),"Book of Ethereum")</f>
        <v>Book of Ethereum</v>
      </c>
    </row>
    <row r="2043" spans="1:3" x14ac:dyDescent="0.25">
      <c r="A2043" s="2" t="str">
        <f ca="1">IFERROR(__xludf.DUMMYFUNCTION("""COMPUTED_VALUE"""),"book-of-meme")</f>
        <v>book-of-meme</v>
      </c>
      <c r="B2043" s="2" t="str">
        <f ca="1">IFERROR(__xludf.DUMMYFUNCTION("""COMPUTED_VALUE"""),"bome")</f>
        <v>bome</v>
      </c>
      <c r="C2043" s="2" t="str">
        <f ca="1">IFERROR(__xludf.DUMMYFUNCTION("""COMPUTED_VALUE"""),"BOOK OF MEME")</f>
        <v>BOOK OF MEME</v>
      </c>
    </row>
    <row r="2044" spans="1:3" x14ac:dyDescent="0.25">
      <c r="A2044" s="2" t="str">
        <f ca="1">IFERROR(__xludf.DUMMYFUNCTION("""COMPUTED_VALUE"""),"book-of-meme-2-0")</f>
        <v>book-of-meme-2-0</v>
      </c>
      <c r="B2044" s="2" t="str">
        <f ca="1">IFERROR(__xludf.DUMMYFUNCTION("""COMPUTED_VALUE"""),"bome2")</f>
        <v>bome2</v>
      </c>
      <c r="C2044" s="2" t="str">
        <f ca="1">IFERROR(__xludf.DUMMYFUNCTION("""COMPUTED_VALUE"""),"Book of Meme 2.0")</f>
        <v>Book of Meme 2.0</v>
      </c>
    </row>
    <row r="2045" spans="1:3" x14ac:dyDescent="0.25">
      <c r="A2045" s="2" t="str">
        <f ca="1">IFERROR(__xludf.DUMMYFUNCTION("""COMPUTED_VALUE"""),"book-of-meow")</f>
        <v>book-of-meow</v>
      </c>
      <c r="B2045" s="2" t="str">
        <f ca="1">IFERROR(__xludf.DUMMYFUNCTION("""COMPUTED_VALUE"""),"bomeow")</f>
        <v>bomeow</v>
      </c>
      <c r="C2045" s="2" t="str">
        <f ca="1">IFERROR(__xludf.DUMMYFUNCTION("""COMPUTED_VALUE"""),"Book of Meow")</f>
        <v>Book of Meow</v>
      </c>
    </row>
    <row r="2046" spans="1:3" x14ac:dyDescent="0.25">
      <c r="A2046" s="2" t="str">
        <f ca="1">IFERROR(__xludf.DUMMYFUNCTION("""COMPUTED_VALUE"""),"book-of-pepe")</f>
        <v>book-of-pepe</v>
      </c>
      <c r="B2046" s="2" t="str">
        <f ca="1">IFERROR(__xludf.DUMMYFUNCTION("""COMPUTED_VALUE"""),"bope")</f>
        <v>bope</v>
      </c>
      <c r="C2046" s="2" t="str">
        <f ca="1">IFERROR(__xludf.DUMMYFUNCTION("""COMPUTED_VALUE"""),"Book of Pepe")</f>
        <v>Book of Pepe</v>
      </c>
    </row>
    <row r="2047" spans="1:3" x14ac:dyDescent="0.25">
      <c r="A2047" s="2" t="str">
        <f ca="1">IFERROR(__xludf.DUMMYFUNCTION("""COMPUTED_VALUE"""),"book-of-pumpfluencers")</f>
        <v>book-of-pumpfluencers</v>
      </c>
      <c r="B2047" s="2" t="str">
        <f ca="1">IFERROR(__xludf.DUMMYFUNCTION("""COMPUTED_VALUE"""),"bopi")</f>
        <v>bopi</v>
      </c>
      <c r="C2047" s="2" t="str">
        <f ca="1">IFERROR(__xludf.DUMMYFUNCTION("""COMPUTED_VALUE"""),"Book Of Pumpfluencers")</f>
        <v>Book Of Pumpfluencers</v>
      </c>
    </row>
    <row r="2048" spans="1:3" x14ac:dyDescent="0.25">
      <c r="A2048" s="2" t="str">
        <f ca="1">IFERROR(__xludf.DUMMYFUNCTION("""COMPUTED_VALUE"""),"bool")</f>
        <v>bool</v>
      </c>
      <c r="B2048" s="2" t="str">
        <f ca="1">IFERROR(__xludf.DUMMYFUNCTION("""COMPUTED_VALUE"""),"bool")</f>
        <v>bool</v>
      </c>
      <c r="C2048" s="2" t="str">
        <f ca="1">IFERROR(__xludf.DUMMYFUNCTION("""COMPUTED_VALUE"""),"Bool")</f>
        <v>Bool</v>
      </c>
    </row>
    <row r="2049" spans="1:3" x14ac:dyDescent="0.25">
      <c r="A2049" s="2" t="str">
        <f ca="1">IFERROR(__xludf.DUMMYFUNCTION("""COMPUTED_VALUE"""),"boomer")</f>
        <v>boomer</v>
      </c>
      <c r="B2049" s="2" t="str">
        <f ca="1">IFERROR(__xludf.DUMMYFUNCTION("""COMPUTED_VALUE"""),"boomer")</f>
        <v>boomer</v>
      </c>
      <c r="C2049" s="2" t="str">
        <f ca="1">IFERROR(__xludf.DUMMYFUNCTION("""COMPUTED_VALUE"""),"Boomer")</f>
        <v>Boomer</v>
      </c>
    </row>
    <row r="2050" spans="1:3" x14ac:dyDescent="0.25">
      <c r="A2050" s="2" t="str">
        <f ca="1">IFERROR(__xludf.DUMMYFUNCTION("""COMPUTED_VALUE"""),"boomers-on-sol")</f>
        <v>boomers-on-sol</v>
      </c>
      <c r="B2050" s="2" t="str">
        <f ca="1">IFERROR(__xludf.DUMMYFUNCTION("""COMPUTED_VALUE"""),"boomer")</f>
        <v>boomer</v>
      </c>
      <c r="C2050" s="2" t="str">
        <f ca="1">IFERROR(__xludf.DUMMYFUNCTION("""COMPUTED_VALUE"""),"Boomers on Sol")</f>
        <v>Boomers on Sol</v>
      </c>
    </row>
    <row r="2051" spans="1:3" x14ac:dyDescent="0.25">
      <c r="A2051" s="2" t="str">
        <f ca="1">IFERROR(__xludf.DUMMYFUNCTION("""COMPUTED_VALUE"""),"boo-mirrorworld")</f>
        <v>boo-mirrorworld</v>
      </c>
      <c r="B2051" s="2" t="str">
        <f ca="1">IFERROR(__xludf.DUMMYFUNCTION("""COMPUTED_VALUE"""),"xboo")</f>
        <v>xboo</v>
      </c>
      <c r="C2051" s="2" t="str">
        <f ca="1">IFERROR(__xludf.DUMMYFUNCTION("""COMPUTED_VALUE"""),"Boo MirrorWorld")</f>
        <v>Boo MirrorWorld</v>
      </c>
    </row>
    <row r="2052" spans="1:3" x14ac:dyDescent="0.25">
      <c r="A2052" s="2" t="str">
        <f ca="1">IFERROR(__xludf.DUMMYFUNCTION("""COMPUTED_VALUE"""),"boom-up")</f>
        <v>boom-up</v>
      </c>
      <c r="B2052" s="2" t="str">
        <f ca="1">IFERROR(__xludf.DUMMYFUNCTION("""COMPUTED_VALUE"""),"boom")</f>
        <v>boom</v>
      </c>
      <c r="C2052" s="2" t="str">
        <f ca="1">IFERROR(__xludf.DUMMYFUNCTION("""COMPUTED_VALUE"""),"Boom Up")</f>
        <v>Boom Up</v>
      </c>
    </row>
    <row r="2053" spans="1:3" x14ac:dyDescent="0.25">
      <c r="A2053" s="2" t="str">
        <f ca="1">IFERROR(__xludf.DUMMYFUNCTION("""COMPUTED_VALUE"""),"boop")</f>
        <v>boop</v>
      </c>
      <c r="B2053" s="2" t="str">
        <f ca="1">IFERROR(__xludf.DUMMYFUNCTION("""COMPUTED_VALUE"""),"boop")</f>
        <v>boop</v>
      </c>
      <c r="C2053" s="2" t="str">
        <f ca="1">IFERROR(__xludf.DUMMYFUNCTION("""COMPUTED_VALUE"""),"Boop")</f>
        <v>Boop</v>
      </c>
    </row>
    <row r="2054" spans="1:3" x14ac:dyDescent="0.25">
      <c r="A2054" s="2" t="str">
        <f ca="1">IFERROR(__xludf.DUMMYFUNCTION("""COMPUTED_VALUE"""),"boop-2")</f>
        <v>boop-2</v>
      </c>
      <c r="B2054" s="2" t="str">
        <f ca="1">IFERROR(__xludf.DUMMYFUNCTION("""COMPUTED_VALUE"""),"boop")</f>
        <v>boop</v>
      </c>
      <c r="C2054" s="2" t="str">
        <f ca="1">IFERROR(__xludf.DUMMYFUNCTION("""COMPUTED_VALUE"""),"Boop")</f>
        <v>Boop</v>
      </c>
    </row>
    <row r="2055" spans="1:3" x14ac:dyDescent="0.25">
      <c r="A2055" s="2" t="str">
        <f ca="1">IFERROR(__xludf.DUMMYFUNCTION("""COMPUTED_VALUE"""),"boosey")</f>
        <v>boosey</v>
      </c>
      <c r="B2055" s="2" t="str">
        <f ca="1">IFERROR(__xludf.DUMMYFUNCTION("""COMPUTED_VALUE"""),"boosey")</f>
        <v>boosey</v>
      </c>
      <c r="C2055" s="2" t="str">
        <f ca="1">IFERROR(__xludf.DUMMYFUNCTION("""COMPUTED_VALUE"""),"BOOSEY")</f>
        <v>BOOSEY</v>
      </c>
    </row>
    <row r="2056" spans="1:3" x14ac:dyDescent="0.25">
      <c r="A2056" s="2" t="str">
        <f ca="1">IFERROR(__xludf.DUMMYFUNCTION("""COMPUTED_VALUE"""),"boost")</f>
        <v>boost</v>
      </c>
      <c r="B2056" s="2" t="str">
        <f ca="1">IFERROR(__xludf.DUMMYFUNCTION("""COMPUTED_VALUE"""),"boost")</f>
        <v>boost</v>
      </c>
      <c r="C2056" s="2" t="str">
        <f ca="1">IFERROR(__xludf.DUMMYFUNCTION("""COMPUTED_VALUE"""),"Boost")</f>
        <v>Boost</v>
      </c>
    </row>
    <row r="2057" spans="1:3" x14ac:dyDescent="0.25">
      <c r="A2057" s="2" t="str">
        <f ca="1">IFERROR(__xludf.DUMMYFUNCTION("""COMPUTED_VALUE"""),"boostai")</f>
        <v>boostai</v>
      </c>
      <c r="B2057" s="2" t="str">
        <f ca="1">IFERROR(__xludf.DUMMYFUNCTION("""COMPUTED_VALUE"""),"boost")</f>
        <v>boost</v>
      </c>
      <c r="C2057" s="2" t="str">
        <f ca="1">IFERROR(__xludf.DUMMYFUNCTION("""COMPUTED_VALUE"""),"BoostAI")</f>
        <v>BoostAI</v>
      </c>
    </row>
    <row r="2058" spans="1:3" x14ac:dyDescent="0.25">
      <c r="A2058" s="2" t="str">
        <f ca="1">IFERROR(__xludf.DUMMYFUNCTION("""COMPUTED_VALUE"""),"boosted-lusd")</f>
        <v>boosted-lusd</v>
      </c>
      <c r="B2058" s="2" t="str">
        <f ca="1">IFERROR(__xludf.DUMMYFUNCTION("""COMPUTED_VALUE"""),"blusd")</f>
        <v>blusd</v>
      </c>
      <c r="C2058" s="2" t="str">
        <f ca="1">IFERROR(__xludf.DUMMYFUNCTION("""COMPUTED_VALUE"""),"Boosted LUSD")</f>
        <v>Boosted LUSD</v>
      </c>
    </row>
    <row r="2059" spans="1:3" x14ac:dyDescent="0.25">
      <c r="A2059" s="2" t="str">
        <f ca="1">IFERROR(__xludf.DUMMYFUNCTION("""COMPUTED_VALUE"""),"booty")</f>
        <v>booty</v>
      </c>
      <c r="B2059" s="2" t="str">
        <f ca="1">IFERROR(__xludf.DUMMYFUNCTION("""COMPUTED_VALUE"""),"booty")</f>
        <v>booty</v>
      </c>
      <c r="C2059" s="2" t="str">
        <f ca="1">IFERROR(__xludf.DUMMYFUNCTION("""COMPUTED_VALUE"""),"BOOTY")</f>
        <v>BOOTY</v>
      </c>
    </row>
    <row r="2060" spans="1:3" x14ac:dyDescent="0.25">
      <c r="A2060" s="2" t="str">
        <f ca="1">IFERROR(__xludf.DUMMYFUNCTION("""COMPUTED_VALUE"""),"booty-2")</f>
        <v>booty-2</v>
      </c>
      <c r="B2060" s="2" t="str">
        <f ca="1">IFERROR(__xludf.DUMMYFUNCTION("""COMPUTED_VALUE"""),"$booty")</f>
        <v>$booty</v>
      </c>
      <c r="C2060" s="2" t="str">
        <f ca="1">IFERROR(__xludf.DUMMYFUNCTION("""COMPUTED_VALUE"""),"Booty")</f>
        <v>Booty</v>
      </c>
    </row>
    <row r="2061" spans="1:3" x14ac:dyDescent="0.25">
      <c r="A2061" s="2" t="str">
        <f ca="1">IFERROR(__xludf.DUMMYFUNCTION("""COMPUTED_VALUE"""),"boppy")</f>
        <v>boppy</v>
      </c>
      <c r="B2061" s="2" t="str">
        <f ca="1">IFERROR(__xludf.DUMMYFUNCTION("""COMPUTED_VALUE"""),"boppy")</f>
        <v>boppy</v>
      </c>
      <c r="C2061" s="2" t="str">
        <f ca="1">IFERROR(__xludf.DUMMYFUNCTION("""COMPUTED_VALUE"""),"BOPPY")</f>
        <v>BOPPY</v>
      </c>
    </row>
    <row r="2062" spans="1:3" x14ac:dyDescent="0.25">
      <c r="A2062" s="2" t="str">
        <f ca="1">IFERROR(__xludf.DUMMYFUNCTION("""COMPUTED_VALUE"""),"boppy-the-bat")</f>
        <v>boppy-the-bat</v>
      </c>
      <c r="B2062" s="2" t="str">
        <f ca="1">IFERROR(__xludf.DUMMYFUNCTION("""COMPUTED_VALUE"""),"boppy")</f>
        <v>boppy</v>
      </c>
      <c r="C2062" s="2" t="str">
        <f ca="1">IFERROR(__xludf.DUMMYFUNCTION("""COMPUTED_VALUE"""),"Boppy The Bat")</f>
        <v>Boppy The Bat</v>
      </c>
    </row>
    <row r="2063" spans="1:3" x14ac:dyDescent="0.25">
      <c r="A2063" s="2" t="str">
        <f ca="1">IFERROR(__xludf.DUMMYFUNCTION("""COMPUTED_VALUE"""),"bora")</f>
        <v>bora</v>
      </c>
      <c r="B2063" s="2" t="str">
        <f ca="1">IFERROR(__xludf.DUMMYFUNCTION("""COMPUTED_VALUE"""),"bora")</f>
        <v>bora</v>
      </c>
      <c r="C2063" s="2" t="str">
        <f ca="1">IFERROR(__xludf.DUMMYFUNCTION("""COMPUTED_VALUE"""),"BORA")</f>
        <v>BORA</v>
      </c>
    </row>
    <row r="2064" spans="1:3" x14ac:dyDescent="0.25">
      <c r="A2064" s="2" t="str">
        <f ca="1">IFERROR(__xludf.DUMMYFUNCTION("""COMPUTED_VALUE"""),"bordercolliebsc")</f>
        <v>bordercolliebsc</v>
      </c>
      <c r="B2064" s="2" t="str">
        <f ca="1">IFERROR(__xludf.DUMMYFUNCTION("""COMPUTED_VALUE"""),"bdcl bsc")</f>
        <v>bdcl bsc</v>
      </c>
      <c r="C2064" s="2" t="str">
        <f ca="1">IFERROR(__xludf.DUMMYFUNCTION("""COMPUTED_VALUE"""),"BorderCollieBSC")</f>
        <v>BorderCollieBSC</v>
      </c>
    </row>
    <row r="2065" spans="1:3" x14ac:dyDescent="0.25">
      <c r="A2065" s="2" t="str">
        <f ca="1">IFERROR(__xludf.DUMMYFUNCTION("""COMPUTED_VALUE"""),"borealis")</f>
        <v>borealis</v>
      </c>
      <c r="B2065" s="2" t="str">
        <f ca="1">IFERROR(__xludf.DUMMYFUNCTION("""COMPUTED_VALUE"""),"brl")</f>
        <v>brl</v>
      </c>
      <c r="C2065" s="2" t="str">
        <f ca="1">IFERROR(__xludf.DUMMYFUNCTION("""COMPUTED_VALUE"""),"Borealis")</f>
        <v>Borealis</v>
      </c>
    </row>
    <row r="2066" spans="1:3" x14ac:dyDescent="0.25">
      <c r="A2066" s="2" t="str">
        <f ca="1">IFERROR(__xludf.DUMMYFUNCTION("""COMPUTED_VALUE"""),"bored")</f>
        <v>bored</v>
      </c>
      <c r="B2066" s="2" t="str">
        <f ca="1">IFERROR(__xludf.DUMMYFUNCTION("""COMPUTED_VALUE"""),"$bored")</f>
        <v>$bored</v>
      </c>
      <c r="C2066" s="2" t="str">
        <f ca="1">IFERROR(__xludf.DUMMYFUNCTION("""COMPUTED_VALUE"""),"Bored Token")</f>
        <v>Bored Token</v>
      </c>
    </row>
    <row r="2067" spans="1:3" x14ac:dyDescent="0.25">
      <c r="A2067" s="2" t="str">
        <f ca="1">IFERROR(__xludf.DUMMYFUNCTION("""COMPUTED_VALUE"""),"bored-candy-city")</f>
        <v>bored-candy-city</v>
      </c>
      <c r="B2067" s="2" t="str">
        <f ca="1">IFERROR(__xludf.DUMMYFUNCTION("""COMPUTED_VALUE"""),"candy")</f>
        <v>candy</v>
      </c>
      <c r="C2067" s="2" t="str">
        <f ca="1">IFERROR(__xludf.DUMMYFUNCTION("""COMPUTED_VALUE"""),"Bored Candy City")</f>
        <v>Bored Candy City</v>
      </c>
    </row>
    <row r="2068" spans="1:3" x14ac:dyDescent="0.25">
      <c r="A2068" s="2" t="str">
        <f ca="1">IFERROR(__xludf.DUMMYFUNCTION("""COMPUTED_VALUE"""),"boringdao")</f>
        <v>boringdao</v>
      </c>
      <c r="B2068" s="2" t="str">
        <f ca="1">IFERROR(__xludf.DUMMYFUNCTION("""COMPUTED_VALUE"""),"boring")</f>
        <v>boring</v>
      </c>
      <c r="C2068" s="2" t="str">
        <f ca="1">IFERROR(__xludf.DUMMYFUNCTION("""COMPUTED_VALUE"""),"BoringDAO")</f>
        <v>BoringDAO</v>
      </c>
    </row>
    <row r="2069" spans="1:3" x14ac:dyDescent="0.25">
      <c r="A2069" s="2" t="str">
        <f ca="1">IFERROR(__xludf.DUMMYFUNCTION("""COMPUTED_VALUE"""),"boringdao-[old]")</f>
        <v>boringdao-[old]</v>
      </c>
      <c r="B2069" s="2" t="str">
        <f ca="1">IFERROR(__xludf.DUMMYFUNCTION("""COMPUTED_VALUE"""),"bor")</f>
        <v>bor</v>
      </c>
      <c r="C2069" s="2" t="str">
        <f ca="1">IFERROR(__xludf.DUMMYFUNCTION("""COMPUTED_VALUE"""),"BoringDAO [OLD]")</f>
        <v>BoringDAO [OLD]</v>
      </c>
    </row>
    <row r="2070" spans="1:3" x14ac:dyDescent="0.25">
      <c r="A2070" s="2" t="str">
        <f ca="1">IFERROR(__xludf.DUMMYFUNCTION("""COMPUTED_VALUE"""),"boring-protocol")</f>
        <v>boring-protocol</v>
      </c>
      <c r="B2070" s="2" t="str">
        <f ca="1">IFERROR(__xludf.DUMMYFUNCTION("""COMPUTED_VALUE"""),"bop")</f>
        <v>bop</v>
      </c>
      <c r="C2070" s="2" t="str">
        <f ca="1">IFERROR(__xludf.DUMMYFUNCTION("""COMPUTED_VALUE"""),"Boring Protocol")</f>
        <v>Boring Protocol</v>
      </c>
    </row>
    <row r="2071" spans="1:3" x14ac:dyDescent="0.25">
      <c r="A2071" s="2" t="str">
        <f ca="1">IFERROR(__xludf.DUMMYFUNCTION("""COMPUTED_VALUE"""),"boris")</f>
        <v>boris</v>
      </c>
      <c r="B2071" s="2" t="str">
        <f ca="1">IFERROR(__xludf.DUMMYFUNCTION("""COMPUTED_VALUE"""),"boris")</f>
        <v>boris</v>
      </c>
      <c r="C2071" s="2" t="str">
        <f ca="1">IFERROR(__xludf.DUMMYFUNCTION("""COMPUTED_VALUE"""),"BORIS")</f>
        <v>BORIS</v>
      </c>
    </row>
    <row r="2072" spans="1:3" x14ac:dyDescent="0.25">
      <c r="A2072" s="2" t="str">
        <f ca="1">IFERROR(__xludf.DUMMYFUNCTION("""COMPUTED_VALUE"""),"bork-2")</f>
        <v>bork-2</v>
      </c>
      <c r="B2072" s="2" t="str">
        <f ca="1">IFERROR(__xludf.DUMMYFUNCTION("""COMPUTED_VALUE"""),"bork")</f>
        <v>bork</v>
      </c>
      <c r="C2072" s="2" t="str">
        <f ca="1">IFERROR(__xludf.DUMMYFUNCTION("""COMPUTED_VALUE"""),"Bork")</f>
        <v>Bork</v>
      </c>
    </row>
    <row r="2073" spans="1:3" x14ac:dyDescent="0.25">
      <c r="A2073" s="2" t="str">
        <f ca="1">IFERROR(__xludf.DUMMYFUNCTION("""COMPUTED_VALUE"""),"borpa")</f>
        <v>borpa</v>
      </c>
      <c r="B2073" s="2" t="str">
        <f ca="1">IFERROR(__xludf.DUMMYFUNCTION("""COMPUTED_VALUE"""),"borpa")</f>
        <v>borpa</v>
      </c>
      <c r="C2073" s="2" t="str">
        <f ca="1">IFERROR(__xludf.DUMMYFUNCTION("""COMPUTED_VALUE"""),"Borpa")</f>
        <v>Borpa</v>
      </c>
    </row>
    <row r="2074" spans="1:3" x14ac:dyDescent="0.25">
      <c r="A2074" s="2" t="str">
        <f ca="1">IFERROR(__xludf.DUMMYFUNCTION("""COMPUTED_VALUE"""),"borpatoken")</f>
        <v>borpatoken</v>
      </c>
      <c r="B2074" s="2" t="str">
        <f ca="1">IFERROR(__xludf.DUMMYFUNCTION("""COMPUTED_VALUE"""),"gorples")</f>
        <v>gorples</v>
      </c>
      <c r="C2074" s="2" t="str">
        <f ca="1">IFERROR(__xludf.DUMMYFUNCTION("""COMPUTED_VALUE"""),"GorplesCoin")</f>
        <v>GorplesCoin</v>
      </c>
    </row>
    <row r="2075" spans="1:3" x14ac:dyDescent="0.25">
      <c r="A2075" s="2" t="str">
        <f ca="1">IFERROR(__xludf.DUMMYFUNCTION("""COMPUTED_VALUE"""),"borzoi")</f>
        <v>borzoi</v>
      </c>
      <c r="B2075" s="2" t="str">
        <f ca="1">IFERROR(__xludf.DUMMYFUNCTION("""COMPUTED_VALUE"""),"borzoi")</f>
        <v>borzoi</v>
      </c>
      <c r="C2075" s="2" t="str">
        <f ca="1">IFERROR(__xludf.DUMMYFUNCTION("""COMPUTED_VALUE"""),"Borzoi")</f>
        <v>Borzoi</v>
      </c>
    </row>
    <row r="2076" spans="1:3" x14ac:dyDescent="0.25">
      <c r="A2076" s="2" t="str">
        <f ca="1">IFERROR(__xludf.DUMMYFUNCTION("""COMPUTED_VALUE"""),"borzoi-coin")</f>
        <v>borzoi-coin</v>
      </c>
      <c r="B2076" s="2" t="str">
        <f ca="1">IFERROR(__xludf.DUMMYFUNCTION("""COMPUTED_VALUE"""),"borzoi")</f>
        <v>borzoi</v>
      </c>
      <c r="C2076" s="2" t="str">
        <f ca="1">IFERROR(__xludf.DUMMYFUNCTION("""COMPUTED_VALUE"""),"Borzoi Coin")</f>
        <v>Borzoi Coin</v>
      </c>
    </row>
    <row r="2077" spans="1:3" x14ac:dyDescent="0.25">
      <c r="A2077" s="2" t="str">
        <f ca="1">IFERROR(__xludf.DUMMYFUNCTION("""COMPUTED_VALUE"""),"bosagora")</f>
        <v>bosagora</v>
      </c>
      <c r="B2077" s="2" t="str">
        <f ca="1">IFERROR(__xludf.DUMMYFUNCTION("""COMPUTED_VALUE"""),"boa")</f>
        <v>boa</v>
      </c>
      <c r="C2077" s="2" t="str">
        <f ca="1">IFERROR(__xludf.DUMMYFUNCTION("""COMPUTED_VALUE"""),"BOSagora")</f>
        <v>BOSagora</v>
      </c>
    </row>
    <row r="2078" spans="1:3" x14ac:dyDescent="0.25">
      <c r="A2078" s="2" t="str">
        <f ca="1">IFERROR(__xludf.DUMMYFUNCTION("""COMPUTED_VALUE"""),"boshi")</f>
        <v>boshi</v>
      </c>
      <c r="B2078" s="2" t="str">
        <f ca="1">IFERROR(__xludf.DUMMYFUNCTION("""COMPUTED_VALUE"""),"boshi")</f>
        <v>boshi</v>
      </c>
      <c r="C2078" s="2" t="str">
        <f ca="1">IFERROR(__xludf.DUMMYFUNCTION("""COMPUTED_VALUE"""),"Boshi")</f>
        <v>Boshi</v>
      </c>
    </row>
    <row r="2079" spans="1:3" x14ac:dyDescent="0.25">
      <c r="A2079" s="2" t="str">
        <f ca="1">IFERROR(__xludf.DUMMYFUNCTION("""COMPUTED_VALUE"""),"boson-protocol")</f>
        <v>boson-protocol</v>
      </c>
      <c r="B2079" s="2" t="str">
        <f ca="1">IFERROR(__xludf.DUMMYFUNCTION("""COMPUTED_VALUE"""),"boson")</f>
        <v>boson</v>
      </c>
      <c r="C2079" s="2" t="str">
        <f ca="1">IFERROR(__xludf.DUMMYFUNCTION("""COMPUTED_VALUE"""),"Boson Protocol")</f>
        <v>Boson Protocol</v>
      </c>
    </row>
    <row r="2080" spans="1:3" x14ac:dyDescent="0.25">
      <c r="A2080" s="2" t="str">
        <f ca="1">IFERROR(__xludf.DUMMYFUNCTION("""COMPUTED_VALUE"""),"boss")</f>
        <v>boss</v>
      </c>
      <c r="B2080" s="2" t="str">
        <f ca="1">IFERROR(__xludf.DUMMYFUNCTION("""COMPUTED_VALUE"""),"boss")</f>
        <v>boss</v>
      </c>
      <c r="C2080" s="2" t="str">
        <f ca="1">IFERROR(__xludf.DUMMYFUNCTION("""COMPUTED_VALUE"""),"Boss")</f>
        <v>Boss</v>
      </c>
    </row>
    <row r="2081" spans="1:3" x14ac:dyDescent="0.25">
      <c r="A2081" s="2" t="str">
        <f ca="1">IFERROR(__xludf.DUMMYFUNCTION("""COMPUTED_VALUE"""),"bossie")</f>
        <v>bossie</v>
      </c>
      <c r="B2081" s="2" t="str">
        <f ca="1">IFERROR(__xludf.DUMMYFUNCTION("""COMPUTED_VALUE"""),"bossie")</f>
        <v>bossie</v>
      </c>
      <c r="C2081" s="2" t="str">
        <f ca="1">IFERROR(__xludf.DUMMYFUNCTION("""COMPUTED_VALUE"""),"Bossie")</f>
        <v>Bossie</v>
      </c>
    </row>
    <row r="2082" spans="1:3" x14ac:dyDescent="0.25">
      <c r="A2082" s="2" t="str">
        <f ca="1">IFERROR(__xludf.DUMMYFUNCTION("""COMPUTED_VALUE"""),"bossswap")</f>
        <v>bossswap</v>
      </c>
      <c r="B2082" s="2" t="str">
        <f ca="1">IFERROR(__xludf.DUMMYFUNCTION("""COMPUTED_VALUE"""),"boss")</f>
        <v>boss</v>
      </c>
      <c r="C2082" s="2" t="str">
        <f ca="1">IFERROR(__xludf.DUMMYFUNCTION("""COMPUTED_VALUE"""),"Boss Swap")</f>
        <v>Boss Swap</v>
      </c>
    </row>
    <row r="2083" spans="1:3" x14ac:dyDescent="0.25">
      <c r="A2083" s="2" t="str">
        <f ca="1">IFERROR(__xludf.DUMMYFUNCTION("""COMPUTED_VALUE"""),"bostrom")</f>
        <v>bostrom</v>
      </c>
      <c r="B2083" s="2" t="str">
        <f ca="1">IFERROR(__xludf.DUMMYFUNCTION("""COMPUTED_VALUE"""),"boot")</f>
        <v>boot</v>
      </c>
      <c r="C2083" s="2" t="str">
        <f ca="1">IFERROR(__xludf.DUMMYFUNCTION("""COMPUTED_VALUE"""),"Bostrom")</f>
        <v>Bostrom</v>
      </c>
    </row>
    <row r="2084" spans="1:3" x14ac:dyDescent="0.25">
      <c r="A2084" s="2" t="str">
        <f ca="1">IFERROR(__xludf.DUMMYFUNCTION("""COMPUTED_VALUE"""),"botccoin-chain")</f>
        <v>botccoin-chain</v>
      </c>
      <c r="B2084" s="2" t="str">
        <f ca="1">IFERROR(__xludf.DUMMYFUNCTION("""COMPUTED_VALUE"""),"botc")</f>
        <v>botc</v>
      </c>
      <c r="C2084" s="2" t="str">
        <f ca="1">IFERROR(__xludf.DUMMYFUNCTION("""COMPUTED_VALUE"""),"Botccoin Chain")</f>
        <v>Botccoin Chain</v>
      </c>
    </row>
    <row r="2085" spans="1:3" x14ac:dyDescent="0.25">
      <c r="A2085" s="2" t="str">
        <f ca="1">IFERROR(__xludf.DUMMYFUNCTION("""COMPUTED_VALUE"""),"bot-compiler")</f>
        <v>bot-compiler</v>
      </c>
      <c r="B2085" s="2" t="str">
        <f ca="1">IFERROR(__xludf.DUMMYFUNCTION("""COMPUTED_VALUE"""),"botc")</f>
        <v>botc</v>
      </c>
      <c r="C2085" s="2" t="str">
        <f ca="1">IFERROR(__xludf.DUMMYFUNCTION("""COMPUTED_VALUE"""),"Bot Compiler")</f>
        <v>Bot Compiler</v>
      </c>
    </row>
    <row r="2086" spans="1:3" x14ac:dyDescent="0.25">
      <c r="A2086" s="2" t="str">
        <f ca="1">IFERROR(__xludf.DUMMYFUNCTION("""COMPUTED_VALUE"""),"botopiafinance")</f>
        <v>botopiafinance</v>
      </c>
      <c r="B2086" s="2" t="str">
        <f ca="1">IFERROR(__xludf.DUMMYFUNCTION("""COMPUTED_VALUE"""),"btop")</f>
        <v>btop</v>
      </c>
      <c r="C2086" s="2" t="str">
        <f ca="1">IFERROR(__xludf.DUMMYFUNCTION("""COMPUTED_VALUE"""),"BotopiaFinance")</f>
        <v>BotopiaFinance</v>
      </c>
    </row>
    <row r="2087" spans="1:3" x14ac:dyDescent="0.25">
      <c r="A2087" s="2" t="str">
        <f ca="1">IFERROR(__xludf.DUMMYFUNCTION("""COMPUTED_VALUE"""),"botto")</f>
        <v>botto</v>
      </c>
      <c r="B2087" s="2" t="str">
        <f ca="1">IFERROR(__xludf.DUMMYFUNCTION("""COMPUTED_VALUE"""),"botto")</f>
        <v>botto</v>
      </c>
      <c r="C2087" s="2" t="str">
        <f ca="1">IFERROR(__xludf.DUMMYFUNCTION("""COMPUTED_VALUE"""),"Botto")</f>
        <v>Botto</v>
      </c>
    </row>
    <row r="2088" spans="1:3" x14ac:dyDescent="0.25">
      <c r="A2088" s="2" t="str">
        <f ca="1">IFERROR(__xludf.DUMMYFUNCTION("""COMPUTED_VALUE"""),"bottos")</f>
        <v>bottos</v>
      </c>
      <c r="B2088" s="2" t="str">
        <f ca="1">IFERROR(__xludf.DUMMYFUNCTION("""COMPUTED_VALUE"""),"bto")</f>
        <v>bto</v>
      </c>
      <c r="C2088" s="2" t="str">
        <f ca="1">IFERROR(__xludf.DUMMYFUNCTION("""COMPUTED_VALUE"""),"Bottos")</f>
        <v>Bottos</v>
      </c>
    </row>
    <row r="2089" spans="1:3" x14ac:dyDescent="0.25">
      <c r="A2089" s="2" t="str">
        <f ca="1">IFERROR(__xludf.DUMMYFUNCTION("""COMPUTED_VALUE"""),"botxcoin")</f>
        <v>botxcoin</v>
      </c>
      <c r="B2089" s="2" t="str">
        <f ca="1">IFERROR(__xludf.DUMMYFUNCTION("""COMPUTED_VALUE"""),"botx")</f>
        <v>botx</v>
      </c>
      <c r="C2089" s="2" t="str">
        <f ca="1">IFERROR(__xludf.DUMMYFUNCTION("""COMPUTED_VALUE"""),"BOTXCOIN")</f>
        <v>BOTXCOIN</v>
      </c>
    </row>
    <row r="2090" spans="1:3" x14ac:dyDescent="0.25">
      <c r="A2090" s="2" t="str">
        <f ca="1">IFERROR(__xludf.DUMMYFUNCTION("""COMPUTED_VALUE"""),"bouncebit")</f>
        <v>bouncebit</v>
      </c>
      <c r="B2090" s="2" t="str">
        <f ca="1">IFERROR(__xludf.DUMMYFUNCTION("""COMPUTED_VALUE"""),"bb")</f>
        <v>bb</v>
      </c>
      <c r="C2090" s="2" t="str">
        <f ca="1">IFERROR(__xludf.DUMMYFUNCTION("""COMPUTED_VALUE"""),"BounceBit")</f>
        <v>BounceBit</v>
      </c>
    </row>
    <row r="2091" spans="1:3" x14ac:dyDescent="0.25">
      <c r="A2091" s="2" t="str">
        <f ca="1">IFERROR(__xludf.DUMMYFUNCTION("""COMPUTED_VALUE"""),"bouncebit-btc")</f>
        <v>bouncebit-btc</v>
      </c>
      <c r="B2091" s="2" t="str">
        <f ca="1">IFERROR(__xludf.DUMMYFUNCTION("""COMPUTED_VALUE"""),"bbtc")</f>
        <v>bbtc</v>
      </c>
      <c r="C2091" s="2" t="str">
        <f ca="1">IFERROR(__xludf.DUMMYFUNCTION("""COMPUTED_VALUE"""),"BounceBit BTC")</f>
        <v>BounceBit BTC</v>
      </c>
    </row>
    <row r="2092" spans="1:3" x14ac:dyDescent="0.25">
      <c r="A2092" s="2" t="str">
        <f ca="1">IFERROR(__xludf.DUMMYFUNCTION("""COMPUTED_VALUE"""),"bouncebit-usd")</f>
        <v>bouncebit-usd</v>
      </c>
      <c r="B2092" s="2" t="str">
        <f ca="1">IFERROR(__xludf.DUMMYFUNCTION("""COMPUTED_VALUE"""),"bbusd")</f>
        <v>bbusd</v>
      </c>
      <c r="C2092" s="2" t="str">
        <f ca="1">IFERROR(__xludf.DUMMYFUNCTION("""COMPUTED_VALUE"""),"BounceBit USD")</f>
        <v>BounceBit USD</v>
      </c>
    </row>
    <row r="2093" spans="1:3" x14ac:dyDescent="0.25">
      <c r="A2093" s="2" t="str">
        <f ca="1">IFERROR(__xludf.DUMMYFUNCTION("""COMPUTED_VALUE"""),"bouncing-dvd")</f>
        <v>bouncing-dvd</v>
      </c>
      <c r="B2093" s="2" t="str">
        <f ca="1">IFERROR(__xludf.DUMMYFUNCTION("""COMPUTED_VALUE"""),"dvd")</f>
        <v>dvd</v>
      </c>
      <c r="C2093" s="2" t="str">
        <f ca="1">IFERROR(__xludf.DUMMYFUNCTION("""COMPUTED_VALUE"""),"Bouncing DVD")</f>
        <v>Bouncing DVD</v>
      </c>
    </row>
    <row r="2094" spans="1:3" x14ac:dyDescent="0.25">
      <c r="A2094" s="2" t="str">
        <f ca="1">IFERROR(__xludf.DUMMYFUNCTION("""COMPUTED_VALUE"""),"bouncing-seals")</f>
        <v>bouncing-seals</v>
      </c>
      <c r="B2094" s="2" t="str">
        <f ca="1">IFERROR(__xludf.DUMMYFUNCTION("""COMPUTED_VALUE"""),"seals")</f>
        <v>seals</v>
      </c>
      <c r="C2094" s="2" t="str">
        <f ca="1">IFERROR(__xludf.DUMMYFUNCTION("""COMPUTED_VALUE"""),"Bouncing Seals")</f>
        <v>Bouncing Seals</v>
      </c>
    </row>
    <row r="2095" spans="1:3" x14ac:dyDescent="0.25">
      <c r="A2095" s="2" t="str">
        <f ca="1">IFERROR(__xludf.DUMMYFUNCTION("""COMPUTED_VALUE"""),"bountie-hunter")</f>
        <v>bountie-hunter</v>
      </c>
      <c r="B2095" s="2" t="str">
        <f ca="1">IFERROR(__xludf.DUMMYFUNCTION("""COMPUTED_VALUE"""),"bountie")</f>
        <v>bountie</v>
      </c>
      <c r="C2095" s="2" t="str">
        <f ca="1">IFERROR(__xludf.DUMMYFUNCTION("""COMPUTED_VALUE"""),"Bountie Hunter")</f>
        <v>Bountie Hunter</v>
      </c>
    </row>
    <row r="2096" spans="1:3" x14ac:dyDescent="0.25">
      <c r="A2096" s="2" t="str">
        <f ca="1">IFERROR(__xludf.DUMMYFUNCTION("""COMPUTED_VALUE"""),"bounty0x")</f>
        <v>bounty0x</v>
      </c>
      <c r="B2096" s="2" t="str">
        <f ca="1">IFERROR(__xludf.DUMMYFUNCTION("""COMPUTED_VALUE"""),"bnty")</f>
        <v>bnty</v>
      </c>
      <c r="C2096" s="2" t="str">
        <f ca="1">IFERROR(__xludf.DUMMYFUNCTION("""COMPUTED_VALUE"""),"Bounty0x")</f>
        <v>Bounty0x</v>
      </c>
    </row>
    <row r="2097" spans="1:3" x14ac:dyDescent="0.25">
      <c r="A2097" s="2" t="str">
        <f ca="1">IFERROR(__xludf.DUMMYFUNCTION("""COMPUTED_VALUE"""),"bountykinds-yu")</f>
        <v>bountykinds-yu</v>
      </c>
      <c r="B2097" s="2" t="str">
        <f ca="1">IFERROR(__xludf.DUMMYFUNCTION("""COMPUTED_VALUE"""),"yu")</f>
        <v>yu</v>
      </c>
      <c r="C2097" s="2" t="str">
        <f ca="1">IFERROR(__xludf.DUMMYFUNCTION("""COMPUTED_VALUE"""),"BountyKinds YU")</f>
        <v>BountyKinds YU</v>
      </c>
    </row>
    <row r="2098" spans="1:3" x14ac:dyDescent="0.25">
      <c r="A2098" s="2" t="str">
        <f ca="1">IFERROR(__xludf.DUMMYFUNCTION("""COMPUTED_VALUE"""),"bountymarketcap")</f>
        <v>bountymarketcap</v>
      </c>
      <c r="B2098" s="2" t="str">
        <f ca="1">IFERROR(__xludf.DUMMYFUNCTION("""COMPUTED_VALUE"""),"bmc")</f>
        <v>bmc</v>
      </c>
      <c r="C2098" s="2" t="str">
        <f ca="1">IFERROR(__xludf.DUMMYFUNCTION("""COMPUTED_VALUE"""),"BountyMarketCap")</f>
        <v>BountyMarketCap</v>
      </c>
    </row>
    <row r="2099" spans="1:3" x14ac:dyDescent="0.25">
      <c r="A2099" s="2" t="str">
        <f ca="1">IFERROR(__xludf.DUMMYFUNCTION("""COMPUTED_VALUE"""),"bounty-temple")</f>
        <v>bounty-temple</v>
      </c>
      <c r="B2099" s="2" t="str">
        <f ca="1">IFERROR(__xludf.DUMMYFUNCTION("""COMPUTED_VALUE"""),"tyt")</f>
        <v>tyt</v>
      </c>
      <c r="C2099" s="2" t="str">
        <f ca="1">IFERROR(__xludf.DUMMYFUNCTION("""COMPUTED_VALUE"""),"Bounty Temple")</f>
        <v>Bounty Temple</v>
      </c>
    </row>
    <row r="2100" spans="1:3" x14ac:dyDescent="0.25">
      <c r="A2100" s="2" t="str">
        <f ca="1">IFERROR(__xludf.DUMMYFUNCTION("""COMPUTED_VALUE"""),"bovineverse-bvt")</f>
        <v>bovineverse-bvt</v>
      </c>
      <c r="B2100" s="2" t="str">
        <f ca="1">IFERROR(__xludf.DUMMYFUNCTION("""COMPUTED_VALUE"""),"bvt")</f>
        <v>bvt</v>
      </c>
      <c r="C2100" s="2" t="str">
        <f ca="1">IFERROR(__xludf.DUMMYFUNCTION("""COMPUTED_VALUE"""),"Bovineverse BVT")</f>
        <v>Bovineverse BVT</v>
      </c>
    </row>
    <row r="2101" spans="1:3" x14ac:dyDescent="0.25">
      <c r="A2101" s="2" t="str">
        <f ca="1">IFERROR(__xludf.DUMMYFUNCTION("""COMPUTED_VALUE"""),"bowie")</f>
        <v>bowie</v>
      </c>
      <c r="B2101" s="2" t="str">
        <f ca="1">IFERROR(__xludf.DUMMYFUNCTION("""COMPUTED_VALUE"""),"bowie")</f>
        <v>bowie</v>
      </c>
      <c r="C2101" s="2" t="str">
        <f ca="1">IFERROR(__xludf.DUMMYFUNCTION("""COMPUTED_VALUE"""),"Bowie")</f>
        <v>Bowie</v>
      </c>
    </row>
    <row r="2102" spans="1:3" x14ac:dyDescent="0.25">
      <c r="A2102" s="2" t="str">
        <f ca="1">IFERROR(__xludf.DUMMYFUNCTION("""COMPUTED_VALUE"""),"bowled-io")</f>
        <v>bowled-io</v>
      </c>
      <c r="B2102" s="2" t="str">
        <f ca="1">IFERROR(__xludf.DUMMYFUNCTION("""COMPUTED_VALUE"""),"bwld")</f>
        <v>bwld</v>
      </c>
      <c r="C2102" s="3" t="str">
        <f ca="1">IFERROR(__xludf.DUMMYFUNCTION("""COMPUTED_VALUE"""),"Bowled.io")</f>
        <v>Bowled.io</v>
      </c>
    </row>
    <row r="2103" spans="1:3" x14ac:dyDescent="0.25">
      <c r="A2103" s="2" t="str">
        <f ca="1">IFERROR(__xludf.DUMMYFUNCTION("""COMPUTED_VALUE"""),"boxbet")</f>
        <v>boxbet</v>
      </c>
      <c r="B2103" s="2" t="str">
        <f ca="1">IFERROR(__xludf.DUMMYFUNCTION("""COMPUTED_VALUE"""),"bxbt")</f>
        <v>bxbt</v>
      </c>
      <c r="C2103" s="2" t="str">
        <f ca="1">IFERROR(__xludf.DUMMYFUNCTION("""COMPUTED_VALUE"""),"BoxBet")</f>
        <v>BoxBet</v>
      </c>
    </row>
    <row r="2104" spans="1:3" x14ac:dyDescent="0.25">
      <c r="A2104" s="2" t="str">
        <f ca="1">IFERROR(__xludf.DUMMYFUNCTION("""COMPUTED_VALUE"""),"box-dao")</f>
        <v>box-dao</v>
      </c>
      <c r="B2104" s="2" t="str">
        <f ca="1">IFERROR(__xludf.DUMMYFUNCTION("""COMPUTED_VALUE"""),"b-dao")</f>
        <v>b-dao</v>
      </c>
      <c r="C2104" s="2" t="str">
        <f ca="1">IFERROR(__xludf.DUMMYFUNCTION("""COMPUTED_VALUE"""),"Box-DAO")</f>
        <v>Box-DAO</v>
      </c>
    </row>
    <row r="2105" spans="1:3" x14ac:dyDescent="0.25">
      <c r="A2105" s="2" t="str">
        <f ca="1">IFERROR(__xludf.DUMMYFUNCTION("""COMPUTED_VALUE"""),"boxydude")</f>
        <v>boxydude</v>
      </c>
      <c r="B2105" s="2" t="str">
        <f ca="1">IFERROR(__xludf.DUMMYFUNCTION("""COMPUTED_VALUE"""),"box")</f>
        <v>box</v>
      </c>
      <c r="C2105" s="2" t="str">
        <f ca="1">IFERROR(__xludf.DUMMYFUNCTION("""COMPUTED_VALUE"""),"BoxyDude")</f>
        <v>BoxyDude</v>
      </c>
    </row>
    <row r="2106" spans="1:3" x14ac:dyDescent="0.25">
      <c r="A2106" s="2" t="str">
        <f ca="1">IFERROR(__xludf.DUMMYFUNCTION("""COMPUTED_VALUE"""),"boysclub")</f>
        <v>boysclub</v>
      </c>
      <c r="B2106" s="2" t="str">
        <f ca="1">IFERROR(__xludf.DUMMYFUNCTION("""COMPUTED_VALUE"""),"boysclub")</f>
        <v>boysclub</v>
      </c>
      <c r="C2106" s="2" t="str">
        <f ca="1">IFERROR(__xludf.DUMMYFUNCTION("""COMPUTED_VALUE"""),"BoysClub")</f>
        <v>BoysClub</v>
      </c>
    </row>
    <row r="2107" spans="1:3" x14ac:dyDescent="0.25">
      <c r="A2107" s="2" t="str">
        <f ca="1">IFERROR(__xludf.DUMMYFUNCTION("""COMPUTED_VALUE"""),"boysclubbase")</f>
        <v>boysclubbase</v>
      </c>
      <c r="B2107" s="2" t="str">
        <f ca="1">IFERROR(__xludf.DUMMYFUNCTION("""COMPUTED_VALUE"""),"$boys")</f>
        <v>$boys</v>
      </c>
      <c r="C2107" s="2" t="str">
        <f ca="1">IFERROR(__xludf.DUMMYFUNCTION("""COMPUTED_VALUE"""),"Boysclubbase")</f>
        <v>Boysclubbase</v>
      </c>
    </row>
    <row r="2108" spans="1:3" x14ac:dyDescent="0.25">
      <c r="A2108" s="2" t="str">
        <f ca="1">IFERROR(__xludf.DUMMYFUNCTION("""COMPUTED_VALUE"""),"boys-club-munchy")</f>
        <v>boys-club-munchy</v>
      </c>
      <c r="B2108" s="2" t="str">
        <f ca="1">IFERROR(__xludf.DUMMYFUNCTION("""COMPUTED_VALUE"""),"munchy")</f>
        <v>munchy</v>
      </c>
      <c r="C2108" s="2" t="str">
        <f ca="1">IFERROR(__xludf.DUMMYFUNCTION("""COMPUTED_VALUE"""),"Boys Club Munchy")</f>
        <v>Boys Club Munchy</v>
      </c>
    </row>
    <row r="2109" spans="1:3" x14ac:dyDescent="0.25">
      <c r="A2109" s="2" t="str">
        <f ca="1">IFERROR(__xludf.DUMMYFUNCTION("""COMPUTED_VALUE"""),"bozo-collective")</f>
        <v>bozo-collective</v>
      </c>
      <c r="B2109" s="2" t="str">
        <f ca="1">IFERROR(__xludf.DUMMYFUNCTION("""COMPUTED_VALUE"""),"bozo")</f>
        <v>bozo</v>
      </c>
      <c r="C2109" s="2" t="str">
        <f ca="1">IFERROR(__xludf.DUMMYFUNCTION("""COMPUTED_VALUE"""),"Bozo Collective")</f>
        <v>Bozo Collective</v>
      </c>
    </row>
    <row r="2110" spans="1:3" x14ac:dyDescent="0.25">
      <c r="A2110" s="2" t="str">
        <f ca="1">IFERROR(__xludf.DUMMYFUNCTION("""COMPUTED_VALUE"""),"bozo-hybrid")</f>
        <v>bozo-hybrid</v>
      </c>
      <c r="B2110" s="2" t="str">
        <f ca="1">IFERROR(__xludf.DUMMYFUNCTION("""COMPUTED_VALUE"""),"bozo")</f>
        <v>bozo</v>
      </c>
      <c r="C2110" s="2" t="str">
        <f ca="1">IFERROR(__xludf.DUMMYFUNCTION("""COMPUTED_VALUE"""),"bozo Hybrid")</f>
        <v>bozo Hybrid</v>
      </c>
    </row>
    <row r="2111" spans="1:3" x14ac:dyDescent="0.25">
      <c r="A2111" s="2" t="str">
        <f ca="1">IFERROR(__xludf.DUMMYFUNCTION("""COMPUTED_VALUE"""),"bpinky")</f>
        <v>bpinky</v>
      </c>
      <c r="B2111" s="2" t="str">
        <f ca="1">IFERROR(__xludf.DUMMYFUNCTION("""COMPUTED_VALUE"""),"bpinky")</f>
        <v>bpinky</v>
      </c>
      <c r="C2111" s="2" t="str">
        <f ca="1">IFERROR(__xludf.DUMMYFUNCTION("""COMPUTED_VALUE"""),"BPINKY")</f>
        <v>BPINKY</v>
      </c>
    </row>
    <row r="2112" spans="1:3" x14ac:dyDescent="0.25">
      <c r="A2112" s="2" t="str">
        <f ca="1">IFERROR(__xludf.DUMMYFUNCTION("""COMPUTED_VALUE"""),"bracelet")</f>
        <v>bracelet</v>
      </c>
      <c r="B2112" s="2" t="str">
        <f ca="1">IFERROR(__xludf.DUMMYFUNCTION("""COMPUTED_VALUE"""),"brc")</f>
        <v>brc</v>
      </c>
      <c r="C2112" s="2" t="str">
        <f ca="1">IFERROR(__xludf.DUMMYFUNCTION("""COMPUTED_VALUE"""),"Bracelet")</f>
        <v>Bracelet</v>
      </c>
    </row>
    <row r="2113" spans="1:3" x14ac:dyDescent="0.25">
      <c r="A2113" s="2" t="str">
        <f ca="1">IFERROR(__xludf.DUMMYFUNCTION("""COMPUTED_VALUE"""),"brainers")</f>
        <v>brainers</v>
      </c>
      <c r="B2113" s="2" t="str">
        <f ca="1">IFERROR(__xludf.DUMMYFUNCTION("""COMPUTED_VALUE"""),"brainers")</f>
        <v>brainers</v>
      </c>
      <c r="C2113" s="2" t="str">
        <f ca="1">IFERROR(__xludf.DUMMYFUNCTION("""COMPUTED_VALUE"""),"Brainers")</f>
        <v>Brainers</v>
      </c>
    </row>
    <row r="2114" spans="1:3" x14ac:dyDescent="0.25">
      <c r="A2114" s="2" t="str">
        <f ca="1">IFERROR(__xludf.DUMMYFUNCTION("""COMPUTED_VALUE"""),"braingent")</f>
        <v>braingent</v>
      </c>
      <c r="B2114" s="2" t="str">
        <f ca="1">IFERROR(__xludf.DUMMYFUNCTION("""COMPUTED_VALUE"""),"brain")</f>
        <v>brain</v>
      </c>
      <c r="C2114" s="2" t="str">
        <f ca="1">IFERROR(__xludf.DUMMYFUNCTION("""COMPUTED_VALUE"""),"BrAIngent")</f>
        <v>BrAIngent</v>
      </c>
    </row>
    <row r="2115" spans="1:3" x14ac:dyDescent="0.25">
      <c r="A2115" s="2" t="str">
        <f ca="1">IFERROR(__xludf.DUMMYFUNCTION("""COMPUTED_VALUE"""),"brainlet")</f>
        <v>brainlet</v>
      </c>
      <c r="B2115" s="2" t="str">
        <f ca="1">IFERROR(__xludf.DUMMYFUNCTION("""COMPUTED_VALUE"""),"brainlet")</f>
        <v>brainlet</v>
      </c>
      <c r="C2115" s="2" t="str">
        <f ca="1">IFERROR(__xludf.DUMMYFUNCTION("""COMPUTED_VALUE"""),"BRAINLET")</f>
        <v>BRAINLET</v>
      </c>
    </row>
    <row r="2116" spans="1:3" x14ac:dyDescent="0.25">
      <c r="A2116" s="2" t="str">
        <f ca="1">IFERROR(__xludf.DUMMYFUNCTION("""COMPUTED_VALUE"""),"brainlet-2")</f>
        <v>brainlet-2</v>
      </c>
      <c r="B2116" s="2" t="str">
        <f ca="1">IFERROR(__xludf.DUMMYFUNCTION("""COMPUTED_VALUE"""),"brainlet")</f>
        <v>brainlet</v>
      </c>
      <c r="C2116" s="2" t="str">
        <f ca="1">IFERROR(__xludf.DUMMYFUNCTION("""COMPUTED_VALUE"""),"Brainlet")</f>
        <v>Brainlet</v>
      </c>
    </row>
    <row r="2117" spans="1:3" x14ac:dyDescent="0.25">
      <c r="A2117" s="2" t="str">
        <f ca="1">IFERROR(__xludf.DUMMYFUNCTION("""COMPUTED_VALUE"""),"brainrot")</f>
        <v>brainrot</v>
      </c>
      <c r="B2117" s="2" t="str">
        <f ca="1">IFERROR(__xludf.DUMMYFUNCTION("""COMPUTED_VALUE"""),"rot")</f>
        <v>rot</v>
      </c>
      <c r="C2117" s="2" t="str">
        <f ca="1">IFERROR(__xludf.DUMMYFUNCTION("""COMPUTED_VALUE"""),"brainrot")</f>
        <v>brainrot</v>
      </c>
    </row>
    <row r="2118" spans="1:3" x14ac:dyDescent="0.25">
      <c r="A2118" s="2" t="str">
        <f ca="1">IFERROR(__xludf.DUMMYFUNCTION("""COMPUTED_VALUE"""),"braintrust")</f>
        <v>braintrust</v>
      </c>
      <c r="B2118" s="2" t="str">
        <f ca="1">IFERROR(__xludf.DUMMYFUNCTION("""COMPUTED_VALUE"""),"btrst")</f>
        <v>btrst</v>
      </c>
      <c r="C2118" s="2" t="str">
        <f ca="1">IFERROR(__xludf.DUMMYFUNCTION("""COMPUTED_VALUE"""),"Braintrust")</f>
        <v>Braintrust</v>
      </c>
    </row>
    <row r="2119" spans="1:3" x14ac:dyDescent="0.25">
      <c r="A2119" s="2" t="str">
        <f ca="1">IFERROR(__xludf.DUMMYFUNCTION("""COMPUTED_VALUE"""),"brain-worms")</f>
        <v>brain-worms</v>
      </c>
      <c r="B2119" s="2" t="str">
        <f ca="1">IFERROR(__xludf.DUMMYFUNCTION("""COMPUTED_VALUE"""),"bworm")</f>
        <v>bworm</v>
      </c>
      <c r="C2119" s="2" t="str">
        <f ca="1">IFERROR(__xludf.DUMMYFUNCTION("""COMPUTED_VALUE"""),"Brain Worms")</f>
        <v>Brain Worms</v>
      </c>
    </row>
    <row r="2120" spans="1:3" x14ac:dyDescent="0.25">
      <c r="A2120" s="2" t="str">
        <f ca="1">IFERROR(__xludf.DUMMYFUNCTION("""COMPUTED_VALUE"""),"brandpad-finance")</f>
        <v>brandpad-finance</v>
      </c>
      <c r="B2120" s="2" t="str">
        <f ca="1">IFERROR(__xludf.DUMMYFUNCTION("""COMPUTED_VALUE"""),"brand")</f>
        <v>brand</v>
      </c>
      <c r="C2120" s="2" t="str">
        <f ca="1">IFERROR(__xludf.DUMMYFUNCTION("""COMPUTED_VALUE"""),"BrandPad Finance")</f>
        <v>BrandPad Finance</v>
      </c>
    </row>
    <row r="2121" spans="1:3" x14ac:dyDescent="0.25">
      <c r="A2121" s="2" t="str">
        <f ca="1">IFERROR(__xludf.DUMMYFUNCTION("""COMPUTED_VALUE"""),"brave-power-crystal")</f>
        <v>brave-power-crystal</v>
      </c>
      <c r="B2121" s="2" t="str">
        <f ca="1">IFERROR(__xludf.DUMMYFUNCTION("""COMPUTED_VALUE"""),"bpc")</f>
        <v>bpc</v>
      </c>
      <c r="C2121" s="2" t="str">
        <f ca="1">IFERROR(__xludf.DUMMYFUNCTION("""COMPUTED_VALUE"""),"Brave Power Crystal")</f>
        <v>Brave Power Crystal</v>
      </c>
    </row>
    <row r="2122" spans="1:3" x14ac:dyDescent="0.25">
      <c r="A2122" s="2" t="str">
        <f ca="1">IFERROR(__xludf.DUMMYFUNCTION("""COMPUTED_VALUE"""),"brazil-fan-token")</f>
        <v>brazil-fan-token</v>
      </c>
      <c r="B2122" s="2" t="str">
        <f ca="1">IFERROR(__xludf.DUMMYFUNCTION("""COMPUTED_VALUE"""),"bft")</f>
        <v>bft</v>
      </c>
      <c r="C2122" s="2" t="str">
        <f ca="1">IFERROR(__xludf.DUMMYFUNCTION("""COMPUTED_VALUE"""),"Brazil National Football Team Fan Token")</f>
        <v>Brazil National Football Team Fan Token</v>
      </c>
    </row>
    <row r="2123" spans="1:3" x14ac:dyDescent="0.25">
      <c r="A2123" s="2" t="str">
        <f ca="1">IFERROR(__xludf.DUMMYFUNCTION("""COMPUTED_VALUE"""),"brc20-bot")</f>
        <v>brc20-bot</v>
      </c>
      <c r="B2123" s="2" t="str">
        <f ca="1">IFERROR(__xludf.DUMMYFUNCTION("""COMPUTED_VALUE"""),"brcbot")</f>
        <v>brcbot</v>
      </c>
      <c r="C2123" s="2" t="str">
        <f ca="1">IFERROR(__xludf.DUMMYFUNCTION("""COMPUTED_VALUE"""),"BRC20 BOT")</f>
        <v>BRC20 BOT</v>
      </c>
    </row>
    <row r="2124" spans="1:3" x14ac:dyDescent="0.25">
      <c r="A2124" s="2" t="str">
        <f ca="1">IFERROR(__xludf.DUMMYFUNCTION("""COMPUTED_VALUE"""),"brc-20-dex")</f>
        <v>brc-20-dex</v>
      </c>
      <c r="B2124" s="2" t="str">
        <f ca="1">IFERROR(__xludf.DUMMYFUNCTION("""COMPUTED_VALUE"""),"bd20")</f>
        <v>bd20</v>
      </c>
      <c r="C2124" s="2" t="str">
        <f ca="1">IFERROR(__xludf.DUMMYFUNCTION("""COMPUTED_VALUE"""),"BRC-20 DEX")</f>
        <v>BRC-20 DEX</v>
      </c>
    </row>
    <row r="2125" spans="1:3" x14ac:dyDescent="0.25">
      <c r="A2125" s="2" t="str">
        <f ca="1">IFERROR(__xludf.DUMMYFUNCTION("""COMPUTED_VALUE"""),"brc20x")</f>
        <v>brc20x</v>
      </c>
      <c r="B2125" s="2" t="str">
        <f ca="1">IFERROR(__xludf.DUMMYFUNCTION("""COMPUTED_VALUE"""),"brcx")</f>
        <v>brcx</v>
      </c>
      <c r="C2125" s="2" t="str">
        <f ca="1">IFERROR(__xludf.DUMMYFUNCTION("""COMPUTED_VALUE"""),"BRC20X")</f>
        <v>BRC20X</v>
      </c>
    </row>
    <row r="2126" spans="1:3" x14ac:dyDescent="0.25">
      <c r="A2126" s="2" t="str">
        <f ca="1">IFERROR(__xludf.DUMMYFUNCTION("""COMPUTED_VALUE"""),"brc-app")</f>
        <v>brc-app</v>
      </c>
      <c r="B2126" s="2" t="str">
        <f ca="1">IFERROR(__xludf.DUMMYFUNCTION("""COMPUTED_VALUE"""),"brct")</f>
        <v>brct</v>
      </c>
      <c r="C2126" s="2" t="str">
        <f ca="1">IFERROR(__xludf.DUMMYFUNCTION("""COMPUTED_VALUE"""),"BRC App")</f>
        <v>BRC App</v>
      </c>
    </row>
    <row r="2127" spans="1:3" x14ac:dyDescent="0.25">
      <c r="A2127" s="2" t="str">
        <f ca="1">IFERROR(__xludf.DUMMYFUNCTION("""COMPUTED_VALUE"""),"brc-on-the-erc")</f>
        <v>brc-on-the-erc</v>
      </c>
      <c r="B2127" s="2" t="str">
        <f ca="1">IFERROR(__xludf.DUMMYFUNCTION("""COMPUTED_VALUE"""),"brc20")</f>
        <v>brc20</v>
      </c>
      <c r="C2127" s="2" t="str">
        <f ca="1">IFERROR(__xludf.DUMMYFUNCTION("""COMPUTED_VALUE"""),"BRC on the ERC")</f>
        <v>BRC on the ERC</v>
      </c>
    </row>
    <row r="2128" spans="1:3" x14ac:dyDescent="0.25">
      <c r="A2128" s="2" t="str">
        <f ca="1">IFERROR(__xludf.DUMMYFUNCTION("""COMPUTED_VALUE"""),"brcstarter")</f>
        <v>brcstarter</v>
      </c>
      <c r="B2128" s="2" t="str">
        <f ca="1">IFERROR(__xludf.DUMMYFUNCTION("""COMPUTED_VALUE"""),"brcst")</f>
        <v>brcst</v>
      </c>
      <c r="C2128" s="2" t="str">
        <f ca="1">IFERROR(__xludf.DUMMYFUNCTION("""COMPUTED_VALUE"""),"BRCStarter")</f>
        <v>BRCStarter</v>
      </c>
    </row>
    <row r="2129" spans="1:3" x14ac:dyDescent="0.25">
      <c r="A2129" s="2" t="str">
        <f ca="1">IFERROR(__xludf.DUMMYFUNCTION("""COMPUTED_VALUE"""),"bread")</f>
        <v>bread</v>
      </c>
      <c r="B2129" s="2" t="str">
        <f ca="1">IFERROR(__xludf.DUMMYFUNCTION("""COMPUTED_VALUE"""),"brd")</f>
        <v>brd</v>
      </c>
      <c r="C2129" s="2" t="str">
        <f ca="1">IFERROR(__xludf.DUMMYFUNCTION("""COMPUTED_VALUE"""),"Bread")</f>
        <v>Bread</v>
      </c>
    </row>
    <row r="2130" spans="1:3" x14ac:dyDescent="0.25">
      <c r="A2130" s="2" t="str">
        <f ca="1">IFERROR(__xludf.DUMMYFUNCTION("""COMPUTED_VALUE"""),"breederdao")</f>
        <v>breederdao</v>
      </c>
      <c r="B2130" s="2" t="str">
        <f ca="1">IFERROR(__xludf.DUMMYFUNCTION("""COMPUTED_VALUE"""),"breed")</f>
        <v>breed</v>
      </c>
      <c r="C2130" s="2" t="str">
        <f ca="1">IFERROR(__xludf.DUMMYFUNCTION("""COMPUTED_VALUE"""),"BreederDAO")</f>
        <v>BreederDAO</v>
      </c>
    </row>
    <row r="2131" spans="1:3" x14ac:dyDescent="0.25">
      <c r="A2131" s="2" t="str">
        <f ca="1">IFERROR(__xludf.DUMMYFUNCTION("""COMPUTED_VALUE"""),"brepe")</f>
        <v>brepe</v>
      </c>
      <c r="B2131" s="2" t="str">
        <f ca="1">IFERROR(__xludf.DUMMYFUNCTION("""COMPUTED_VALUE"""),"brepe")</f>
        <v>brepe</v>
      </c>
      <c r="C2131" s="2" t="str">
        <f ca="1">IFERROR(__xludf.DUMMYFUNCTION("""COMPUTED_VALUE"""),"BREPE")</f>
        <v>BREPE</v>
      </c>
    </row>
    <row r="2132" spans="1:3" x14ac:dyDescent="0.25">
      <c r="A2132" s="2" t="str">
        <f ca="1">IFERROR(__xludf.DUMMYFUNCTION("""COMPUTED_VALUE"""),"brett")</f>
        <v>brett</v>
      </c>
      <c r="B2132" s="2" t="str">
        <f ca="1">IFERROR(__xludf.DUMMYFUNCTION("""COMPUTED_VALUE"""),"brett")</f>
        <v>brett</v>
      </c>
      <c r="C2132" s="2" t="str">
        <f ca="1">IFERROR(__xludf.DUMMYFUNCTION("""COMPUTED_VALUE"""),"Brett")</f>
        <v>Brett</v>
      </c>
    </row>
    <row r="2133" spans="1:3" x14ac:dyDescent="0.25">
      <c r="A2133" s="2" t="str">
        <f ca="1">IFERROR(__xludf.DUMMYFUNCTION("""COMPUTED_VALUE"""),"brett0x66")</f>
        <v>brett0x66</v>
      </c>
      <c r="B2133" s="2" t="str">
        <f ca="1">IFERROR(__xludf.DUMMYFUNCTION("""COMPUTED_VALUE"""),"$brett")</f>
        <v>$brett</v>
      </c>
      <c r="C2133" s="2" t="str">
        <f ca="1">IFERROR(__xludf.DUMMYFUNCTION("""COMPUTED_VALUE"""),"BRETT0X66")</f>
        <v>BRETT0X66</v>
      </c>
    </row>
    <row r="2134" spans="1:3" x14ac:dyDescent="0.25">
      <c r="A2134" s="2" t="str">
        <f ca="1">IFERROR(__xludf.DUMMYFUNCTION("""COMPUTED_VALUE"""),"brett-2-0")</f>
        <v>brett-2-0</v>
      </c>
      <c r="B2134" s="2" t="str">
        <f ca="1">IFERROR(__xludf.DUMMYFUNCTION("""COMPUTED_VALUE"""),"brett2.0")</f>
        <v>brett2.0</v>
      </c>
      <c r="C2134" s="2" t="str">
        <f ca="1">IFERROR(__xludf.DUMMYFUNCTION("""COMPUTED_VALUE"""),"Brett 2.0")</f>
        <v>Brett 2.0</v>
      </c>
    </row>
    <row r="2135" spans="1:3" x14ac:dyDescent="0.25">
      <c r="A2135" s="2" t="str">
        <f ca="1">IFERROR(__xludf.DUMMYFUNCTION("""COMPUTED_VALUE"""),"brettei")</f>
        <v>brettei</v>
      </c>
      <c r="B2135" s="2" t="str">
        <f ca="1">IFERROR(__xludf.DUMMYFUNCTION("""COMPUTED_VALUE"""),"brettei")</f>
        <v>brettei</v>
      </c>
      <c r="C2135" s="2" t="str">
        <f ca="1">IFERROR(__xludf.DUMMYFUNCTION("""COMPUTED_VALUE"""),"Brettei")</f>
        <v>Brettei</v>
      </c>
    </row>
    <row r="2136" spans="1:3" x14ac:dyDescent="0.25">
      <c r="A2136" s="2" t="str">
        <f ca="1">IFERROR(__xludf.DUMMYFUNCTION("""COMPUTED_VALUE"""),"bretter-brett")</f>
        <v>bretter-brett</v>
      </c>
      <c r="B2136" s="2" t="str">
        <f ca="1">IFERROR(__xludf.DUMMYFUNCTION("""COMPUTED_VALUE"""),"brett")</f>
        <v>brett</v>
      </c>
      <c r="C2136" s="2" t="str">
        <f ca="1">IFERROR(__xludf.DUMMYFUNCTION("""COMPUTED_VALUE"""),"Bretter Brett")</f>
        <v>Bretter Brett</v>
      </c>
    </row>
    <row r="2137" spans="1:3" x14ac:dyDescent="0.25">
      <c r="A2137" s="2" t="str">
        <f ca="1">IFERROR(__xludf.DUMMYFUNCTION("""COMPUTED_VALUE"""),"brett-eth")</f>
        <v>brett-eth</v>
      </c>
      <c r="B2137" s="2" t="str">
        <f ca="1">IFERROR(__xludf.DUMMYFUNCTION("""COMPUTED_VALUE"""),"brett")</f>
        <v>brett</v>
      </c>
      <c r="C2137" s="2" t="str">
        <f ca="1">IFERROR(__xludf.DUMMYFUNCTION("""COMPUTED_VALUE"""),"Brett ETH")</f>
        <v>Brett ETH</v>
      </c>
    </row>
    <row r="2138" spans="1:3" x14ac:dyDescent="0.25">
      <c r="A2138" s="2" t="str">
        <f ca="1">IFERROR(__xludf.DUMMYFUNCTION("""COMPUTED_VALUE"""),"brett-gold")</f>
        <v>brett-gold</v>
      </c>
      <c r="B2138" s="2" t="str">
        <f ca="1">IFERROR(__xludf.DUMMYFUNCTION("""COMPUTED_VALUE"""),"brettgold")</f>
        <v>brettgold</v>
      </c>
      <c r="C2138" s="2" t="str">
        <f ca="1">IFERROR(__xludf.DUMMYFUNCTION("""COMPUTED_VALUE"""),"Brett Gold")</f>
        <v>Brett Gold</v>
      </c>
    </row>
    <row r="2139" spans="1:3" x14ac:dyDescent="0.25">
      <c r="A2139" s="2" t="str">
        <f ca="1">IFERROR(__xludf.DUMMYFUNCTION("""COMPUTED_VALUE"""),"brett-is-based")</f>
        <v>brett-is-based</v>
      </c>
      <c r="B2139" s="2" t="str">
        <f ca="1">IFERROR(__xludf.DUMMYFUNCTION("""COMPUTED_VALUE"""),"bmoney")</f>
        <v>bmoney</v>
      </c>
      <c r="C2139" s="2" t="str">
        <f ca="1">IFERROR(__xludf.DUMMYFUNCTION("""COMPUTED_VALUE"""),"Brett Is Based")</f>
        <v>Brett Is Based</v>
      </c>
    </row>
    <row r="2140" spans="1:3" x14ac:dyDescent="0.25">
      <c r="A2140" s="2" t="str">
        <f ca="1">IFERROR(__xludf.DUMMYFUNCTION("""COMPUTED_VALUE"""),"brett-killer")</f>
        <v>brett-killer</v>
      </c>
      <c r="B2140" s="2" t="str">
        <f ca="1">IFERROR(__xludf.DUMMYFUNCTION("""COMPUTED_VALUE"""),"krett")</f>
        <v>krett</v>
      </c>
      <c r="C2140" s="2" t="str">
        <f ca="1">IFERROR(__xludf.DUMMYFUNCTION("""COMPUTED_VALUE"""),"Brett Killer")</f>
        <v>Brett Killer</v>
      </c>
    </row>
    <row r="2141" spans="1:3" x14ac:dyDescent="0.25">
      <c r="A2141" s="2" t="str">
        <f ca="1">IFERROR(__xludf.DUMMYFUNCTION("""COMPUTED_VALUE"""),"brett-memecoin")</f>
        <v>brett-memecoin</v>
      </c>
      <c r="B2141" s="2" t="str">
        <f ca="1">IFERROR(__xludf.DUMMYFUNCTION("""COMPUTED_VALUE"""),"brett")</f>
        <v>brett</v>
      </c>
      <c r="C2141" s="2" t="str">
        <f ca="1">IFERROR(__xludf.DUMMYFUNCTION("""COMPUTED_VALUE"""),"Brett (ETH)")</f>
        <v>Brett (ETH)</v>
      </c>
    </row>
    <row r="2142" spans="1:3" x14ac:dyDescent="0.25">
      <c r="A2142" s="2" t="str">
        <f ca="1">IFERROR(__xludf.DUMMYFUNCTION("""COMPUTED_VALUE"""),"brett-s-cat")</f>
        <v>brett-s-cat</v>
      </c>
      <c r="B2142" s="2" t="str">
        <f ca="1">IFERROR(__xludf.DUMMYFUNCTION("""COMPUTED_VALUE"""),"balt")</f>
        <v>balt</v>
      </c>
      <c r="C2142" s="2" t="str">
        <f ca="1">IFERROR(__xludf.DUMMYFUNCTION("""COMPUTED_VALUE"""),"Brett's cat")</f>
        <v>Brett's cat</v>
      </c>
    </row>
    <row r="2143" spans="1:3" x14ac:dyDescent="0.25">
      <c r="A2143" s="2" t="str">
        <f ca="1">IFERROR(__xludf.DUMMYFUNCTION("""COMPUTED_VALUE"""),"brett-s-dog")</f>
        <v>brett-s-dog</v>
      </c>
      <c r="B2143" s="2" t="str">
        <f ca="1">IFERROR(__xludf.DUMMYFUNCTION("""COMPUTED_VALUE"""),"brogg")</f>
        <v>brogg</v>
      </c>
      <c r="C2143" s="2" t="str">
        <f ca="1">IFERROR(__xludf.DUMMYFUNCTION("""COMPUTED_VALUE"""),"Brett's Dog")</f>
        <v>Brett's Dog</v>
      </c>
    </row>
    <row r="2144" spans="1:3" x14ac:dyDescent="0.25">
      <c r="A2144" s="2" t="str">
        <f ca="1">IFERROR(__xludf.DUMMYFUNCTION("""COMPUTED_VALUE"""),"brewlabs")</f>
        <v>brewlabs</v>
      </c>
      <c r="B2144" s="2" t="str">
        <f ca="1">IFERROR(__xludf.DUMMYFUNCTION("""COMPUTED_VALUE"""),"brewlabs")</f>
        <v>brewlabs</v>
      </c>
      <c r="C2144" s="2" t="str">
        <f ca="1">IFERROR(__xludf.DUMMYFUNCTION("""COMPUTED_VALUE"""),"Brewlabs")</f>
        <v>Brewlabs</v>
      </c>
    </row>
    <row r="2145" spans="1:3" x14ac:dyDescent="0.25">
      <c r="A2145" s="2" t="str">
        <f ca="1">IFERROR(__xludf.DUMMYFUNCTION("""COMPUTED_VALUE"""),"brex")</f>
        <v>brex</v>
      </c>
      <c r="B2145" s="2" t="str">
        <f ca="1">IFERROR(__xludf.DUMMYFUNCTION("""COMPUTED_VALUE"""),"brex")</f>
        <v>brex</v>
      </c>
      <c r="C2145" s="2" t="str">
        <f ca="1">IFERROR(__xludf.DUMMYFUNCTION("""COMPUTED_VALUE"""),"BREX")</f>
        <v>BREX</v>
      </c>
    </row>
    <row r="2146" spans="1:3" x14ac:dyDescent="0.25">
      <c r="A2146" s="2" t="str">
        <f ca="1">IFERROR(__xludf.DUMMYFUNCTION("""COMPUTED_VALUE"""),"brianarmstrongtrumpyellen")</f>
        <v>brianarmstrongtrumpyellen</v>
      </c>
      <c r="B2146" s="2" t="str">
        <f ca="1">IFERROR(__xludf.DUMMYFUNCTION("""COMPUTED_VALUE"""),"coin")</f>
        <v>coin</v>
      </c>
      <c r="C2146" s="2" t="str">
        <f ca="1">IFERROR(__xludf.DUMMYFUNCTION("""COMPUTED_VALUE"""),"BrianArmstrongTrumpYellenGTA6")</f>
        <v>BrianArmstrongTrumpYellenGTA6</v>
      </c>
    </row>
    <row r="2147" spans="1:3" x14ac:dyDescent="0.25">
      <c r="A2147" s="2" t="str">
        <f ca="1">IFERROR(__xludf.DUMMYFUNCTION("""COMPUTED_VALUE"""),"bribeai")</f>
        <v>bribeai</v>
      </c>
      <c r="B2147" s="2" t="str">
        <f ca="1">IFERROR(__xludf.DUMMYFUNCTION("""COMPUTED_VALUE"""),"brai")</f>
        <v>brai</v>
      </c>
      <c r="C2147" s="2" t="str">
        <f ca="1">IFERROR(__xludf.DUMMYFUNCTION("""COMPUTED_VALUE"""),"BribeAI")</f>
        <v>BribeAI</v>
      </c>
    </row>
    <row r="2148" spans="1:3" x14ac:dyDescent="0.25">
      <c r="A2148" s="2" t="str">
        <f ca="1">IFERROR(__xludf.DUMMYFUNCTION("""COMPUTED_VALUE"""),"brick")</f>
        <v>brick</v>
      </c>
      <c r="B2148" s="2" t="str">
        <f ca="1">IFERROR(__xludf.DUMMYFUNCTION("""COMPUTED_VALUE"""),"brick")</f>
        <v>brick</v>
      </c>
      <c r="C2148" s="2" t="str">
        <f ca="1">IFERROR(__xludf.DUMMYFUNCTION("""COMPUTED_VALUE"""),"r/FortNiteBR Bricks")</f>
        <v>r/FortNiteBR Bricks</v>
      </c>
    </row>
    <row r="2149" spans="1:3" x14ac:dyDescent="0.25">
      <c r="A2149" s="2" t="str">
        <f ca="1">IFERROR(__xludf.DUMMYFUNCTION("""COMPUTED_VALUE"""),"brick-block")</f>
        <v>brick-block</v>
      </c>
      <c r="B2149" s="2" t="str">
        <f ca="1">IFERROR(__xludf.DUMMYFUNCTION("""COMPUTED_VALUE"""),"brick")</f>
        <v>brick</v>
      </c>
      <c r="C2149" s="2" t="str">
        <f ca="1">IFERROR(__xludf.DUMMYFUNCTION("""COMPUTED_VALUE"""),"Brick Block")</f>
        <v>Brick Block</v>
      </c>
    </row>
    <row r="2150" spans="1:3" x14ac:dyDescent="0.25">
      <c r="A2150" s="2" t="str">
        <f ca="1">IFERROR(__xludf.DUMMYFUNCTION("""COMPUTED_VALUE"""),"brickken")</f>
        <v>brickken</v>
      </c>
      <c r="B2150" s="2" t="str">
        <f ca="1">IFERROR(__xludf.DUMMYFUNCTION("""COMPUTED_VALUE"""),"bkn")</f>
        <v>bkn</v>
      </c>
      <c r="C2150" s="2" t="str">
        <f ca="1">IFERROR(__xludf.DUMMYFUNCTION("""COMPUTED_VALUE"""),"Brickken")</f>
        <v>Brickken</v>
      </c>
    </row>
    <row r="2151" spans="1:3" x14ac:dyDescent="0.25">
      <c r="A2151" s="2" t="str">
        <f ca="1">IFERROR(__xludf.DUMMYFUNCTION("""COMPUTED_VALUE"""),"bricks-exchange")</f>
        <v>bricks-exchange</v>
      </c>
      <c r="B2151" s="2" t="str">
        <f ca="1">IFERROR(__xludf.DUMMYFUNCTION("""COMPUTED_VALUE"""),"brx")</f>
        <v>brx</v>
      </c>
      <c r="C2151" s="2" t="str">
        <f ca="1">IFERROR(__xludf.DUMMYFUNCTION("""COMPUTED_VALUE"""),"Bricks")</f>
        <v>Bricks</v>
      </c>
    </row>
    <row r="2152" spans="1:3" x14ac:dyDescent="0.25">
      <c r="A2152" s="2" t="str">
        <f ca="1">IFERROR(__xludf.DUMMYFUNCTION("""COMPUTED_VALUE"""),"brick-token")</f>
        <v>brick-token</v>
      </c>
      <c r="B2152" s="2" t="str">
        <f ca="1">IFERROR(__xludf.DUMMYFUNCTION("""COMPUTED_VALUE"""),"brick")</f>
        <v>brick</v>
      </c>
      <c r="C2152" s="2" t="str">
        <f ca="1">IFERROR(__xludf.DUMMYFUNCTION("""COMPUTED_VALUE"""),"Brick")</f>
        <v>Brick</v>
      </c>
    </row>
    <row r="2153" spans="1:3" x14ac:dyDescent="0.25">
      <c r="A2153" s="2" t="str">
        <f ca="1">IFERROR(__xludf.DUMMYFUNCTION("""COMPUTED_VALUE"""),"brics-chain")</f>
        <v>brics-chain</v>
      </c>
      <c r="B2153" s="2" t="str">
        <f ca="1">IFERROR(__xludf.DUMMYFUNCTION("""COMPUTED_VALUE"""),"brics")</f>
        <v>brics</v>
      </c>
      <c r="C2153" s="2" t="str">
        <f ca="1">IFERROR(__xludf.DUMMYFUNCTION("""COMPUTED_VALUE"""),"BRICS Chain")</f>
        <v>BRICS Chain</v>
      </c>
    </row>
    <row r="2154" spans="1:3" x14ac:dyDescent="0.25">
      <c r="A2154" s="2" t="str">
        <f ca="1">IFERROR(__xludf.DUMMYFUNCTION("""COMPUTED_VALUE"""),"bridgador")</f>
        <v>bridgador</v>
      </c>
      <c r="B2154" s="2" t="str">
        <f ca="1">IFERROR(__xludf.DUMMYFUNCTION("""COMPUTED_VALUE"""),"gador")</f>
        <v>gador</v>
      </c>
      <c r="C2154" s="2" t="str">
        <f ca="1">IFERROR(__xludf.DUMMYFUNCTION("""COMPUTED_VALUE"""),"Bridgador")</f>
        <v>Bridgador</v>
      </c>
    </row>
    <row r="2155" spans="1:3" x14ac:dyDescent="0.25">
      <c r="A2155" s="2" t="str">
        <f ca="1">IFERROR(__xludf.DUMMYFUNCTION("""COMPUTED_VALUE"""),"bridged-andromeda")</f>
        <v>bridged-andromeda</v>
      </c>
      <c r="B2155" s="2" t="str">
        <f ca="1">IFERROR(__xludf.DUMMYFUNCTION("""COMPUTED_VALUE"""),"sandr")</f>
        <v>sandr</v>
      </c>
      <c r="C2155" s="2" t="str">
        <f ca="1">IFERROR(__xludf.DUMMYFUNCTION("""COMPUTED_VALUE"""),"Bridged Andromeda")</f>
        <v>Bridged Andromeda</v>
      </c>
    </row>
    <row r="2156" spans="1:3" x14ac:dyDescent="0.25">
      <c r="A2156" s="2" t="str">
        <f ca="1">IFERROR(__xludf.DUMMYFUNCTION("""COMPUTED_VALUE"""),"bridged-arbitrum-lightlink")</f>
        <v>bridged-arbitrum-lightlink</v>
      </c>
      <c r="B2156" s="2" t="str">
        <f ca="1">IFERROR(__xludf.DUMMYFUNCTION("""COMPUTED_VALUE"""),"arb.e")</f>
        <v>arb.e</v>
      </c>
      <c r="C2156" s="2" t="str">
        <f ca="1">IFERROR(__xludf.DUMMYFUNCTION("""COMPUTED_VALUE"""),"Bridged Arbitrum (Lightlink)")</f>
        <v>Bridged Arbitrum (Lightlink)</v>
      </c>
    </row>
    <row r="2157" spans="1:3" x14ac:dyDescent="0.25">
      <c r="A2157" s="2" t="str">
        <f ca="1">IFERROR(__xludf.DUMMYFUNCTION("""COMPUTED_VALUE"""),"bridged-axelar-wrapped-usd-coin-immutable-zkevm")</f>
        <v>bridged-axelar-wrapped-usd-coin-immutable-zkevm</v>
      </c>
      <c r="B2157" s="2" t="str">
        <f ca="1">IFERROR(__xludf.DUMMYFUNCTION("""COMPUTED_VALUE"""),"axlusdc")</f>
        <v>axlusdc</v>
      </c>
      <c r="C2157" s="2" t="str">
        <f ca="1">IFERROR(__xludf.DUMMYFUNCTION("""COMPUTED_VALUE"""),"Bridged Axelar Wrapped USD Coin (Immutable zkEVM)")</f>
        <v>Bridged Axelar Wrapped USD Coin (Immutable zkEVM)</v>
      </c>
    </row>
    <row r="2158" spans="1:3" x14ac:dyDescent="0.25">
      <c r="A2158" s="2" t="str">
        <f ca="1">IFERROR(__xludf.DUMMYFUNCTION("""COMPUTED_VALUE"""),"bridged-axelar-wrapped-usd-coin-scroll")</f>
        <v>bridged-axelar-wrapped-usd-coin-scroll</v>
      </c>
      <c r="B2158" s="2" t="str">
        <f ca="1">IFERROR(__xludf.DUMMYFUNCTION("""COMPUTED_VALUE"""),"axlusdc")</f>
        <v>axlusdc</v>
      </c>
      <c r="C2158" s="2" t="str">
        <f ca="1">IFERROR(__xludf.DUMMYFUNCTION("""COMPUTED_VALUE"""),"Bridged Axelar Wrapped USD Coin (Scroll)")</f>
        <v>Bridged Axelar Wrapped USD Coin (Scroll)</v>
      </c>
    </row>
    <row r="2159" spans="1:3" x14ac:dyDescent="0.25">
      <c r="A2159" s="2" t="str">
        <f ca="1">IFERROR(__xludf.DUMMYFUNCTION("""COMPUTED_VALUE"""),"bridged-binance-peg-ethereum-opbnb")</f>
        <v>bridged-binance-peg-ethereum-opbnb</v>
      </c>
      <c r="B2159" s="2" t="str">
        <f ca="1">IFERROR(__xludf.DUMMYFUNCTION("""COMPUTED_VALUE"""),"eth")</f>
        <v>eth</v>
      </c>
      <c r="C2159" s="2" t="str">
        <f ca="1">IFERROR(__xludf.DUMMYFUNCTION("""COMPUTED_VALUE"""),"Bridged Binance-Peg Ethereum (opBNB)")</f>
        <v>Bridged Binance-Peg Ethereum (opBNB)</v>
      </c>
    </row>
    <row r="2160" spans="1:3" x14ac:dyDescent="0.25">
      <c r="A2160" s="2" t="str">
        <f ca="1">IFERROR(__xludf.DUMMYFUNCTION("""COMPUTED_VALUE"""),"bridged-bnb-fuse")</f>
        <v>bridged-bnb-fuse</v>
      </c>
      <c r="B2160" s="2" t="str">
        <f ca="1">IFERROR(__xludf.DUMMYFUNCTION("""COMPUTED_VALUE"""),"bnb")</f>
        <v>bnb</v>
      </c>
      <c r="C2160" s="2" t="str">
        <f ca="1">IFERROR(__xludf.DUMMYFUNCTION("""COMPUTED_VALUE"""),"Bridged BNB (Fuse)")</f>
        <v>Bridged BNB (Fuse)</v>
      </c>
    </row>
    <row r="2161" spans="1:3" x14ac:dyDescent="0.25">
      <c r="A2161" s="2" t="str">
        <f ca="1">IFERROR(__xludf.DUMMYFUNCTION("""COMPUTED_VALUE"""),"bridged-busd")</f>
        <v>bridged-busd</v>
      </c>
      <c r="B2161" s="2" t="str">
        <f ca="1">IFERROR(__xludf.DUMMYFUNCTION("""COMPUTED_VALUE"""),"busd")</f>
        <v>busd</v>
      </c>
      <c r="C2161" s="2" t="str">
        <f ca="1">IFERROR(__xludf.DUMMYFUNCTION("""COMPUTED_VALUE"""),"Bridged BUSD")</f>
        <v>Bridged BUSD</v>
      </c>
    </row>
    <row r="2162" spans="1:3" x14ac:dyDescent="0.25">
      <c r="A2162" s="2" t="str">
        <f ca="1">IFERROR(__xludf.DUMMYFUNCTION("""COMPUTED_VALUE"""),"bridged-chainlink-lightlink")</f>
        <v>bridged-chainlink-lightlink</v>
      </c>
      <c r="B2162" s="2" t="str">
        <f ca="1">IFERROR(__xludf.DUMMYFUNCTION("""COMPUTED_VALUE"""),"link.e")</f>
        <v>link.e</v>
      </c>
      <c r="C2162" s="2" t="str">
        <f ca="1">IFERROR(__xludf.DUMMYFUNCTION("""COMPUTED_VALUE"""),"Bridged Chainlink (Lightlink)")</f>
        <v>Bridged Chainlink (Lightlink)</v>
      </c>
    </row>
    <row r="2163" spans="1:3" x14ac:dyDescent="0.25">
      <c r="A2163" s="2" t="str">
        <f ca="1">IFERROR(__xludf.DUMMYFUNCTION("""COMPUTED_VALUE"""),"bridged-curve-dao-token-stargate")</f>
        <v>bridged-curve-dao-token-stargate</v>
      </c>
      <c r="B2163" s="2" t="str">
        <f ca="1">IFERROR(__xludf.DUMMYFUNCTION("""COMPUTED_VALUE"""),"crv")</f>
        <v>crv</v>
      </c>
      <c r="C2163" s="2" t="str">
        <f ca="1">IFERROR(__xludf.DUMMYFUNCTION("""COMPUTED_VALUE"""),"Bridged Curve DAO Token (Stargate)")</f>
        <v>Bridged Curve DAO Token (Stargate)</v>
      </c>
    </row>
    <row r="2164" spans="1:3" x14ac:dyDescent="0.25">
      <c r="A2164" s="2" t="str">
        <f ca="1">IFERROR(__xludf.DUMMYFUNCTION("""COMPUTED_VALUE"""),"bridged-dai")</f>
        <v>bridged-dai</v>
      </c>
      <c r="B2164" s="2" t="str">
        <f ca="1">IFERROR(__xludf.DUMMYFUNCTION("""COMPUTED_VALUE"""),"dai")</f>
        <v>dai</v>
      </c>
      <c r="C2164" s="2" t="str">
        <f ca="1">IFERROR(__xludf.DUMMYFUNCTION("""COMPUTED_VALUE"""),"Bridged DAI")</f>
        <v>Bridged DAI</v>
      </c>
    </row>
    <row r="2165" spans="1:3" x14ac:dyDescent="0.25">
      <c r="A2165" s="2" t="str">
        <f ca="1">IFERROR(__xludf.DUMMYFUNCTION("""COMPUTED_VALUE"""),"bridged-dai-lightlink")</f>
        <v>bridged-dai-lightlink</v>
      </c>
      <c r="B2165" s="2" t="str">
        <f ca="1">IFERROR(__xludf.DUMMYFUNCTION("""COMPUTED_VALUE"""),"dai.e")</f>
        <v>dai.e</v>
      </c>
      <c r="C2165" s="2" t="str">
        <f ca="1">IFERROR(__xludf.DUMMYFUNCTION("""COMPUTED_VALUE"""),"Bridged Dai (Lightlink)")</f>
        <v>Bridged Dai (Lightlink)</v>
      </c>
    </row>
    <row r="2166" spans="1:3" x14ac:dyDescent="0.25">
      <c r="A2166" s="2" t="str">
        <f ca="1">IFERROR(__xludf.DUMMYFUNCTION("""COMPUTED_VALUE"""),"bridged-dai-stablecoin-hashport")</f>
        <v>bridged-dai-stablecoin-hashport</v>
      </c>
      <c r="B2166" s="2" t="str">
        <f ca="1">IFERROR(__xludf.DUMMYFUNCTION("""COMPUTED_VALUE"""),"dai[hts]")</f>
        <v>dai[hts]</v>
      </c>
      <c r="C2166" s="2" t="str">
        <f ca="1">IFERROR(__xludf.DUMMYFUNCTION("""COMPUTED_VALUE"""),"Bridged Dai Stablecoin (Hashport)")</f>
        <v>Bridged Dai Stablecoin (Hashport)</v>
      </c>
    </row>
    <row r="2167" spans="1:3" x14ac:dyDescent="0.25">
      <c r="A2167" s="2" t="str">
        <f ca="1">IFERROR(__xludf.DUMMYFUNCTION("""COMPUTED_VALUE"""),"bridged-dai-stablecoin-linea")</f>
        <v>bridged-dai-stablecoin-linea</v>
      </c>
      <c r="B2167" s="2" t="str">
        <f ca="1">IFERROR(__xludf.DUMMYFUNCTION("""COMPUTED_VALUE"""),"dai")</f>
        <v>dai</v>
      </c>
      <c r="C2167" s="2" t="str">
        <f ca="1">IFERROR(__xludf.DUMMYFUNCTION("""COMPUTED_VALUE"""),"Bridged Dai Stablecoin (Linea)")</f>
        <v>Bridged Dai Stablecoin (Linea)</v>
      </c>
    </row>
    <row r="2168" spans="1:3" x14ac:dyDescent="0.25">
      <c r="A2168" s="2" t="str">
        <f ca="1">IFERROR(__xludf.DUMMYFUNCTION("""COMPUTED_VALUE"""),"bridged-dai-starkgate")</f>
        <v>bridged-dai-starkgate</v>
      </c>
      <c r="B2168" s="2" t="str">
        <f ca="1">IFERROR(__xludf.DUMMYFUNCTION("""COMPUTED_VALUE"""),"dai")</f>
        <v>dai</v>
      </c>
      <c r="C2168" s="2" t="str">
        <f ca="1">IFERROR(__xludf.DUMMYFUNCTION("""COMPUTED_VALUE"""),"Bridged Dai Stablecoin (StarkGate)")</f>
        <v>Bridged Dai Stablecoin (StarkGate)</v>
      </c>
    </row>
    <row r="2169" spans="1:3" x14ac:dyDescent="0.25">
      <c r="A2169" s="2" t="str">
        <f ca="1">IFERROR(__xludf.DUMMYFUNCTION("""COMPUTED_VALUE"""),"bridged-dog-go-to-the-moon")</f>
        <v>bridged-dog-go-to-the-moon</v>
      </c>
      <c r="B2169" s="2" t="str">
        <f ca="1">IFERROR(__xludf.DUMMYFUNCTION("""COMPUTED_VALUE"""),"dog•go•to•the•moon")</f>
        <v>dog•go•to•the•moon</v>
      </c>
      <c r="C2169" s="2" t="str">
        <f ca="1">IFERROR(__xludf.DUMMYFUNCTION("""COMPUTED_VALUE"""),"Bridged DOG•GO•TO•THE•MOON (Merlin Chain)")</f>
        <v>Bridged DOG•GO•TO•THE•MOON (Merlin Chain)</v>
      </c>
    </row>
    <row r="2170" spans="1:3" x14ac:dyDescent="0.25">
      <c r="A2170" s="2" t="str">
        <f ca="1">IFERROR(__xludf.DUMMYFUNCTION("""COMPUTED_VALUE"""),"bridged-kyber-network-crystal-bsc")</f>
        <v>bridged-kyber-network-crystal-bsc</v>
      </c>
      <c r="B2170" s="2" t="str">
        <f ca="1">IFERROR(__xludf.DUMMYFUNCTION("""COMPUTED_VALUE"""),"knc_b")</f>
        <v>knc_b</v>
      </c>
      <c r="C2170" s="2" t="str">
        <f ca="1">IFERROR(__xludf.DUMMYFUNCTION("""COMPUTED_VALUE"""),"Bridged Kyber Network Crystal (BSC)")</f>
        <v>Bridged Kyber Network Crystal (BSC)</v>
      </c>
    </row>
    <row r="2171" spans="1:3" x14ac:dyDescent="0.25">
      <c r="A2171" s="2" t="str">
        <f ca="1">IFERROR(__xludf.DUMMYFUNCTION("""COMPUTED_VALUE"""),"bridged-kyber-network-crystal-ethereum")</f>
        <v>bridged-kyber-network-crystal-ethereum</v>
      </c>
      <c r="B2171" s="2" t="str">
        <f ca="1">IFERROR(__xludf.DUMMYFUNCTION("""COMPUTED_VALUE"""),"knc_e")</f>
        <v>knc_e</v>
      </c>
      <c r="C2171" s="2" t="str">
        <f ca="1">IFERROR(__xludf.DUMMYFUNCTION("""COMPUTED_VALUE"""),"Bridged Kyber Network Crystal (Ethereum)")</f>
        <v>Bridged Kyber Network Crystal (Ethereum)</v>
      </c>
    </row>
    <row r="2172" spans="1:3" x14ac:dyDescent="0.25">
      <c r="A2172" s="2" t="str">
        <f ca="1">IFERROR(__xludf.DUMMYFUNCTION("""COMPUTED_VALUE"""),"bridged-lobo-the-wolf-pup")</f>
        <v>bridged-lobo-the-wolf-pup</v>
      </c>
      <c r="B2172" s="2" t="str">
        <f ca="1">IFERROR(__xludf.DUMMYFUNCTION("""COMPUTED_VALUE"""),"lobo•the•wolf•pup")</f>
        <v>lobo•the•wolf•pup</v>
      </c>
      <c r="C2172" s="2" t="str">
        <f ca="1">IFERROR(__xludf.DUMMYFUNCTION("""COMPUTED_VALUE"""),"Bridged LOBO•THE•WOLF•PUP (Merlin Chain)")</f>
        <v>Bridged LOBO•THE•WOLF•PUP (Merlin Chain)</v>
      </c>
    </row>
    <row r="2173" spans="1:3" x14ac:dyDescent="0.25">
      <c r="A2173" s="2" t="str">
        <f ca="1">IFERROR(__xludf.DUMMYFUNCTION("""COMPUTED_VALUE"""),"bridged-maga-wormhole")</f>
        <v>bridged-maga-wormhole</v>
      </c>
      <c r="B2173" s="2" t="str">
        <f ca="1">IFERROR(__xludf.DUMMYFUNCTION("""COMPUTED_VALUE"""),"trump")</f>
        <v>trump</v>
      </c>
      <c r="C2173" s="2" t="str">
        <f ca="1">IFERROR(__xludf.DUMMYFUNCTION("""COMPUTED_VALUE"""),"Bridged MAGA (Wormhole)")</f>
        <v>Bridged MAGA (Wormhole)</v>
      </c>
    </row>
    <row r="2174" spans="1:3" x14ac:dyDescent="0.25">
      <c r="A2174" s="2" t="str">
        <f ca="1">IFERROR(__xludf.DUMMYFUNCTION("""COMPUTED_VALUE"""),"bridged-mantra-hashport")</f>
        <v>bridged-mantra-hashport</v>
      </c>
      <c r="B2174" s="2" t="str">
        <f ca="1">IFERROR(__xludf.DUMMYFUNCTION("""COMPUTED_VALUE"""),"om[hts]")</f>
        <v>om[hts]</v>
      </c>
      <c r="C2174" s="2" t="str">
        <f ca="1">IFERROR(__xludf.DUMMYFUNCTION("""COMPUTED_VALUE"""),"Bridged MANTRA (Hashport)")</f>
        <v>Bridged MANTRA (Hashport)</v>
      </c>
    </row>
    <row r="2175" spans="1:3" x14ac:dyDescent="0.25">
      <c r="A2175" s="2" t="str">
        <f ca="1">IFERROR(__xludf.DUMMYFUNCTION("""COMPUTED_VALUE"""),"bridged-matic-fuse")</f>
        <v>bridged-matic-fuse</v>
      </c>
      <c r="B2175" s="2" t="str">
        <f ca="1">IFERROR(__xludf.DUMMYFUNCTION("""COMPUTED_VALUE"""),"matic")</f>
        <v>matic</v>
      </c>
      <c r="C2175" s="2" t="str">
        <f ca="1">IFERROR(__xludf.DUMMYFUNCTION("""COMPUTED_VALUE"""),"Bridged MATIC (Fuse)")</f>
        <v>Bridged MATIC (Fuse)</v>
      </c>
    </row>
    <row r="2176" spans="1:3" x14ac:dyDescent="0.25">
      <c r="A2176" s="2" t="str">
        <f ca="1">IFERROR(__xludf.DUMMYFUNCTION("""COMPUTED_VALUE"""),"bridged-matic-manta-pacific")</f>
        <v>bridged-matic-manta-pacific</v>
      </c>
      <c r="B2176" s="2" t="str">
        <f ca="1">IFERROR(__xludf.DUMMYFUNCTION("""COMPUTED_VALUE"""),"matic")</f>
        <v>matic</v>
      </c>
      <c r="C2176" s="2" t="str">
        <f ca="1">IFERROR(__xludf.DUMMYFUNCTION("""COMPUTED_VALUE"""),"Bridged MATIC (Manta Pacific)")</f>
        <v>Bridged MATIC (Manta Pacific)</v>
      </c>
    </row>
    <row r="2177" spans="1:3" x14ac:dyDescent="0.25">
      <c r="A2177" s="2" t="str">
        <f ca="1">IFERROR(__xludf.DUMMYFUNCTION("""COMPUTED_VALUE"""),"bridged-polygon-lightlink")</f>
        <v>bridged-polygon-lightlink</v>
      </c>
      <c r="B2177" s="2" t="str">
        <f ca="1">IFERROR(__xludf.DUMMYFUNCTION("""COMPUTED_VALUE"""),"matic.e")</f>
        <v>matic.e</v>
      </c>
      <c r="C2177" s="2" t="str">
        <f ca="1">IFERROR(__xludf.DUMMYFUNCTION("""COMPUTED_VALUE"""),"Bridged Polygon (Lightlink)")</f>
        <v>Bridged Polygon (Lightlink)</v>
      </c>
    </row>
    <row r="2178" spans="1:3" x14ac:dyDescent="0.25">
      <c r="A2178" s="2" t="str">
        <f ca="1">IFERROR(__xludf.DUMMYFUNCTION("""COMPUTED_VALUE"""),"bridged-sttia-hyperlane")</f>
        <v>bridged-sttia-hyperlane</v>
      </c>
      <c r="B2178" s="2" t="str">
        <f ca="1">IFERROR(__xludf.DUMMYFUNCTION("""COMPUTED_VALUE"""),"sttia")</f>
        <v>sttia</v>
      </c>
      <c r="C2178" s="2" t="str">
        <f ca="1">IFERROR(__xludf.DUMMYFUNCTION("""COMPUTED_VALUE"""),"Bridged stTIA (Hyperlane)")</f>
        <v>Bridged stTIA (Hyperlane)</v>
      </c>
    </row>
    <row r="2179" spans="1:3" x14ac:dyDescent="0.25">
      <c r="A2179" s="2" t="str">
        <f ca="1">IFERROR(__xludf.DUMMYFUNCTION("""COMPUTED_VALUE"""),"bridged-tether-fuse")</f>
        <v>bridged-tether-fuse</v>
      </c>
      <c r="B2179" s="2" t="str">
        <f ca="1">IFERROR(__xludf.DUMMYFUNCTION("""COMPUTED_VALUE"""),"usdt")</f>
        <v>usdt</v>
      </c>
      <c r="C2179" s="2" t="str">
        <f ca="1">IFERROR(__xludf.DUMMYFUNCTION("""COMPUTED_VALUE"""),"Bridged Tether (Fuse)")</f>
        <v>Bridged Tether (Fuse)</v>
      </c>
    </row>
    <row r="2180" spans="1:3" x14ac:dyDescent="0.25">
      <c r="A2180" s="2" t="str">
        <f ca="1">IFERROR(__xludf.DUMMYFUNCTION("""COMPUTED_VALUE"""),"bridged-tether-hashport")</f>
        <v>bridged-tether-hashport</v>
      </c>
      <c r="B2180" s="2" t="str">
        <f ca="1">IFERROR(__xludf.DUMMYFUNCTION("""COMPUTED_VALUE"""),"usdt[hts]")</f>
        <v>usdt[hts]</v>
      </c>
      <c r="C2180" s="2" t="str">
        <f ca="1">IFERROR(__xludf.DUMMYFUNCTION("""COMPUTED_VALUE"""),"Bridged Tether (Hashport)")</f>
        <v>Bridged Tether (Hashport)</v>
      </c>
    </row>
    <row r="2181" spans="1:3" x14ac:dyDescent="0.25">
      <c r="A2181" s="2" t="str">
        <f ca="1">IFERROR(__xludf.DUMMYFUNCTION("""COMPUTED_VALUE"""),"bridged-tether-lightlink")</f>
        <v>bridged-tether-lightlink</v>
      </c>
      <c r="B2181" s="2" t="str">
        <f ca="1">IFERROR(__xludf.DUMMYFUNCTION("""COMPUTED_VALUE"""),"usdt.e")</f>
        <v>usdt.e</v>
      </c>
      <c r="C2181" s="2" t="str">
        <f ca="1">IFERROR(__xludf.DUMMYFUNCTION("""COMPUTED_VALUE"""),"Bridged Tether (Lightlink)")</f>
        <v>Bridged Tether (Lightlink)</v>
      </c>
    </row>
    <row r="2182" spans="1:3" x14ac:dyDescent="0.25">
      <c r="A2182" s="2" t="str">
        <f ca="1">IFERROR(__xludf.DUMMYFUNCTION("""COMPUTED_VALUE"""),"bridged-tether-linea")</f>
        <v>bridged-tether-linea</v>
      </c>
      <c r="B2182" s="2" t="str">
        <f ca="1">IFERROR(__xludf.DUMMYFUNCTION("""COMPUTED_VALUE"""),"usdt")</f>
        <v>usdt</v>
      </c>
      <c r="C2182" s="2" t="str">
        <f ca="1">IFERROR(__xludf.DUMMYFUNCTION("""COMPUTED_VALUE"""),"Bridged Tether (Linea)")</f>
        <v>Bridged Tether (Linea)</v>
      </c>
    </row>
    <row r="2183" spans="1:3" x14ac:dyDescent="0.25">
      <c r="A2183" s="2" t="str">
        <f ca="1">IFERROR(__xludf.DUMMYFUNCTION("""COMPUTED_VALUE"""),"bridged-tether-manta-pacific")</f>
        <v>bridged-tether-manta-pacific</v>
      </c>
      <c r="B2183" s="2" t="str">
        <f ca="1">IFERROR(__xludf.DUMMYFUNCTION("""COMPUTED_VALUE"""),"usdt")</f>
        <v>usdt</v>
      </c>
      <c r="C2183" s="2" t="str">
        <f ca="1">IFERROR(__xludf.DUMMYFUNCTION("""COMPUTED_VALUE"""),"Bridged Tether (Manta Pacific)")</f>
        <v>Bridged Tether (Manta Pacific)</v>
      </c>
    </row>
    <row r="2184" spans="1:3" x14ac:dyDescent="0.25">
      <c r="A2184" s="2" t="str">
        <f ca="1">IFERROR(__xludf.DUMMYFUNCTION("""COMPUTED_VALUE"""),"bridged-tether-opbnb")</f>
        <v>bridged-tether-opbnb</v>
      </c>
      <c r="B2184" s="2" t="str">
        <f ca="1">IFERROR(__xludf.DUMMYFUNCTION("""COMPUTED_VALUE"""),"usdt")</f>
        <v>usdt</v>
      </c>
      <c r="C2184" s="2" t="str">
        <f ca="1">IFERROR(__xludf.DUMMYFUNCTION("""COMPUTED_VALUE"""),"Bridged Tether (opBNB)")</f>
        <v>Bridged Tether (opBNB)</v>
      </c>
    </row>
    <row r="2185" spans="1:3" x14ac:dyDescent="0.25">
      <c r="A2185" s="2" t="str">
        <f ca="1">IFERROR(__xludf.DUMMYFUNCTION("""COMPUTED_VALUE"""),"bridged-tether-scroll")</f>
        <v>bridged-tether-scroll</v>
      </c>
      <c r="B2185" s="2" t="str">
        <f ca="1">IFERROR(__xludf.DUMMYFUNCTION("""COMPUTED_VALUE"""),"usdt")</f>
        <v>usdt</v>
      </c>
      <c r="C2185" s="2" t="str">
        <f ca="1">IFERROR(__xludf.DUMMYFUNCTION("""COMPUTED_VALUE"""),"Bridged Tether (Scroll)")</f>
        <v>Bridged Tether (Scroll)</v>
      </c>
    </row>
    <row r="2186" spans="1:3" x14ac:dyDescent="0.25">
      <c r="A2186" s="2" t="str">
        <f ca="1">IFERROR(__xludf.DUMMYFUNCTION("""COMPUTED_VALUE"""),"bridged-tether-stargate")</f>
        <v>bridged-tether-stargate</v>
      </c>
      <c r="B2186" s="2" t="str">
        <f ca="1">IFERROR(__xludf.DUMMYFUNCTION("""COMPUTED_VALUE"""),"usdt")</f>
        <v>usdt</v>
      </c>
      <c r="C2186" s="2" t="str">
        <f ca="1">IFERROR(__xludf.DUMMYFUNCTION("""COMPUTED_VALUE"""),"Bridged Tether (Stargate)")</f>
        <v>Bridged Tether (Stargate)</v>
      </c>
    </row>
    <row r="2187" spans="1:3" x14ac:dyDescent="0.25">
      <c r="A2187" s="2" t="str">
        <f ca="1">IFERROR(__xludf.DUMMYFUNCTION("""COMPUTED_VALUE"""),"bridged-tether-starkgate")</f>
        <v>bridged-tether-starkgate</v>
      </c>
      <c r="B2187" s="2" t="str">
        <f ca="1">IFERROR(__xludf.DUMMYFUNCTION("""COMPUTED_VALUE"""),"usdt")</f>
        <v>usdt</v>
      </c>
      <c r="C2187" s="2" t="str">
        <f ca="1">IFERROR(__xludf.DUMMYFUNCTION("""COMPUTED_VALUE"""),"Bridged Tether (StarkGate)")</f>
        <v>Bridged Tether (StarkGate)</v>
      </c>
    </row>
    <row r="2188" spans="1:3" x14ac:dyDescent="0.25">
      <c r="A2188" s="2" t="str">
        <f ca="1">IFERROR(__xludf.DUMMYFUNCTION("""COMPUTED_VALUE"""),"bridged-tether-ton-bridge")</f>
        <v>bridged-tether-ton-bridge</v>
      </c>
      <c r="B2188" s="2" t="str">
        <f ca="1">IFERROR(__xludf.DUMMYFUNCTION("""COMPUTED_VALUE"""),"jusdt")</f>
        <v>jusdt</v>
      </c>
      <c r="C2188" s="2" t="str">
        <f ca="1">IFERROR(__xludf.DUMMYFUNCTION("""COMPUTED_VALUE"""),"Bridged Tether (TON Bridge)")</f>
        <v>Bridged Tether (TON Bridge)</v>
      </c>
    </row>
    <row r="2189" spans="1:3" x14ac:dyDescent="0.25">
      <c r="A2189" s="2" t="str">
        <f ca="1">IFERROR(__xludf.DUMMYFUNCTION("""COMPUTED_VALUE"""),"bridged-tia-hyperlane")</f>
        <v>bridged-tia-hyperlane</v>
      </c>
      <c r="B2189" s="2" t="str">
        <f ca="1">IFERROR(__xludf.DUMMYFUNCTION("""COMPUTED_VALUE"""),"tia.n")</f>
        <v>tia.n</v>
      </c>
      <c r="C2189" s="2" t="str">
        <f ca="1">IFERROR(__xludf.DUMMYFUNCTION("""COMPUTED_VALUE"""),"Bridged TIA (Hyperlane)")</f>
        <v>Bridged TIA (Hyperlane)</v>
      </c>
    </row>
    <row r="2190" spans="1:3" x14ac:dyDescent="0.25">
      <c r="A2190" s="2" t="str">
        <f ca="1">IFERROR(__xludf.DUMMYFUNCTION("""COMPUTED_VALUE"""),"bridged-trueusd")</f>
        <v>bridged-trueusd</v>
      </c>
      <c r="B2190" s="2" t="str">
        <f ca="1">IFERROR(__xludf.DUMMYFUNCTION("""COMPUTED_VALUE"""),"tusd")</f>
        <v>tusd</v>
      </c>
      <c r="C2190" s="2" t="str">
        <f ca="1">IFERROR(__xludf.DUMMYFUNCTION("""COMPUTED_VALUE"""),"Bridged TrueUSD")</f>
        <v>Bridged TrueUSD</v>
      </c>
    </row>
    <row r="2191" spans="1:3" x14ac:dyDescent="0.25">
      <c r="A2191" s="2" t="str">
        <f ca="1">IFERROR(__xludf.DUMMYFUNCTION("""COMPUTED_VALUE"""),"bridged-uniswap-lightlink")</f>
        <v>bridged-uniswap-lightlink</v>
      </c>
      <c r="B2191" s="2" t="str">
        <f ca="1">IFERROR(__xludf.DUMMYFUNCTION("""COMPUTED_VALUE"""),"uni.e")</f>
        <v>uni.e</v>
      </c>
      <c r="C2191" s="2" t="str">
        <f ca="1">IFERROR(__xludf.DUMMYFUNCTION("""COMPUTED_VALUE"""),"Bridged Uniswap (Lightlink)")</f>
        <v>Bridged Uniswap (Lightlink)</v>
      </c>
    </row>
    <row r="2192" spans="1:3" x14ac:dyDescent="0.25">
      <c r="A2192" s="2" t="str">
        <f ca="1">IFERROR(__xludf.DUMMYFUNCTION("""COMPUTED_VALUE"""),"bridged-usdc")</f>
        <v>bridged-usdc</v>
      </c>
      <c r="B2192" s="2" t="str">
        <f ca="1">IFERROR(__xludf.DUMMYFUNCTION("""COMPUTED_VALUE"""),"usdc")</f>
        <v>usdc</v>
      </c>
      <c r="C2192" s="2" t="str">
        <f ca="1">IFERROR(__xludf.DUMMYFUNCTION("""COMPUTED_VALUE"""),"Bridged USDC")</f>
        <v>Bridged USDC</v>
      </c>
    </row>
    <row r="2193" spans="1:3" x14ac:dyDescent="0.25">
      <c r="A2193" s="2" t="str">
        <f ca="1">IFERROR(__xludf.DUMMYFUNCTION("""COMPUTED_VALUE"""),"bridged-usdc-chainport")</f>
        <v>bridged-usdc-chainport</v>
      </c>
      <c r="B2193" s="2" t="str">
        <f ca="1">IFERROR(__xludf.DUMMYFUNCTION("""COMPUTED_VALUE"""),"usdc")</f>
        <v>usdc</v>
      </c>
      <c r="C2193" s="2" t="str">
        <f ca="1">IFERROR(__xludf.DUMMYFUNCTION("""COMPUTED_VALUE"""),"Bridged USDC (Chainport)")</f>
        <v>Bridged USDC (Chainport)</v>
      </c>
    </row>
    <row r="2194" spans="1:3" x14ac:dyDescent="0.25">
      <c r="A2194" s="2" t="str">
        <f ca="1">IFERROR(__xludf.DUMMYFUNCTION("""COMPUTED_VALUE"""),"bridged-usdc-core")</f>
        <v>bridged-usdc-core</v>
      </c>
      <c r="B2194" s="2" t="str">
        <f ca="1">IFERROR(__xludf.DUMMYFUNCTION("""COMPUTED_VALUE"""),"usdc")</f>
        <v>usdc</v>
      </c>
      <c r="C2194" s="2" t="str">
        <f ca="1">IFERROR(__xludf.DUMMYFUNCTION("""COMPUTED_VALUE"""),"Bridged USDC (Core)")</f>
        <v>Bridged USDC (Core)</v>
      </c>
    </row>
    <row r="2195" spans="1:3" x14ac:dyDescent="0.25">
      <c r="A2195" s="2" t="str">
        <f ca="1">IFERROR(__xludf.DUMMYFUNCTION("""COMPUTED_VALUE"""),"bridged-usdc-fuse")</f>
        <v>bridged-usdc-fuse</v>
      </c>
      <c r="B2195" s="2" t="str">
        <f ca="1">IFERROR(__xludf.DUMMYFUNCTION("""COMPUTED_VALUE"""),"usdc")</f>
        <v>usdc</v>
      </c>
      <c r="C2195" s="2" t="str">
        <f ca="1">IFERROR(__xludf.DUMMYFUNCTION("""COMPUTED_VALUE"""),"Bridged USDC (Fuse)")</f>
        <v>Bridged USDC (Fuse)</v>
      </c>
    </row>
    <row r="2196" spans="1:3" x14ac:dyDescent="0.25">
      <c r="A2196" s="2" t="str">
        <f ca="1">IFERROR(__xludf.DUMMYFUNCTION("""COMPUTED_VALUE"""),"bridged-usdc-gnosis")</f>
        <v>bridged-usdc-gnosis</v>
      </c>
      <c r="B2196" s="2" t="str">
        <f ca="1">IFERROR(__xludf.DUMMYFUNCTION("""COMPUTED_VALUE"""),"usdc.e")</f>
        <v>usdc.e</v>
      </c>
      <c r="C2196" s="2" t="str">
        <f ca="1">IFERROR(__xludf.DUMMYFUNCTION("""COMPUTED_VALUE"""),"Gnosis xDAI Bridged USDC (Gnosis)")</f>
        <v>Gnosis xDAI Bridged USDC (Gnosis)</v>
      </c>
    </row>
    <row r="2197" spans="1:3" x14ac:dyDescent="0.25">
      <c r="A2197" s="2" t="str">
        <f ca="1">IFERROR(__xludf.DUMMYFUNCTION("""COMPUTED_VALUE"""),"bridged-usdc-immutable-zkevm")</f>
        <v>bridged-usdc-immutable-zkevm</v>
      </c>
      <c r="B2197" s="2" t="str">
        <f ca="1">IFERROR(__xludf.DUMMYFUNCTION("""COMPUTED_VALUE"""),"usdc")</f>
        <v>usdc</v>
      </c>
      <c r="C2197" s="2" t="str">
        <f ca="1">IFERROR(__xludf.DUMMYFUNCTION("""COMPUTED_VALUE"""),"Bridged USDC (Immutable zkEVM)")</f>
        <v>Bridged USDC (Immutable zkEVM)</v>
      </c>
    </row>
    <row r="2198" spans="1:3" x14ac:dyDescent="0.25">
      <c r="A2198" s="2" t="str">
        <f ca="1">IFERROR(__xludf.DUMMYFUNCTION("""COMPUTED_VALUE"""),"bridged-usdc-lightlink")</f>
        <v>bridged-usdc-lightlink</v>
      </c>
      <c r="B2198" s="2" t="str">
        <f ca="1">IFERROR(__xludf.DUMMYFUNCTION("""COMPUTED_VALUE"""),"usdc.e")</f>
        <v>usdc.e</v>
      </c>
      <c r="C2198" s="2" t="str">
        <f ca="1">IFERROR(__xludf.DUMMYFUNCTION("""COMPUTED_VALUE"""),"Lightlink Bridged USDC (Lightlink)")</f>
        <v>Lightlink Bridged USDC (Lightlink)</v>
      </c>
    </row>
    <row r="2199" spans="1:3" x14ac:dyDescent="0.25">
      <c r="A2199" s="2" t="str">
        <f ca="1">IFERROR(__xludf.DUMMYFUNCTION("""COMPUTED_VALUE"""),"bridged-usd-coin-base")</f>
        <v>bridged-usd-coin-base</v>
      </c>
      <c r="B2199" s="2" t="str">
        <f ca="1">IFERROR(__xludf.DUMMYFUNCTION("""COMPUTED_VALUE"""),"usdbc")</f>
        <v>usdbc</v>
      </c>
      <c r="C2199" s="2" t="str">
        <f ca="1">IFERROR(__xludf.DUMMYFUNCTION("""COMPUTED_VALUE"""),"Bridged USDC (Base)")</f>
        <v>Bridged USDC (Base)</v>
      </c>
    </row>
    <row r="2200" spans="1:3" x14ac:dyDescent="0.25">
      <c r="A2200" s="2" t="str">
        <f ca="1">IFERROR(__xludf.DUMMYFUNCTION("""COMPUTED_VALUE"""),"bridged-usd-coin-linea")</f>
        <v>bridged-usd-coin-linea</v>
      </c>
      <c r="B2200" s="2" t="str">
        <f ca="1">IFERROR(__xludf.DUMMYFUNCTION("""COMPUTED_VALUE"""),"usdc")</f>
        <v>usdc</v>
      </c>
      <c r="C2200" s="2" t="str">
        <f ca="1">IFERROR(__xludf.DUMMYFUNCTION("""COMPUTED_VALUE"""),"Bridged USD Coin (Linea)")</f>
        <v>Bridged USD Coin (Linea)</v>
      </c>
    </row>
    <row r="2201" spans="1:3" x14ac:dyDescent="0.25">
      <c r="A2201" s="2" t="str">
        <f ca="1">IFERROR(__xludf.DUMMYFUNCTION("""COMPUTED_VALUE"""),"bridged-usd-coin-manta-pacific")</f>
        <v>bridged-usd-coin-manta-pacific</v>
      </c>
      <c r="B2201" s="2" t="str">
        <f ca="1">IFERROR(__xludf.DUMMYFUNCTION("""COMPUTED_VALUE"""),"usdc")</f>
        <v>usdc</v>
      </c>
      <c r="C2201" s="2" t="str">
        <f ca="1">IFERROR(__xludf.DUMMYFUNCTION("""COMPUTED_VALUE"""),"Bridged USD Coin (Manta Pacific)")</f>
        <v>Bridged USD Coin (Manta Pacific)</v>
      </c>
    </row>
    <row r="2202" spans="1:3" x14ac:dyDescent="0.25">
      <c r="A2202" s="2" t="str">
        <f ca="1">IFERROR(__xludf.DUMMYFUNCTION("""COMPUTED_VALUE"""),"bridged-usd-coin-optimism")</f>
        <v>bridged-usd-coin-optimism</v>
      </c>
      <c r="B2202" s="2" t="str">
        <f ca="1">IFERROR(__xludf.DUMMYFUNCTION("""COMPUTED_VALUE"""),"usdc.e")</f>
        <v>usdc.e</v>
      </c>
      <c r="C2202" s="2" t="str">
        <f ca="1">IFERROR(__xludf.DUMMYFUNCTION("""COMPUTED_VALUE"""),"Standard Bridged USDC.e (Optimism)")</f>
        <v>Standard Bridged USDC.e (Optimism)</v>
      </c>
    </row>
    <row r="2203" spans="1:3" x14ac:dyDescent="0.25">
      <c r="A2203" s="2" t="str">
        <f ca="1">IFERROR(__xludf.DUMMYFUNCTION("""COMPUTED_VALUE"""),"bridged-usd-coin-scroll")</f>
        <v>bridged-usd-coin-scroll</v>
      </c>
      <c r="B2203" s="2" t="str">
        <f ca="1">IFERROR(__xludf.DUMMYFUNCTION("""COMPUTED_VALUE"""),"usdc")</f>
        <v>usdc</v>
      </c>
      <c r="C2203" s="2" t="str">
        <f ca="1">IFERROR(__xludf.DUMMYFUNCTION("""COMPUTED_VALUE"""),"Bridged USD Coin (Scroll)")</f>
        <v>Bridged USD Coin (Scroll)</v>
      </c>
    </row>
    <row r="2204" spans="1:3" x14ac:dyDescent="0.25">
      <c r="A2204" s="2" t="str">
        <f ca="1">IFERROR(__xludf.DUMMYFUNCTION("""COMPUTED_VALUE"""),"bridged-usd-coin-starkgate")</f>
        <v>bridged-usd-coin-starkgate</v>
      </c>
      <c r="B2204" s="2" t="str">
        <f ca="1">IFERROR(__xludf.DUMMYFUNCTION("""COMPUTED_VALUE"""),"usdc")</f>
        <v>usdc</v>
      </c>
      <c r="C2204" s="2" t="str">
        <f ca="1">IFERROR(__xludf.DUMMYFUNCTION("""COMPUTED_VALUE"""),"Bridged USD Coin (StarkGate)")</f>
        <v>Bridged USD Coin (StarkGate)</v>
      </c>
    </row>
    <row r="2205" spans="1:3" x14ac:dyDescent="0.25">
      <c r="A2205" s="2" t="str">
        <f ca="1">IFERROR(__xludf.DUMMYFUNCTION("""COMPUTED_VALUE"""),"bridged-usd-coin-ton-bridge")</f>
        <v>bridged-usd-coin-ton-bridge</v>
      </c>
      <c r="B2205" s="2" t="str">
        <f ca="1">IFERROR(__xludf.DUMMYFUNCTION("""COMPUTED_VALUE"""),"jusdc")</f>
        <v>jusdc</v>
      </c>
      <c r="C2205" s="2" t="str">
        <f ca="1">IFERROR(__xludf.DUMMYFUNCTION("""COMPUTED_VALUE"""),"Bridged USD Coin (TON Bridge)")</f>
        <v>Bridged USD Coin (TON Bridge)</v>
      </c>
    </row>
    <row r="2206" spans="1:3" x14ac:dyDescent="0.25">
      <c r="A2206" s="2" t="str">
        <f ca="1">IFERROR(__xludf.DUMMYFUNCTION("""COMPUTED_VALUE"""),"bridged-usdc-polygon-pos-bridge")</f>
        <v>bridged-usdc-polygon-pos-bridge</v>
      </c>
      <c r="B2206" s="2" t="str">
        <f ca="1">IFERROR(__xludf.DUMMYFUNCTION("""COMPUTED_VALUE"""),"usdc.e")</f>
        <v>usdc.e</v>
      </c>
      <c r="C2206" s="2" t="str">
        <f ca="1">IFERROR(__xludf.DUMMYFUNCTION("""COMPUTED_VALUE"""),"Bridged USDC (Polygon PoS Bridge)")</f>
        <v>Bridged USDC (Polygon PoS Bridge)</v>
      </c>
    </row>
    <row r="2207" spans="1:3" x14ac:dyDescent="0.25">
      <c r="A2207" s="2" t="str">
        <f ca="1">IFERROR(__xludf.DUMMYFUNCTION("""COMPUTED_VALUE"""),"bridged-usdc-re-al")</f>
        <v>bridged-usdc-re-al</v>
      </c>
      <c r="B2207" s="2" t="str">
        <f ca="1">IFERROR(__xludf.DUMMYFUNCTION("""COMPUTED_VALUE"""),"usdc")</f>
        <v>usdc</v>
      </c>
      <c r="C2207" s="2" t="str">
        <f ca="1">IFERROR(__xludf.DUMMYFUNCTION("""COMPUTED_VALUE"""),"LayerZero Bridged USDC (re.al)")</f>
        <v>LayerZero Bridged USDC (re.al)</v>
      </c>
    </row>
    <row r="2208" spans="1:3" x14ac:dyDescent="0.25">
      <c r="A2208" s="2" t="str">
        <f ca="1">IFERROR(__xludf.DUMMYFUNCTION("""COMPUTED_VALUE"""),"bridged-usdc-stargate")</f>
        <v>bridged-usdc-stargate</v>
      </c>
      <c r="B2208" s="2" t="str">
        <f ca="1">IFERROR(__xludf.DUMMYFUNCTION("""COMPUTED_VALUE"""),"usdc.e")</f>
        <v>usdc.e</v>
      </c>
      <c r="C2208" s="2" t="str">
        <f ca="1">IFERROR(__xludf.DUMMYFUNCTION("""COMPUTED_VALUE"""),"Bridged USDC (Stargate)")</f>
        <v>Bridged USDC (Stargate)</v>
      </c>
    </row>
    <row r="2209" spans="1:3" x14ac:dyDescent="0.25">
      <c r="A2209" s="2" t="str">
        <f ca="1">IFERROR(__xludf.DUMMYFUNCTION("""COMPUTED_VALUE"""),"bridged-usdc-x-layer")</f>
        <v>bridged-usdc-x-layer</v>
      </c>
      <c r="B2209" s="2" t="str">
        <f ca="1">IFERROR(__xludf.DUMMYFUNCTION("""COMPUTED_VALUE"""),"usdc.e")</f>
        <v>usdc.e</v>
      </c>
      <c r="C2209" s="2" t="str">
        <f ca="1">IFERROR(__xludf.DUMMYFUNCTION("""COMPUTED_VALUE"""),"X Layer Bridged USDC (X Layer)")</f>
        <v>X Layer Bridged USDC (X Layer)</v>
      </c>
    </row>
    <row r="2210" spans="1:3" x14ac:dyDescent="0.25">
      <c r="A2210" s="2" t="str">
        <f ca="1">IFERROR(__xludf.DUMMYFUNCTION("""COMPUTED_VALUE"""),"bridged-usde")</f>
        <v>bridged-usde</v>
      </c>
      <c r="B2210" s="2" t="str">
        <f ca="1">IFERROR(__xludf.DUMMYFUNCTION("""COMPUTED_VALUE"""),"usde")</f>
        <v>usde</v>
      </c>
      <c r="C2210" s="2" t="str">
        <f ca="1">IFERROR(__xludf.DUMMYFUNCTION("""COMPUTED_VALUE"""),"Bridged USDe")</f>
        <v>Bridged USDe</v>
      </c>
    </row>
    <row r="2211" spans="1:3" x14ac:dyDescent="0.25">
      <c r="A2211" s="2" t="str">
        <f ca="1">IFERROR(__xludf.DUMMYFUNCTION("""COMPUTED_VALUE"""),"bridged-usdt")</f>
        <v>bridged-usdt</v>
      </c>
      <c r="B2211" s="2" t="str">
        <f ca="1">IFERROR(__xludf.DUMMYFUNCTION("""COMPUTED_VALUE"""),"usdt")</f>
        <v>usdt</v>
      </c>
      <c r="C2211" s="2" t="str">
        <f ca="1">IFERROR(__xludf.DUMMYFUNCTION("""COMPUTED_VALUE"""),"Bridged USDT")</f>
        <v>Bridged USDT</v>
      </c>
    </row>
    <row r="2212" spans="1:3" x14ac:dyDescent="0.25">
      <c r="A2212" s="2" t="str">
        <f ca="1">IFERROR(__xludf.DUMMYFUNCTION("""COMPUTED_VALUE"""),"bridged-usdt-core")</f>
        <v>bridged-usdt-core</v>
      </c>
      <c r="B2212" s="2" t="str">
        <f ca="1">IFERROR(__xludf.DUMMYFUNCTION("""COMPUTED_VALUE"""),"usdt")</f>
        <v>usdt</v>
      </c>
      <c r="C2212" s="2" t="str">
        <f ca="1">IFERROR(__xludf.DUMMYFUNCTION("""COMPUTED_VALUE"""),"Bridged USDT (Core)")</f>
        <v>Bridged USDT (Core)</v>
      </c>
    </row>
    <row r="2213" spans="1:3" x14ac:dyDescent="0.25">
      <c r="A2213" s="2" t="str">
        <f ca="1">IFERROR(__xludf.DUMMYFUNCTION("""COMPUTED_VALUE"""),"bridged-usdt-immutable-zkevm")</f>
        <v>bridged-usdt-immutable-zkevm</v>
      </c>
      <c r="B2213" s="2" t="str">
        <f ca="1">IFERROR(__xludf.DUMMYFUNCTION("""COMPUTED_VALUE"""),"usdt")</f>
        <v>usdt</v>
      </c>
      <c r="C2213" s="2" t="str">
        <f ca="1">IFERROR(__xludf.DUMMYFUNCTION("""COMPUTED_VALUE"""),"Immutable Toolkit Bridged USDT (Immutable zkEVM)")</f>
        <v>Immutable Toolkit Bridged USDT (Immutable zkEVM)</v>
      </c>
    </row>
    <row r="2214" spans="1:3" x14ac:dyDescent="0.25">
      <c r="A2214" s="2" t="str">
        <f ca="1">IFERROR(__xludf.DUMMYFUNCTION("""COMPUTED_VALUE"""),"bridged-usdt-zedxion")</f>
        <v>bridged-usdt-zedxion</v>
      </c>
      <c r="B2214" s="2" t="str">
        <f ca="1">IFERROR(__xludf.DUMMYFUNCTION("""COMPUTED_VALUE"""),"usdt.z")</f>
        <v>usdt.z</v>
      </c>
      <c r="C2214" s="2" t="str">
        <f ca="1">IFERROR(__xludf.DUMMYFUNCTION("""COMPUTED_VALUE"""),"Bridged USDT (Zedxion)")</f>
        <v>Bridged USDT (Zedxion)</v>
      </c>
    </row>
    <row r="2215" spans="1:3" x14ac:dyDescent="0.25">
      <c r="A2215" s="2" t="str">
        <f ca="1">IFERROR(__xludf.DUMMYFUNCTION("""COMPUTED_VALUE"""),"bridged-wbtc")</f>
        <v>bridged-wbtc</v>
      </c>
      <c r="B2215" s="2" t="str">
        <f ca="1">IFERROR(__xludf.DUMMYFUNCTION("""COMPUTED_VALUE"""),"wbtc")</f>
        <v>wbtc</v>
      </c>
      <c r="C2215" s="2" t="str">
        <f ca="1">IFERROR(__xludf.DUMMYFUNCTION("""COMPUTED_VALUE"""),"Bridged WBTC")</f>
        <v>Bridged WBTC</v>
      </c>
    </row>
    <row r="2216" spans="1:3" x14ac:dyDescent="0.25">
      <c r="A2216" s="2" t="str">
        <f ca="1">IFERROR(__xludf.DUMMYFUNCTION("""COMPUTED_VALUE"""),"bridged-weeth-linea")</f>
        <v>bridged-weeth-linea</v>
      </c>
      <c r="B2216" s="2" t="str">
        <f ca="1">IFERROR(__xludf.DUMMYFUNCTION("""COMPUTED_VALUE"""),"weeth")</f>
        <v>weeth</v>
      </c>
      <c r="C2216" s="2" t="str">
        <f ca="1">IFERROR(__xludf.DUMMYFUNCTION("""COMPUTED_VALUE"""),"ether.fi Bridged weETH (Linea)")</f>
        <v>ether.fi Bridged weETH (Linea)</v>
      </c>
    </row>
    <row r="2217" spans="1:3" x14ac:dyDescent="0.25">
      <c r="A2217" s="2" t="str">
        <f ca="1">IFERROR(__xludf.DUMMYFUNCTION("""COMPUTED_VALUE"""),"bridged-weth")</f>
        <v>bridged-weth</v>
      </c>
      <c r="B2217" s="2" t="str">
        <f ca="1">IFERROR(__xludf.DUMMYFUNCTION("""COMPUTED_VALUE"""),"weth")</f>
        <v>weth</v>
      </c>
      <c r="C2217" s="2" t="str">
        <f ca="1">IFERROR(__xludf.DUMMYFUNCTION("""COMPUTED_VALUE"""),"Bridged WETH")</f>
        <v>Bridged WETH</v>
      </c>
    </row>
    <row r="2218" spans="1:3" x14ac:dyDescent="0.25">
      <c r="A2218" s="2" t="str">
        <f ca="1">IFERROR(__xludf.DUMMYFUNCTION("""COMPUTED_VALUE"""),"bridged-wrapped-bitcoin-hashport")</f>
        <v>bridged-wrapped-bitcoin-hashport</v>
      </c>
      <c r="B2218" s="2" t="str">
        <f ca="1">IFERROR(__xludf.DUMMYFUNCTION("""COMPUTED_VALUE"""),"wbtc[hts]")</f>
        <v>wbtc[hts]</v>
      </c>
      <c r="C2218" s="2" t="str">
        <f ca="1">IFERROR(__xludf.DUMMYFUNCTION("""COMPUTED_VALUE"""),"Bridged Wrapped Bitcoin (Hashport)")</f>
        <v>Bridged Wrapped Bitcoin (Hashport)</v>
      </c>
    </row>
    <row r="2219" spans="1:3" x14ac:dyDescent="0.25">
      <c r="A2219" s="2" t="str">
        <f ca="1">IFERROR(__xludf.DUMMYFUNCTION("""COMPUTED_VALUE"""),"bridged-wrapped-bitcoin-manta-pacific")</f>
        <v>bridged-wrapped-bitcoin-manta-pacific</v>
      </c>
      <c r="B2219" s="2" t="str">
        <f ca="1">IFERROR(__xludf.DUMMYFUNCTION("""COMPUTED_VALUE"""),"wbtc")</f>
        <v>wbtc</v>
      </c>
      <c r="C2219" s="2" t="str">
        <f ca="1">IFERROR(__xludf.DUMMYFUNCTION("""COMPUTED_VALUE"""),"Bridged Wrapped Bitcoin (Manta Pacific)")</f>
        <v>Bridged Wrapped Bitcoin (Manta Pacific)</v>
      </c>
    </row>
    <row r="2220" spans="1:3" x14ac:dyDescent="0.25">
      <c r="A2220" s="2" t="str">
        <f ca="1">IFERROR(__xludf.DUMMYFUNCTION("""COMPUTED_VALUE"""),"bridged-wrapped-bitcoin-scroll")</f>
        <v>bridged-wrapped-bitcoin-scroll</v>
      </c>
      <c r="B2220" s="2" t="str">
        <f ca="1">IFERROR(__xludf.DUMMYFUNCTION("""COMPUTED_VALUE"""),"wbtc")</f>
        <v>wbtc</v>
      </c>
      <c r="C2220" s="2" t="str">
        <f ca="1">IFERROR(__xludf.DUMMYFUNCTION("""COMPUTED_VALUE"""),"Bridged Wrapped Bitcoin (Scroll)")</f>
        <v>Bridged Wrapped Bitcoin (Scroll)</v>
      </c>
    </row>
    <row r="2221" spans="1:3" x14ac:dyDescent="0.25">
      <c r="A2221" s="2" t="str">
        <f ca="1">IFERROR(__xludf.DUMMYFUNCTION("""COMPUTED_VALUE"""),"bridged-wrapped-bitcoin-stargate")</f>
        <v>bridged-wrapped-bitcoin-stargate</v>
      </c>
      <c r="B2221" s="2" t="str">
        <f ca="1">IFERROR(__xludf.DUMMYFUNCTION("""COMPUTED_VALUE"""),"wbtc")</f>
        <v>wbtc</v>
      </c>
      <c r="C2221" s="2" t="str">
        <f ca="1">IFERROR(__xludf.DUMMYFUNCTION("""COMPUTED_VALUE"""),"Bridged Wrapped Bitcoin (Stargate)")</f>
        <v>Bridged Wrapped Bitcoin (Stargate)</v>
      </c>
    </row>
    <row r="2222" spans="1:3" x14ac:dyDescent="0.25">
      <c r="A2222" s="2" t="str">
        <f ca="1">IFERROR(__xludf.DUMMYFUNCTION("""COMPUTED_VALUE"""),"bridged-wrapped-bitcoin-starkgate")</f>
        <v>bridged-wrapped-bitcoin-starkgate</v>
      </c>
      <c r="B2222" s="2" t="str">
        <f ca="1">IFERROR(__xludf.DUMMYFUNCTION("""COMPUTED_VALUE"""),"wbtc")</f>
        <v>wbtc</v>
      </c>
      <c r="C2222" s="2" t="str">
        <f ca="1">IFERROR(__xludf.DUMMYFUNCTION("""COMPUTED_VALUE"""),"Bridged Wrapped Bitcoin (StarkGate)")</f>
        <v>Bridged Wrapped Bitcoin (StarkGate)</v>
      </c>
    </row>
    <row r="2223" spans="1:3" x14ac:dyDescent="0.25">
      <c r="A2223" s="2" t="str">
        <f ca="1">IFERROR(__xludf.DUMMYFUNCTION("""COMPUTED_VALUE"""),"bridged-wrapped-bitcoin-ton-bridge")</f>
        <v>bridged-wrapped-bitcoin-ton-bridge</v>
      </c>
      <c r="B2223" s="2" t="str">
        <f ca="1">IFERROR(__xludf.DUMMYFUNCTION("""COMPUTED_VALUE"""),"jwbtc")</f>
        <v>jwbtc</v>
      </c>
      <c r="C2223" s="2" t="str">
        <f ca="1">IFERROR(__xludf.DUMMYFUNCTION("""COMPUTED_VALUE"""),"Bridged Wrapped Bitcoin (TON Bridge)")</f>
        <v>Bridged Wrapped Bitcoin (TON Bridge)</v>
      </c>
    </row>
    <row r="2224" spans="1:3" x14ac:dyDescent="0.25">
      <c r="A2224" s="2" t="str">
        <f ca="1">IFERROR(__xludf.DUMMYFUNCTION("""COMPUTED_VALUE"""),"bridged-wrapped-btc-bevm")</f>
        <v>bridged-wrapped-btc-bevm</v>
      </c>
      <c r="B2224" s="2" t="str">
        <f ca="1">IFERROR(__xludf.DUMMYFUNCTION("""COMPUTED_VALUE"""),"wbtc")</f>
        <v>wbtc</v>
      </c>
      <c r="C2224" s="2" t="str">
        <f ca="1">IFERROR(__xludf.DUMMYFUNCTION("""COMPUTED_VALUE"""),"Bridged Wrapped BTC (BEVM)")</f>
        <v>Bridged Wrapped BTC (BEVM)</v>
      </c>
    </row>
    <row r="2225" spans="1:3" x14ac:dyDescent="0.25">
      <c r="A2225" s="2" t="str">
        <f ca="1">IFERROR(__xludf.DUMMYFUNCTION("""COMPUTED_VALUE"""),"bridged-wrapped-btc-lightlink")</f>
        <v>bridged-wrapped-btc-lightlink</v>
      </c>
      <c r="B2225" s="2" t="str">
        <f ca="1">IFERROR(__xludf.DUMMYFUNCTION("""COMPUTED_VALUE"""),"wbtc.e")</f>
        <v>wbtc.e</v>
      </c>
      <c r="C2225" s="2" t="str">
        <f ca="1">IFERROR(__xludf.DUMMYFUNCTION("""COMPUTED_VALUE"""),"Bridged Wrapped BTC (Lightlink)")</f>
        <v>Bridged Wrapped BTC (Lightlink)</v>
      </c>
    </row>
    <row r="2226" spans="1:3" x14ac:dyDescent="0.25">
      <c r="A2226" s="2" t="str">
        <f ca="1">IFERROR(__xludf.DUMMYFUNCTION("""COMPUTED_VALUE"""),"bridged-wrapped-ether-fuse")</f>
        <v>bridged-wrapped-ether-fuse</v>
      </c>
      <c r="B2226" s="2" t="str">
        <f ca="1">IFERROR(__xludf.DUMMYFUNCTION("""COMPUTED_VALUE"""),"weth")</f>
        <v>weth</v>
      </c>
      <c r="C2226" s="2" t="str">
        <f ca="1">IFERROR(__xludf.DUMMYFUNCTION("""COMPUTED_VALUE"""),"Bridged Wrapped Ether (Fuse)")</f>
        <v>Bridged Wrapped Ether (Fuse)</v>
      </c>
    </row>
    <row r="2227" spans="1:3" x14ac:dyDescent="0.25">
      <c r="A2227" s="2" t="str">
        <f ca="1">IFERROR(__xludf.DUMMYFUNCTION("""COMPUTED_VALUE"""),"bridged-wrapped-ether-manta-pacific")</f>
        <v>bridged-wrapped-ether-manta-pacific</v>
      </c>
      <c r="B2227" s="2" t="str">
        <f ca="1">IFERROR(__xludf.DUMMYFUNCTION("""COMPUTED_VALUE"""),"weth")</f>
        <v>weth</v>
      </c>
      <c r="C2227" s="2" t="str">
        <f ca="1">IFERROR(__xludf.DUMMYFUNCTION("""COMPUTED_VALUE"""),"Bridged Wrapped Ether (Manta Pacific)")</f>
        <v>Bridged Wrapped Ether (Manta Pacific)</v>
      </c>
    </row>
    <row r="2228" spans="1:3" x14ac:dyDescent="0.25">
      <c r="A2228" s="2" t="str">
        <f ca="1">IFERROR(__xludf.DUMMYFUNCTION("""COMPUTED_VALUE"""),"bridged-wrapped-ether-scroll")</f>
        <v>bridged-wrapped-ether-scroll</v>
      </c>
      <c r="B2228" s="2" t="str">
        <f ca="1">IFERROR(__xludf.DUMMYFUNCTION("""COMPUTED_VALUE"""),"weth")</f>
        <v>weth</v>
      </c>
      <c r="C2228" s="2" t="str">
        <f ca="1">IFERROR(__xludf.DUMMYFUNCTION("""COMPUTED_VALUE"""),"Bridged Wrapped Ether (Scroll)")</f>
        <v>Bridged Wrapped Ether (Scroll)</v>
      </c>
    </row>
    <row r="2229" spans="1:3" x14ac:dyDescent="0.25">
      <c r="A2229" s="2" t="str">
        <f ca="1">IFERROR(__xludf.DUMMYFUNCTION("""COMPUTED_VALUE"""),"bridged-wrapped-ether-stargate")</f>
        <v>bridged-wrapped-ether-stargate</v>
      </c>
      <c r="B2229" s="2" t="str">
        <f ca="1">IFERROR(__xludf.DUMMYFUNCTION("""COMPUTED_VALUE"""),"weth")</f>
        <v>weth</v>
      </c>
      <c r="C2229" s="2" t="str">
        <f ca="1">IFERROR(__xludf.DUMMYFUNCTION("""COMPUTED_VALUE"""),"Bridged Wrapped Ether (Stargate)")</f>
        <v>Bridged Wrapped Ether (Stargate)</v>
      </c>
    </row>
    <row r="2230" spans="1:3" x14ac:dyDescent="0.25">
      <c r="A2230" s="2" t="str">
        <f ca="1">IFERROR(__xludf.DUMMYFUNCTION("""COMPUTED_VALUE"""),"bridged-wrapped-ether-starkgate")</f>
        <v>bridged-wrapped-ether-starkgate</v>
      </c>
      <c r="B2230" s="2" t="str">
        <f ca="1">IFERROR(__xludf.DUMMYFUNCTION("""COMPUTED_VALUE"""),"eth")</f>
        <v>eth</v>
      </c>
      <c r="C2230" s="2" t="str">
        <f ca="1">IFERROR(__xludf.DUMMYFUNCTION("""COMPUTED_VALUE"""),"Bridged Ether (StarkGate)")</f>
        <v>Bridged Ether (StarkGate)</v>
      </c>
    </row>
    <row r="2231" spans="1:3" x14ac:dyDescent="0.25">
      <c r="A2231" s="2" t="str">
        <f ca="1">IFERROR(__xludf.DUMMYFUNCTION("""COMPUTED_VALUE"""),"bridged-wrapped-ether-voltage-finance")</f>
        <v>bridged-wrapped-ether-voltage-finance</v>
      </c>
      <c r="B2231" s="2" t="str">
        <f ca="1">IFERROR(__xludf.DUMMYFUNCTION("""COMPUTED_VALUE"""),"weth")</f>
        <v>weth</v>
      </c>
      <c r="C2231" s="2" t="str">
        <f ca="1">IFERROR(__xludf.DUMMYFUNCTION("""COMPUTED_VALUE"""),"Bridged Wrapped Ether (Voltage Finance)")</f>
        <v>Bridged Wrapped Ether (Voltage Finance)</v>
      </c>
    </row>
    <row r="2232" spans="1:3" x14ac:dyDescent="0.25">
      <c r="A2232" s="2" t="str">
        <f ca="1">IFERROR(__xludf.DUMMYFUNCTION("""COMPUTED_VALUE"""),"bridged-wrapped-ether-x-layer")</f>
        <v>bridged-wrapped-ether-x-layer</v>
      </c>
      <c r="B2232" s="2" t="str">
        <f ca="1">IFERROR(__xludf.DUMMYFUNCTION("""COMPUTED_VALUE"""),"weth")</f>
        <v>weth</v>
      </c>
      <c r="C2232" s="2" t="str">
        <f ca="1">IFERROR(__xludf.DUMMYFUNCTION("""COMPUTED_VALUE"""),"x Layer Bridged WETH (x Layer)")</f>
        <v>x Layer Bridged WETH (x Layer)</v>
      </c>
    </row>
    <row r="2233" spans="1:3" x14ac:dyDescent="0.25">
      <c r="A2233" s="2" t="str">
        <f ca="1">IFERROR(__xludf.DUMMYFUNCTION("""COMPUTED_VALUE"""),"bridged-wrapped-hbar-heliswap")</f>
        <v>bridged-wrapped-hbar-heliswap</v>
      </c>
      <c r="B2233" s="2" t="str">
        <f ca="1">IFERROR(__xludf.DUMMYFUNCTION("""COMPUTED_VALUE"""),"whbar")</f>
        <v>whbar</v>
      </c>
      <c r="C2233" s="2" t="str">
        <f ca="1">IFERROR(__xludf.DUMMYFUNCTION("""COMPUTED_VALUE"""),"Wrapped HBAR (HeliSwap)")</f>
        <v>Wrapped HBAR (HeliSwap)</v>
      </c>
    </row>
    <row r="2234" spans="1:3" x14ac:dyDescent="0.25">
      <c r="A2234" s="2" t="str">
        <f ca="1">IFERROR(__xludf.DUMMYFUNCTION("""COMPUTED_VALUE"""),"bridged-wrapped-lido-staked-ether-scroll")</f>
        <v>bridged-wrapped-lido-staked-ether-scroll</v>
      </c>
      <c r="B2234" s="2" t="str">
        <f ca="1">IFERROR(__xludf.DUMMYFUNCTION("""COMPUTED_VALUE"""),"wsteth")</f>
        <v>wsteth</v>
      </c>
      <c r="C2234" s="2" t="str">
        <f ca="1">IFERROR(__xludf.DUMMYFUNCTION("""COMPUTED_VALUE"""),"Bridged Wrapped Lido Staked Ether (Scroll)")</f>
        <v>Bridged Wrapped Lido Staked Ether (Scroll)</v>
      </c>
    </row>
    <row r="2235" spans="1:3" x14ac:dyDescent="0.25">
      <c r="A2235" s="2" t="str">
        <f ca="1">IFERROR(__xludf.DUMMYFUNCTION("""COMPUTED_VALUE"""),"bridged-wrapped-steth-axelar")</f>
        <v>bridged-wrapped-steth-axelar</v>
      </c>
      <c r="B2235" s="2" t="str">
        <f ca="1">IFERROR(__xludf.DUMMYFUNCTION("""COMPUTED_VALUE"""),"axl-wsteth")</f>
        <v>axl-wsteth</v>
      </c>
      <c r="C2235" s="2" t="str">
        <f ca="1">IFERROR(__xludf.DUMMYFUNCTION("""COMPUTED_VALUE"""),"Bridged Wrapped stETH (Axelar)")</f>
        <v>Bridged Wrapped stETH (Axelar)</v>
      </c>
    </row>
    <row r="2236" spans="1:3" x14ac:dyDescent="0.25">
      <c r="A2236" s="2" t="str">
        <f ca="1">IFERROR(__xludf.DUMMYFUNCTION("""COMPUTED_VALUE"""),"bridged-wrapped-steth-gnosis")</f>
        <v>bridged-wrapped-steth-gnosis</v>
      </c>
      <c r="B2236" s="2" t="str">
        <f ca="1">IFERROR(__xludf.DUMMYFUNCTION("""COMPUTED_VALUE"""),"wsteth")</f>
        <v>wsteth</v>
      </c>
      <c r="C2236" s="2" t="str">
        <f ca="1">IFERROR(__xludf.DUMMYFUNCTION("""COMPUTED_VALUE"""),"Bridged Wrapped stETH (Gnosis)")</f>
        <v>Bridged Wrapped stETH (Gnosis)</v>
      </c>
    </row>
    <row r="2237" spans="1:3" x14ac:dyDescent="0.25">
      <c r="A2237" s="2" t="str">
        <f ca="1">IFERROR(__xludf.DUMMYFUNCTION("""COMPUTED_VALUE"""),"bridged-wrapped-steth-manta-pacific")</f>
        <v>bridged-wrapped-steth-manta-pacific</v>
      </c>
      <c r="B2237" s="2" t="str">
        <f ca="1">IFERROR(__xludf.DUMMYFUNCTION("""COMPUTED_VALUE"""),"wsteth")</f>
        <v>wsteth</v>
      </c>
      <c r="C2237" s="2" t="str">
        <f ca="1">IFERROR(__xludf.DUMMYFUNCTION("""COMPUTED_VALUE"""),"Bridged Wrapped stETH (Manta Pacific)")</f>
        <v>Bridged Wrapped stETH (Manta Pacific)</v>
      </c>
    </row>
    <row r="2238" spans="1:3" x14ac:dyDescent="0.25">
      <c r="A2238" s="2" t="str">
        <f ca="1">IFERROR(__xludf.DUMMYFUNCTION("""COMPUTED_VALUE"""),"bridge-mutual")</f>
        <v>bridge-mutual</v>
      </c>
      <c r="B2238" s="2" t="str">
        <f ca="1">IFERROR(__xludf.DUMMYFUNCTION("""COMPUTED_VALUE"""),"bmi")</f>
        <v>bmi</v>
      </c>
      <c r="C2238" s="2" t="str">
        <f ca="1">IFERROR(__xludf.DUMMYFUNCTION("""COMPUTED_VALUE"""),"Bridge Mutual")</f>
        <v>Bridge Mutual</v>
      </c>
    </row>
    <row r="2239" spans="1:3" x14ac:dyDescent="0.25">
      <c r="A2239" s="2" t="str">
        <f ca="1">IFERROR(__xludf.DUMMYFUNCTION("""COMPUTED_VALUE"""),"bridge-oracle")</f>
        <v>bridge-oracle</v>
      </c>
      <c r="B2239" s="2" t="str">
        <f ca="1">IFERROR(__xludf.DUMMYFUNCTION("""COMPUTED_VALUE"""),"brg")</f>
        <v>brg</v>
      </c>
      <c r="C2239" s="2" t="str">
        <f ca="1">IFERROR(__xludf.DUMMYFUNCTION("""COMPUTED_VALUE"""),"Bridge Oracle")</f>
        <v>Bridge Oracle</v>
      </c>
    </row>
    <row r="2240" spans="1:3" x14ac:dyDescent="0.25">
      <c r="A2240" s="2" t="str">
        <f ca="1">IFERROR(__xludf.DUMMYFUNCTION("""COMPUTED_VALUE"""),"bright-crypto-ai")</f>
        <v>bright-crypto-ai</v>
      </c>
      <c r="B2240" s="2" t="str">
        <f ca="1">IFERROR(__xludf.DUMMYFUNCTION("""COMPUTED_VALUE"""),"bcai")</f>
        <v>bcai</v>
      </c>
      <c r="C2240" s="2" t="str">
        <f ca="1">IFERROR(__xludf.DUMMYFUNCTION("""COMPUTED_VALUE"""),"Bright Crypto Ai")</f>
        <v>Bright Crypto Ai</v>
      </c>
    </row>
    <row r="2241" spans="1:3" x14ac:dyDescent="0.25">
      <c r="A2241" s="2" t="str">
        <f ca="1">IFERROR(__xludf.DUMMYFUNCTION("""COMPUTED_VALUE"""),"brightpool")</f>
        <v>brightpool</v>
      </c>
      <c r="B2241" s="2" t="str">
        <f ca="1">IFERROR(__xludf.DUMMYFUNCTION("""COMPUTED_VALUE"""),"bri")</f>
        <v>bri</v>
      </c>
      <c r="C2241" s="2" t="str">
        <f ca="1">IFERROR(__xludf.DUMMYFUNCTION("""COMPUTED_VALUE"""),"Brightpool")</f>
        <v>Brightpool</v>
      </c>
    </row>
    <row r="2242" spans="1:3" x14ac:dyDescent="0.25">
      <c r="A2242" s="2" t="str">
        <f ca="1">IFERROR(__xludf.DUMMYFUNCTION("""COMPUTED_VALUE"""),"brightpool-finance-brix")</f>
        <v>brightpool-finance-brix</v>
      </c>
      <c r="B2242" s="2" t="str">
        <f ca="1">IFERROR(__xludf.DUMMYFUNCTION("""COMPUTED_VALUE"""),"brix")</f>
        <v>brix</v>
      </c>
      <c r="C2242" s="2" t="str">
        <f ca="1">IFERROR(__xludf.DUMMYFUNCTION("""COMPUTED_VALUE"""),"Brightpool Finance BRIX")</f>
        <v>Brightpool Finance BRIX</v>
      </c>
    </row>
    <row r="2243" spans="1:3" x14ac:dyDescent="0.25">
      <c r="A2243" s="2" t="str">
        <f ca="1">IFERROR(__xludf.DUMMYFUNCTION("""COMPUTED_VALUE"""),"bright-token")</f>
        <v>bright-token</v>
      </c>
      <c r="B2243" s="2" t="str">
        <f ca="1">IFERROR(__xludf.DUMMYFUNCTION("""COMPUTED_VALUE"""),"bright")</f>
        <v>bright</v>
      </c>
      <c r="C2243" s="2" t="str">
        <f ca="1">IFERROR(__xludf.DUMMYFUNCTION("""COMPUTED_VALUE"""),"BrightID")</f>
        <v>BrightID</v>
      </c>
    </row>
    <row r="2244" spans="1:3" x14ac:dyDescent="0.25">
      <c r="A2244" s="2" t="str">
        <f ca="1">IFERROR(__xludf.DUMMYFUNCTION("""COMPUTED_VALUE"""),"bright-union")</f>
        <v>bright-union</v>
      </c>
      <c r="B2244" s="2" t="str">
        <f ca="1">IFERROR(__xludf.DUMMYFUNCTION("""COMPUTED_VALUE"""),"bright")</f>
        <v>bright</v>
      </c>
      <c r="C2244" s="2" t="str">
        <f ca="1">IFERROR(__xludf.DUMMYFUNCTION("""COMPUTED_VALUE"""),"Bright Union")</f>
        <v>Bright Union</v>
      </c>
    </row>
    <row r="2245" spans="1:3" x14ac:dyDescent="0.25">
      <c r="A2245" s="2" t="str">
        <f ca="1">IFERROR(__xludf.DUMMYFUNCTION("""COMPUTED_VALUE"""),"brish")</f>
        <v>brish</v>
      </c>
      <c r="B2245" s="2" t="str">
        <f ca="1">IFERROR(__xludf.DUMMYFUNCTION("""COMPUTED_VALUE"""),"brish")</f>
        <v>brish</v>
      </c>
      <c r="C2245" s="2" t="str">
        <f ca="1">IFERROR(__xludf.DUMMYFUNCTION("""COMPUTED_VALUE"""),"Brish")</f>
        <v>Brish</v>
      </c>
    </row>
    <row r="2246" spans="1:3" x14ac:dyDescent="0.25">
      <c r="A2246" s="2" t="str">
        <f ca="1">IFERROR(__xludf.DUMMYFUNCTION("""COMPUTED_VALUE"""),"britt")</f>
        <v>britt</v>
      </c>
      <c r="B2246" s="2" t="str">
        <f ca="1">IFERROR(__xludf.DUMMYFUNCTION("""COMPUTED_VALUE"""),"britt")</f>
        <v>britt</v>
      </c>
      <c r="C2246" s="2" t="str">
        <f ca="1">IFERROR(__xludf.DUMMYFUNCTION("""COMPUTED_VALUE"""),"Britt")</f>
        <v>Britt</v>
      </c>
    </row>
    <row r="2247" spans="1:3" x14ac:dyDescent="0.25">
      <c r="A2247" s="2" t="str">
        <f ca="1">IFERROR(__xludf.DUMMYFUNCTION("""COMPUTED_VALUE"""),"briun-armstrung")</f>
        <v>briun-armstrung</v>
      </c>
      <c r="B2247" s="2" t="str">
        <f ca="1">IFERROR(__xludf.DUMMYFUNCTION("""COMPUTED_VALUE"""),"briun")</f>
        <v>briun</v>
      </c>
      <c r="C2247" s="2" t="str">
        <f ca="1">IFERROR(__xludf.DUMMYFUNCTION("""COMPUTED_VALUE"""),"Briun Armstrung")</f>
        <v>Briun Armstrung</v>
      </c>
    </row>
    <row r="2248" spans="1:3" x14ac:dyDescent="0.25">
      <c r="A2248" s="2" t="str">
        <f ca="1">IFERROR(__xludf.DUMMYFUNCTION("""COMPUTED_VALUE"""),"brix-gaming")</f>
        <v>brix-gaming</v>
      </c>
      <c r="B2248" s="2" t="str">
        <f ca="1">IFERROR(__xludf.DUMMYFUNCTION("""COMPUTED_VALUE"""),"brix")</f>
        <v>brix</v>
      </c>
      <c r="C2248" s="2" t="str">
        <f ca="1">IFERROR(__xludf.DUMMYFUNCTION("""COMPUTED_VALUE"""),"Brix Gaming")</f>
        <v>Brix Gaming</v>
      </c>
    </row>
    <row r="2249" spans="1:3" x14ac:dyDescent="0.25">
      <c r="A2249" s="2" t="str">
        <f ca="1">IFERROR(__xludf.DUMMYFUNCTION("""COMPUTED_VALUE"""),"brla-digital-brla")</f>
        <v>brla-digital-brla</v>
      </c>
      <c r="B2249" s="2" t="str">
        <f ca="1">IFERROR(__xludf.DUMMYFUNCTION("""COMPUTED_VALUE"""),"brla")</f>
        <v>brla</v>
      </c>
      <c r="C2249" s="2" t="str">
        <f ca="1">IFERROR(__xludf.DUMMYFUNCTION("""COMPUTED_VALUE"""),"BRLA Digital BRLA")</f>
        <v>BRLA Digital BRLA</v>
      </c>
    </row>
    <row r="2250" spans="1:3" x14ac:dyDescent="0.25">
      <c r="A2250" s="2" t="str">
        <f ca="1">IFERROR(__xludf.DUMMYFUNCTION("""COMPUTED_VALUE"""),"brn-metaverse")</f>
        <v>brn-metaverse</v>
      </c>
      <c r="B2250" s="2" t="str">
        <f ca="1">IFERROR(__xludf.DUMMYFUNCTION("""COMPUTED_VALUE"""),"brn")</f>
        <v>brn</v>
      </c>
      <c r="C2250" s="2" t="str">
        <f ca="1">IFERROR(__xludf.DUMMYFUNCTION("""COMPUTED_VALUE"""),"BRN Metaverse")</f>
        <v>BRN Metaverse</v>
      </c>
    </row>
    <row r="2251" spans="1:3" x14ac:dyDescent="0.25">
      <c r="A2251" s="2" t="str">
        <f ca="1">IFERROR(__xludf.DUMMYFUNCTION("""COMPUTED_VALUE"""),"broccoli-the-gangsta")</f>
        <v>broccoli-the-gangsta</v>
      </c>
      <c r="B2251" s="2" t="str">
        <f ca="1">IFERROR(__xludf.DUMMYFUNCTION("""COMPUTED_VALUE"""),"broc")</f>
        <v>broc</v>
      </c>
      <c r="C2251" s="2" t="str">
        <f ca="1">IFERROR(__xludf.DUMMYFUNCTION("""COMPUTED_VALUE"""),"Broccoli The Gangsta")</f>
        <v>Broccoli The Gangsta</v>
      </c>
    </row>
    <row r="2252" spans="1:3" x14ac:dyDescent="0.25">
      <c r="A2252" s="2" t="str">
        <f ca="1">IFERROR(__xludf.DUMMYFUNCTION("""COMPUTED_VALUE"""),"brodogcoin")</f>
        <v>brodogcoin</v>
      </c>
      <c r="B2252" s="2" t="str">
        <f ca="1">IFERROR(__xludf.DUMMYFUNCTION("""COMPUTED_VALUE"""),"bro")</f>
        <v>bro</v>
      </c>
      <c r="C2252" s="2" t="str">
        <f ca="1">IFERROR(__xludf.DUMMYFUNCTION("""COMPUTED_VALUE"""),"brodogcoin")</f>
        <v>brodogcoin</v>
      </c>
    </row>
    <row r="2253" spans="1:3" x14ac:dyDescent="0.25">
      <c r="A2253" s="2" t="str">
        <f ca="1">IFERROR(__xludf.DUMMYFUNCTION("""COMPUTED_VALUE"""),"broge")</f>
        <v>broge</v>
      </c>
      <c r="B2253" s="2" t="str">
        <f ca="1">IFERROR(__xludf.DUMMYFUNCTION("""COMPUTED_VALUE"""),"broge")</f>
        <v>broge</v>
      </c>
      <c r="C2253" s="2" t="str">
        <f ca="1">IFERROR(__xludf.DUMMYFUNCTION("""COMPUTED_VALUE"""),"Broge")</f>
        <v>Broge</v>
      </c>
    </row>
    <row r="2254" spans="1:3" x14ac:dyDescent="0.25">
      <c r="A2254" s="2" t="str">
        <f ca="1">IFERROR(__xludf.DUMMYFUNCTION("""COMPUTED_VALUE"""),"broke-again")</f>
        <v>broke-again</v>
      </c>
      <c r="B2254" s="2" t="str">
        <f ca="1">IFERROR(__xludf.DUMMYFUNCTION("""COMPUTED_VALUE"""),"$broke")</f>
        <v>$broke</v>
      </c>
      <c r="C2254" s="2" t="str">
        <f ca="1">IFERROR(__xludf.DUMMYFUNCTION("""COMPUTED_VALUE"""),"$BROKE again")</f>
        <v>$BROKE again</v>
      </c>
    </row>
    <row r="2255" spans="1:3" x14ac:dyDescent="0.25">
      <c r="A2255" s="2" t="str">
        <f ca="1">IFERROR(__xludf.DUMMYFUNCTION("""COMPUTED_VALUE"""),"brokieinu")</f>
        <v>brokieinu</v>
      </c>
      <c r="B2255" s="2" t="str">
        <f ca="1">IFERROR(__xludf.DUMMYFUNCTION("""COMPUTED_VALUE"""),"brokie")</f>
        <v>brokie</v>
      </c>
      <c r="C2255" s="2" t="str">
        <f ca="1">IFERROR(__xludf.DUMMYFUNCTION("""COMPUTED_VALUE"""),"BROKIEINU")</f>
        <v>BROKIEINU</v>
      </c>
    </row>
    <row r="2256" spans="1:3" x14ac:dyDescent="0.25">
      <c r="A2256" s="2" t="str">
        <f ca="1">IFERROR(__xludf.DUMMYFUNCTION("""COMPUTED_VALUE"""),"brokie-on-ton")</f>
        <v>brokie-on-ton</v>
      </c>
      <c r="B2256" s="2" t="str">
        <f ca="1">IFERROR(__xludf.DUMMYFUNCTION("""COMPUTED_VALUE"""),"broton")</f>
        <v>broton</v>
      </c>
      <c r="C2256" s="2" t="str">
        <f ca="1">IFERROR(__xludf.DUMMYFUNCTION("""COMPUTED_VALUE"""),"BROKIE ON TON")</f>
        <v>BROKIE ON TON</v>
      </c>
    </row>
    <row r="2257" spans="1:3" x14ac:dyDescent="0.25">
      <c r="A2257" s="2" t="str">
        <f ca="1">IFERROR(__xludf.DUMMYFUNCTION("""COMPUTED_VALUE"""),"brokkr")</f>
        <v>brokkr</v>
      </c>
      <c r="B2257" s="2" t="str">
        <f ca="1">IFERROR(__xludf.DUMMYFUNCTION("""COMPUTED_VALUE"""),"bro")</f>
        <v>bro</v>
      </c>
      <c r="C2257" s="2" t="str">
        <f ca="1">IFERROR(__xludf.DUMMYFUNCTION("""COMPUTED_VALUE"""),"Brokkr")</f>
        <v>Brokkr</v>
      </c>
    </row>
    <row r="2258" spans="1:3" x14ac:dyDescent="0.25">
      <c r="A2258" s="2" t="str">
        <f ca="1">IFERROR(__xludf.DUMMYFUNCTION("""COMPUTED_VALUE"""),"brokoli")</f>
        <v>brokoli</v>
      </c>
      <c r="B2258" s="2" t="str">
        <f ca="1">IFERROR(__xludf.DUMMYFUNCTION("""COMPUTED_VALUE"""),"brkl")</f>
        <v>brkl</v>
      </c>
      <c r="C2258" s="2" t="str">
        <f ca="1">IFERROR(__xludf.DUMMYFUNCTION("""COMPUTED_VALUE"""),"Brokoli")</f>
        <v>Brokoli</v>
      </c>
    </row>
    <row r="2259" spans="1:3" x14ac:dyDescent="0.25">
      <c r="A2259" s="2" t="str">
        <f ca="1">IFERROR(__xludf.DUMMYFUNCTION("""COMPUTED_VALUE"""),"brolana")</f>
        <v>brolana</v>
      </c>
      <c r="B2259" s="2" t="str">
        <f ca="1">IFERROR(__xludf.DUMMYFUNCTION("""COMPUTED_VALUE"""),"bros")</f>
        <v>bros</v>
      </c>
      <c r="C2259" s="2" t="str">
        <f ca="1">IFERROR(__xludf.DUMMYFUNCTION("""COMPUTED_VALUE"""),"Brolana")</f>
        <v>Brolana</v>
      </c>
    </row>
    <row r="2260" spans="1:3" x14ac:dyDescent="0.25">
      <c r="A2260" s="2" t="str">
        <f ca="1">IFERROR(__xludf.DUMMYFUNCTION("""COMPUTED_VALUE"""),"broot")</f>
        <v>broot</v>
      </c>
      <c r="B2260" s="2" t="str">
        <f ca="1">IFERROR(__xludf.DUMMYFUNCTION("""COMPUTED_VALUE"""),"broot")</f>
        <v>broot</v>
      </c>
      <c r="C2260" s="2" t="str">
        <f ca="1">IFERROR(__xludf.DUMMYFUNCTION("""COMPUTED_VALUE"""),"BROOT")</f>
        <v>BROOT</v>
      </c>
    </row>
    <row r="2261" spans="1:3" x14ac:dyDescent="0.25">
      <c r="A2261" s="2" t="str">
        <f ca="1">IFERROR(__xludf.DUMMYFUNCTION("""COMPUTED_VALUE"""),"broovs-projects")</f>
        <v>broovs-projects</v>
      </c>
      <c r="B2261" s="2" t="str">
        <f ca="1">IFERROR(__xludf.DUMMYFUNCTION("""COMPUTED_VALUE"""),"brs")</f>
        <v>brs</v>
      </c>
      <c r="C2261" s="2" t="str">
        <f ca="1">IFERROR(__xludf.DUMMYFUNCTION("""COMPUTED_VALUE"""),"Broovs Projects")</f>
        <v>Broovs Projects</v>
      </c>
    </row>
    <row r="2262" spans="1:3" x14ac:dyDescent="0.25">
      <c r="A2262" s="2" t="str">
        <f ca="1">IFERROR(__xludf.DUMMYFUNCTION("""COMPUTED_VALUE"""),"bro-the-cat")</f>
        <v>bro-the-cat</v>
      </c>
      <c r="B2262" s="2" t="str">
        <f ca="1">IFERROR(__xludf.DUMMYFUNCTION("""COMPUTED_VALUE"""),"bro")</f>
        <v>bro</v>
      </c>
      <c r="C2262" s="2" t="str">
        <f ca="1">IFERROR(__xludf.DUMMYFUNCTION("""COMPUTED_VALUE"""),"Bro the cat")</f>
        <v>Bro the cat</v>
      </c>
    </row>
    <row r="2263" spans="1:3" x14ac:dyDescent="0.25">
      <c r="A2263" s="2" t="str">
        <f ca="1">IFERROR(__xludf.DUMMYFUNCTION("""COMPUTED_VALUE"""),"bruh")</f>
        <v>bruh</v>
      </c>
      <c r="B2263" s="2" t="str">
        <f ca="1">IFERROR(__xludf.DUMMYFUNCTION("""COMPUTED_VALUE"""),"bruh")</f>
        <v>bruh</v>
      </c>
      <c r="C2263" s="2" t="str">
        <f ca="1">IFERROR(__xludf.DUMMYFUNCTION("""COMPUTED_VALUE"""),"BRUH")</f>
        <v>BRUH</v>
      </c>
    </row>
    <row r="2264" spans="1:3" x14ac:dyDescent="0.25">
      <c r="A2264" s="2" t="str">
        <f ca="1">IFERROR(__xludf.DUMMYFUNCTION("""COMPUTED_VALUE"""),"bruh-2")</f>
        <v>bruh-2</v>
      </c>
      <c r="B2264" s="2" t="str">
        <f ca="1">IFERROR(__xludf.DUMMYFUNCTION("""COMPUTED_VALUE"""),"bruh")</f>
        <v>bruh</v>
      </c>
      <c r="C2264" s="2" t="str">
        <f ca="1">IFERROR(__xludf.DUMMYFUNCTION("""COMPUTED_VALUE"""),"Bruh")</f>
        <v>Bruh</v>
      </c>
    </row>
    <row r="2265" spans="1:3" x14ac:dyDescent="0.25">
      <c r="A2265" s="2" t="str">
        <f ca="1">IFERROR(__xludf.DUMMYFUNCTION("""COMPUTED_VALUE"""),"bruv")</f>
        <v>bruv</v>
      </c>
      <c r="B2265" s="2" t="str">
        <f ca="1">IFERROR(__xludf.DUMMYFUNCTION("""COMPUTED_VALUE"""),"bruv")</f>
        <v>bruv</v>
      </c>
      <c r="C2265" s="2" t="str">
        <f ca="1">IFERROR(__xludf.DUMMYFUNCTION("""COMPUTED_VALUE"""),"Bruv")</f>
        <v>Bruv</v>
      </c>
    </row>
    <row r="2266" spans="1:3" x14ac:dyDescent="0.25">
      <c r="A2266" s="2" t="str">
        <f ca="1">IFERROR(__xludf.DUMMYFUNCTION("""COMPUTED_VALUE"""),"brz")</f>
        <v>brz</v>
      </c>
      <c r="B2266" s="2" t="str">
        <f ca="1">IFERROR(__xludf.DUMMYFUNCTION("""COMPUTED_VALUE"""),"brz")</f>
        <v>brz</v>
      </c>
      <c r="C2266" s="2" t="str">
        <f ca="1">IFERROR(__xludf.DUMMYFUNCTION("""COMPUTED_VALUE"""),"Brazilian Digital")</f>
        <v>Brazilian Digital</v>
      </c>
    </row>
    <row r="2267" spans="1:3" x14ac:dyDescent="0.25">
      <c r="A2267" s="2" t="str">
        <f ca="1">IFERROR(__xludf.DUMMYFUNCTION("""COMPUTED_VALUE"""),"bsccat")</f>
        <v>bsccat</v>
      </c>
      <c r="B2267" s="2" t="str">
        <f ca="1">IFERROR(__xludf.DUMMYFUNCTION("""COMPUTED_VALUE"""),"bcat")</f>
        <v>bcat</v>
      </c>
      <c r="C2267" s="2" t="str">
        <f ca="1">IFERROR(__xludf.DUMMYFUNCTION("""COMPUTED_VALUE"""),"BSCCAT")</f>
        <v>BSCCAT</v>
      </c>
    </row>
    <row r="2268" spans="1:3" x14ac:dyDescent="0.25">
      <c r="A2268" s="2" t="str">
        <f ca="1">IFERROR(__xludf.DUMMYFUNCTION("""COMPUTED_VALUE"""),"bscex")</f>
        <v>bscex</v>
      </c>
      <c r="B2268" s="2" t="str">
        <f ca="1">IFERROR(__xludf.DUMMYFUNCTION("""COMPUTED_VALUE"""),"bscx")</f>
        <v>bscx</v>
      </c>
      <c r="C2268" s="2" t="str">
        <f ca="1">IFERROR(__xludf.DUMMYFUNCTION("""COMPUTED_VALUE"""),"BSCEX")</f>
        <v>BSCEX</v>
      </c>
    </row>
    <row r="2269" spans="1:3" x14ac:dyDescent="0.25">
      <c r="A2269" s="2" t="str">
        <f ca="1">IFERROR(__xludf.DUMMYFUNCTION("""COMPUTED_VALUE"""),"bsclaunch")</f>
        <v>bsclaunch</v>
      </c>
      <c r="B2269" s="2" t="str">
        <f ca="1">IFERROR(__xludf.DUMMYFUNCTION("""COMPUTED_VALUE"""),"bsl")</f>
        <v>bsl</v>
      </c>
      <c r="C2269" s="2" t="str">
        <f ca="1">IFERROR(__xludf.DUMMYFUNCTION("""COMPUTED_VALUE"""),"BSClaunch")</f>
        <v>BSClaunch</v>
      </c>
    </row>
    <row r="2270" spans="1:3" x14ac:dyDescent="0.25">
      <c r="A2270" s="2" t="str">
        <f ca="1">IFERROR(__xludf.DUMMYFUNCTION("""COMPUTED_VALUE"""),"bscm")</f>
        <v>bscm</v>
      </c>
      <c r="B2270" s="2" t="str">
        <f ca="1">IFERROR(__xludf.DUMMYFUNCTION("""COMPUTED_VALUE"""),"bscm")</f>
        <v>bscm</v>
      </c>
      <c r="C2270" s="2" t="str">
        <f ca="1">IFERROR(__xludf.DUMMYFUNCTION("""COMPUTED_VALUE"""),"Fuzzy Lucky")</f>
        <v>Fuzzy Lucky</v>
      </c>
    </row>
    <row r="2271" spans="1:3" x14ac:dyDescent="0.25">
      <c r="A2271" s="2" t="str">
        <f ca="1">IFERROR(__xludf.DUMMYFUNCTION("""COMPUTED_VALUE"""),"bscpad")</f>
        <v>bscpad</v>
      </c>
      <c r="B2271" s="2" t="str">
        <f ca="1">IFERROR(__xludf.DUMMYFUNCTION("""COMPUTED_VALUE"""),"bscpad")</f>
        <v>bscpad</v>
      </c>
      <c r="C2271" s="2" t="str">
        <f ca="1">IFERROR(__xludf.DUMMYFUNCTION("""COMPUTED_VALUE"""),"BSCPAD")</f>
        <v>BSCPAD</v>
      </c>
    </row>
    <row r="2272" spans="1:3" x14ac:dyDescent="0.25">
      <c r="A2272" s="2" t="str">
        <f ca="1">IFERROR(__xludf.DUMMYFUNCTION("""COMPUTED_VALUE"""),"bscstarter")</f>
        <v>bscstarter</v>
      </c>
      <c r="B2272" s="2" t="str">
        <f ca="1">IFERROR(__xludf.DUMMYFUNCTION("""COMPUTED_VALUE"""),"start")</f>
        <v>start</v>
      </c>
      <c r="C2272" s="3" t="str">
        <f ca="1">IFERROR(__xludf.DUMMYFUNCTION("""COMPUTED_VALUE"""),"Starter.xyz")</f>
        <v>Starter.xyz</v>
      </c>
    </row>
    <row r="2273" spans="1:3" x14ac:dyDescent="0.25">
      <c r="A2273" s="2" t="str">
        <f ca="1">IFERROR(__xludf.DUMMYFUNCTION("""COMPUTED_VALUE"""),"bsc-station")</f>
        <v>bsc-station</v>
      </c>
      <c r="B2273" s="2" t="str">
        <f ca="1">IFERROR(__xludf.DUMMYFUNCTION("""COMPUTED_VALUE"""),"bscs")</f>
        <v>bscs</v>
      </c>
      <c r="C2273" s="2" t="str">
        <f ca="1">IFERROR(__xludf.DUMMYFUNCTION("""COMPUTED_VALUE"""),"BSCS")</f>
        <v>BSCS</v>
      </c>
    </row>
    <row r="2274" spans="1:3" x14ac:dyDescent="0.25">
      <c r="A2274" s="2" t="str">
        <f ca="1">IFERROR(__xludf.DUMMYFUNCTION("""COMPUTED_VALUE"""),"bsk")</f>
        <v>bsk</v>
      </c>
      <c r="B2274" s="2" t="str">
        <f ca="1">IFERROR(__xludf.DUMMYFUNCTION("""COMPUTED_VALUE"""),"bsk")</f>
        <v>bsk</v>
      </c>
      <c r="C2274" s="2" t="str">
        <f ca="1">IFERROR(__xludf.DUMMYFUNCTION("""COMPUTED_VALUE"""),"BTCSKR")</f>
        <v>BTCSKR</v>
      </c>
    </row>
    <row r="2275" spans="1:3" x14ac:dyDescent="0.25">
      <c r="A2275" s="2" t="str">
        <f ca="1">IFERROR(__xludf.DUMMYFUNCTION("""COMPUTED_VALUE"""),"bsocial-2")</f>
        <v>bsocial-2</v>
      </c>
      <c r="B2275" s="2" t="str">
        <f ca="1">IFERROR(__xludf.DUMMYFUNCTION("""COMPUTED_VALUE"""),"bscl")</f>
        <v>bscl</v>
      </c>
      <c r="C2275" s="2" t="str">
        <f ca="1">IFERROR(__xludf.DUMMYFUNCTION("""COMPUTED_VALUE"""),"BSOCIAL")</f>
        <v>BSOCIAL</v>
      </c>
    </row>
    <row r="2276" spans="1:3" x14ac:dyDescent="0.25">
      <c r="A2276" s="2" t="str">
        <f ca="1">IFERROR(__xludf.DUMMYFUNCTION("""COMPUTED_VALUE"""),"bsv")</f>
        <v>bsv</v>
      </c>
      <c r="B2276" s="2" t="str">
        <f ca="1">IFERROR(__xludf.DUMMYFUNCTION("""COMPUTED_VALUE"""),"bsv")</f>
        <v>bsv</v>
      </c>
      <c r="C2276" s="2" t="str">
        <f ca="1">IFERROR(__xludf.DUMMYFUNCTION("""COMPUTED_VALUE"""),"$BSV")</f>
        <v>$BSV</v>
      </c>
    </row>
    <row r="2277" spans="1:3" x14ac:dyDescent="0.25">
      <c r="A2277" s="2" t="str">
        <f ca="1">IFERROR(__xludf.DUMMYFUNCTION("""COMPUTED_VALUE"""),"btaf-token")</f>
        <v>btaf-token</v>
      </c>
      <c r="B2277" s="2" t="str">
        <f ca="1">IFERROR(__xludf.DUMMYFUNCTION("""COMPUTED_VALUE"""),"btaf")</f>
        <v>btaf</v>
      </c>
      <c r="C2277" s="2" t="str">
        <f ca="1">IFERROR(__xludf.DUMMYFUNCTION("""COMPUTED_VALUE"""),"BTAF token")</f>
        <v>BTAF token</v>
      </c>
    </row>
    <row r="2278" spans="1:3" x14ac:dyDescent="0.25">
      <c r="A2278" s="2" t="str">
        <f ca="1">IFERROR(__xludf.DUMMYFUNCTION("""COMPUTED_VALUE"""),"btc-2x-flexible-leverage-index")</f>
        <v>btc-2x-flexible-leverage-index</v>
      </c>
      <c r="B2278" s="2" t="str">
        <f ca="1">IFERROR(__xludf.DUMMYFUNCTION("""COMPUTED_VALUE"""),"btc2x-fli")</f>
        <v>btc2x-fli</v>
      </c>
      <c r="C2278" s="2" t="str">
        <f ca="1">IFERROR(__xludf.DUMMYFUNCTION("""COMPUTED_VALUE"""),"BTC 2x Flexible Leverage Index")</f>
        <v>BTC 2x Flexible Leverage Index</v>
      </c>
    </row>
    <row r="2279" spans="1:3" x14ac:dyDescent="0.25">
      <c r="A2279" s="2" t="str">
        <f ca="1">IFERROR(__xludf.DUMMYFUNCTION("""COMPUTED_VALUE"""),"btcmeme")</f>
        <v>btcmeme</v>
      </c>
      <c r="B2279" s="2" t="str">
        <f ca="1">IFERROR(__xludf.DUMMYFUNCTION("""COMPUTED_VALUE"""),"btcmeme")</f>
        <v>btcmeme</v>
      </c>
      <c r="C2279" s="2" t="str">
        <f ca="1">IFERROR(__xludf.DUMMYFUNCTION("""COMPUTED_VALUE"""),"BTCMEME")</f>
        <v>BTCMEME</v>
      </c>
    </row>
    <row r="2280" spans="1:3" x14ac:dyDescent="0.25">
      <c r="A2280" s="2" t="str">
        <f ca="1">IFERROR(__xludf.DUMMYFUNCTION("""COMPUTED_VALUE"""),"btc-proxy")</f>
        <v>btc-proxy</v>
      </c>
      <c r="B2280" s="2" t="str">
        <f ca="1">IFERROR(__xludf.DUMMYFUNCTION("""COMPUTED_VALUE"""),"btcpx")</f>
        <v>btcpx</v>
      </c>
      <c r="C2280" s="2" t="str">
        <f ca="1">IFERROR(__xludf.DUMMYFUNCTION("""COMPUTED_VALUE"""),"BTC Proxy")</f>
        <v>BTC Proxy</v>
      </c>
    </row>
    <row r="2281" spans="1:3" x14ac:dyDescent="0.25">
      <c r="A2281" s="2" t="str">
        <f ca="1">IFERROR(__xludf.DUMMYFUNCTION("""COMPUTED_VALUE"""),"btcs")</f>
        <v>btcs</v>
      </c>
      <c r="B2281" s="2" t="str">
        <f ca="1">IFERROR(__xludf.DUMMYFUNCTION("""COMPUTED_VALUE"""),"btcs")</f>
        <v>btcs</v>
      </c>
      <c r="C2281" s="2" t="str">
        <f ca="1">IFERROR(__xludf.DUMMYFUNCTION("""COMPUTED_VALUE"""),"BTCs")</f>
        <v>BTCs</v>
      </c>
    </row>
    <row r="2282" spans="1:3" x14ac:dyDescent="0.25">
      <c r="A2282" s="2" t="str">
        <f ca="1">IFERROR(__xludf.DUMMYFUNCTION("""COMPUTED_VALUE"""),"btc-standard-hashrate-token")</f>
        <v>btc-standard-hashrate-token</v>
      </c>
      <c r="B2282" s="2" t="str">
        <f ca="1">IFERROR(__xludf.DUMMYFUNCTION("""COMPUTED_VALUE"""),"btcst")</f>
        <v>btcst</v>
      </c>
      <c r="C2282" s="2" t="str">
        <f ca="1">IFERROR(__xludf.DUMMYFUNCTION("""COMPUTED_VALUE"""),"BTC Standard Hashrate Token")</f>
        <v>BTC Standard Hashrate Token</v>
      </c>
    </row>
    <row r="2283" spans="1:3" x14ac:dyDescent="0.25">
      <c r="A2283" s="2" t="str">
        <f ca="1">IFERROR(__xludf.DUMMYFUNCTION("""COMPUTED_VALUE"""),"btf")</f>
        <v>btf</v>
      </c>
      <c r="B2283" s="2" t="str">
        <f ca="1">IFERROR(__xludf.DUMMYFUNCTION("""COMPUTED_VALUE"""),"btf")</f>
        <v>btf</v>
      </c>
      <c r="C2283" s="2" t="str">
        <f ca="1">IFERROR(__xludf.DUMMYFUNCTION("""COMPUTED_VALUE"""),"Bitcoin Faith")</f>
        <v>Bitcoin Faith</v>
      </c>
    </row>
    <row r="2284" spans="1:3" x14ac:dyDescent="0.25">
      <c r="A2284" s="2" t="str">
        <f ca="1">IFERROR(__xludf.DUMMYFUNCTION("""COMPUTED_VALUE"""),"btour-chain")</f>
        <v>btour-chain</v>
      </c>
      <c r="B2284" s="2" t="str">
        <f ca="1">IFERROR(__xludf.DUMMYFUNCTION("""COMPUTED_VALUE"""),"msot")</f>
        <v>msot</v>
      </c>
      <c r="C2284" s="2" t="str">
        <f ca="1">IFERROR(__xludf.DUMMYFUNCTION("""COMPUTED_VALUE"""),"BTour Chain")</f>
        <v>BTour Chain</v>
      </c>
    </row>
    <row r="2285" spans="1:3" x14ac:dyDescent="0.25">
      <c r="A2285" s="2" t="str">
        <f ca="1">IFERROR(__xludf.DUMMYFUNCTION("""COMPUTED_VALUE"""),"btrips")</f>
        <v>btrips</v>
      </c>
      <c r="B2285" s="2" t="str">
        <f ca="1">IFERROR(__xludf.DUMMYFUNCTION("""COMPUTED_VALUE"""),"btr")</f>
        <v>btr</v>
      </c>
      <c r="C2285" s="2" t="str">
        <f ca="1">IFERROR(__xludf.DUMMYFUNCTION("""COMPUTED_VALUE"""),"BTRIPS")</f>
        <v>BTRIPS</v>
      </c>
    </row>
    <row r="2286" spans="1:3" x14ac:dyDescent="0.25">
      <c r="A2286" s="2" t="str">
        <f ca="1">IFERROR(__xludf.DUMMYFUNCTION("""COMPUTED_VALUE"""),"btse-token")</f>
        <v>btse-token</v>
      </c>
      <c r="B2286" s="2" t="str">
        <f ca="1">IFERROR(__xludf.DUMMYFUNCTION("""COMPUTED_VALUE"""),"btse")</f>
        <v>btse</v>
      </c>
      <c r="C2286" s="2" t="str">
        <f ca="1">IFERROR(__xludf.DUMMYFUNCTION("""COMPUTED_VALUE"""),"BTSE Token")</f>
        <v>BTSE Token</v>
      </c>
    </row>
    <row r="2287" spans="1:3" x14ac:dyDescent="0.25">
      <c r="A2287" s="2" t="str">
        <f ca="1">IFERROR(__xludf.DUMMYFUNCTION("""COMPUTED_VALUE"""),"btu-protocol")</f>
        <v>btu-protocol</v>
      </c>
      <c r="B2287" s="2" t="str">
        <f ca="1">IFERROR(__xludf.DUMMYFUNCTION("""COMPUTED_VALUE"""),"btu")</f>
        <v>btu</v>
      </c>
      <c r="C2287" s="2" t="str">
        <f ca="1">IFERROR(__xludf.DUMMYFUNCTION("""COMPUTED_VALUE"""),"BTU Protocol")</f>
        <v>BTU Protocol</v>
      </c>
    </row>
    <row r="2288" spans="1:3" x14ac:dyDescent="0.25">
      <c r="A2288" s="2" t="str">
        <f ca="1">IFERROR(__xludf.DUMMYFUNCTION("""COMPUTED_VALUE"""),"bubba")</f>
        <v>bubba</v>
      </c>
      <c r="B2288" s="2" t="str">
        <f ca="1">IFERROR(__xludf.DUMMYFUNCTION("""COMPUTED_VALUE"""),"bubba")</f>
        <v>bubba</v>
      </c>
      <c r="C2288" s="2" t="str">
        <f ca="1">IFERROR(__xludf.DUMMYFUNCTION("""COMPUTED_VALUE"""),"Bubba")</f>
        <v>Bubba</v>
      </c>
    </row>
    <row r="2289" spans="1:3" x14ac:dyDescent="0.25">
      <c r="A2289" s="2" t="str">
        <f ca="1">IFERROR(__xludf.DUMMYFUNCTION("""COMPUTED_VALUE"""),"bubblefong")</f>
        <v>bubblefong</v>
      </c>
      <c r="B2289" s="2" t="str">
        <f ca="1">IFERROR(__xludf.DUMMYFUNCTION("""COMPUTED_VALUE"""),"bbf")</f>
        <v>bbf</v>
      </c>
      <c r="C2289" s="2" t="str">
        <f ca="1">IFERROR(__xludf.DUMMYFUNCTION("""COMPUTED_VALUE"""),"Bubblefong")</f>
        <v>Bubblefong</v>
      </c>
    </row>
    <row r="2290" spans="1:3" x14ac:dyDescent="0.25">
      <c r="A2290" s="2" t="str">
        <f ca="1">IFERROR(__xludf.DUMMYFUNCTION("""COMPUTED_VALUE"""),"bubbles-2")</f>
        <v>bubbles-2</v>
      </c>
      <c r="B2290" s="2" t="str">
        <f ca="1">IFERROR(__xludf.DUMMYFUNCTION("""COMPUTED_VALUE"""),"bubbles")</f>
        <v>bubbles</v>
      </c>
      <c r="C2290" s="2" t="str">
        <f ca="1">IFERROR(__xludf.DUMMYFUNCTION("""COMPUTED_VALUE"""),"BUBBLES")</f>
        <v>BUBBLES</v>
      </c>
    </row>
    <row r="2291" spans="1:3" x14ac:dyDescent="0.25">
      <c r="A2291" s="2" t="str">
        <f ca="1">IFERROR(__xludf.DUMMYFUNCTION("""COMPUTED_VALUE"""),"bubcat")</f>
        <v>bubcat</v>
      </c>
      <c r="B2291" s="2" t="str">
        <f ca="1">IFERROR(__xludf.DUMMYFUNCTION("""COMPUTED_VALUE"""),"bub")</f>
        <v>bub</v>
      </c>
      <c r="C2291" s="2" t="str">
        <f ca="1">IFERROR(__xludf.DUMMYFUNCTION("""COMPUTED_VALUE"""),"BUBCAT [OLD]")</f>
        <v>BUBCAT [OLD]</v>
      </c>
    </row>
    <row r="2292" spans="1:3" x14ac:dyDescent="0.25">
      <c r="A2292" s="2" t="str">
        <f ca="1">IFERROR(__xludf.DUMMYFUNCTION("""COMPUTED_VALUE"""),"bubcat-2")</f>
        <v>bubcat-2</v>
      </c>
      <c r="B2292" s="2" t="str">
        <f ca="1">IFERROR(__xludf.DUMMYFUNCTION("""COMPUTED_VALUE"""),"bub")</f>
        <v>bub</v>
      </c>
      <c r="C2292" s="2" t="str">
        <f ca="1">IFERROR(__xludf.DUMMYFUNCTION("""COMPUTED_VALUE"""),"BUBCAT")</f>
        <v>BUBCAT</v>
      </c>
    </row>
    <row r="2293" spans="1:3" x14ac:dyDescent="0.25">
      <c r="A2293" s="2" t="str">
        <f ca="1">IFERROR(__xludf.DUMMYFUNCTION("""COMPUTED_VALUE"""),"bubsy-ai")</f>
        <v>bubsy-ai</v>
      </c>
      <c r="B2293" s="2" t="str">
        <f ca="1">IFERROR(__xludf.DUMMYFUNCTION("""COMPUTED_VALUE"""),"bubsy")</f>
        <v>bubsy</v>
      </c>
      <c r="C2293" s="2" t="str">
        <f ca="1">IFERROR(__xludf.DUMMYFUNCTION("""COMPUTED_VALUE"""),"Bubsy AI")</f>
        <v>Bubsy AI</v>
      </c>
    </row>
    <row r="2294" spans="1:3" x14ac:dyDescent="0.25">
      <c r="A2294" s="2" t="str">
        <f ca="1">IFERROR(__xludf.DUMMYFUNCTION("""COMPUTED_VALUE"""),"bucci")</f>
        <v>bucci</v>
      </c>
      <c r="B2294" s="2" t="str">
        <f ca="1">IFERROR(__xludf.DUMMYFUNCTION("""COMPUTED_VALUE"""),"brrr")</f>
        <v>brrr</v>
      </c>
      <c r="C2294" s="2" t="str">
        <f ca="1">IFERROR(__xludf.DUMMYFUNCTION("""COMPUTED_VALUE"""),"BUCCI")</f>
        <v>BUCCI</v>
      </c>
    </row>
    <row r="2295" spans="1:3" x14ac:dyDescent="0.25">
      <c r="A2295" s="2" t="str">
        <f ca="1">IFERROR(__xludf.DUMMYFUNCTION("""COMPUTED_VALUE"""),"bucket-protocol-buck-stablecoin")</f>
        <v>bucket-protocol-buck-stablecoin</v>
      </c>
      <c r="B2295" s="2" t="str">
        <f ca="1">IFERROR(__xludf.DUMMYFUNCTION("""COMPUTED_VALUE"""),"buck")</f>
        <v>buck</v>
      </c>
      <c r="C2295" s="2" t="str">
        <f ca="1">IFERROR(__xludf.DUMMYFUNCTION("""COMPUTED_VALUE"""),"Bucket Protocol BUCK Stablecoin")</f>
        <v>Bucket Protocol BUCK Stablecoin</v>
      </c>
    </row>
    <row r="2296" spans="1:3" x14ac:dyDescent="0.25">
      <c r="A2296" s="2" t="str">
        <f ca="1">IFERROR(__xludf.DUMMYFUNCTION("""COMPUTED_VALUE"""),"buckhath-coin")</f>
        <v>buckhath-coin</v>
      </c>
      <c r="B2296" s="2" t="str">
        <f ca="1">IFERROR(__xludf.DUMMYFUNCTION("""COMPUTED_VALUE"""),"bhig")</f>
        <v>bhig</v>
      </c>
      <c r="C2296" s="2" t="str">
        <f ca="1">IFERROR(__xludf.DUMMYFUNCTION("""COMPUTED_VALUE"""),"BuckHath Coin")</f>
        <v>BuckHath Coin</v>
      </c>
    </row>
    <row r="2297" spans="1:3" x14ac:dyDescent="0.25">
      <c r="A2297" s="2" t="str">
        <f ca="1">IFERROR(__xludf.DUMMYFUNCTION("""COMPUTED_VALUE"""),"bucky")</f>
        <v>bucky</v>
      </c>
      <c r="B2297" s="2" t="str">
        <f ca="1">IFERROR(__xludf.DUMMYFUNCTION("""COMPUTED_VALUE"""),"bucky")</f>
        <v>bucky</v>
      </c>
      <c r="C2297" s="2" t="str">
        <f ca="1">IFERROR(__xludf.DUMMYFUNCTION("""COMPUTED_VALUE"""),"Bucky")</f>
        <v>Bucky</v>
      </c>
    </row>
    <row r="2298" spans="1:3" x14ac:dyDescent="0.25">
      <c r="A2298" s="2" t="str">
        <f ca="1">IFERROR(__xludf.DUMMYFUNCTION("""COMPUTED_VALUE"""),"buddha")</f>
        <v>buddha</v>
      </c>
      <c r="B2298" s="2" t="str">
        <f ca="1">IFERROR(__xludf.DUMMYFUNCTION("""COMPUTED_VALUE"""),"buddha")</f>
        <v>buddha</v>
      </c>
      <c r="C2298" s="2" t="str">
        <f ca="1">IFERROR(__xludf.DUMMYFUNCTION("""COMPUTED_VALUE"""),"Buddha")</f>
        <v>Buddha</v>
      </c>
    </row>
    <row r="2299" spans="1:3" x14ac:dyDescent="0.25">
      <c r="A2299" s="2" t="str">
        <f ca="1">IFERROR(__xludf.DUMMYFUNCTION("""COMPUTED_VALUE"""),"buddy-2")</f>
        <v>buddy-2</v>
      </c>
      <c r="B2299" s="2" t="str">
        <f ca="1">IFERROR(__xludf.DUMMYFUNCTION("""COMPUTED_VALUE"""),"buddy")</f>
        <v>buddy</v>
      </c>
      <c r="C2299" s="2" t="str">
        <f ca="1">IFERROR(__xludf.DUMMYFUNCTION("""COMPUTED_VALUE"""),"BUDDY")</f>
        <v>BUDDY</v>
      </c>
    </row>
    <row r="2300" spans="1:3" x14ac:dyDescent="0.25">
      <c r="A2300" s="2" t="str">
        <f ca="1">IFERROR(__xludf.DUMMYFUNCTION("""COMPUTED_VALUE"""),"buddyai")</f>
        <v>buddyai</v>
      </c>
      <c r="B2300" s="2" t="str">
        <f ca="1">IFERROR(__xludf.DUMMYFUNCTION("""COMPUTED_VALUE"""),"buddy")</f>
        <v>buddy</v>
      </c>
      <c r="C2300" s="2" t="str">
        <f ca="1">IFERROR(__xludf.DUMMYFUNCTION("""COMPUTED_VALUE"""),"BuddyAI")</f>
        <v>BuddyAI</v>
      </c>
    </row>
    <row r="2301" spans="1:3" x14ac:dyDescent="0.25">
      <c r="A2301" s="2" t="str">
        <f ca="1">IFERROR(__xludf.DUMMYFUNCTION("""COMPUTED_VALUE"""),"buff-coin")</f>
        <v>buff-coin</v>
      </c>
      <c r="B2301" s="2" t="str">
        <f ca="1">IFERROR(__xludf.DUMMYFUNCTION("""COMPUTED_VALUE"""),"buff")</f>
        <v>buff</v>
      </c>
      <c r="C2301" s="2" t="str">
        <f ca="1">IFERROR(__xludf.DUMMYFUNCTION("""COMPUTED_VALUE"""),"Buff Coin")</f>
        <v>Buff Coin</v>
      </c>
    </row>
    <row r="2302" spans="1:3" x14ac:dyDescent="0.25">
      <c r="A2302" s="2" t="str">
        <f ca="1">IFERROR(__xludf.DUMMYFUNCTION("""COMPUTED_VALUE"""),"buff-doge-coin")</f>
        <v>buff-doge-coin</v>
      </c>
      <c r="B2302" s="2" t="str">
        <f ca="1">IFERROR(__xludf.DUMMYFUNCTION("""COMPUTED_VALUE"""),"dogecoin")</f>
        <v>dogecoin</v>
      </c>
      <c r="C2302" s="2" t="str">
        <f ca="1">IFERROR(__xludf.DUMMYFUNCTION("""COMPUTED_VALUE"""),"Buff Doge Coin")</f>
        <v>Buff Doge Coin</v>
      </c>
    </row>
    <row r="2303" spans="1:3" x14ac:dyDescent="0.25">
      <c r="A2303" s="2" t="str">
        <f ca="1">IFERROR(__xludf.DUMMYFUNCTION("""COMPUTED_VALUE"""),"bufficorn")</f>
        <v>bufficorn</v>
      </c>
      <c r="B2303" s="2" t="str">
        <f ca="1">IFERROR(__xludf.DUMMYFUNCTION("""COMPUTED_VALUE"""),"buffi")</f>
        <v>buffi</v>
      </c>
      <c r="C2303" s="2" t="str">
        <f ca="1">IFERROR(__xludf.DUMMYFUNCTION("""COMPUTED_VALUE"""),"Bufficorn")</f>
        <v>Bufficorn</v>
      </c>
    </row>
    <row r="2304" spans="1:3" x14ac:dyDescent="0.25">
      <c r="A2304" s="2" t="str">
        <f ca="1">IFERROR(__xludf.DUMMYFUNCTION("""COMPUTED_VALUE"""),"buffswap")</f>
        <v>buffswap</v>
      </c>
      <c r="B2304" s="2" t="str">
        <f ca="1">IFERROR(__xludf.DUMMYFUNCTION("""COMPUTED_VALUE"""),"buffs")</f>
        <v>buffs</v>
      </c>
      <c r="C2304" s="2" t="str">
        <f ca="1">IFERROR(__xludf.DUMMYFUNCTION("""COMPUTED_VALUE"""),"BuffSwap")</f>
        <v>BuffSwap</v>
      </c>
    </row>
    <row r="2305" spans="1:3" x14ac:dyDescent="0.25">
      <c r="A2305" s="2" t="str">
        <f ca="1">IFERROR(__xludf.DUMMYFUNCTION("""COMPUTED_VALUE"""),"buffy")</f>
        <v>buffy</v>
      </c>
      <c r="B2305" s="2" t="str">
        <f ca="1">IFERROR(__xludf.DUMMYFUNCTION("""COMPUTED_VALUE"""),"buffy")</f>
        <v>buffy</v>
      </c>
      <c r="C2305" s="2" t="str">
        <f ca="1">IFERROR(__xludf.DUMMYFUNCTION("""COMPUTED_VALUE"""),"Buffy")</f>
        <v>Buffy</v>
      </c>
    </row>
    <row r="2306" spans="1:3" x14ac:dyDescent="0.25">
      <c r="A2306" s="2" t="str">
        <f ca="1">IFERROR(__xludf.DUMMYFUNCTION("""COMPUTED_VALUE"""),"bug")</f>
        <v>bug</v>
      </c>
      <c r="B2306" s="2" t="str">
        <f ca="1">IFERROR(__xludf.DUMMYFUNCTION("""COMPUTED_VALUE"""),"bug")</f>
        <v>bug</v>
      </c>
      <c r="C2306" s="2" t="str">
        <f ca="1">IFERROR(__xludf.DUMMYFUNCTION("""COMPUTED_VALUE"""),"Bug")</f>
        <v>Bug</v>
      </c>
    </row>
    <row r="2307" spans="1:3" x14ac:dyDescent="0.25">
      <c r="A2307" s="2" t="str">
        <f ca="1">IFERROR(__xludf.DUMMYFUNCTION("""COMPUTED_VALUE"""),"bug-cat")</f>
        <v>bug-cat</v>
      </c>
      <c r="B2307" s="2" t="str">
        <f ca="1">IFERROR(__xludf.DUMMYFUNCTION("""COMPUTED_VALUE"""),"bcat")</f>
        <v>bcat</v>
      </c>
      <c r="C2307" s="2" t="str">
        <f ca="1">IFERROR(__xludf.DUMMYFUNCTION("""COMPUTED_VALUE"""),"Bug Cat")</f>
        <v>Bug Cat</v>
      </c>
    </row>
    <row r="2308" spans="1:3" x14ac:dyDescent="0.25">
      <c r="A2308" s="2" t="str">
        <f ca="1">IFERROR(__xludf.DUMMYFUNCTION("""COMPUTED_VALUE"""),"bugna")</f>
        <v>bugna</v>
      </c>
      <c r="B2308" s="2" t="str">
        <f ca="1">IFERROR(__xludf.DUMMYFUNCTION("""COMPUTED_VALUE"""),"bga")</f>
        <v>bga</v>
      </c>
      <c r="C2308" s="2" t="str">
        <f ca="1">IFERROR(__xludf.DUMMYFUNCTION("""COMPUTED_VALUE"""),"Bugna")</f>
        <v>Bugna</v>
      </c>
    </row>
    <row r="2309" spans="1:3" x14ac:dyDescent="0.25">
      <c r="A2309" s="2" t="str">
        <f ca="1">IFERROR(__xludf.DUMMYFUNCTION("""COMPUTED_VALUE"""),"bugs-bunny")</f>
        <v>bugs-bunny</v>
      </c>
      <c r="B2309" s="2" t="str">
        <f ca="1">IFERROR(__xludf.DUMMYFUNCTION("""COMPUTED_VALUE"""),"bugs")</f>
        <v>bugs</v>
      </c>
      <c r="C2309" s="2" t="str">
        <f ca="1">IFERROR(__xludf.DUMMYFUNCTION("""COMPUTED_VALUE"""),"Bugs Bunny")</f>
        <v>Bugs Bunny</v>
      </c>
    </row>
    <row r="2310" spans="1:3" x14ac:dyDescent="0.25">
      <c r="A2310" s="2" t="str">
        <f ca="1">IFERROR(__xludf.DUMMYFUNCTION("""COMPUTED_VALUE"""),"build")</f>
        <v>build</v>
      </c>
      <c r="B2310" s="2" t="str">
        <f ca="1">IFERROR(__xludf.DUMMYFUNCTION("""COMPUTED_VALUE"""),"build")</f>
        <v>build</v>
      </c>
      <c r="C2310" s="2" t="str">
        <f ca="1">IFERROR(__xludf.DUMMYFUNCTION("""COMPUTED_VALUE"""),"BUILD")</f>
        <v>BUILD</v>
      </c>
    </row>
    <row r="2311" spans="1:3" x14ac:dyDescent="0.25">
      <c r="A2311" s="2" t="str">
        <f ca="1">IFERROR(__xludf.DUMMYFUNCTION("""COMPUTED_VALUE"""),"build-2")</f>
        <v>build-2</v>
      </c>
      <c r="B2311" s="2" t="str">
        <f ca="1">IFERROR(__xludf.DUMMYFUNCTION("""COMPUTED_VALUE"""),"build")</f>
        <v>build</v>
      </c>
      <c r="C2311" s="2" t="str">
        <f ca="1">IFERROR(__xludf.DUMMYFUNCTION("""COMPUTED_VALUE"""),"Build")</f>
        <v>Build</v>
      </c>
    </row>
    <row r="2312" spans="1:3" x14ac:dyDescent="0.25">
      <c r="A2312" s="2" t="str">
        <f ca="1">IFERROR(__xludf.DUMMYFUNCTION("""COMPUTED_VALUE"""),"buildai")</f>
        <v>buildai</v>
      </c>
      <c r="B2312" s="2" t="str">
        <f ca="1">IFERROR(__xludf.DUMMYFUNCTION("""COMPUTED_VALUE"""),"build")</f>
        <v>build</v>
      </c>
      <c r="C2312" s="2" t="str">
        <f ca="1">IFERROR(__xludf.DUMMYFUNCTION("""COMPUTED_VALUE"""),"BuildAI")</f>
        <v>BuildAI</v>
      </c>
    </row>
    <row r="2313" spans="1:3" x14ac:dyDescent="0.25">
      <c r="A2313" s="2" t="str">
        <f ca="1">IFERROR(__xludf.DUMMYFUNCTION("""COMPUTED_VALUE"""),"bul")</f>
        <v>bul</v>
      </c>
      <c r="B2313" s="2" t="str">
        <f ca="1">IFERROR(__xludf.DUMMYFUNCTION("""COMPUTED_VALUE"""),"bul")</f>
        <v>bul</v>
      </c>
      <c r="C2313" s="2" t="str">
        <f ca="1">IFERROR(__xludf.DUMMYFUNCTION("""COMPUTED_VALUE"""),"bul")</f>
        <v>bul</v>
      </c>
    </row>
    <row r="2314" spans="1:3" x14ac:dyDescent="0.25">
      <c r="A2314" s="2" t="str">
        <f ca="1">IFERROR(__xludf.DUMMYFUNCTION("""COMPUTED_VALUE"""),"bulei")</f>
        <v>bulei</v>
      </c>
      <c r="B2314" s="2" t="str">
        <f ca="1">IFERROR(__xludf.DUMMYFUNCTION("""COMPUTED_VALUE"""),"bulei")</f>
        <v>bulei</v>
      </c>
      <c r="C2314" s="2" t="str">
        <f ca="1">IFERROR(__xludf.DUMMYFUNCTION("""COMPUTED_VALUE"""),"Bulei")</f>
        <v>Bulei</v>
      </c>
    </row>
    <row r="2315" spans="1:3" x14ac:dyDescent="0.25">
      <c r="A2315" s="2" t="str">
        <f ca="1">IFERROR(__xludf.DUMMYFUNCTION("""COMPUTED_VALUE"""),"bullbar")</f>
        <v>bullbar</v>
      </c>
      <c r="B2315" s="2" t="str">
        <f ca="1">IFERROR(__xludf.DUMMYFUNCTION("""COMPUTED_VALUE"""),"bull")</f>
        <v>bull</v>
      </c>
      <c r="C2315" s="2" t="str">
        <f ca="1">IFERROR(__xludf.DUMMYFUNCTION("""COMPUTED_VALUE"""),"BullBar")</f>
        <v>BullBar</v>
      </c>
    </row>
    <row r="2316" spans="1:3" x14ac:dyDescent="0.25">
      <c r="A2316" s="2" t="str">
        <f ca="1">IFERROR(__xludf.DUMMYFUNCTION("""COMPUTED_VALUE"""),"bullbear-ai")</f>
        <v>bullbear-ai</v>
      </c>
      <c r="B2316" s="2" t="str">
        <f ca="1">IFERROR(__xludf.DUMMYFUNCTION("""COMPUTED_VALUE"""),"aibb")</f>
        <v>aibb</v>
      </c>
      <c r="C2316" s="2" t="str">
        <f ca="1">IFERROR(__xludf.DUMMYFUNCTION("""COMPUTED_VALUE"""),"BullBear AI")</f>
        <v>BullBear AI</v>
      </c>
    </row>
    <row r="2317" spans="1:3" x14ac:dyDescent="0.25">
      <c r="A2317" s="2" t="str">
        <f ca="1">IFERROR(__xludf.DUMMYFUNCTION("""COMPUTED_VALUE"""),"bull-btc-club")</f>
        <v>bull-btc-club</v>
      </c>
      <c r="B2317" s="2" t="str">
        <f ca="1">IFERROR(__xludf.DUMMYFUNCTION("""COMPUTED_VALUE"""),"bbc")</f>
        <v>bbc</v>
      </c>
      <c r="C2317" s="2" t="str">
        <f ca="1">IFERROR(__xludf.DUMMYFUNCTION("""COMPUTED_VALUE"""),"Bull BTC Club")</f>
        <v>Bull BTC Club</v>
      </c>
    </row>
    <row r="2318" spans="1:3" x14ac:dyDescent="0.25">
      <c r="A2318" s="2" t="str">
        <f ca="1">IFERROR(__xludf.DUMMYFUNCTION("""COMPUTED_VALUE"""),"bull-coin")</f>
        <v>bull-coin</v>
      </c>
      <c r="B2318" s="2" t="str">
        <f ca="1">IFERROR(__xludf.DUMMYFUNCTION("""COMPUTED_VALUE"""),"bull")</f>
        <v>bull</v>
      </c>
      <c r="C2318" s="2" t="str">
        <f ca="1">IFERROR(__xludf.DUMMYFUNCTION("""COMPUTED_VALUE"""),"Bull Coin")</f>
        <v>Bull Coin</v>
      </c>
    </row>
    <row r="2319" spans="1:3" x14ac:dyDescent="0.25">
      <c r="A2319" s="2" t="str">
        <f ca="1">IFERROR(__xludf.DUMMYFUNCTION("""COMPUTED_VALUE"""),"bullet-game")</f>
        <v>bullet-game</v>
      </c>
      <c r="B2319" s="2" t="str">
        <f ca="1">IFERROR(__xludf.DUMMYFUNCTION("""COMPUTED_VALUE"""),"bullet")</f>
        <v>bullet</v>
      </c>
      <c r="C2319" s="2" t="str">
        <f ca="1">IFERROR(__xludf.DUMMYFUNCTION("""COMPUTED_VALUE"""),"Bullet Gate Betting Token")</f>
        <v>Bullet Gate Betting Token</v>
      </c>
    </row>
    <row r="2320" spans="1:3" x14ac:dyDescent="0.25">
      <c r="A2320" s="2" t="str">
        <f ca="1">IFERROR(__xludf.DUMMYFUNCTION("""COMPUTED_VALUE"""),"bullets")</f>
        <v>bullets</v>
      </c>
      <c r="B2320" s="2" t="str">
        <f ca="1">IFERROR(__xludf.DUMMYFUNCTION("""COMPUTED_VALUE"""),"blt")</f>
        <v>blt</v>
      </c>
      <c r="C2320" s="2" t="str">
        <f ca="1">IFERROR(__xludf.DUMMYFUNCTION("""COMPUTED_VALUE"""),"Bullets")</f>
        <v>Bullets</v>
      </c>
    </row>
    <row r="2321" spans="1:3" x14ac:dyDescent="0.25">
      <c r="A2321" s="2" t="str">
        <f ca="1">IFERROR(__xludf.DUMMYFUNCTION("""COMPUTED_VALUE"""),"bullieverse")</f>
        <v>bullieverse</v>
      </c>
      <c r="B2321" s="2" t="str">
        <f ca="1">IFERROR(__xludf.DUMMYFUNCTION("""COMPUTED_VALUE"""),"bull")</f>
        <v>bull</v>
      </c>
      <c r="C2321" s="2" t="str">
        <f ca="1">IFERROR(__xludf.DUMMYFUNCTION("""COMPUTED_VALUE"""),"Bullieverse")</f>
        <v>Bullieverse</v>
      </c>
    </row>
    <row r="2322" spans="1:3" x14ac:dyDescent="0.25">
      <c r="A2322" s="2" t="str">
        <f ca="1">IFERROR(__xludf.DUMMYFUNCTION("""COMPUTED_VALUE"""),"bullish")</f>
        <v>bullish</v>
      </c>
      <c r="B2322" s="2" t="str">
        <f ca="1">IFERROR(__xludf.DUMMYFUNCTION("""COMPUTED_VALUE"""),"bullish")</f>
        <v>bullish</v>
      </c>
      <c r="C2322" s="2" t="str">
        <f ca="1">IFERROR(__xludf.DUMMYFUNCTION("""COMPUTED_VALUE"""),"bullish")</f>
        <v>bullish</v>
      </c>
    </row>
    <row r="2323" spans="1:3" x14ac:dyDescent="0.25">
      <c r="A2323" s="2" t="str">
        <f ca="1">IFERROR(__xludf.DUMMYFUNCTION("""COMPUTED_VALUE"""),"bullishmarketcap")</f>
        <v>bullishmarketcap</v>
      </c>
      <c r="B2323" s="2" t="str">
        <f ca="1">IFERROR(__xludf.DUMMYFUNCTION("""COMPUTED_VALUE"""),"$bmc")</f>
        <v>$bmc</v>
      </c>
      <c r="C2323" s="2" t="str">
        <f ca="1">IFERROR(__xludf.DUMMYFUNCTION("""COMPUTED_VALUE"""),"BullishMarketCap")</f>
        <v>BullishMarketCap</v>
      </c>
    </row>
    <row r="2324" spans="1:3" x14ac:dyDescent="0.25">
      <c r="A2324" s="2" t="str">
        <f ca="1">IFERROR(__xludf.DUMMYFUNCTION("""COMPUTED_VALUE"""),"bull-market")</f>
        <v>bull-market</v>
      </c>
      <c r="B2324" s="2" t="str">
        <f ca="1">IFERROR(__xludf.DUMMYFUNCTION("""COMPUTED_VALUE"""),"$bull")</f>
        <v>$bull</v>
      </c>
      <c r="C2324" s="2" t="str">
        <f ca="1">IFERROR(__xludf.DUMMYFUNCTION("""COMPUTED_VALUE"""),"Bull Market")</f>
        <v>Bull Market</v>
      </c>
    </row>
    <row r="2325" spans="1:3" x14ac:dyDescent="0.25">
      <c r="A2325" s="2" t="str">
        <f ca="1">IFERROR(__xludf.DUMMYFUNCTION("""COMPUTED_VALUE"""),"bullperks")</f>
        <v>bullperks</v>
      </c>
      <c r="B2325" s="2" t="str">
        <f ca="1">IFERROR(__xludf.DUMMYFUNCTION("""COMPUTED_VALUE"""),"blp")</f>
        <v>blp</v>
      </c>
      <c r="C2325" s="2" t="str">
        <f ca="1">IFERROR(__xludf.DUMMYFUNCTION("""COMPUTED_VALUE"""),"BullPerks")</f>
        <v>BullPerks</v>
      </c>
    </row>
    <row r="2326" spans="1:3" x14ac:dyDescent="0.25">
      <c r="A2326" s="2" t="str">
        <f ca="1">IFERROR(__xludf.DUMMYFUNCTION("""COMPUTED_VALUE"""),"bull-run-bets")</f>
        <v>bull-run-bets</v>
      </c>
      <c r="B2326" s="2" t="str">
        <f ca="1">IFERROR(__xludf.DUMMYFUNCTION("""COMPUTED_VALUE"""),"brbc")</f>
        <v>brbc</v>
      </c>
      <c r="C2326" s="2" t="str">
        <f ca="1">IFERROR(__xludf.DUMMYFUNCTION("""COMPUTED_VALUE"""),"Bull Run Bets")</f>
        <v>Bull Run Bets</v>
      </c>
    </row>
    <row r="2327" spans="1:3" x14ac:dyDescent="0.25">
      <c r="A2327" s="2" t="str">
        <f ca="1">IFERROR(__xludf.DUMMYFUNCTION("""COMPUTED_VALUE"""),"bull-run-solana")</f>
        <v>bull-run-solana</v>
      </c>
      <c r="B2327" s="2" t="str">
        <f ca="1">IFERROR(__xludf.DUMMYFUNCTION("""COMPUTED_VALUE"""),"$bull")</f>
        <v>$bull</v>
      </c>
      <c r="C2327" s="2" t="str">
        <f ca="1">IFERROR(__xludf.DUMMYFUNCTION("""COMPUTED_VALUE"""),"Bull Run Solana")</f>
        <v>Bull Run Solana</v>
      </c>
    </row>
    <row r="2328" spans="1:3" x14ac:dyDescent="0.25">
      <c r="A2328" s="2" t="str">
        <f ca="1">IFERROR(__xludf.DUMMYFUNCTION("""COMPUTED_VALUE"""),"bulls-2")</f>
        <v>bulls-2</v>
      </c>
      <c r="B2328" s="2" t="str">
        <f ca="1">IFERROR(__xludf.DUMMYFUNCTION("""COMPUTED_VALUE"""),"bulls")</f>
        <v>bulls</v>
      </c>
      <c r="C2328" s="2" t="str">
        <f ca="1">IFERROR(__xludf.DUMMYFUNCTION("""COMPUTED_VALUE"""),"BULLS")</f>
        <v>BULLS</v>
      </c>
    </row>
    <row r="2329" spans="1:3" x14ac:dyDescent="0.25">
      <c r="A2329" s="2" t="str">
        <f ca="1">IFERROR(__xludf.DUMMYFUNCTION("""COMPUTED_VALUE"""),"bullshits404")</f>
        <v>bullshits404</v>
      </c>
      <c r="B2329" s="2" t="str">
        <f ca="1">IFERROR(__xludf.DUMMYFUNCTION("""COMPUTED_VALUE"""),"bs")</f>
        <v>bs</v>
      </c>
      <c r="C2329" s="2" t="str">
        <f ca="1">IFERROR(__xludf.DUMMYFUNCTION("""COMPUTED_VALUE"""),"Bullshits404")</f>
        <v>Bullshits404</v>
      </c>
    </row>
    <row r="2330" spans="1:3" x14ac:dyDescent="0.25">
      <c r="A2330" s="2" t="str">
        <f ca="1">IFERROR(__xludf.DUMMYFUNCTION("""COMPUTED_VALUE"""),"bull-star-finance")</f>
        <v>bull-star-finance</v>
      </c>
      <c r="B2330" s="2" t="str">
        <f ca="1">IFERROR(__xludf.DUMMYFUNCTION("""COMPUTED_VALUE"""),"bsf")</f>
        <v>bsf</v>
      </c>
      <c r="C2330" s="2" t="str">
        <f ca="1">IFERROR(__xludf.DUMMYFUNCTION("""COMPUTED_VALUE"""),"Bull Star Finance")</f>
        <v>Bull Star Finance</v>
      </c>
    </row>
    <row r="2331" spans="1:3" x14ac:dyDescent="0.25">
      <c r="A2331" s="2" t="str">
        <f ca="1">IFERROR(__xludf.DUMMYFUNCTION("""COMPUTED_VALUE"""),"bull-token-2")</f>
        <v>bull-token-2</v>
      </c>
      <c r="B2331" s="2" t="str">
        <f ca="1">IFERROR(__xludf.DUMMYFUNCTION("""COMPUTED_VALUE"""),"bull")</f>
        <v>bull</v>
      </c>
      <c r="C2331" s="2" t="str">
        <f ca="1">IFERROR(__xludf.DUMMYFUNCTION("""COMPUTED_VALUE"""),"Bull Token")</f>
        <v>Bull Token</v>
      </c>
    </row>
    <row r="2332" spans="1:3" x14ac:dyDescent="0.25">
      <c r="A2332" s="2" t="str">
        <f ca="1">IFERROR(__xludf.DUMMYFUNCTION("""COMPUTED_VALUE"""),"bullverse")</f>
        <v>bullverse</v>
      </c>
      <c r="B2332" s="2" t="str">
        <f ca="1">IFERROR(__xludf.DUMMYFUNCTION("""COMPUTED_VALUE"""),"bull")</f>
        <v>bull</v>
      </c>
      <c r="C2332" s="2" t="str">
        <f ca="1">IFERROR(__xludf.DUMMYFUNCTION("""COMPUTED_VALUE"""),"BullVerse")</f>
        <v>BullVerse</v>
      </c>
    </row>
    <row r="2333" spans="1:3" x14ac:dyDescent="0.25">
      <c r="A2333" s="2" t="str">
        <f ca="1">IFERROR(__xludf.DUMMYFUNCTION("""COMPUTED_VALUE"""),"bully-2")</f>
        <v>bully-2</v>
      </c>
      <c r="B2333" s="2" t="str">
        <f ca="1">IFERROR(__xludf.DUMMYFUNCTION("""COMPUTED_VALUE"""),"bully")</f>
        <v>bully</v>
      </c>
      <c r="C2333" s="2" t="str">
        <f ca="1">IFERROR(__xludf.DUMMYFUNCTION("""COMPUTED_VALUE"""),"Bully")</f>
        <v>Bully</v>
      </c>
    </row>
    <row r="2334" spans="1:3" x14ac:dyDescent="0.25">
      <c r="A2334" s="2" t="str">
        <f ca="1">IFERROR(__xludf.DUMMYFUNCTION("""COMPUTED_VALUE"""),"bullysoltoken")</f>
        <v>bullysoltoken</v>
      </c>
      <c r="B2334" s="2" t="str">
        <f ca="1">IFERROR(__xludf.DUMMYFUNCTION("""COMPUTED_VALUE"""),"bully")</f>
        <v>bully</v>
      </c>
      <c r="C2334" s="2" t="str">
        <f ca="1">IFERROR(__xludf.DUMMYFUNCTION("""COMPUTED_VALUE"""),"Bully")</f>
        <v>Bully</v>
      </c>
    </row>
    <row r="2335" spans="1:3" x14ac:dyDescent="0.25">
      <c r="A2335" s="2" t="str">
        <f ca="1">IFERROR(__xludf.DUMMYFUNCTION("""COMPUTED_VALUE"""),"bully-ze-bull")</f>
        <v>bully-ze-bull</v>
      </c>
      <c r="B2335" s="2" t="str">
        <f ca="1">IFERROR(__xludf.DUMMYFUNCTION("""COMPUTED_VALUE"""),"bully")</f>
        <v>bully</v>
      </c>
      <c r="C2335" s="2" t="str">
        <f ca="1">IFERROR(__xludf.DUMMYFUNCTION("""COMPUTED_VALUE"""),"Bully Ze Bull")</f>
        <v>Bully Ze Bull</v>
      </c>
    </row>
    <row r="2336" spans="1:3" x14ac:dyDescent="0.25">
      <c r="A2336" s="2" t="str">
        <f ca="1">IFERROR(__xludf.DUMMYFUNCTION("""COMPUTED_VALUE"""),"bumper")</f>
        <v>bumper</v>
      </c>
      <c r="B2336" s="2" t="str">
        <f ca="1">IFERROR(__xludf.DUMMYFUNCTION("""COMPUTED_VALUE"""),"bump")</f>
        <v>bump</v>
      </c>
      <c r="C2336" s="2" t="str">
        <f ca="1">IFERROR(__xludf.DUMMYFUNCTION("""COMPUTED_VALUE"""),"Bumper")</f>
        <v>Bumper</v>
      </c>
    </row>
    <row r="2337" spans="1:3" x14ac:dyDescent="0.25">
      <c r="A2337" s="2" t="str">
        <f ca="1">IFERROR(__xludf.DUMMYFUNCTION("""COMPUTED_VALUE"""),"buna-games")</f>
        <v>buna-games</v>
      </c>
      <c r="B2337" s="2" t="str">
        <f ca="1">IFERROR(__xludf.DUMMYFUNCTION("""COMPUTED_VALUE"""),"buna")</f>
        <v>buna</v>
      </c>
      <c r="C2337" s="2" t="str">
        <f ca="1">IFERROR(__xludf.DUMMYFUNCTION("""COMPUTED_VALUE"""),"Buna Games")</f>
        <v>Buna Games</v>
      </c>
    </row>
    <row r="2338" spans="1:3" x14ac:dyDescent="0.25">
      <c r="A2338" s="2" t="str">
        <f ca="1">IFERROR(__xludf.DUMMYFUNCTION("""COMPUTED_VALUE"""),"bundl")</f>
        <v>bundl</v>
      </c>
      <c r="B2338" s="2" t="str">
        <f ca="1">IFERROR(__xludf.DUMMYFUNCTION("""COMPUTED_VALUE"""),"bndl")</f>
        <v>bndl</v>
      </c>
      <c r="C2338" s="2" t="str">
        <f ca="1">IFERROR(__xludf.DUMMYFUNCTION("""COMPUTED_VALUE"""),"Bundl")</f>
        <v>Bundl</v>
      </c>
    </row>
    <row r="2339" spans="1:3" x14ac:dyDescent="0.25">
      <c r="A2339" s="2" t="str">
        <f ca="1">IFERROR(__xludf.DUMMYFUNCTION("""COMPUTED_VALUE"""),"bundles")</f>
        <v>bundles</v>
      </c>
      <c r="B2339" s="2" t="str">
        <f ca="1">IFERROR(__xludf.DUMMYFUNCTION("""COMPUTED_VALUE"""),"bund")</f>
        <v>bund</v>
      </c>
      <c r="C2339" s="2" t="str">
        <f ca="1">IFERROR(__xludf.DUMMYFUNCTION("""COMPUTED_VALUE"""),"Bund V2")</f>
        <v>Bund V2</v>
      </c>
    </row>
    <row r="2340" spans="1:3" x14ac:dyDescent="0.25">
      <c r="A2340" s="2" t="str">
        <f ca="1">IFERROR(__xludf.DUMMYFUNCTION("""COMPUTED_VALUE"""),"bunicoin")</f>
        <v>bunicoin</v>
      </c>
      <c r="B2340" s="2" t="str">
        <f ca="1">IFERROR(__xludf.DUMMYFUNCTION("""COMPUTED_VALUE"""),"buni")</f>
        <v>buni</v>
      </c>
      <c r="C2340" s="2" t="str">
        <f ca="1">IFERROR(__xludf.DUMMYFUNCTION("""COMPUTED_VALUE"""),"bunicoin")</f>
        <v>bunicoin</v>
      </c>
    </row>
    <row r="2341" spans="1:3" x14ac:dyDescent="0.25">
      <c r="A2341" s="2" t="str">
        <f ca="1">IFERROR(__xludf.DUMMYFUNCTION("""COMPUTED_VALUE"""),"bunicorn")</f>
        <v>bunicorn</v>
      </c>
      <c r="B2341" s="2" t="str">
        <f ca="1">IFERROR(__xludf.DUMMYFUNCTION("""COMPUTED_VALUE"""),"buni")</f>
        <v>buni</v>
      </c>
      <c r="C2341" s="2" t="str">
        <f ca="1">IFERROR(__xludf.DUMMYFUNCTION("""COMPUTED_VALUE"""),"Bunicorn")</f>
        <v>Bunicorn</v>
      </c>
    </row>
    <row r="2342" spans="1:3" x14ac:dyDescent="0.25">
      <c r="A2342" s="2" t="str">
        <f ca="1">IFERROR(__xludf.DUMMYFUNCTION("""COMPUTED_VALUE"""),"bunkee")</f>
        <v>bunkee</v>
      </c>
      <c r="B2342" s="2" t="str">
        <f ca="1">IFERROR(__xludf.DUMMYFUNCTION("""COMPUTED_VALUE"""),"bunk")</f>
        <v>bunk</v>
      </c>
      <c r="C2342" s="2" t="str">
        <f ca="1">IFERROR(__xludf.DUMMYFUNCTION("""COMPUTED_VALUE"""),"Bunkee")</f>
        <v>Bunkee</v>
      </c>
    </row>
    <row r="2343" spans="1:3" x14ac:dyDescent="0.25">
      <c r="A2343" s="2" t="str">
        <f ca="1">IFERROR(__xludf.DUMMYFUNCTION("""COMPUTED_VALUE"""),"bunnie")</f>
        <v>bunnie</v>
      </c>
      <c r="B2343" s="2" t="str">
        <f ca="1">IFERROR(__xludf.DUMMYFUNCTION("""COMPUTED_VALUE"""),"$bun")</f>
        <v>$bun</v>
      </c>
      <c r="C2343" s="2" t="str">
        <f ca="1">IFERROR(__xludf.DUMMYFUNCTION("""COMPUTED_VALUE"""),"Bunnie")</f>
        <v>Bunnie</v>
      </c>
    </row>
    <row r="2344" spans="1:3" x14ac:dyDescent="0.25">
      <c r="A2344" s="2" t="str">
        <f ca="1">IFERROR(__xludf.DUMMYFUNCTION("""COMPUTED_VALUE"""),"bunny-mev-bot")</f>
        <v>bunny-mev-bot</v>
      </c>
      <c r="B2344" s="2" t="str">
        <f ca="1">IFERROR(__xludf.DUMMYFUNCTION("""COMPUTED_VALUE"""),"bunny")</f>
        <v>bunny</v>
      </c>
      <c r="C2344" s="2" t="str">
        <f ca="1">IFERROR(__xludf.DUMMYFUNCTION("""COMPUTED_VALUE"""),"BUNNY MEV BOT")</f>
        <v>BUNNY MEV BOT</v>
      </c>
    </row>
    <row r="2345" spans="1:3" x14ac:dyDescent="0.25">
      <c r="A2345" s="2" t="str">
        <f ca="1">IFERROR(__xludf.DUMMYFUNCTION("""COMPUTED_VALUE"""),"bunnypark")</f>
        <v>bunnypark</v>
      </c>
      <c r="B2345" s="2" t="str">
        <f ca="1">IFERROR(__xludf.DUMMYFUNCTION("""COMPUTED_VALUE"""),"bp")</f>
        <v>bp</v>
      </c>
      <c r="C2345" s="2" t="str">
        <f ca="1">IFERROR(__xludf.DUMMYFUNCTION("""COMPUTED_VALUE"""),"BunnyPark")</f>
        <v>BunnyPark</v>
      </c>
    </row>
    <row r="2346" spans="1:3" x14ac:dyDescent="0.25">
      <c r="A2346" s="2" t="str">
        <f ca="1">IFERROR(__xludf.DUMMYFUNCTION("""COMPUTED_VALUE"""),"bunnypark-game")</f>
        <v>bunnypark-game</v>
      </c>
      <c r="B2346" s="2" t="str">
        <f ca="1">IFERROR(__xludf.DUMMYFUNCTION("""COMPUTED_VALUE"""),"bg")</f>
        <v>bg</v>
      </c>
      <c r="C2346" s="2" t="str">
        <f ca="1">IFERROR(__xludf.DUMMYFUNCTION("""COMPUTED_VALUE"""),"BunnyPark Game")</f>
        <v>BunnyPark Game</v>
      </c>
    </row>
    <row r="2347" spans="1:3" x14ac:dyDescent="0.25">
      <c r="A2347" s="2" t="str">
        <f ca="1">IFERROR(__xludf.DUMMYFUNCTION("""COMPUTED_VALUE"""),"bunny-token-polygon")</f>
        <v>bunny-token-polygon</v>
      </c>
      <c r="B2347" s="2" t="str">
        <f ca="1">IFERROR(__xludf.DUMMYFUNCTION("""COMPUTED_VALUE"""),"polybunny")</f>
        <v>polybunny</v>
      </c>
      <c r="C2347" s="2" t="str">
        <f ca="1">IFERROR(__xludf.DUMMYFUNCTION("""COMPUTED_VALUE"""),"Pancake Bunny Polygon")</f>
        <v>Pancake Bunny Polygon</v>
      </c>
    </row>
    <row r="2348" spans="1:3" x14ac:dyDescent="0.25">
      <c r="A2348" s="2" t="str">
        <f ca="1">IFERROR(__xludf.DUMMYFUNCTION("""COMPUTED_VALUE"""),"burency")</f>
        <v>burency</v>
      </c>
      <c r="B2348" s="2" t="str">
        <f ca="1">IFERROR(__xludf.DUMMYFUNCTION("""COMPUTED_VALUE"""),"buy")</f>
        <v>buy</v>
      </c>
      <c r="C2348" s="2" t="str">
        <f ca="1">IFERROR(__xludf.DUMMYFUNCTION("""COMPUTED_VALUE"""),"Burency")</f>
        <v>Burency</v>
      </c>
    </row>
    <row r="2349" spans="1:3" x14ac:dyDescent="0.25">
      <c r="A2349" s="2" t="str">
        <f ca="1">IFERROR(__xludf.DUMMYFUNCTION("""COMPUTED_VALUE"""),"burger-swap")</f>
        <v>burger-swap</v>
      </c>
      <c r="B2349" s="2" t="str">
        <f ca="1">IFERROR(__xludf.DUMMYFUNCTION("""COMPUTED_VALUE"""),"burger")</f>
        <v>burger</v>
      </c>
      <c r="C2349" s="2" t="str">
        <f ca="1">IFERROR(__xludf.DUMMYFUNCTION("""COMPUTED_VALUE"""),"BurgerCities")</f>
        <v>BurgerCities</v>
      </c>
    </row>
    <row r="2350" spans="1:3" x14ac:dyDescent="0.25">
      <c r="A2350" s="2" t="str">
        <f ca="1">IFERROR(__xludf.DUMMYFUNCTION("""COMPUTED_VALUE"""),"burn-2")</f>
        <v>burn-2</v>
      </c>
      <c r="B2350" s="2" t="str">
        <f ca="1">IFERROR(__xludf.DUMMYFUNCTION("""COMPUTED_VALUE"""),"burn")</f>
        <v>burn</v>
      </c>
      <c r="C2350" s="2" t="str">
        <f ca="1">IFERROR(__xludf.DUMMYFUNCTION("""COMPUTED_VALUE"""),"Burn")</f>
        <v>Burn</v>
      </c>
    </row>
    <row r="2351" spans="1:3" x14ac:dyDescent="0.25">
      <c r="A2351" s="2" t="str">
        <f ca="1">IFERROR(__xludf.DUMMYFUNCTION("""COMPUTED_VALUE"""),"burncoin")</f>
        <v>burncoin</v>
      </c>
      <c r="B2351" s="2" t="str">
        <f ca="1">IFERROR(__xludf.DUMMYFUNCTION("""COMPUTED_VALUE"""),"burn")</f>
        <v>burn</v>
      </c>
      <c r="C2351" s="2" t="str">
        <f ca="1">IFERROR(__xludf.DUMMYFUNCTION("""COMPUTED_VALUE"""),"Burncoin")</f>
        <v>Burncoin</v>
      </c>
    </row>
    <row r="2352" spans="1:3" x14ac:dyDescent="0.25">
      <c r="A2352" s="2" t="str">
        <f ca="1">IFERROR(__xludf.DUMMYFUNCTION("""COMPUTED_VALUE"""),"burnedfi")</f>
        <v>burnedfi</v>
      </c>
      <c r="B2352" s="2" t="str">
        <f ca="1">IFERROR(__xludf.DUMMYFUNCTION("""COMPUTED_VALUE"""),"burn")</f>
        <v>burn</v>
      </c>
      <c r="C2352" s="2" t="str">
        <f ca="1">IFERROR(__xludf.DUMMYFUNCTION("""COMPUTED_VALUE"""),"BurnedFi")</f>
        <v>BurnedFi</v>
      </c>
    </row>
    <row r="2353" spans="1:3" x14ac:dyDescent="0.25">
      <c r="A2353" s="2" t="str">
        <f ca="1">IFERROR(__xludf.DUMMYFUNCTION("""COMPUTED_VALUE"""),"burnify")</f>
        <v>burnify</v>
      </c>
      <c r="B2353" s="2" t="str">
        <f ca="1">IFERROR(__xludf.DUMMYFUNCTION("""COMPUTED_VALUE"""),"bfy")</f>
        <v>bfy</v>
      </c>
      <c r="C2353" s="2" t="str">
        <f ca="1">IFERROR(__xludf.DUMMYFUNCTION("""COMPUTED_VALUE"""),"Burnify")</f>
        <v>Burnify</v>
      </c>
    </row>
    <row r="2354" spans="1:3" x14ac:dyDescent="0.25">
      <c r="A2354" s="2" t="str">
        <f ca="1">IFERROR(__xludf.DUMMYFUNCTION("""COMPUTED_VALUE"""),"burning-circle")</f>
        <v>burning-circle</v>
      </c>
      <c r="B2354" s="2" t="str">
        <f ca="1">IFERROR(__xludf.DUMMYFUNCTION("""COMPUTED_VALUE"""),"circle")</f>
        <v>circle</v>
      </c>
      <c r="C2354" s="2" t="str">
        <f ca="1">IFERROR(__xludf.DUMMYFUNCTION("""COMPUTED_VALUE"""),"Burning Circle")</f>
        <v>Burning Circle</v>
      </c>
    </row>
    <row r="2355" spans="1:3" x14ac:dyDescent="0.25">
      <c r="A2355" s="2" t="str">
        <f ca="1">IFERROR(__xludf.DUMMYFUNCTION("""COMPUTED_VALUE"""),"burnking")</f>
        <v>burnking</v>
      </c>
      <c r="B2355" s="2" t="str">
        <f ca="1">IFERROR(__xludf.DUMMYFUNCTION("""COMPUTED_VALUE"""),"burnking")</f>
        <v>burnking</v>
      </c>
      <c r="C2355" s="2" t="str">
        <f ca="1">IFERROR(__xludf.DUMMYFUNCTION("""COMPUTED_VALUE"""),"BurnKing")</f>
        <v>BurnKing</v>
      </c>
    </row>
    <row r="2356" spans="1:3" x14ac:dyDescent="0.25">
      <c r="A2356" s="2" t="str">
        <f ca="1">IFERROR(__xludf.DUMMYFUNCTION("""COMPUTED_VALUE"""),"burnsdefi")</f>
        <v>burnsdefi</v>
      </c>
      <c r="B2356" s="2" t="str">
        <f ca="1">IFERROR(__xludf.DUMMYFUNCTION("""COMPUTED_VALUE"""),"burns")</f>
        <v>burns</v>
      </c>
      <c r="C2356" s="2" t="str">
        <f ca="1">IFERROR(__xludf.DUMMYFUNCTION("""COMPUTED_VALUE"""),"BurnsDeFi")</f>
        <v>BurnsDeFi</v>
      </c>
    </row>
    <row r="2357" spans="1:3" x14ac:dyDescent="0.25">
      <c r="A2357" s="2" t="str">
        <f ca="1">IFERROR(__xludf.DUMMYFUNCTION("""COMPUTED_VALUE"""),"burp")</f>
        <v>burp</v>
      </c>
      <c r="B2357" s="2" t="str">
        <f ca="1">IFERROR(__xludf.DUMMYFUNCTION("""COMPUTED_VALUE"""),"burp")</f>
        <v>burp</v>
      </c>
      <c r="C2357" s="2" t="str">
        <f ca="1">IFERROR(__xludf.DUMMYFUNCTION("""COMPUTED_VALUE"""),"Burp")</f>
        <v>Burp</v>
      </c>
    </row>
    <row r="2358" spans="1:3" x14ac:dyDescent="0.25">
      <c r="A2358" s="2" t="str">
        <f ca="1">IFERROR(__xludf.DUMMYFUNCTION("""COMPUTED_VALUE"""),"burrial")</f>
        <v>burrial</v>
      </c>
      <c r="B2358" s="2" t="str">
        <f ca="1">IFERROR(__xludf.DUMMYFUNCTION("""COMPUTED_VALUE"""),"burry")</f>
        <v>burry</v>
      </c>
      <c r="C2358" s="2" t="str">
        <f ca="1">IFERROR(__xludf.DUMMYFUNCTION("""COMPUTED_VALUE"""),"Burrial")</f>
        <v>Burrial</v>
      </c>
    </row>
    <row r="2359" spans="1:3" x14ac:dyDescent="0.25">
      <c r="A2359" s="2" t="str">
        <f ca="1">IFERROR(__xludf.DUMMYFUNCTION("""COMPUTED_VALUE"""),"burrow")</f>
        <v>burrow</v>
      </c>
      <c r="B2359" s="2" t="str">
        <f ca="1">IFERROR(__xludf.DUMMYFUNCTION("""COMPUTED_VALUE"""),"brrr")</f>
        <v>brrr</v>
      </c>
      <c r="C2359" s="2" t="str">
        <f ca="1">IFERROR(__xludf.DUMMYFUNCTION("""COMPUTED_VALUE"""),"Burrow")</f>
        <v>Burrow</v>
      </c>
    </row>
    <row r="2360" spans="1:3" x14ac:dyDescent="0.25">
      <c r="A2360" s="2" t="str">
        <f ca="1">IFERROR(__xludf.DUMMYFUNCTION("""COMPUTED_VALUE"""),"burrrd")</f>
        <v>burrrd</v>
      </c>
      <c r="B2360" s="2" t="str">
        <f ca="1">IFERROR(__xludf.DUMMYFUNCTION("""COMPUTED_VALUE"""),"burrrd")</f>
        <v>burrrd</v>
      </c>
      <c r="C2360" s="2" t="str">
        <f ca="1">IFERROR(__xludf.DUMMYFUNCTION("""COMPUTED_VALUE"""),"BURRRD")</f>
        <v>BURRRD</v>
      </c>
    </row>
    <row r="2361" spans="1:3" x14ac:dyDescent="0.25">
      <c r="A2361" s="2" t="str">
        <f ca="1">IFERROR(__xludf.DUMMYFUNCTION("""COMPUTED_VALUE"""),"bursaspor-fan-token")</f>
        <v>bursaspor-fan-token</v>
      </c>
      <c r="B2361" s="2" t="str">
        <f ca="1">IFERROR(__xludf.DUMMYFUNCTION("""COMPUTED_VALUE"""),"tmsh")</f>
        <v>tmsh</v>
      </c>
      <c r="C2361" s="2" t="str">
        <f ca="1">IFERROR(__xludf.DUMMYFUNCTION("""COMPUTED_VALUE"""),"Bursaspor Fan Token")</f>
        <v>Bursaspor Fan Token</v>
      </c>
    </row>
    <row r="2362" spans="1:3" x14ac:dyDescent="0.25">
      <c r="A2362" s="2" t="str">
        <f ca="1">IFERROR(__xludf.DUMMYFUNCTION("""COMPUTED_VALUE"""),"busy-dao")</f>
        <v>busy-dao</v>
      </c>
      <c r="B2362" s="2" t="str">
        <f ca="1">IFERROR(__xludf.DUMMYFUNCTION("""COMPUTED_VALUE"""),"busy")</f>
        <v>busy</v>
      </c>
      <c r="C2362" s="2" t="str">
        <f ca="1">IFERROR(__xludf.DUMMYFUNCTION("""COMPUTED_VALUE"""),"Busy")</f>
        <v>Busy</v>
      </c>
    </row>
    <row r="2363" spans="1:3" x14ac:dyDescent="0.25">
      <c r="A2363" s="2" t="str">
        <f ca="1">IFERROR(__xludf.DUMMYFUNCTION("""COMPUTED_VALUE"""),"butane-token")</f>
        <v>butane-token</v>
      </c>
      <c r="B2363" s="2" t="str">
        <f ca="1">IFERROR(__xludf.DUMMYFUNCTION("""COMPUTED_VALUE"""),"btn")</f>
        <v>btn</v>
      </c>
      <c r="C2363" s="2" t="str">
        <f ca="1">IFERROR(__xludf.DUMMYFUNCTION("""COMPUTED_VALUE"""),"Butane Token")</f>
        <v>Butane Token</v>
      </c>
    </row>
    <row r="2364" spans="1:3" x14ac:dyDescent="0.25">
      <c r="A2364" s="2" t="str">
        <f ca="1">IFERROR(__xludf.DUMMYFUNCTION("""COMPUTED_VALUE"""),"butter")</f>
        <v>butter</v>
      </c>
      <c r="B2364" s="2" t="str">
        <f ca="1">IFERROR(__xludf.DUMMYFUNCTION("""COMPUTED_VALUE"""),"butter")</f>
        <v>butter</v>
      </c>
      <c r="C2364" s="2" t="str">
        <f ca="1">IFERROR(__xludf.DUMMYFUNCTION("""COMPUTED_VALUE"""),"Butter")</f>
        <v>Butter</v>
      </c>
    </row>
    <row r="2365" spans="1:3" x14ac:dyDescent="0.25">
      <c r="A2365" s="2" t="str">
        <f ca="1">IFERROR(__xludf.DUMMYFUNCTION("""COMPUTED_VALUE"""),"butter-2")</f>
        <v>butter-2</v>
      </c>
      <c r="B2365" s="2" t="str">
        <f ca="1">IFERROR(__xludf.DUMMYFUNCTION("""COMPUTED_VALUE"""),"butter")</f>
        <v>butter</v>
      </c>
      <c r="C2365" s="2" t="str">
        <f ca="1">IFERROR(__xludf.DUMMYFUNCTION("""COMPUTED_VALUE"""),"Butter")</f>
        <v>Butter</v>
      </c>
    </row>
    <row r="2366" spans="1:3" x14ac:dyDescent="0.25">
      <c r="A2366" s="2" t="str">
        <f ca="1">IFERROR(__xludf.DUMMYFUNCTION("""COMPUTED_VALUE"""),"butter-bridged-solvbtc-map-protocol")</f>
        <v>butter-bridged-solvbtc-map-protocol</v>
      </c>
      <c r="B2366" s="2" t="str">
        <f ca="1">IFERROR(__xludf.DUMMYFUNCTION("""COMPUTED_VALUE"""),"solvbtc")</f>
        <v>solvbtc</v>
      </c>
      <c r="C2366" s="2" t="str">
        <f ca="1">IFERROR(__xludf.DUMMYFUNCTION("""COMPUTED_VALUE"""),"Butter Bridged SolvBTC (Map Protocol)")</f>
        <v>Butter Bridged SolvBTC (Map Protocol)</v>
      </c>
    </row>
    <row r="2367" spans="1:3" x14ac:dyDescent="0.25">
      <c r="A2367" s="2" t="str">
        <f ca="1">IFERROR(__xludf.DUMMYFUNCTION("""COMPUTED_VALUE"""),"buttercat")</f>
        <v>buttercat</v>
      </c>
      <c r="B2367" s="2" t="str">
        <f ca="1">IFERROR(__xludf.DUMMYFUNCTION("""COMPUTED_VALUE"""),"butt")</f>
        <v>butt</v>
      </c>
      <c r="C2367" s="2" t="str">
        <f ca="1">IFERROR(__xludf.DUMMYFUNCTION("""COMPUTED_VALUE"""),"Buttercat")</f>
        <v>Buttercat</v>
      </c>
    </row>
    <row r="2368" spans="1:3" x14ac:dyDescent="0.25">
      <c r="A2368" s="2" t="str">
        <f ca="1">IFERROR(__xludf.DUMMYFUNCTION("""COMPUTED_VALUE"""),"butterfly-ai")</f>
        <v>butterfly-ai</v>
      </c>
      <c r="B2368" s="2" t="str">
        <f ca="1">IFERROR(__xludf.DUMMYFUNCTION("""COMPUTED_VALUE"""),"fly")</f>
        <v>fly</v>
      </c>
      <c r="C2368" s="2" t="str">
        <f ca="1">IFERROR(__xludf.DUMMYFUNCTION("""COMPUTED_VALUE"""),"Butterfly Ai")</f>
        <v>Butterfly Ai</v>
      </c>
    </row>
    <row r="2369" spans="1:3" x14ac:dyDescent="0.25">
      <c r="A2369" s="2" t="str">
        <f ca="1">IFERROR(__xludf.DUMMYFUNCTION("""COMPUTED_VALUE"""),"buttman")</f>
        <v>buttman</v>
      </c>
      <c r="B2369" s="2" t="str">
        <f ca="1">IFERROR(__xludf.DUMMYFUNCTION("""COMPUTED_VALUE"""),"butt")</f>
        <v>butt</v>
      </c>
      <c r="C2369" s="2" t="str">
        <f ca="1">IFERROR(__xludf.DUMMYFUNCTION("""COMPUTED_VALUE"""),"Buttman")</f>
        <v>Buttman</v>
      </c>
    </row>
    <row r="2370" spans="1:3" x14ac:dyDescent="0.25">
      <c r="A2370" s="2" t="str">
        <f ca="1">IFERROR(__xludf.DUMMYFUNCTION("""COMPUTED_VALUE"""),"buu")</f>
        <v>buu</v>
      </c>
      <c r="B2370" s="2" t="str">
        <f ca="1">IFERROR(__xludf.DUMMYFUNCTION("""COMPUTED_VALUE"""),"buu")</f>
        <v>buu</v>
      </c>
      <c r="C2370" s="2" t="str">
        <f ca="1">IFERROR(__xludf.DUMMYFUNCTION("""COMPUTED_VALUE"""),"BUU")</f>
        <v>BUU</v>
      </c>
    </row>
    <row r="2371" spans="1:3" x14ac:dyDescent="0.25">
      <c r="A2371" s="2" t="str">
        <f ca="1">IFERROR(__xludf.DUMMYFUNCTION("""COMPUTED_VALUE"""),"buying")</f>
        <v>buying</v>
      </c>
      <c r="B2371" s="2" t="str">
        <f ca="1">IFERROR(__xludf.DUMMYFUNCTION("""COMPUTED_VALUE"""),"buy")</f>
        <v>buy</v>
      </c>
      <c r="C2371" s="3" t="str">
        <f ca="1">IFERROR(__xludf.DUMMYFUNCTION("""COMPUTED_VALUE"""),"Buying.com")</f>
        <v>Buying.com</v>
      </c>
    </row>
    <row r="2372" spans="1:3" x14ac:dyDescent="0.25">
      <c r="A2372" s="2" t="str">
        <f ca="1">IFERROR(__xludf.DUMMYFUNCTION("""COMPUTED_VALUE"""),"buy-the-dip")</f>
        <v>buy-the-dip</v>
      </c>
      <c r="B2372" s="2" t="str">
        <f ca="1">IFERROR(__xludf.DUMMYFUNCTION("""COMPUTED_VALUE"""),"dip")</f>
        <v>dip</v>
      </c>
      <c r="C2372" s="2" t="str">
        <f ca="1">IFERROR(__xludf.DUMMYFUNCTION("""COMPUTED_VALUE"""),"Buy the DIP")</f>
        <v>Buy the DIP</v>
      </c>
    </row>
    <row r="2373" spans="1:3" x14ac:dyDescent="0.25">
      <c r="A2373" s="2" t="str">
        <f ca="1">IFERROR(__xludf.DUMMYFUNCTION("""COMPUTED_VALUE"""),"buz-economy")</f>
        <v>buz-economy</v>
      </c>
      <c r="B2373" s="2" t="str">
        <f ca="1">IFERROR(__xludf.DUMMYFUNCTION("""COMPUTED_VALUE"""),"buz")</f>
        <v>buz</v>
      </c>
      <c r="C2373" s="2" t="str">
        <f ca="1">IFERROR(__xludf.DUMMYFUNCTION("""COMPUTED_VALUE"""),"Buz Economy")</f>
        <v>Buz Economy</v>
      </c>
    </row>
    <row r="2374" spans="1:3" x14ac:dyDescent="0.25">
      <c r="A2374" s="2" t="str">
        <f ca="1">IFERROR(__xludf.DUMMYFUNCTION("""COMPUTED_VALUE"""),"buzz-the-bellboy")</f>
        <v>buzz-the-bellboy</v>
      </c>
      <c r="B2374" s="2" t="str">
        <f ca="1">IFERROR(__xludf.DUMMYFUNCTION("""COMPUTED_VALUE"""),"buzz")</f>
        <v>buzz</v>
      </c>
      <c r="C2374" s="2" t="str">
        <f ca="1">IFERROR(__xludf.DUMMYFUNCTION("""COMPUTED_VALUE"""),"Buzz The Bellboy")</f>
        <v>Buzz The Bellboy</v>
      </c>
    </row>
    <row r="2375" spans="1:3" x14ac:dyDescent="0.25">
      <c r="A2375" s="2" t="str">
        <f ca="1">IFERROR(__xludf.DUMMYFUNCTION("""COMPUTED_VALUE"""),"bvm")</f>
        <v>bvm</v>
      </c>
      <c r="B2375" s="2" t="str">
        <f ca="1">IFERROR(__xludf.DUMMYFUNCTION("""COMPUTED_VALUE"""),"bvm")</f>
        <v>bvm</v>
      </c>
      <c r="C2375" s="2" t="str">
        <f ca="1">IFERROR(__xludf.DUMMYFUNCTION("""COMPUTED_VALUE"""),"BVM")</f>
        <v>BVM</v>
      </c>
    </row>
    <row r="2376" spans="1:3" x14ac:dyDescent="0.25">
      <c r="A2376" s="2" t="str">
        <f ca="1">IFERROR(__xludf.DUMMYFUNCTION("""COMPUTED_VALUE"""),"bware-infra")</f>
        <v>bware-infra</v>
      </c>
      <c r="B2376" s="2" t="str">
        <f ca="1">IFERROR(__xludf.DUMMYFUNCTION("""COMPUTED_VALUE"""),"infra")</f>
        <v>infra</v>
      </c>
      <c r="C2376" s="2" t="str">
        <f ca="1">IFERROR(__xludf.DUMMYFUNCTION("""COMPUTED_VALUE"""),"Bware")</f>
        <v>Bware</v>
      </c>
    </row>
    <row r="2377" spans="1:3" x14ac:dyDescent="0.25">
      <c r="A2377" s="2" t="str">
        <f ca="1">IFERROR(__xludf.DUMMYFUNCTION("""COMPUTED_VALUE"""),"bwull")</f>
        <v>bwull</v>
      </c>
      <c r="B2377" s="2" t="str">
        <f ca="1">IFERROR(__xludf.DUMMYFUNCTION("""COMPUTED_VALUE"""),"bwull")</f>
        <v>bwull</v>
      </c>
      <c r="C2377" s="2" t="str">
        <f ca="1">IFERROR(__xludf.DUMMYFUNCTION("""COMPUTED_VALUE"""),"Bwull")</f>
        <v>Bwull</v>
      </c>
    </row>
    <row r="2378" spans="1:3" x14ac:dyDescent="0.25">
      <c r="A2378" s="2" t="str">
        <f ca="1">IFERROR(__xludf.DUMMYFUNCTION("""COMPUTED_VALUE"""),"bxh")</f>
        <v>bxh</v>
      </c>
      <c r="B2378" s="2" t="str">
        <f ca="1">IFERROR(__xludf.DUMMYFUNCTION("""COMPUTED_VALUE"""),"bxh")</f>
        <v>bxh</v>
      </c>
      <c r="C2378" s="2" t="str">
        <f ca="1">IFERROR(__xludf.DUMMYFUNCTION("""COMPUTED_VALUE"""),"BXH")</f>
        <v>BXH</v>
      </c>
    </row>
    <row r="2379" spans="1:3" x14ac:dyDescent="0.25">
      <c r="A2379" s="2" t="str">
        <f ca="1">IFERROR(__xludf.DUMMYFUNCTION("""COMPUTED_VALUE"""),"bxn")</f>
        <v>bxn</v>
      </c>
      <c r="B2379" s="2" t="str">
        <f ca="1">IFERROR(__xludf.DUMMYFUNCTION("""COMPUTED_VALUE"""),"bxn")</f>
        <v>bxn</v>
      </c>
      <c r="C2379" s="2" t="str">
        <f ca="1">IFERROR(__xludf.DUMMYFUNCTION("""COMPUTED_VALUE"""),"BXN")</f>
        <v>BXN</v>
      </c>
    </row>
    <row r="2380" spans="1:3" x14ac:dyDescent="0.25">
      <c r="A2380" s="2" t="str">
        <f ca="1">IFERROR(__xludf.DUMMYFUNCTION("""COMPUTED_VALUE"""),"byat")</f>
        <v>byat</v>
      </c>
      <c r="B2380" s="2" t="str">
        <f ca="1">IFERROR(__xludf.DUMMYFUNCTION("""COMPUTED_VALUE"""),"byat")</f>
        <v>byat</v>
      </c>
      <c r="C2380" s="2" t="str">
        <f ca="1">IFERROR(__xludf.DUMMYFUNCTION("""COMPUTED_VALUE"""),"Byat")</f>
        <v>Byat</v>
      </c>
    </row>
    <row r="2381" spans="1:3" x14ac:dyDescent="0.25">
      <c r="A2381" s="2" t="str">
        <f ca="1">IFERROR(__xludf.DUMMYFUNCTION("""COMPUTED_VALUE"""),"bybit-staked-sol")</f>
        <v>bybit-staked-sol</v>
      </c>
      <c r="B2381" s="2" t="str">
        <f ca="1">IFERROR(__xludf.DUMMYFUNCTION("""COMPUTED_VALUE"""),"bbsol")</f>
        <v>bbsol</v>
      </c>
      <c r="C2381" s="2" t="str">
        <f ca="1">IFERROR(__xludf.DUMMYFUNCTION("""COMPUTED_VALUE"""),"Bybit Staked SOL")</f>
        <v>Bybit Staked SOL</v>
      </c>
    </row>
    <row r="2382" spans="1:3" x14ac:dyDescent="0.25">
      <c r="A2382" s="2" t="str">
        <f ca="1">IFERROR(__xludf.DUMMYFUNCTION("""COMPUTED_VALUE"""),"byepix")</f>
        <v>byepix</v>
      </c>
      <c r="B2382" s="2" t="str">
        <f ca="1">IFERROR(__xludf.DUMMYFUNCTION("""COMPUTED_VALUE"""),"epix")</f>
        <v>epix</v>
      </c>
      <c r="C2382" s="2" t="str">
        <f ca="1">IFERROR(__xludf.DUMMYFUNCTION("""COMPUTED_VALUE"""),"Byepix")</f>
        <v>Byepix</v>
      </c>
    </row>
    <row r="2383" spans="1:3" x14ac:dyDescent="0.25">
      <c r="A2383" s="2" t="str">
        <f ca="1">IFERROR(__xludf.DUMMYFUNCTION("""COMPUTED_VALUE"""),"byin")</f>
        <v>byin</v>
      </c>
      <c r="B2383" s="2" t="str">
        <f ca="1">IFERROR(__xludf.DUMMYFUNCTION("""COMPUTED_VALUE"""),"byin")</f>
        <v>byin</v>
      </c>
      <c r="C2383" s="2" t="str">
        <f ca="1">IFERROR(__xludf.DUMMYFUNCTION("""COMPUTED_VALUE"""),"BYIN")</f>
        <v>BYIN</v>
      </c>
    </row>
    <row r="2384" spans="1:3" x14ac:dyDescent="0.25">
      <c r="A2384" s="2" t="str">
        <f ca="1">IFERROR(__xludf.DUMMYFUNCTION("""COMPUTED_VALUE"""),"bypass")</f>
        <v>bypass</v>
      </c>
      <c r="B2384" s="2" t="str">
        <f ca="1">IFERROR(__xludf.DUMMYFUNCTION("""COMPUTED_VALUE"""),"bypass")</f>
        <v>bypass</v>
      </c>
      <c r="C2384" s="2" t="str">
        <f ca="1">IFERROR(__xludf.DUMMYFUNCTION("""COMPUTED_VALUE"""),"Bypass")</f>
        <v>Bypass</v>
      </c>
    </row>
    <row r="2385" spans="1:3" x14ac:dyDescent="0.25">
      <c r="A2385" s="2" t="str">
        <f ca="1">IFERROR(__xludf.DUMMYFUNCTION("""COMPUTED_VALUE"""),"byte")</f>
        <v>byte</v>
      </c>
      <c r="B2385" s="2" t="str">
        <f ca="1">IFERROR(__xludf.DUMMYFUNCTION("""COMPUTED_VALUE"""),"byte")</f>
        <v>byte</v>
      </c>
      <c r="C2385" s="2" t="str">
        <f ca="1">IFERROR(__xludf.DUMMYFUNCTION("""COMPUTED_VALUE"""),"Byte")</f>
        <v>Byte</v>
      </c>
    </row>
    <row r="2386" spans="1:3" x14ac:dyDescent="0.25">
      <c r="A2386" s="2" t="str">
        <f ca="1">IFERROR(__xludf.DUMMYFUNCTION("""COMPUTED_VALUE"""),"byteai")</f>
        <v>byteai</v>
      </c>
      <c r="B2386" s="2" t="str">
        <f ca="1">IFERROR(__xludf.DUMMYFUNCTION("""COMPUTED_VALUE"""),"byte")</f>
        <v>byte</v>
      </c>
      <c r="C2386" s="2" t="str">
        <f ca="1">IFERROR(__xludf.DUMMYFUNCTION("""COMPUTED_VALUE"""),"ByteAI")</f>
        <v>ByteAI</v>
      </c>
    </row>
    <row r="2387" spans="1:3" x14ac:dyDescent="0.25">
      <c r="A2387" s="2" t="str">
        <f ca="1">IFERROR(__xludf.DUMMYFUNCTION("""COMPUTED_VALUE"""),"byteball")</f>
        <v>byteball</v>
      </c>
      <c r="B2387" s="2" t="str">
        <f ca="1">IFERROR(__xludf.DUMMYFUNCTION("""COMPUTED_VALUE"""),"gbyte")</f>
        <v>gbyte</v>
      </c>
      <c r="C2387" s="2" t="str">
        <f ca="1">IFERROR(__xludf.DUMMYFUNCTION("""COMPUTED_VALUE"""),"Obyte")</f>
        <v>Obyte</v>
      </c>
    </row>
    <row r="2388" spans="1:3" x14ac:dyDescent="0.25">
      <c r="A2388" s="2" t="str">
        <f ca="1">IFERROR(__xludf.DUMMYFUNCTION("""COMPUTED_VALUE"""),"bytecoin")</f>
        <v>bytecoin</v>
      </c>
      <c r="B2388" s="2" t="str">
        <f ca="1">IFERROR(__xludf.DUMMYFUNCTION("""COMPUTED_VALUE"""),"bcn")</f>
        <v>bcn</v>
      </c>
      <c r="C2388" s="2" t="str">
        <f ca="1">IFERROR(__xludf.DUMMYFUNCTION("""COMPUTED_VALUE"""),"Bytecoin")</f>
        <v>Bytecoin</v>
      </c>
    </row>
    <row r="2389" spans="1:3" x14ac:dyDescent="0.25">
      <c r="A2389" s="2" t="str">
        <f ca="1">IFERROR(__xludf.DUMMYFUNCTION("""COMPUTED_VALUE"""),"bytenext")</f>
        <v>bytenext</v>
      </c>
      <c r="B2389" s="2" t="str">
        <f ca="1">IFERROR(__xludf.DUMMYFUNCTION("""COMPUTED_VALUE"""),"bnu")</f>
        <v>bnu</v>
      </c>
      <c r="C2389" s="2" t="str">
        <f ca="1">IFERROR(__xludf.DUMMYFUNCTION("""COMPUTED_VALUE"""),"ByteNext")</f>
        <v>ByteNext</v>
      </c>
    </row>
    <row r="2390" spans="1:3" x14ac:dyDescent="0.25">
      <c r="A2390" s="2" t="str">
        <f ca="1">IFERROR(__xludf.DUMMYFUNCTION("""COMPUTED_VALUE"""),"bytom")</f>
        <v>bytom</v>
      </c>
      <c r="B2390" s="2" t="str">
        <f ca="1">IFERROR(__xludf.DUMMYFUNCTION("""COMPUTED_VALUE"""),"btm")</f>
        <v>btm</v>
      </c>
      <c r="C2390" s="2" t="str">
        <f ca="1">IFERROR(__xludf.DUMMYFUNCTION("""COMPUTED_VALUE"""),"Bytom")</f>
        <v>Bytom</v>
      </c>
    </row>
    <row r="2391" spans="1:3" x14ac:dyDescent="0.25">
      <c r="A2391" s="2" t="str">
        <f ca="1">IFERROR(__xludf.DUMMYFUNCTION("""COMPUTED_VALUE"""),"bzedge")</f>
        <v>bzedge</v>
      </c>
      <c r="B2391" s="2" t="str">
        <f ca="1">IFERROR(__xludf.DUMMYFUNCTION("""COMPUTED_VALUE"""),"bze")</f>
        <v>bze</v>
      </c>
      <c r="C2391" s="2" t="str">
        <f ca="1">IFERROR(__xludf.DUMMYFUNCTION("""COMPUTED_VALUE"""),"BeeZee")</f>
        <v>BeeZee</v>
      </c>
    </row>
    <row r="2392" spans="1:3" x14ac:dyDescent="0.25">
      <c r="A2392" s="2" t="str">
        <f ca="1">IFERROR(__xludf.DUMMYFUNCTION("""COMPUTED_VALUE"""),"bzx-protocol")</f>
        <v>bzx-protocol</v>
      </c>
      <c r="B2392" s="2" t="str">
        <f ca="1">IFERROR(__xludf.DUMMYFUNCTION("""COMPUTED_VALUE"""),"bzrx")</f>
        <v>bzrx</v>
      </c>
      <c r="C2392" s="2" t="str">
        <f ca="1">IFERROR(__xludf.DUMMYFUNCTION("""COMPUTED_VALUE"""),"bZx Protocol")</f>
        <v>bZx Protocol</v>
      </c>
    </row>
    <row r="2393" spans="1:3" x14ac:dyDescent="0.25">
      <c r="A2393" s="2" t="str">
        <f ca="1">IFERROR(__xludf.DUMMYFUNCTION("""COMPUTED_VALUE"""),"caave")</f>
        <v>caave</v>
      </c>
      <c r="B2393" s="2" t="str">
        <f ca="1">IFERROR(__xludf.DUMMYFUNCTION("""COMPUTED_VALUE"""),"caave")</f>
        <v>caave</v>
      </c>
      <c r="C2393" s="2" t="str">
        <f ca="1">IFERROR(__xludf.DUMMYFUNCTION("""COMPUTED_VALUE"""),"cAAVE")</f>
        <v>cAAVE</v>
      </c>
    </row>
    <row r="2394" spans="1:3" x14ac:dyDescent="0.25">
      <c r="A2394" s="2" t="str">
        <f ca="1">IFERROR(__xludf.DUMMYFUNCTION("""COMPUTED_VALUE"""),"cabal")</f>
        <v>cabal</v>
      </c>
      <c r="B2394" s="2" t="str">
        <f ca="1">IFERROR(__xludf.DUMMYFUNCTION("""COMPUTED_VALUE"""),"cabal")</f>
        <v>cabal</v>
      </c>
      <c r="C2394" s="2" t="str">
        <f ca="1">IFERROR(__xludf.DUMMYFUNCTION("""COMPUTED_VALUE"""),"Cabal")</f>
        <v>Cabal</v>
      </c>
    </row>
    <row r="2395" spans="1:3" x14ac:dyDescent="0.25">
      <c r="A2395" s="2" t="str">
        <f ca="1">IFERROR(__xludf.DUMMYFUNCTION("""COMPUTED_VALUE"""),"caca")</f>
        <v>caca</v>
      </c>
      <c r="B2395" s="2" t="str">
        <f ca="1">IFERROR(__xludf.DUMMYFUNCTION("""COMPUTED_VALUE"""),"caca")</f>
        <v>caca</v>
      </c>
      <c r="C2395" s="2" t="str">
        <f ca="1">IFERROR(__xludf.DUMMYFUNCTION("""COMPUTED_VALUE"""),"CACA")</f>
        <v>CACA</v>
      </c>
    </row>
    <row r="2396" spans="1:3" x14ac:dyDescent="0.25">
      <c r="A2396" s="2" t="str">
        <f ca="1">IFERROR(__xludf.DUMMYFUNCTION("""COMPUTED_VALUE"""),"cacao")</f>
        <v>cacao</v>
      </c>
      <c r="B2396" s="2" t="str">
        <f ca="1">IFERROR(__xludf.DUMMYFUNCTION("""COMPUTED_VALUE"""),"cacao")</f>
        <v>cacao</v>
      </c>
      <c r="C2396" s="2" t="str">
        <f ca="1">IFERROR(__xludf.DUMMYFUNCTION("""COMPUTED_VALUE"""),"Maya Protocol")</f>
        <v>Maya Protocol</v>
      </c>
    </row>
    <row r="2397" spans="1:3" x14ac:dyDescent="0.25">
      <c r="A2397" s="2" t="str">
        <f ca="1">IFERROR(__xludf.DUMMYFUNCTION("""COMPUTED_VALUE"""),"cadabra-finance")</f>
        <v>cadabra-finance</v>
      </c>
      <c r="B2397" s="2" t="str">
        <f ca="1">IFERROR(__xludf.DUMMYFUNCTION("""COMPUTED_VALUE"""),"abra")</f>
        <v>abra</v>
      </c>
      <c r="C2397" s="2" t="str">
        <f ca="1">IFERROR(__xludf.DUMMYFUNCTION("""COMPUTED_VALUE"""),"Cadabra Finance")</f>
        <v>Cadabra Finance</v>
      </c>
    </row>
    <row r="2398" spans="1:3" x14ac:dyDescent="0.25">
      <c r="A2398" s="2" t="str">
        <f ca="1">IFERROR(__xludf.DUMMYFUNCTION("""COMPUTED_VALUE"""),"cadai")</f>
        <v>cadai</v>
      </c>
      <c r="B2398" s="2" t="str">
        <f ca="1">IFERROR(__xludf.DUMMYFUNCTION("""COMPUTED_VALUE"""),"wcadai")</f>
        <v>wcadai</v>
      </c>
      <c r="C2398" s="2" t="str">
        <f ca="1">IFERROR(__xludf.DUMMYFUNCTION("""COMPUTED_VALUE"""),"CADAI")</f>
        <v>CADAI</v>
      </c>
    </row>
    <row r="2399" spans="1:3" x14ac:dyDescent="0.25">
      <c r="A2399" s="2" t="str">
        <f ca="1">IFERROR(__xludf.DUMMYFUNCTION("""COMPUTED_VALUE"""),"cadence-protocol")</f>
        <v>cadence-protocol</v>
      </c>
      <c r="B2399" s="2" t="str">
        <f ca="1">IFERROR(__xludf.DUMMYFUNCTION("""COMPUTED_VALUE"""),"cad")</f>
        <v>cad</v>
      </c>
      <c r="C2399" s="2" t="str">
        <f ca="1">IFERROR(__xludf.DUMMYFUNCTION("""COMPUTED_VALUE"""),"Cadence Protocol")</f>
        <v>Cadence Protocol</v>
      </c>
    </row>
    <row r="2400" spans="1:3" x14ac:dyDescent="0.25">
      <c r="A2400" s="2" t="str">
        <f ca="1">IFERROR(__xludf.DUMMYFUNCTION("""COMPUTED_VALUE"""),"cadinu-bonus")</f>
        <v>cadinu-bonus</v>
      </c>
      <c r="B2400" s="2" t="str">
        <f ca="1">IFERROR(__xludf.DUMMYFUNCTION("""COMPUTED_VALUE"""),"cbon")</f>
        <v>cbon</v>
      </c>
      <c r="C2400" s="2" t="str">
        <f ca="1">IFERROR(__xludf.DUMMYFUNCTION("""COMPUTED_VALUE"""),"CADINU Bonus")</f>
        <v>CADINU Bonus</v>
      </c>
    </row>
    <row r="2401" spans="1:3" x14ac:dyDescent="0.25">
      <c r="A2401" s="2" t="str">
        <f ca="1">IFERROR(__xludf.DUMMYFUNCTION("""COMPUTED_VALUE"""),"cadog")</f>
        <v>cadog</v>
      </c>
      <c r="B2401" s="2" t="str">
        <f ca="1">IFERROR(__xludf.DUMMYFUNCTION("""COMPUTED_VALUE"""),"cdg")</f>
        <v>cdg</v>
      </c>
      <c r="C2401" s="2" t="str">
        <f ca="1">IFERROR(__xludf.DUMMYFUNCTION("""COMPUTED_VALUE"""),"cadog")</f>
        <v>cadog</v>
      </c>
    </row>
    <row r="2402" spans="1:3" x14ac:dyDescent="0.25">
      <c r="A2402" s="2" t="str">
        <f ca="1">IFERROR(__xludf.DUMMYFUNCTION("""COMPUTED_VALUE"""),"caduceus")</f>
        <v>caduceus</v>
      </c>
      <c r="B2402" s="2" t="str">
        <f ca="1">IFERROR(__xludf.DUMMYFUNCTION("""COMPUTED_VALUE"""),"cmp")</f>
        <v>cmp</v>
      </c>
      <c r="C2402" s="2" t="str">
        <f ca="1">IFERROR(__xludf.DUMMYFUNCTION("""COMPUTED_VALUE"""),"Caduceus")</f>
        <v>Caduceus</v>
      </c>
    </row>
    <row r="2403" spans="1:3" x14ac:dyDescent="0.25">
      <c r="A2403" s="2" t="str">
        <f ca="1">IFERROR(__xludf.DUMMYFUNCTION("""COMPUTED_VALUE"""),"caduceus-protocol")</f>
        <v>caduceus-protocol</v>
      </c>
      <c r="B2403" s="2" t="str">
        <f ca="1">IFERROR(__xludf.DUMMYFUNCTION("""COMPUTED_VALUE"""),"cad")</f>
        <v>cad</v>
      </c>
      <c r="C2403" s="2" t="str">
        <f ca="1">IFERROR(__xludf.DUMMYFUNCTION("""COMPUTED_VALUE"""),"Caduceus Protocol")</f>
        <v>Caduceus Protocol</v>
      </c>
    </row>
    <row r="2404" spans="1:3" x14ac:dyDescent="0.25">
      <c r="A2404" s="2" t="str">
        <f ca="1">IFERROR(__xludf.DUMMYFUNCTION("""COMPUTED_VALUE"""),"cafe")</f>
        <v>cafe</v>
      </c>
      <c r="B2404" s="2" t="str">
        <f ca="1">IFERROR(__xludf.DUMMYFUNCTION("""COMPUTED_VALUE"""),"cafe")</f>
        <v>cafe</v>
      </c>
      <c r="C2404" s="2" t="str">
        <f ca="1">IFERROR(__xludf.DUMMYFUNCTION("""COMPUTED_VALUE"""),"CAFE")</f>
        <v>CAFE</v>
      </c>
    </row>
    <row r="2405" spans="1:3" x14ac:dyDescent="0.25">
      <c r="A2405" s="2" t="str">
        <f ca="1">IFERROR(__xludf.DUMMYFUNCTION("""COMPUTED_VALUE"""),"cagdas-bodrumspor-fan-token")</f>
        <v>cagdas-bodrumspor-fan-token</v>
      </c>
      <c r="B2405" s="2" t="str">
        <f ca="1">IFERROR(__xludf.DUMMYFUNCTION("""COMPUTED_VALUE"""),"cbs")</f>
        <v>cbs</v>
      </c>
      <c r="C2405" s="2" t="str">
        <f ca="1">IFERROR(__xludf.DUMMYFUNCTION("""COMPUTED_VALUE"""),"Çağdaş Bodrumspor Fan Token")</f>
        <v>Çağdaş Bodrumspor Fan Token</v>
      </c>
    </row>
    <row r="2406" spans="1:3" x14ac:dyDescent="0.25">
      <c r="A2406" s="2" t="str">
        <f ca="1">IFERROR(__xludf.DUMMYFUNCTION("""COMPUTED_VALUE"""),"ca-htb")</f>
        <v>ca-htb</v>
      </c>
      <c r="B2406" s="2" t="str">
        <f ca="1">IFERROR(__xludf.DUMMYFUNCTION("""COMPUTED_VALUE"""),"ca")</f>
        <v>ca</v>
      </c>
      <c r="C2406" s="2" t="str">
        <f ca="1">IFERROR(__xludf.DUMMYFUNCTION("""COMPUTED_VALUE"""),"Coupon Assets")</f>
        <v>Coupon Assets</v>
      </c>
    </row>
    <row r="2407" spans="1:3" x14ac:dyDescent="0.25">
      <c r="A2407" s="2" t="str">
        <f ca="1">IFERROR(__xludf.DUMMYFUNCTION("""COMPUTED_VALUE"""),"caica-coin")</f>
        <v>caica-coin</v>
      </c>
      <c r="B2407" s="2" t="str">
        <f ca="1">IFERROR(__xludf.DUMMYFUNCTION("""COMPUTED_VALUE"""),"cicc")</f>
        <v>cicc</v>
      </c>
      <c r="C2407" s="2" t="str">
        <f ca="1">IFERROR(__xludf.DUMMYFUNCTION("""COMPUTED_VALUE"""),"CAICA Coin")</f>
        <v>CAICA Coin</v>
      </c>
    </row>
    <row r="2408" spans="1:3" x14ac:dyDescent="0.25">
      <c r="A2408" s="2" t="str">
        <f ca="1">IFERROR(__xludf.DUMMYFUNCTION("""COMPUTED_VALUE"""),"cairo-finance-cairo-bank")</f>
        <v>cairo-finance-cairo-bank</v>
      </c>
      <c r="B2408" s="2" t="str">
        <f ca="1">IFERROR(__xludf.DUMMYFUNCTION("""COMPUTED_VALUE"""),"cbank")</f>
        <v>cbank</v>
      </c>
      <c r="C2408" s="2" t="str">
        <f ca="1">IFERROR(__xludf.DUMMYFUNCTION("""COMPUTED_VALUE"""),"Cairo Bank")</f>
        <v>Cairo Bank</v>
      </c>
    </row>
    <row r="2409" spans="1:3" x14ac:dyDescent="0.25">
      <c r="A2409" s="2" t="str">
        <f ca="1">IFERROR(__xludf.DUMMYFUNCTION("""COMPUTED_VALUE"""),"caitlyn-jenner-eth")</f>
        <v>caitlyn-jenner-eth</v>
      </c>
      <c r="B2409" s="2" t="str">
        <f ca="1">IFERROR(__xludf.DUMMYFUNCTION("""COMPUTED_VALUE"""),"jenner")</f>
        <v>jenner</v>
      </c>
      <c r="C2409" s="2" t="str">
        <f ca="1">IFERROR(__xludf.DUMMYFUNCTION("""COMPUTED_VALUE"""),"Caitlyn Jenner")</f>
        <v>Caitlyn Jenner</v>
      </c>
    </row>
    <row r="2410" spans="1:3" x14ac:dyDescent="0.25">
      <c r="A2410" s="2" t="str">
        <f ca="1">IFERROR(__xludf.DUMMYFUNCTION("""COMPUTED_VALUE"""),"cajutel")</f>
        <v>cajutel</v>
      </c>
      <c r="B2410" s="2" t="str">
        <f ca="1">IFERROR(__xludf.DUMMYFUNCTION("""COMPUTED_VALUE"""),"caj")</f>
        <v>caj</v>
      </c>
      <c r="C2410" s="2" t="str">
        <f ca="1">IFERROR(__xludf.DUMMYFUNCTION("""COMPUTED_VALUE"""),"Cajutel")</f>
        <v>Cajutel</v>
      </c>
    </row>
    <row r="2411" spans="1:3" x14ac:dyDescent="0.25">
      <c r="A2411" s="2" t="str">
        <f ca="1">IFERROR(__xludf.DUMMYFUNCTION("""COMPUTED_VALUE"""),"cakebot")</f>
        <v>cakebot</v>
      </c>
      <c r="B2411" s="2" t="str">
        <f ca="1">IFERROR(__xludf.DUMMYFUNCTION("""COMPUTED_VALUE"""),"cakebot")</f>
        <v>cakebot</v>
      </c>
      <c r="C2411" s="2" t="str">
        <f ca="1">IFERROR(__xludf.DUMMYFUNCTION("""COMPUTED_VALUE"""),"Cakebot")</f>
        <v>Cakebot</v>
      </c>
    </row>
    <row r="2412" spans="1:3" x14ac:dyDescent="0.25">
      <c r="A2412" s="2" t="str">
        <f ca="1">IFERROR(__xludf.DUMMYFUNCTION("""COMPUTED_VALUE"""),"cakebot-2")</f>
        <v>cakebot-2</v>
      </c>
      <c r="B2412" s="2" t="str">
        <f ca="1">IFERROR(__xludf.DUMMYFUNCTION("""COMPUTED_VALUE"""),"cakebot")</f>
        <v>cakebot</v>
      </c>
      <c r="C2412" s="2" t="str">
        <f ca="1">IFERROR(__xludf.DUMMYFUNCTION("""COMPUTED_VALUE"""),"CakeBot")</f>
        <v>CakeBot</v>
      </c>
    </row>
    <row r="2413" spans="1:3" x14ac:dyDescent="0.25">
      <c r="A2413" s="2" t="str">
        <f ca="1">IFERROR(__xludf.DUMMYFUNCTION("""COMPUTED_VALUE"""),"cake-monster")</f>
        <v>cake-monster</v>
      </c>
      <c r="B2413" s="2" t="str">
        <f ca="1">IFERROR(__xludf.DUMMYFUNCTION("""COMPUTED_VALUE"""),"monsta")</f>
        <v>monsta</v>
      </c>
      <c r="C2413" s="2" t="str">
        <f ca="1">IFERROR(__xludf.DUMMYFUNCTION("""COMPUTED_VALUE"""),"Cake Monster")</f>
        <v>Cake Monster</v>
      </c>
    </row>
    <row r="2414" spans="1:3" x14ac:dyDescent="0.25">
      <c r="A2414" s="2" t="str">
        <f ca="1">IFERROR(__xludf.DUMMYFUNCTION("""COMPUTED_VALUE"""),"cakepie-xyz")</f>
        <v>cakepie-xyz</v>
      </c>
      <c r="B2414" s="2" t="str">
        <f ca="1">IFERROR(__xludf.DUMMYFUNCTION("""COMPUTED_VALUE"""),"ckp")</f>
        <v>ckp</v>
      </c>
      <c r="C2414" s="2" t="str">
        <f ca="1">IFERROR(__xludf.DUMMYFUNCTION("""COMPUTED_VALUE"""),"Cakepie")</f>
        <v>Cakepie</v>
      </c>
    </row>
    <row r="2415" spans="1:3" x14ac:dyDescent="0.25">
      <c r="A2415" s="2" t="str">
        <f ca="1">IFERROR(__xludf.DUMMYFUNCTION("""COMPUTED_VALUE"""),"calamari-network")</f>
        <v>calamari-network</v>
      </c>
      <c r="B2415" s="2" t="str">
        <f ca="1">IFERROR(__xludf.DUMMYFUNCTION("""COMPUTED_VALUE"""),"kma")</f>
        <v>kma</v>
      </c>
      <c r="C2415" s="2" t="str">
        <f ca="1">IFERROR(__xludf.DUMMYFUNCTION("""COMPUTED_VALUE"""),"Calamari Network")</f>
        <v>Calamari Network</v>
      </c>
    </row>
    <row r="2416" spans="1:3" x14ac:dyDescent="0.25">
      <c r="A2416" s="2" t="str">
        <f ca="1">IFERROR(__xludf.DUMMYFUNCTION("""COMPUTED_VALUE"""),"calaxy")</f>
        <v>calaxy</v>
      </c>
      <c r="B2416" s="2" t="str">
        <f ca="1">IFERROR(__xludf.DUMMYFUNCTION("""COMPUTED_VALUE"""),"clxy")</f>
        <v>clxy</v>
      </c>
      <c r="C2416" s="2" t="str">
        <f ca="1">IFERROR(__xludf.DUMMYFUNCTION("""COMPUTED_VALUE"""),"Calaxy")</f>
        <v>Calaxy</v>
      </c>
    </row>
    <row r="2417" spans="1:3" x14ac:dyDescent="0.25">
      <c r="A2417" s="2" t="str">
        <f ca="1">IFERROR(__xludf.DUMMYFUNCTION("""COMPUTED_VALUE"""),"calcium")</f>
        <v>calcium</v>
      </c>
      <c r="B2417" s="2" t="str">
        <f ca="1">IFERROR(__xludf.DUMMYFUNCTION("""COMPUTED_VALUE"""),"cal")</f>
        <v>cal</v>
      </c>
      <c r="C2417" s="2" t="str">
        <f ca="1">IFERROR(__xludf.DUMMYFUNCTION("""COMPUTED_VALUE"""),"Calcium")</f>
        <v>Calcium</v>
      </c>
    </row>
    <row r="2418" spans="1:3" x14ac:dyDescent="0.25">
      <c r="A2418" s="2" t="str">
        <f ca="1">IFERROR(__xludf.DUMMYFUNCTION("""COMPUTED_VALUE"""),"calicoin")</f>
        <v>calicoin</v>
      </c>
      <c r="B2418" s="2" t="str">
        <f ca="1">IFERROR(__xludf.DUMMYFUNCTION("""COMPUTED_VALUE"""),"cali")</f>
        <v>cali</v>
      </c>
      <c r="C2418" s="2" t="str">
        <f ca="1">IFERROR(__xludf.DUMMYFUNCTION("""COMPUTED_VALUE"""),"CaliCoin")</f>
        <v>CaliCoin</v>
      </c>
    </row>
    <row r="2419" spans="1:3" x14ac:dyDescent="0.25">
      <c r="A2419" s="2" t="str">
        <f ca="1">IFERROR(__xludf.DUMMYFUNCTION("""COMPUTED_VALUE"""),"callhub")</f>
        <v>callhub</v>
      </c>
      <c r="B2419" s="2" t="str">
        <f ca="1">IFERROR(__xludf.DUMMYFUNCTION("""COMPUTED_VALUE"""),"0xc")</f>
        <v>0xc</v>
      </c>
      <c r="C2419" s="2" t="str">
        <f ca="1">IFERROR(__xludf.DUMMYFUNCTION("""COMPUTED_VALUE"""),"0xCalls")</f>
        <v>0xCalls</v>
      </c>
    </row>
    <row r="2420" spans="1:3" x14ac:dyDescent="0.25">
      <c r="A2420" s="2" t="str">
        <f ca="1">IFERROR(__xludf.DUMMYFUNCTION("""COMPUTED_VALUE"""),"callisto")</f>
        <v>callisto</v>
      </c>
      <c r="B2420" s="2" t="str">
        <f ca="1">IFERROR(__xludf.DUMMYFUNCTION("""COMPUTED_VALUE"""),"clo")</f>
        <v>clo</v>
      </c>
      <c r="C2420" s="2" t="str">
        <f ca="1">IFERROR(__xludf.DUMMYFUNCTION("""COMPUTED_VALUE"""),"Callisto Network")</f>
        <v>Callisto Network</v>
      </c>
    </row>
    <row r="2421" spans="1:3" x14ac:dyDescent="0.25">
      <c r="A2421" s="2" t="str">
        <f ca="1">IFERROR(__xludf.DUMMYFUNCTION("""COMPUTED_VALUE"""),"callisto-bridged-weth-callisto")</f>
        <v>callisto-bridged-weth-callisto</v>
      </c>
      <c r="B2421" s="2" t="str">
        <f ca="1">IFERROR(__xludf.DUMMYFUNCTION("""COMPUTED_VALUE"""),"weth")</f>
        <v>weth</v>
      </c>
      <c r="C2421" s="2" t="str">
        <f ca="1">IFERROR(__xludf.DUMMYFUNCTION("""COMPUTED_VALUE"""),"Callisto Bridged WETH (Callisto)")</f>
        <v>Callisto Bridged WETH (Callisto)</v>
      </c>
    </row>
    <row r="2422" spans="1:3" x14ac:dyDescent="0.25">
      <c r="A2422" s="2" t="str">
        <f ca="1">IFERROR(__xludf.DUMMYFUNCTION("""COMPUTED_VALUE"""),"call-of-memes-yacht-club")</f>
        <v>call-of-memes-yacht-club</v>
      </c>
      <c r="B2422" s="2" t="str">
        <f ca="1">IFERROR(__xludf.DUMMYFUNCTION("""COMPUTED_VALUE"""),"come")</f>
        <v>come</v>
      </c>
      <c r="C2422" s="2" t="str">
        <f ca="1">IFERROR(__xludf.DUMMYFUNCTION("""COMPUTED_VALUE"""),"Call of Memes Yacht Club")</f>
        <v>Call of Memes Yacht Club</v>
      </c>
    </row>
    <row r="2423" spans="1:3" x14ac:dyDescent="0.25">
      <c r="A2423" s="2" t="str">
        <f ca="1">IFERROR(__xludf.DUMMYFUNCTION("""COMPUTED_VALUE"""),"calm-bear-on-solana")</f>
        <v>calm-bear-on-solana</v>
      </c>
      <c r="B2423" s="2" t="str">
        <f ca="1">IFERROR(__xludf.DUMMYFUNCTION("""COMPUTED_VALUE"""),"chiln")</f>
        <v>chiln</v>
      </c>
      <c r="C2423" s="2" t="str">
        <f ca="1">IFERROR(__xludf.DUMMYFUNCTION("""COMPUTED_VALUE"""),"Calm Bear on Solana")</f>
        <v>Calm Bear on Solana</v>
      </c>
    </row>
    <row r="2424" spans="1:3" x14ac:dyDescent="0.25">
      <c r="A2424" s="2" t="str">
        <f ca="1">IFERROR(__xludf.DUMMYFUNCTION("""COMPUTED_VALUE"""),"calorie")</f>
        <v>calorie</v>
      </c>
      <c r="B2424" s="2" t="str">
        <f ca="1">IFERROR(__xludf.DUMMYFUNCTION("""COMPUTED_VALUE"""),"cal")</f>
        <v>cal</v>
      </c>
      <c r="C2424" s="2" t="str">
        <f ca="1">IFERROR(__xludf.DUMMYFUNCTION("""COMPUTED_VALUE"""),"FitBurn")</f>
        <v>FitBurn</v>
      </c>
    </row>
    <row r="2425" spans="1:3" x14ac:dyDescent="0.25">
      <c r="A2425" s="2" t="str">
        <f ca="1">IFERROR(__xludf.DUMMYFUNCTION("""COMPUTED_VALUE"""),"calvaria-doe")</f>
        <v>calvaria-doe</v>
      </c>
      <c r="B2425" s="2" t="str">
        <f ca="1">IFERROR(__xludf.DUMMYFUNCTION("""COMPUTED_VALUE"""),"ria")</f>
        <v>ria</v>
      </c>
      <c r="C2425" s="2" t="str">
        <f ca="1">IFERROR(__xludf.DUMMYFUNCTION("""COMPUTED_VALUE"""),"Calvaria: DoE")</f>
        <v>Calvaria: DoE</v>
      </c>
    </row>
    <row r="2426" spans="1:3" x14ac:dyDescent="0.25">
      <c r="A2426" s="2" t="str">
        <f ca="1">IFERROR(__xludf.DUMMYFUNCTION("""COMPUTED_VALUE"""),"camelot-protocol")</f>
        <v>camelot-protocol</v>
      </c>
      <c r="B2426" s="2" t="str">
        <f ca="1">IFERROR(__xludf.DUMMYFUNCTION("""COMPUTED_VALUE"""),"clot")</f>
        <v>clot</v>
      </c>
      <c r="C2426" s="2" t="str">
        <f ca="1">IFERROR(__xludf.DUMMYFUNCTION("""COMPUTED_VALUE"""),"Camelot Protocol")</f>
        <v>Camelot Protocol</v>
      </c>
    </row>
    <row r="2427" spans="1:3" x14ac:dyDescent="0.25">
      <c r="A2427" s="2" t="str">
        <f ca="1">IFERROR(__xludf.DUMMYFUNCTION("""COMPUTED_VALUE"""),"camelot-token")</f>
        <v>camelot-token</v>
      </c>
      <c r="B2427" s="2" t="str">
        <f ca="1">IFERROR(__xludf.DUMMYFUNCTION("""COMPUTED_VALUE"""),"grail")</f>
        <v>grail</v>
      </c>
      <c r="C2427" s="2" t="str">
        <f ca="1">IFERROR(__xludf.DUMMYFUNCTION("""COMPUTED_VALUE"""),"Camelot Token")</f>
        <v>Camelot Token</v>
      </c>
    </row>
    <row r="2428" spans="1:3" x14ac:dyDescent="0.25">
      <c r="A2428" s="2" t="str">
        <f ca="1">IFERROR(__xludf.DUMMYFUNCTION("""COMPUTED_VALUE"""),"camly-coin")</f>
        <v>camly-coin</v>
      </c>
      <c r="B2428" s="2" t="str">
        <f ca="1">IFERROR(__xludf.DUMMYFUNCTION("""COMPUTED_VALUE"""),"camly")</f>
        <v>camly</v>
      </c>
      <c r="C2428" s="2" t="str">
        <f ca="1">IFERROR(__xludf.DUMMYFUNCTION("""COMPUTED_VALUE"""),"CAMLY COIN")</f>
        <v>CAMLY COIN</v>
      </c>
    </row>
    <row r="2429" spans="1:3" x14ac:dyDescent="0.25">
      <c r="A2429" s="2" t="str">
        <f ca="1">IFERROR(__xludf.DUMMYFUNCTION("""COMPUTED_VALUE"""),"canada-ecoin")</f>
        <v>canada-ecoin</v>
      </c>
      <c r="B2429" s="2" t="str">
        <f ca="1">IFERROR(__xludf.DUMMYFUNCTION("""COMPUTED_VALUE"""),"cdn")</f>
        <v>cdn</v>
      </c>
      <c r="C2429" s="2" t="str">
        <f ca="1">IFERROR(__xludf.DUMMYFUNCTION("""COMPUTED_VALUE"""),"Canada eCoin")</f>
        <v>Canada eCoin</v>
      </c>
    </row>
    <row r="2430" spans="1:3" x14ac:dyDescent="0.25">
      <c r="A2430" s="2" t="str">
        <f ca="1">IFERROR(__xludf.DUMMYFUNCTION("""COMPUTED_VALUE"""),"canadian-inuit-dog-2")</f>
        <v>canadian-inuit-dog-2</v>
      </c>
      <c r="B2430" s="2" t="str">
        <f ca="1">IFERROR(__xludf.DUMMYFUNCTION("""COMPUTED_VALUE"""),"cadinu")</f>
        <v>cadinu</v>
      </c>
      <c r="C2430" s="2" t="str">
        <f ca="1">IFERROR(__xludf.DUMMYFUNCTION("""COMPUTED_VALUE"""),"Canadian Inuit Dog")</f>
        <v>Canadian Inuit Dog</v>
      </c>
    </row>
    <row r="2431" spans="1:3" x14ac:dyDescent="0.25">
      <c r="A2431" s="2" t="str">
        <f ca="1">IFERROR(__xludf.DUMMYFUNCTION("""COMPUTED_VALUE"""),"canary")</f>
        <v>canary</v>
      </c>
      <c r="B2431" s="2" t="str">
        <f ca="1">IFERROR(__xludf.DUMMYFUNCTION("""COMPUTED_VALUE"""),"cnr")</f>
        <v>cnr</v>
      </c>
      <c r="C2431" s="2" t="str">
        <f ca="1">IFERROR(__xludf.DUMMYFUNCTION("""COMPUTED_VALUE"""),"Canary")</f>
        <v>Canary</v>
      </c>
    </row>
    <row r="2432" spans="1:3" x14ac:dyDescent="0.25">
      <c r="A2432" s="2" t="str">
        <f ca="1">IFERROR(__xludf.DUMMYFUNCTION("""COMPUTED_VALUE"""),"candide-coin")</f>
        <v>candide-coin</v>
      </c>
      <c r="B2432" s="2" t="str">
        <f ca="1">IFERROR(__xludf.DUMMYFUNCTION("""COMPUTED_VALUE"""),"ccc")</f>
        <v>ccc</v>
      </c>
      <c r="C2432" s="2" t="str">
        <f ca="1">IFERROR(__xludf.DUMMYFUNCTION("""COMPUTED_VALUE"""),"Candide Coin")</f>
        <v>Candide Coin</v>
      </c>
    </row>
    <row r="2433" spans="1:3" x14ac:dyDescent="0.25">
      <c r="A2433" s="2" t="str">
        <f ca="1">IFERROR(__xludf.DUMMYFUNCTION("""COMPUTED_VALUE"""),"candle-ai")</f>
        <v>candle-ai</v>
      </c>
      <c r="B2433" s="2" t="str">
        <f ca="1">IFERROR(__xludf.DUMMYFUNCTION("""COMPUTED_VALUE"""),"cndl")</f>
        <v>cndl</v>
      </c>
      <c r="C2433" s="2" t="str">
        <f ca="1">IFERROR(__xludf.DUMMYFUNCTION("""COMPUTED_VALUE"""),"Candle AI")</f>
        <v>Candle AI</v>
      </c>
    </row>
    <row r="2434" spans="1:3" x14ac:dyDescent="0.25">
      <c r="A2434" s="2" t="str">
        <f ca="1">IFERROR(__xludf.DUMMYFUNCTION("""COMPUTED_VALUE"""),"candle-cat")</f>
        <v>candle-cat</v>
      </c>
      <c r="B2434" s="2" t="str">
        <f ca="1">IFERROR(__xludf.DUMMYFUNCTION("""COMPUTED_VALUE"""),"candle")</f>
        <v>candle</v>
      </c>
      <c r="C2434" s="2" t="str">
        <f ca="1">IFERROR(__xludf.DUMMYFUNCTION("""COMPUTED_VALUE"""),"Candle Cat")</f>
        <v>Candle Cat</v>
      </c>
    </row>
    <row r="2435" spans="1:3" x14ac:dyDescent="0.25">
      <c r="A2435" s="2" t="str">
        <f ca="1">IFERROR(__xludf.DUMMYFUNCTION("""COMPUTED_VALUE"""),"candy-on-base")</f>
        <v>candy-on-base</v>
      </c>
      <c r="B2435" s="2" t="str">
        <f ca="1">IFERROR(__xludf.DUMMYFUNCTION("""COMPUTED_VALUE"""),"candy")</f>
        <v>candy</v>
      </c>
      <c r="C2435" s="2" t="str">
        <f ca="1">IFERROR(__xludf.DUMMYFUNCTION("""COMPUTED_VALUE"""),"Candy")</f>
        <v>Candy</v>
      </c>
    </row>
    <row r="2436" spans="1:3" x14ac:dyDescent="0.25">
      <c r="A2436" s="2" t="str">
        <f ca="1">IFERROR(__xludf.DUMMYFUNCTION("""COMPUTED_VALUE"""),"candy-pocket")</f>
        <v>candy-pocket</v>
      </c>
      <c r="B2436" s="2" t="str">
        <f ca="1">IFERROR(__xludf.DUMMYFUNCTION("""COMPUTED_VALUE"""),"candy")</f>
        <v>candy</v>
      </c>
      <c r="C2436" s="2" t="str">
        <f ca="1">IFERROR(__xludf.DUMMYFUNCTION("""COMPUTED_VALUE"""),"Candy Pocket")</f>
        <v>Candy Pocket</v>
      </c>
    </row>
    <row r="2437" spans="1:3" x14ac:dyDescent="0.25">
      <c r="A2437" s="2" t="str">
        <f ca="1">IFERROR(__xludf.DUMMYFUNCTION("""COMPUTED_VALUE"""),"candy-token")</f>
        <v>candy-token</v>
      </c>
      <c r="B2437" s="2" t="str">
        <f ca="1">IFERROR(__xludf.DUMMYFUNCTION("""COMPUTED_VALUE"""),"candy")</f>
        <v>candy</v>
      </c>
      <c r="C2437" s="2" t="str">
        <f ca="1">IFERROR(__xludf.DUMMYFUNCTION("""COMPUTED_VALUE"""),"CANDY Token")</f>
        <v>CANDY Token</v>
      </c>
    </row>
    <row r="2438" spans="1:3" x14ac:dyDescent="0.25">
      <c r="A2438" s="2" t="str">
        <f ca="1">IFERROR(__xludf.DUMMYFUNCTION("""COMPUTED_VALUE"""),"cane-corso")</f>
        <v>cane-corso</v>
      </c>
      <c r="B2438" s="2" t="str">
        <f ca="1">IFERROR(__xludf.DUMMYFUNCTION("""COMPUTED_VALUE"""),"corsi")</f>
        <v>corsi</v>
      </c>
      <c r="C2438" s="2" t="str">
        <f ca="1">IFERROR(__xludf.DUMMYFUNCTION("""COMPUTED_VALUE"""),"Cane Corso")</f>
        <v>Cane Corso</v>
      </c>
    </row>
    <row r="2439" spans="1:3" x14ac:dyDescent="0.25">
      <c r="A2439" s="2" t="str">
        <f ca="1">IFERROR(__xludf.DUMMYFUNCTION("""COMPUTED_VALUE"""),"cannfinity")</f>
        <v>cannfinity</v>
      </c>
      <c r="B2439" s="2" t="str">
        <f ca="1">IFERROR(__xludf.DUMMYFUNCTION("""COMPUTED_VALUE"""),"cft")</f>
        <v>cft</v>
      </c>
      <c r="C2439" s="2" t="str">
        <f ca="1">IFERROR(__xludf.DUMMYFUNCTION("""COMPUTED_VALUE"""),"CANNFINITY")</f>
        <v>CANNFINITY</v>
      </c>
    </row>
    <row r="2440" spans="1:3" x14ac:dyDescent="0.25">
      <c r="A2440" s="2" t="str">
        <f ca="1">IFERROR(__xludf.DUMMYFUNCTION("""COMPUTED_VALUE"""),"cantina-royale")</f>
        <v>cantina-royale</v>
      </c>
      <c r="B2440" s="2" t="str">
        <f ca="1">IFERROR(__xludf.DUMMYFUNCTION("""COMPUTED_VALUE"""),"crt")</f>
        <v>crt</v>
      </c>
      <c r="C2440" s="2" t="str">
        <f ca="1">IFERROR(__xludf.DUMMYFUNCTION("""COMPUTED_VALUE"""),"Cantina Royale")</f>
        <v>Cantina Royale</v>
      </c>
    </row>
    <row r="2441" spans="1:3" x14ac:dyDescent="0.25">
      <c r="A2441" s="2" t="str">
        <f ca="1">IFERROR(__xludf.DUMMYFUNCTION("""COMPUTED_VALUE"""),"canto")</f>
        <v>canto</v>
      </c>
      <c r="B2441" s="2" t="str">
        <f ca="1">IFERROR(__xludf.DUMMYFUNCTION("""COMPUTED_VALUE"""),"canto")</f>
        <v>canto</v>
      </c>
      <c r="C2441" s="2" t="str">
        <f ca="1">IFERROR(__xludf.DUMMYFUNCTION("""COMPUTED_VALUE"""),"CANTO")</f>
        <v>CANTO</v>
      </c>
    </row>
    <row r="2442" spans="1:3" x14ac:dyDescent="0.25">
      <c r="A2442" s="2" t="str">
        <f ca="1">IFERROR(__xludf.DUMMYFUNCTION("""COMPUTED_VALUE"""),"canto-inu")</f>
        <v>canto-inu</v>
      </c>
      <c r="B2442" s="2" t="str">
        <f ca="1">IFERROR(__xludf.DUMMYFUNCTION("""COMPUTED_VALUE"""),"cinu")</f>
        <v>cinu</v>
      </c>
      <c r="C2442" s="2" t="str">
        <f ca="1">IFERROR(__xludf.DUMMYFUNCTION("""COMPUTED_VALUE"""),"Canto Inu")</f>
        <v>Canto Inu</v>
      </c>
    </row>
    <row r="2443" spans="1:3" x14ac:dyDescent="0.25">
      <c r="A2443" s="2" t="str">
        <f ca="1">IFERROR(__xludf.DUMMYFUNCTION("""COMPUTED_VALUE"""),"canvas-n-glr")</f>
        <v>canvas-n-glr</v>
      </c>
      <c r="B2443" s="2" t="str">
        <f ca="1">IFERROR(__xludf.DUMMYFUNCTION("""COMPUTED_VALUE"""),"glr")</f>
        <v>glr</v>
      </c>
      <c r="C2443" s="2" t="str">
        <f ca="1">IFERROR(__xludf.DUMMYFUNCTION("""COMPUTED_VALUE"""),"GalleryCoin")</f>
        <v>GalleryCoin</v>
      </c>
    </row>
    <row r="2444" spans="1:3" x14ac:dyDescent="0.25">
      <c r="A2444" s="2" t="str">
        <f ca="1">IFERROR(__xludf.DUMMYFUNCTION("""COMPUTED_VALUE"""),"canwifhat")</f>
        <v>canwifhat</v>
      </c>
      <c r="B2444" s="2" t="str">
        <f ca="1">IFERROR(__xludf.DUMMYFUNCTION("""COMPUTED_VALUE"""),"can")</f>
        <v>can</v>
      </c>
      <c r="C2444" s="2" t="str">
        <f ca="1">IFERROR(__xludf.DUMMYFUNCTION("""COMPUTED_VALUE"""),"Canwifhat")</f>
        <v>Canwifhat</v>
      </c>
    </row>
    <row r="2445" spans="1:3" x14ac:dyDescent="0.25">
      <c r="A2445" s="2" t="str">
        <f ca="1">IFERROR(__xludf.DUMMYFUNCTION("""COMPUTED_VALUE"""),"canxium")</f>
        <v>canxium</v>
      </c>
      <c r="B2445" s="2" t="str">
        <f ca="1">IFERROR(__xludf.DUMMYFUNCTION("""COMPUTED_VALUE"""),"cau")</f>
        <v>cau</v>
      </c>
      <c r="C2445" s="2" t="str">
        <f ca="1">IFERROR(__xludf.DUMMYFUNCTION("""COMPUTED_VALUE"""),"Canxium")</f>
        <v>Canxium</v>
      </c>
    </row>
    <row r="2446" spans="1:3" x14ac:dyDescent="0.25">
      <c r="A2446" s="2" t="str">
        <f ca="1">IFERROR(__xludf.DUMMYFUNCTION("""COMPUTED_VALUE"""),"cap")</f>
        <v>cap</v>
      </c>
      <c r="B2446" s="2" t="str">
        <f ca="1">IFERROR(__xludf.DUMMYFUNCTION("""COMPUTED_VALUE"""),"cap")</f>
        <v>cap</v>
      </c>
      <c r="C2446" s="2" t="str">
        <f ca="1">IFERROR(__xludf.DUMMYFUNCTION("""COMPUTED_VALUE"""),"Cap")</f>
        <v>Cap</v>
      </c>
    </row>
    <row r="2447" spans="1:3" x14ac:dyDescent="0.25">
      <c r="A2447" s="2" t="str">
        <f ca="1">IFERROR(__xludf.DUMMYFUNCTION("""COMPUTED_VALUE"""),"cap-2")</f>
        <v>cap-2</v>
      </c>
      <c r="B2447" s="2" t="str">
        <f ca="1">IFERROR(__xludf.DUMMYFUNCTION("""COMPUTED_VALUE"""),"cap")</f>
        <v>cap</v>
      </c>
      <c r="C2447" s="2" t="str">
        <f ca="1">IFERROR(__xludf.DUMMYFUNCTION("""COMPUTED_VALUE"""),"CAP")</f>
        <v>CAP</v>
      </c>
    </row>
    <row r="2448" spans="1:3" x14ac:dyDescent="0.25">
      <c r="A2448" s="2" t="str">
        <f ca="1">IFERROR(__xludf.DUMMYFUNCTION("""COMPUTED_VALUE"""),"capital-dao-starter-token")</f>
        <v>capital-dao-starter-token</v>
      </c>
      <c r="B2448" s="2" t="str">
        <f ca="1">IFERROR(__xludf.DUMMYFUNCTION("""COMPUTED_VALUE"""),"cds")</f>
        <v>cds</v>
      </c>
      <c r="C2448" s="2" t="str">
        <f ca="1">IFERROR(__xludf.DUMMYFUNCTION("""COMPUTED_VALUE"""),"Capital DAO Starter")</f>
        <v>Capital DAO Starter</v>
      </c>
    </row>
    <row r="2449" spans="1:3" x14ac:dyDescent="0.25">
      <c r="A2449" s="2" t="str">
        <f ca="1">IFERROR(__xludf.DUMMYFUNCTION("""COMPUTED_VALUE"""),"capital-rock")</f>
        <v>capital-rock</v>
      </c>
      <c r="B2449" s="2" t="str">
        <f ca="1">IFERROR(__xludf.DUMMYFUNCTION("""COMPUTED_VALUE"""),"cr")</f>
        <v>cr</v>
      </c>
      <c r="C2449" s="2" t="str">
        <f ca="1">IFERROR(__xludf.DUMMYFUNCTION("""COMPUTED_VALUE"""),"CAPITAL ROCK")</f>
        <v>CAPITAL ROCK</v>
      </c>
    </row>
    <row r="2450" spans="1:3" x14ac:dyDescent="0.25">
      <c r="A2450" s="2" t="str">
        <f ca="1">IFERROR(__xludf.DUMMYFUNCTION("""COMPUTED_VALUE"""),"capo-was-right")</f>
        <v>capo-was-right</v>
      </c>
      <c r="B2450" s="2" t="str">
        <f ca="1">IFERROR(__xludf.DUMMYFUNCTION("""COMPUTED_VALUE"""),"cwr")</f>
        <v>cwr</v>
      </c>
      <c r="C2450" s="2" t="str">
        <f ca="1">IFERROR(__xludf.DUMMYFUNCTION("""COMPUTED_VALUE"""),"Capo Was Right")</f>
        <v>Capo Was Right</v>
      </c>
    </row>
    <row r="2451" spans="1:3" x14ac:dyDescent="0.25">
      <c r="A2451" s="2" t="str">
        <f ca="1">IFERROR(__xludf.DUMMYFUNCTION("""COMPUTED_VALUE"""),"cappasity")</f>
        <v>cappasity</v>
      </c>
      <c r="B2451" s="2" t="str">
        <f ca="1">IFERROR(__xludf.DUMMYFUNCTION("""COMPUTED_VALUE"""),"capp")</f>
        <v>capp</v>
      </c>
      <c r="C2451" s="2" t="str">
        <f ca="1">IFERROR(__xludf.DUMMYFUNCTION("""COMPUTED_VALUE"""),"Cappasity")</f>
        <v>Cappasity</v>
      </c>
    </row>
    <row r="2452" spans="1:3" x14ac:dyDescent="0.25">
      <c r="A2452" s="2" t="str">
        <f ca="1">IFERROR(__xludf.DUMMYFUNCTION("""COMPUTED_VALUE"""),"caprisun")</f>
        <v>caprisun</v>
      </c>
      <c r="B2452" s="2" t="str">
        <f ca="1">IFERROR(__xludf.DUMMYFUNCTION("""COMPUTED_VALUE"""),"csun")</f>
        <v>csun</v>
      </c>
      <c r="C2452" s="2" t="str">
        <f ca="1">IFERROR(__xludf.DUMMYFUNCTION("""COMPUTED_VALUE"""),"Caprisun")</f>
        <v>Caprisun</v>
      </c>
    </row>
    <row r="2453" spans="1:3" x14ac:dyDescent="0.25">
      <c r="A2453" s="2" t="str">
        <f ca="1">IFERROR(__xludf.DUMMYFUNCTION("""COMPUTED_VALUE"""),"caprisun-monkey")</f>
        <v>caprisun-monkey</v>
      </c>
      <c r="B2453" s="2" t="str">
        <f ca="1">IFERROR(__xludf.DUMMYFUNCTION("""COMPUTED_VALUE"""),"capri")</f>
        <v>capri</v>
      </c>
      <c r="C2453" s="2" t="str">
        <f ca="1">IFERROR(__xludf.DUMMYFUNCTION("""COMPUTED_VALUE"""),"Caprisun Monkey")</f>
        <v>Caprisun Monkey</v>
      </c>
    </row>
    <row r="2454" spans="1:3" x14ac:dyDescent="0.25">
      <c r="A2454" s="2" t="str">
        <f ca="1">IFERROR(__xludf.DUMMYFUNCTION("""COMPUTED_VALUE"""),"captain-planet")</f>
        <v>captain-planet</v>
      </c>
      <c r="B2454" s="2" t="str">
        <f ca="1">IFERROR(__xludf.DUMMYFUNCTION("""COMPUTED_VALUE"""),"ctp")</f>
        <v>ctp</v>
      </c>
      <c r="C2454" s="2" t="str">
        <f ca="1">IFERROR(__xludf.DUMMYFUNCTION("""COMPUTED_VALUE"""),"Captain Planet")</f>
        <v>Captain Planet</v>
      </c>
    </row>
    <row r="2455" spans="1:3" x14ac:dyDescent="0.25">
      <c r="A2455" s="2" t="str">
        <f ca="1">IFERROR(__xludf.DUMMYFUNCTION("""COMPUTED_VALUE"""),"captain-tsubasa")</f>
        <v>captain-tsubasa</v>
      </c>
      <c r="B2455" s="2" t="str">
        <f ca="1">IFERROR(__xludf.DUMMYFUNCTION("""COMPUTED_VALUE"""),"tsugt")</f>
        <v>tsugt</v>
      </c>
      <c r="C2455" s="2" t="str">
        <f ca="1">IFERROR(__xludf.DUMMYFUNCTION("""COMPUTED_VALUE"""),"Captain Tsubasa")</f>
        <v>Captain Tsubasa</v>
      </c>
    </row>
    <row r="2456" spans="1:3" x14ac:dyDescent="0.25">
      <c r="A2456" s="2" t="str">
        <f ca="1">IFERROR(__xludf.DUMMYFUNCTION("""COMPUTED_VALUE"""),"capybara")</f>
        <v>capybara</v>
      </c>
      <c r="B2456" s="2" t="str">
        <f ca="1">IFERROR(__xludf.DUMMYFUNCTION("""COMPUTED_VALUE"""),"capy")</f>
        <v>capy</v>
      </c>
      <c r="C2456" s="2" t="str">
        <f ca="1">IFERROR(__xludf.DUMMYFUNCTION("""COMPUTED_VALUE"""),"Capybara")</f>
        <v>Capybara</v>
      </c>
    </row>
    <row r="2457" spans="1:3" x14ac:dyDescent="0.25">
      <c r="A2457" s="2" t="str">
        <f ca="1">IFERROR(__xludf.DUMMYFUNCTION("""COMPUTED_VALUE"""),"capybara-2")</f>
        <v>capybara-2</v>
      </c>
      <c r="B2457" s="2" t="str">
        <f ca="1">IFERROR(__xludf.DUMMYFUNCTION("""COMPUTED_VALUE"""),"capy")</f>
        <v>capy</v>
      </c>
      <c r="C2457" s="2" t="str">
        <f ca="1">IFERROR(__xludf.DUMMYFUNCTION("""COMPUTED_VALUE"""),"capybara")</f>
        <v>capybara</v>
      </c>
    </row>
    <row r="2458" spans="1:3" x14ac:dyDescent="0.25">
      <c r="A2458" s="2" t="str">
        <f ca="1">IFERROR(__xludf.DUMMYFUNCTION("""COMPUTED_VALUE"""),"capybara-bsc")</f>
        <v>capybara-bsc</v>
      </c>
      <c r="B2458" s="2" t="str">
        <f ca="1">IFERROR(__xludf.DUMMYFUNCTION("""COMPUTED_VALUE"""),"capy")</f>
        <v>capy</v>
      </c>
      <c r="C2458" s="2" t="str">
        <f ca="1">IFERROR(__xludf.DUMMYFUNCTION("""COMPUTED_VALUE"""),"Capybara BSC")</f>
        <v>Capybara BSC</v>
      </c>
    </row>
    <row r="2459" spans="1:3" x14ac:dyDescent="0.25">
      <c r="A2459" s="2" t="str">
        <f ca="1">IFERROR(__xludf.DUMMYFUNCTION("""COMPUTED_VALUE"""),"capybara-memecoin")</f>
        <v>capybara-memecoin</v>
      </c>
      <c r="B2459" s="2" t="str">
        <f ca="1">IFERROR(__xludf.DUMMYFUNCTION("""COMPUTED_VALUE"""),"bara")</f>
        <v>bara</v>
      </c>
      <c r="C2459" s="2" t="str">
        <f ca="1">IFERROR(__xludf.DUMMYFUNCTION("""COMPUTED_VALUE"""),"Capybara Memecoin")</f>
        <v>Capybara Memecoin</v>
      </c>
    </row>
    <row r="2460" spans="1:3" x14ac:dyDescent="0.25">
      <c r="A2460" s="2" t="str">
        <f ca="1">IFERROR(__xludf.DUMMYFUNCTION("""COMPUTED_VALUE"""),"capybara-token")</f>
        <v>capybara-token</v>
      </c>
      <c r="B2460" s="2" t="str">
        <f ca="1">IFERROR(__xludf.DUMMYFUNCTION("""COMPUTED_VALUE"""),"capy")</f>
        <v>capy</v>
      </c>
      <c r="C2460" s="2" t="str">
        <f ca="1">IFERROR(__xludf.DUMMYFUNCTION("""COMPUTED_VALUE"""),"Capybara Token")</f>
        <v>Capybara Token</v>
      </c>
    </row>
    <row r="2461" spans="1:3" x14ac:dyDescent="0.25">
      <c r="A2461" s="2" t="str">
        <f ca="1">IFERROR(__xludf.DUMMYFUNCTION("""COMPUTED_VALUE"""),"carbify")</f>
        <v>carbify</v>
      </c>
      <c r="B2461" s="2" t="str">
        <f ca="1">IFERROR(__xludf.DUMMYFUNCTION("""COMPUTED_VALUE"""),"cby")</f>
        <v>cby</v>
      </c>
      <c r="C2461" s="2" t="str">
        <f ca="1">IFERROR(__xludf.DUMMYFUNCTION("""COMPUTED_VALUE"""),"Carbify")</f>
        <v>Carbify</v>
      </c>
    </row>
    <row r="2462" spans="1:3" x14ac:dyDescent="0.25">
      <c r="A2462" s="2" t="str">
        <f ca="1">IFERROR(__xludf.DUMMYFUNCTION("""COMPUTED_VALUE"""),"carbon")</f>
        <v>carbon</v>
      </c>
      <c r="B2462" s="2" t="str">
        <f ca="1">IFERROR(__xludf.DUMMYFUNCTION("""COMPUTED_VALUE"""),"carbon")</f>
        <v>carbon</v>
      </c>
      <c r="C2462" s="2" t="str">
        <f ca="1">IFERROR(__xludf.DUMMYFUNCTION("""COMPUTED_VALUE"""),"Carbon")</f>
        <v>Carbon</v>
      </c>
    </row>
    <row r="2463" spans="1:3" x14ac:dyDescent="0.25">
      <c r="A2463" s="2" t="str">
        <f ca="1">IFERROR(__xludf.DUMMYFUNCTION("""COMPUTED_VALUE"""),"carbon-browser")</f>
        <v>carbon-browser</v>
      </c>
      <c r="B2463" s="2" t="str">
        <f ca="1">IFERROR(__xludf.DUMMYFUNCTION("""COMPUTED_VALUE"""),"csix")</f>
        <v>csix</v>
      </c>
      <c r="C2463" s="2" t="str">
        <f ca="1">IFERROR(__xludf.DUMMYFUNCTION("""COMPUTED_VALUE"""),"Carbon Browser")</f>
        <v>Carbon Browser</v>
      </c>
    </row>
    <row r="2464" spans="1:3" x14ac:dyDescent="0.25">
      <c r="A2464" s="2" t="str">
        <f ca="1">IFERROR(__xludf.DUMMYFUNCTION("""COMPUTED_VALUE"""),"carbon-crates")</f>
        <v>carbon-crates</v>
      </c>
      <c r="B2464" s="2" t="str">
        <f ca="1">IFERROR(__xludf.DUMMYFUNCTION("""COMPUTED_VALUE"""),"carb")</f>
        <v>carb</v>
      </c>
      <c r="C2464" s="2" t="str">
        <f ca="1">IFERROR(__xludf.DUMMYFUNCTION("""COMPUTED_VALUE"""),"Carbon Crates")</f>
        <v>Carbon Crates</v>
      </c>
    </row>
    <row r="2465" spans="1:3" x14ac:dyDescent="0.25">
      <c r="A2465" s="2" t="str">
        <f ca="1">IFERROR(__xludf.DUMMYFUNCTION("""COMPUTED_VALUE"""),"carbon-credit")</f>
        <v>carbon-credit</v>
      </c>
      <c r="B2465" s="2" t="str">
        <f ca="1">IFERROR(__xludf.DUMMYFUNCTION("""COMPUTED_VALUE"""),"cct")</f>
        <v>cct</v>
      </c>
      <c r="C2465" s="2" t="str">
        <f ca="1">IFERROR(__xludf.DUMMYFUNCTION("""COMPUTED_VALUE"""),"Carbon Credit")</f>
        <v>Carbon Credit</v>
      </c>
    </row>
    <row r="2466" spans="1:3" x14ac:dyDescent="0.25">
      <c r="A2466" s="2" t="str">
        <f ca="1">IFERROR(__xludf.DUMMYFUNCTION("""COMPUTED_VALUE"""),"carbon-earth-token")</f>
        <v>carbon-earth-token</v>
      </c>
      <c r="B2466" s="2" t="str">
        <f ca="1">IFERROR(__xludf.DUMMYFUNCTION("""COMPUTED_VALUE"""),"cet")</f>
        <v>cet</v>
      </c>
      <c r="C2466" s="2" t="str">
        <f ca="1">IFERROR(__xludf.DUMMYFUNCTION("""COMPUTED_VALUE"""),"Carbon Earth Token")</f>
        <v>Carbon Earth Token</v>
      </c>
    </row>
    <row r="2467" spans="1:3" x14ac:dyDescent="0.25">
      <c r="A2467" s="2" t="str">
        <f ca="1">IFERROR(__xludf.DUMMYFUNCTION("""COMPUTED_VALUE"""),"carbon-emission-blockchain")</f>
        <v>carbon-emission-blockchain</v>
      </c>
      <c r="B2467" s="2" t="str">
        <f ca="1">IFERROR(__xludf.DUMMYFUNCTION("""COMPUTED_VALUE"""),"ceb")</f>
        <v>ceb</v>
      </c>
      <c r="C2467" s="2" t="str">
        <f ca="1">IFERROR(__xludf.DUMMYFUNCTION("""COMPUTED_VALUE"""),"Carbon Emission  Blockchain")</f>
        <v>Carbon Emission  Blockchain</v>
      </c>
    </row>
    <row r="2468" spans="1:3" x14ac:dyDescent="0.25">
      <c r="A2468" s="2" t="str">
        <f ca="1">IFERROR(__xludf.DUMMYFUNCTION("""COMPUTED_VALUE"""),"carbon-labs")</f>
        <v>carbon-labs</v>
      </c>
      <c r="B2468" s="2" t="str">
        <f ca="1">IFERROR(__xludf.DUMMYFUNCTION("""COMPUTED_VALUE"""),"carb")</f>
        <v>carb</v>
      </c>
      <c r="C2468" s="2" t="str">
        <f ca="1">IFERROR(__xludf.DUMMYFUNCTION("""COMPUTED_VALUE"""),"Carbon Labs")</f>
        <v>Carbon Labs</v>
      </c>
    </row>
    <row r="2469" spans="1:3" x14ac:dyDescent="0.25">
      <c r="A2469" s="2" t="str">
        <f ca="1">IFERROR(__xludf.DUMMYFUNCTION("""COMPUTED_VALUE"""),"carbon-neutrality-blockchain")</f>
        <v>carbon-neutrality-blockchain</v>
      </c>
      <c r="B2469" s="2" t="str">
        <f ca="1">IFERROR(__xludf.DUMMYFUNCTION("""COMPUTED_VALUE"""),"cnb")</f>
        <v>cnb</v>
      </c>
      <c r="C2469" s="2" t="str">
        <f ca="1">IFERROR(__xludf.DUMMYFUNCTION("""COMPUTED_VALUE"""),"Carbon Neutrality Blockchain")</f>
        <v>Carbon Neutrality Blockchain</v>
      </c>
    </row>
    <row r="2470" spans="1:3" x14ac:dyDescent="0.25">
      <c r="A2470" s="2" t="str">
        <f ca="1">IFERROR(__xludf.DUMMYFUNCTION("""COMPUTED_VALUE"""),"cardano")</f>
        <v>cardano</v>
      </c>
      <c r="B2470" s="2" t="str">
        <f ca="1">IFERROR(__xludf.DUMMYFUNCTION("""COMPUTED_VALUE"""),"ada")</f>
        <v>ada</v>
      </c>
      <c r="C2470" s="2" t="str">
        <f ca="1">IFERROR(__xludf.DUMMYFUNCTION("""COMPUTED_VALUE"""),"Cardano")</f>
        <v>Cardano</v>
      </c>
    </row>
    <row r="2471" spans="1:3" x14ac:dyDescent="0.25">
      <c r="A2471" s="2" t="str">
        <f ca="1">IFERROR(__xludf.DUMMYFUNCTION("""COMPUTED_VALUE"""),"cardano-crocs-club")</f>
        <v>cardano-crocs-club</v>
      </c>
      <c r="B2471" s="2" t="str">
        <f ca="1">IFERROR(__xludf.DUMMYFUNCTION("""COMPUTED_VALUE"""),"c4")</f>
        <v>c4</v>
      </c>
      <c r="C2471" s="2" t="str">
        <f ca="1">IFERROR(__xludf.DUMMYFUNCTION("""COMPUTED_VALUE"""),"Cardano Crocs Club")</f>
        <v>Cardano Crocs Club</v>
      </c>
    </row>
    <row r="2472" spans="1:3" x14ac:dyDescent="0.25">
      <c r="A2472" s="2" t="str">
        <f ca="1">IFERROR(__xludf.DUMMYFUNCTION("""COMPUTED_VALUE"""),"cardanogpt")</f>
        <v>cardanogpt</v>
      </c>
      <c r="B2472" s="2" t="str">
        <f ca="1">IFERROR(__xludf.DUMMYFUNCTION("""COMPUTED_VALUE"""),"cgi")</f>
        <v>cgi</v>
      </c>
      <c r="C2472" s="2" t="str">
        <f ca="1">IFERROR(__xludf.DUMMYFUNCTION("""COMPUTED_VALUE"""),"CardanoGPT")</f>
        <v>CardanoGPT</v>
      </c>
    </row>
    <row r="2473" spans="1:3" x14ac:dyDescent="0.25">
      <c r="A2473" s="2" t="str">
        <f ca="1">IFERROR(__xludf.DUMMYFUNCTION("""COMPUTED_VALUE"""),"cardanum")</f>
        <v>cardanum</v>
      </c>
      <c r="B2473" s="2" t="str">
        <f ca="1">IFERROR(__xludf.DUMMYFUNCTION("""COMPUTED_VALUE"""),"carda")</f>
        <v>carda</v>
      </c>
      <c r="C2473" s="2" t="str">
        <f ca="1">IFERROR(__xludf.DUMMYFUNCTION("""COMPUTED_VALUE"""),"Cardanum")</f>
        <v>Cardanum</v>
      </c>
    </row>
    <row r="2474" spans="1:3" x14ac:dyDescent="0.25">
      <c r="A2474" s="2" t="str">
        <f ca="1">IFERROR(__xludf.DUMMYFUNCTION("""COMPUTED_VALUE"""),"cardence")</f>
        <v>cardence</v>
      </c>
      <c r="B2474" s="2" t="str">
        <f ca="1">IFERROR(__xludf.DUMMYFUNCTION("""COMPUTED_VALUE"""),"$crdn")</f>
        <v>$crdn</v>
      </c>
      <c r="C2474" s="2" t="str">
        <f ca="1">IFERROR(__xludf.DUMMYFUNCTION("""COMPUTED_VALUE"""),"Cardence")</f>
        <v>Cardence</v>
      </c>
    </row>
    <row r="2475" spans="1:3" x14ac:dyDescent="0.25">
      <c r="A2475" s="2" t="str">
        <f ca="1">IFERROR(__xludf.DUMMYFUNCTION("""COMPUTED_VALUE"""),"cardinals")</f>
        <v>cardinals</v>
      </c>
      <c r="B2475" s="2" t="str">
        <f ca="1">IFERROR(__xludf.DUMMYFUNCTION("""COMPUTED_VALUE"""),"cardi")</f>
        <v>cardi</v>
      </c>
      <c r="C2475" s="2" t="str">
        <f ca="1">IFERROR(__xludf.DUMMYFUNCTION("""COMPUTED_VALUE"""),"Cardinals (DRC-20)")</f>
        <v>Cardinals (DRC-20)</v>
      </c>
    </row>
    <row r="2476" spans="1:3" x14ac:dyDescent="0.25">
      <c r="A2476" s="2" t="str">
        <f ca="1">IFERROR(__xludf.DUMMYFUNCTION("""COMPUTED_VALUE"""),"cardiocoin")</f>
        <v>cardiocoin</v>
      </c>
      <c r="B2476" s="2" t="str">
        <f ca="1">IFERROR(__xludf.DUMMYFUNCTION("""COMPUTED_VALUE"""),"crdc")</f>
        <v>crdc</v>
      </c>
      <c r="C2476" s="2" t="str">
        <f ca="1">IFERROR(__xludf.DUMMYFUNCTION("""COMPUTED_VALUE"""),"Cardiocoin")</f>
        <v>Cardiocoin</v>
      </c>
    </row>
    <row r="2477" spans="1:3" x14ac:dyDescent="0.25">
      <c r="A2477" s="2" t="str">
        <f ca="1">IFERROR(__xludf.DUMMYFUNCTION("""COMPUTED_VALUE"""),"cardstack")</f>
        <v>cardstack</v>
      </c>
      <c r="B2477" s="2" t="str">
        <f ca="1">IFERROR(__xludf.DUMMYFUNCTION("""COMPUTED_VALUE"""),"card")</f>
        <v>card</v>
      </c>
      <c r="C2477" s="2" t="str">
        <f ca="1">IFERROR(__xludf.DUMMYFUNCTION("""COMPUTED_VALUE"""),"Cardstack")</f>
        <v>Cardstack</v>
      </c>
    </row>
    <row r="2478" spans="1:3" x14ac:dyDescent="0.25">
      <c r="A2478" s="2" t="str">
        <f ca="1">IFERROR(__xludf.DUMMYFUNCTION("""COMPUTED_VALUE"""),"carecoin")</f>
        <v>carecoin</v>
      </c>
      <c r="B2478" s="2" t="str">
        <f ca="1">IFERROR(__xludf.DUMMYFUNCTION("""COMPUTED_VALUE"""),"care")</f>
        <v>care</v>
      </c>
      <c r="C2478" s="2" t="str">
        <f ca="1">IFERROR(__xludf.DUMMYFUNCTION("""COMPUTED_VALUE"""),"CareCoin")</f>
        <v>CareCoin</v>
      </c>
    </row>
    <row r="2479" spans="1:3" x14ac:dyDescent="0.25">
      <c r="A2479" s="2" t="str">
        <f ca="1">IFERROR(__xludf.DUMMYFUNCTION("""COMPUTED_VALUE"""),"cargox")</f>
        <v>cargox</v>
      </c>
      <c r="B2479" s="2" t="str">
        <f ca="1">IFERROR(__xludf.DUMMYFUNCTION("""COMPUTED_VALUE"""),"cxo")</f>
        <v>cxo</v>
      </c>
      <c r="C2479" s="2" t="str">
        <f ca="1">IFERROR(__xludf.DUMMYFUNCTION("""COMPUTED_VALUE"""),"CargoX")</f>
        <v>CargoX</v>
      </c>
    </row>
    <row r="2480" spans="1:3" x14ac:dyDescent="0.25">
      <c r="A2480" s="2" t="str">
        <f ca="1">IFERROR(__xludf.DUMMYFUNCTION("""COMPUTED_VALUE"""),"carlo")</f>
        <v>carlo</v>
      </c>
      <c r="B2480" s="2" t="str">
        <f ca="1">IFERROR(__xludf.DUMMYFUNCTION("""COMPUTED_VALUE"""),"carlo")</f>
        <v>carlo</v>
      </c>
      <c r="C2480" s="2" t="str">
        <f ca="1">IFERROR(__xludf.DUMMYFUNCTION("""COMPUTED_VALUE"""),"Carlo")</f>
        <v>Carlo</v>
      </c>
    </row>
    <row r="2481" spans="1:3" x14ac:dyDescent="0.25">
      <c r="A2481" s="2" t="str">
        <f ca="1">IFERROR(__xludf.DUMMYFUNCTION("""COMPUTED_VALUE"""),"carmin")</f>
        <v>carmin</v>
      </c>
      <c r="B2481" s="2" t="str">
        <f ca="1">IFERROR(__xludf.DUMMYFUNCTION("""COMPUTED_VALUE"""),"carmin")</f>
        <v>carmin</v>
      </c>
      <c r="C2481" s="2" t="str">
        <f ca="1">IFERROR(__xludf.DUMMYFUNCTION("""COMPUTED_VALUE"""),"Carmin")</f>
        <v>Carmin</v>
      </c>
    </row>
    <row r="2482" spans="1:3" x14ac:dyDescent="0.25">
      <c r="A2482" s="2" t="str">
        <f ca="1">IFERROR(__xludf.DUMMYFUNCTION("""COMPUTED_VALUE"""),"carnomaly")</f>
        <v>carnomaly</v>
      </c>
      <c r="B2482" s="2" t="str">
        <f ca="1">IFERROR(__xludf.DUMMYFUNCTION("""COMPUTED_VALUE"""),"carr")</f>
        <v>carr</v>
      </c>
      <c r="C2482" s="2" t="str">
        <f ca="1">IFERROR(__xludf.DUMMYFUNCTION("""COMPUTED_VALUE"""),"Carnomaly")</f>
        <v>Carnomaly</v>
      </c>
    </row>
    <row r="2483" spans="1:3" x14ac:dyDescent="0.25">
      <c r="A2483" s="2" t="str">
        <f ca="1">IFERROR(__xludf.DUMMYFUNCTION("""COMPUTED_VALUE"""),"caroline")</f>
        <v>caroline</v>
      </c>
      <c r="B2483" s="2" t="str">
        <f ca="1">IFERROR(__xludf.DUMMYFUNCTION("""COMPUTED_VALUE"""),"her")</f>
        <v>her</v>
      </c>
      <c r="C2483" s="2" t="str">
        <f ca="1">IFERROR(__xludf.DUMMYFUNCTION("""COMPUTED_VALUE"""),"Caroline")</f>
        <v>Caroline</v>
      </c>
    </row>
    <row r="2484" spans="1:3" x14ac:dyDescent="0.25">
      <c r="A2484" s="2" t="str">
        <f ca="1">IFERROR(__xludf.DUMMYFUNCTION("""COMPUTED_VALUE"""),"carrieverse")</f>
        <v>carrieverse</v>
      </c>
      <c r="B2484" s="2" t="str">
        <f ca="1">IFERROR(__xludf.DUMMYFUNCTION("""COMPUTED_VALUE"""),"cvtx")</f>
        <v>cvtx</v>
      </c>
      <c r="C2484" s="2" t="str">
        <f ca="1">IFERROR(__xludf.DUMMYFUNCTION("""COMPUTED_VALUE"""),"CarrieVerse")</f>
        <v>CarrieVerse</v>
      </c>
    </row>
    <row r="2485" spans="1:3" x14ac:dyDescent="0.25">
      <c r="A2485" s="2" t="str">
        <f ca="1">IFERROR(__xludf.DUMMYFUNCTION("""COMPUTED_VALUE"""),"carrot-2")</f>
        <v>carrot-2</v>
      </c>
      <c r="B2485" s="2" t="str">
        <f ca="1">IFERROR(__xludf.DUMMYFUNCTION("""COMPUTED_VALUE"""),"crt")</f>
        <v>crt</v>
      </c>
      <c r="C2485" s="2" t="str">
        <f ca="1">IFERROR(__xludf.DUMMYFUNCTION("""COMPUTED_VALUE"""),"Carrot")</f>
        <v>Carrot</v>
      </c>
    </row>
    <row r="2486" spans="1:3" x14ac:dyDescent="0.25">
      <c r="A2486" s="2" t="str">
        <f ca="1">IFERROR(__xludf.DUMMYFUNCTION("""COMPUTED_VALUE"""),"carry")</f>
        <v>carry</v>
      </c>
      <c r="B2486" s="2" t="str">
        <f ca="1">IFERROR(__xludf.DUMMYFUNCTION("""COMPUTED_VALUE"""),"cre")</f>
        <v>cre</v>
      </c>
      <c r="C2486" s="2" t="str">
        <f ca="1">IFERROR(__xludf.DUMMYFUNCTION("""COMPUTED_VALUE"""),"Carry")</f>
        <v>Carry</v>
      </c>
    </row>
    <row r="2487" spans="1:3" x14ac:dyDescent="0.25">
      <c r="A2487" s="2" t="str">
        <f ca="1">IFERROR(__xludf.DUMMYFUNCTION("""COMPUTED_VALUE"""),"cartel-coin-2")</f>
        <v>cartel-coin-2</v>
      </c>
      <c r="B2487" s="2" t="str">
        <f ca="1">IFERROR(__xludf.DUMMYFUNCTION("""COMPUTED_VALUE"""),"cartel")</f>
        <v>cartel</v>
      </c>
      <c r="C2487" s="2" t="str">
        <f ca="1">IFERROR(__xludf.DUMMYFUNCTION("""COMPUTED_VALUE"""),"Cartel Coin")</f>
        <v>Cartel Coin</v>
      </c>
    </row>
    <row r="2488" spans="1:3" x14ac:dyDescent="0.25">
      <c r="A2488" s="2" t="str">
        <f ca="1">IFERROR(__xludf.DUMMYFUNCTION("""COMPUTED_VALUE"""),"cartesi")</f>
        <v>cartesi</v>
      </c>
      <c r="B2488" s="2" t="str">
        <f ca="1">IFERROR(__xludf.DUMMYFUNCTION("""COMPUTED_VALUE"""),"ctsi")</f>
        <v>ctsi</v>
      </c>
      <c r="C2488" s="2" t="str">
        <f ca="1">IFERROR(__xludf.DUMMYFUNCTION("""COMPUTED_VALUE"""),"Cartesi")</f>
        <v>Cartesi</v>
      </c>
    </row>
    <row r="2489" spans="1:3" x14ac:dyDescent="0.25">
      <c r="A2489" s="2" t="str">
        <f ca="1">IFERROR(__xludf.DUMMYFUNCTION("""COMPUTED_VALUE"""),"cartman")</f>
        <v>cartman</v>
      </c>
      <c r="B2489" s="2" t="str">
        <f ca="1">IFERROR(__xludf.DUMMYFUNCTION("""COMPUTED_VALUE"""),"$cartman")</f>
        <v>$cartman</v>
      </c>
      <c r="C2489" s="2" t="str">
        <f ca="1">IFERROR(__xludf.DUMMYFUNCTION("""COMPUTED_VALUE"""),"Cartman")</f>
        <v>Cartman</v>
      </c>
    </row>
    <row r="2490" spans="1:3" x14ac:dyDescent="0.25">
      <c r="A2490" s="2" t="str">
        <f ca="1">IFERROR(__xludf.DUMMYFUNCTION("""COMPUTED_VALUE"""),"carv")</f>
        <v>carv</v>
      </c>
      <c r="B2490" s="2" t="str">
        <f ca="1">IFERROR(__xludf.DUMMYFUNCTION("""COMPUTED_VALUE"""),"carv")</f>
        <v>carv</v>
      </c>
      <c r="C2490" s="2" t="str">
        <f ca="1">IFERROR(__xludf.DUMMYFUNCTION("""COMPUTED_VALUE"""),"CARV")</f>
        <v>CARV</v>
      </c>
    </row>
    <row r="2491" spans="1:3" x14ac:dyDescent="0.25">
      <c r="A2491" s="2" t="str">
        <f ca="1">IFERROR(__xludf.DUMMYFUNCTION("""COMPUTED_VALUE"""),"carvertical")</f>
        <v>carvertical</v>
      </c>
      <c r="B2491" s="2" t="str">
        <f ca="1">IFERROR(__xludf.DUMMYFUNCTION("""COMPUTED_VALUE"""),"cv")</f>
        <v>cv</v>
      </c>
      <c r="C2491" s="2" t="str">
        <f ca="1">IFERROR(__xludf.DUMMYFUNCTION("""COMPUTED_VALUE"""),"carVertical")</f>
        <v>carVertical</v>
      </c>
    </row>
    <row r="2492" spans="1:3" x14ac:dyDescent="0.25">
      <c r="A2492" s="2" t="str">
        <f ca="1">IFERROR(__xludf.DUMMYFUNCTION("""COMPUTED_VALUE"""),"cascadia")</f>
        <v>cascadia</v>
      </c>
      <c r="B2492" s="2" t="str">
        <f ca="1">IFERROR(__xludf.DUMMYFUNCTION("""COMPUTED_VALUE"""),"cc")</f>
        <v>cc</v>
      </c>
      <c r="C2492" s="2" t="str">
        <f ca="1">IFERROR(__xludf.DUMMYFUNCTION("""COMPUTED_VALUE"""),"Cascadia")</f>
        <v>Cascadia</v>
      </c>
    </row>
    <row r="2493" spans="1:3" x14ac:dyDescent="0.25">
      <c r="A2493" s="2" t="str">
        <f ca="1">IFERROR(__xludf.DUMMYFUNCTION("""COMPUTED_VALUE"""),"cashaa")</f>
        <v>cashaa</v>
      </c>
      <c r="B2493" s="2" t="str">
        <f ca="1">IFERROR(__xludf.DUMMYFUNCTION("""COMPUTED_VALUE"""),"cas")</f>
        <v>cas</v>
      </c>
      <c r="C2493" s="2" t="str">
        <f ca="1">IFERROR(__xludf.DUMMYFUNCTION("""COMPUTED_VALUE"""),"Cashaa")</f>
        <v>Cashaa</v>
      </c>
    </row>
    <row r="2494" spans="1:3" x14ac:dyDescent="0.25">
      <c r="A2494" s="2" t="str">
        <f ca="1">IFERROR(__xludf.DUMMYFUNCTION("""COMPUTED_VALUE"""),"cashbackpro")</f>
        <v>cashbackpro</v>
      </c>
      <c r="B2494" s="2" t="str">
        <f ca="1">IFERROR(__xludf.DUMMYFUNCTION("""COMPUTED_VALUE"""),"cbp")</f>
        <v>cbp</v>
      </c>
      <c r="C2494" s="2" t="str">
        <f ca="1">IFERROR(__xludf.DUMMYFUNCTION("""COMPUTED_VALUE"""),"CashBackPro")</f>
        <v>CashBackPro</v>
      </c>
    </row>
    <row r="2495" spans="1:3" x14ac:dyDescent="0.25">
      <c r="A2495" s="2" t="str">
        <f ca="1">IFERROR(__xludf.DUMMYFUNCTION("""COMPUTED_VALUE"""),"cashcow")</f>
        <v>cashcow</v>
      </c>
      <c r="B2495" s="2" t="str">
        <f ca="1">IFERROR(__xludf.DUMMYFUNCTION("""COMPUTED_VALUE"""),"cow")</f>
        <v>cow</v>
      </c>
      <c r="C2495" s="2" t="str">
        <f ca="1">IFERROR(__xludf.DUMMYFUNCTION("""COMPUTED_VALUE"""),"CashCow")</f>
        <v>CashCow</v>
      </c>
    </row>
    <row r="2496" spans="1:3" x14ac:dyDescent="0.25">
      <c r="A2496" s="2" t="str">
        <f ca="1">IFERROR(__xludf.DUMMYFUNCTION("""COMPUTED_VALUE"""),"cashtree-token")</f>
        <v>cashtree-token</v>
      </c>
      <c r="B2496" s="2" t="str">
        <f ca="1">IFERROR(__xludf.DUMMYFUNCTION("""COMPUTED_VALUE"""),"ctt")</f>
        <v>ctt</v>
      </c>
      <c r="C2496" s="2" t="str">
        <f ca="1">IFERROR(__xludf.DUMMYFUNCTION("""COMPUTED_VALUE"""),"Cashtree Token")</f>
        <v>Cashtree Token</v>
      </c>
    </row>
    <row r="2497" spans="1:3" x14ac:dyDescent="0.25">
      <c r="A2497" s="2" t="str">
        <f ca="1">IFERROR(__xludf.DUMMYFUNCTION("""COMPUTED_VALUE"""),"casinocoin")</f>
        <v>casinocoin</v>
      </c>
      <c r="B2497" s="2" t="str">
        <f ca="1">IFERROR(__xludf.DUMMYFUNCTION("""COMPUTED_VALUE"""),"csc")</f>
        <v>csc</v>
      </c>
      <c r="C2497" s="2" t="str">
        <f ca="1">IFERROR(__xludf.DUMMYFUNCTION("""COMPUTED_VALUE"""),"Casinocoin")</f>
        <v>Casinocoin</v>
      </c>
    </row>
    <row r="2498" spans="1:3" x14ac:dyDescent="0.25">
      <c r="A2498" s="2" t="str">
        <f ca="1">IFERROR(__xludf.DUMMYFUNCTION("""COMPUTED_VALUE"""),"casinu-inu")</f>
        <v>casinu-inu</v>
      </c>
      <c r="B2498" s="2" t="str">
        <f ca="1">IFERROR(__xludf.DUMMYFUNCTION("""COMPUTED_VALUE"""),"casinu")</f>
        <v>casinu</v>
      </c>
      <c r="C2498" s="2" t="str">
        <f ca="1">IFERROR(__xludf.DUMMYFUNCTION("""COMPUTED_VALUE"""),"Casinu Inu")</f>
        <v>Casinu Inu</v>
      </c>
    </row>
    <row r="2499" spans="1:3" x14ac:dyDescent="0.25">
      <c r="A2499" s="2" t="str">
        <f ca="1">IFERROR(__xludf.DUMMYFUNCTION("""COMPUTED_VALUE"""),"casper-network")</f>
        <v>casper-network</v>
      </c>
      <c r="B2499" s="2" t="str">
        <f ca="1">IFERROR(__xludf.DUMMYFUNCTION("""COMPUTED_VALUE"""),"cspr")</f>
        <v>cspr</v>
      </c>
      <c r="C2499" s="2" t="str">
        <f ca="1">IFERROR(__xludf.DUMMYFUNCTION("""COMPUTED_VALUE"""),"Casper Network")</f>
        <v>Casper Network</v>
      </c>
    </row>
    <row r="2500" spans="1:3" x14ac:dyDescent="0.25">
      <c r="A2500" s="2" t="str">
        <f ca="1">IFERROR(__xludf.DUMMYFUNCTION("""COMPUTED_VALUE"""),"casperpad")</f>
        <v>casperpad</v>
      </c>
      <c r="B2500" s="2" t="str">
        <f ca="1">IFERROR(__xludf.DUMMYFUNCTION("""COMPUTED_VALUE"""),"cspd")</f>
        <v>cspd</v>
      </c>
      <c r="C2500" s="2" t="str">
        <f ca="1">IFERROR(__xludf.DUMMYFUNCTION("""COMPUTED_VALUE"""),"CasperPad")</f>
        <v>CasperPad</v>
      </c>
    </row>
    <row r="2501" spans="1:3" x14ac:dyDescent="0.25">
      <c r="A2501" s="2" t="str">
        <f ca="1">IFERROR(__xludf.DUMMYFUNCTION("""COMPUTED_VALUE"""),"cassie-dragon")</f>
        <v>cassie-dragon</v>
      </c>
      <c r="B2501" s="2" t="str">
        <f ca="1">IFERROR(__xludf.DUMMYFUNCTION("""COMPUTED_VALUE"""),"cassie 🐉")</f>
        <v>cassie 🐉</v>
      </c>
      <c r="C2501" s="2" t="str">
        <f ca="1">IFERROR(__xludf.DUMMYFUNCTION("""COMPUTED_VALUE"""),"Cassie Dragon")</f>
        <v>Cassie Dragon</v>
      </c>
    </row>
    <row r="2502" spans="1:3" x14ac:dyDescent="0.25">
      <c r="A2502" s="2" t="str">
        <f ca="1">IFERROR(__xludf.DUMMYFUNCTION("""COMPUTED_VALUE"""),"castello-coin")</f>
        <v>castello-coin</v>
      </c>
      <c r="B2502" s="2" t="str">
        <f ca="1">IFERROR(__xludf.DUMMYFUNCTION("""COMPUTED_VALUE"""),"cast")</f>
        <v>cast</v>
      </c>
      <c r="C2502" s="2" t="str">
        <f ca="1">IFERROR(__xludf.DUMMYFUNCTION("""COMPUTED_VALUE"""),"Castello Coin")</f>
        <v>Castello Coin</v>
      </c>
    </row>
    <row r="2503" spans="1:3" x14ac:dyDescent="0.25">
      <c r="A2503" s="2" t="str">
        <f ca="1">IFERROR(__xludf.DUMMYFUNCTION("""COMPUTED_VALUE"""),"castle-of-blackwater")</f>
        <v>castle-of-blackwater</v>
      </c>
      <c r="B2503" s="2" t="str">
        <f ca="1">IFERROR(__xludf.DUMMYFUNCTION("""COMPUTED_VALUE"""),"cobe")</f>
        <v>cobe</v>
      </c>
      <c r="C2503" s="2" t="str">
        <f ca="1">IFERROR(__xludf.DUMMYFUNCTION("""COMPUTED_VALUE"""),"Castle Of Blackwater")</f>
        <v>Castle Of Blackwater</v>
      </c>
    </row>
    <row r="2504" spans="1:3" x14ac:dyDescent="0.25">
      <c r="A2504" s="2" t="str">
        <f ca="1">IFERROR(__xludf.DUMMYFUNCTION("""COMPUTED_VALUE"""),"catalina-whales-index")</f>
        <v>catalina-whales-index</v>
      </c>
      <c r="B2504" s="2" t="str">
        <f ca="1">IFERROR(__xludf.DUMMYFUNCTION("""COMPUTED_VALUE"""),"whales")</f>
        <v>whales</v>
      </c>
      <c r="C2504" s="2" t="str">
        <f ca="1">IFERROR(__xludf.DUMMYFUNCTION("""COMPUTED_VALUE"""),"Catalina Whales Index")</f>
        <v>Catalina Whales Index</v>
      </c>
    </row>
    <row r="2505" spans="1:3" x14ac:dyDescent="0.25">
      <c r="A2505" s="2" t="str">
        <f ca="1">IFERROR(__xludf.DUMMYFUNCTION("""COMPUTED_VALUE"""),"catalorian")</f>
        <v>catalorian</v>
      </c>
      <c r="B2505" s="2" t="str">
        <f ca="1">IFERROR(__xludf.DUMMYFUNCTION("""COMPUTED_VALUE"""),"catalorian")</f>
        <v>catalorian</v>
      </c>
      <c r="C2505" s="2" t="str">
        <f ca="1">IFERROR(__xludf.DUMMYFUNCTION("""COMPUTED_VALUE"""),"Catalorian")</f>
        <v>Catalorian</v>
      </c>
    </row>
    <row r="2506" spans="1:3" x14ac:dyDescent="0.25">
      <c r="A2506" s="2" t="str">
        <f ca="1">IFERROR(__xludf.DUMMYFUNCTION("""COMPUTED_VALUE"""),"catamoto")</f>
        <v>catamoto</v>
      </c>
      <c r="B2506" s="2" t="str">
        <f ca="1">IFERROR(__xludf.DUMMYFUNCTION("""COMPUTED_VALUE"""),"cata")</f>
        <v>cata</v>
      </c>
      <c r="C2506" s="2" t="str">
        <f ca="1">IFERROR(__xludf.DUMMYFUNCTION("""COMPUTED_VALUE"""),"Catamoto")</f>
        <v>Catamoto</v>
      </c>
    </row>
    <row r="2507" spans="1:3" x14ac:dyDescent="0.25">
      <c r="A2507" s="2" t="str">
        <f ca="1">IFERROR(__xludf.DUMMYFUNCTION("""COMPUTED_VALUE"""),"catapult")</f>
        <v>catapult</v>
      </c>
      <c r="B2507" s="2" t="str">
        <f ca="1">IFERROR(__xludf.DUMMYFUNCTION("""COMPUTED_VALUE"""),"atd")</f>
        <v>atd</v>
      </c>
      <c r="C2507" s="2" t="str">
        <f ca="1">IFERROR(__xludf.DUMMYFUNCTION("""COMPUTED_VALUE"""),"A2DAO")</f>
        <v>A2DAO</v>
      </c>
    </row>
    <row r="2508" spans="1:3" x14ac:dyDescent="0.25">
      <c r="A2508" s="2" t="str">
        <f ca="1">IFERROR(__xludf.DUMMYFUNCTION("""COMPUTED_VALUE"""),"catbonk")</f>
        <v>catbonk</v>
      </c>
      <c r="B2508" s="2" t="str">
        <f ca="1">IFERROR(__xludf.DUMMYFUNCTION("""COMPUTED_VALUE"""),"cabo")</f>
        <v>cabo</v>
      </c>
      <c r="C2508" s="2" t="str">
        <f ca="1">IFERROR(__xludf.DUMMYFUNCTION("""COMPUTED_VALUE"""),"Catbonk")</f>
        <v>Catbonk</v>
      </c>
    </row>
    <row r="2509" spans="1:3" x14ac:dyDescent="0.25">
      <c r="A2509" s="2" t="str">
        <f ca="1">IFERROR(__xludf.DUMMYFUNCTION("""COMPUTED_VALUE"""),"catboy-3")</f>
        <v>catboy-3</v>
      </c>
      <c r="B2509" s="2" t="str">
        <f ca="1">IFERROR(__xludf.DUMMYFUNCTION("""COMPUTED_VALUE"""),"catboy")</f>
        <v>catboy</v>
      </c>
      <c r="C2509" s="2" t="str">
        <f ca="1">IFERROR(__xludf.DUMMYFUNCTION("""COMPUTED_VALUE"""),"Catboy")</f>
        <v>Catboy</v>
      </c>
    </row>
    <row r="2510" spans="1:3" x14ac:dyDescent="0.25">
      <c r="A2510" s="2" t="str">
        <f ca="1">IFERROR(__xludf.DUMMYFUNCTION("""COMPUTED_VALUE"""),"catboy-4")</f>
        <v>catboy-4</v>
      </c>
      <c r="B2510" s="2" t="str">
        <f ca="1">IFERROR(__xludf.DUMMYFUNCTION("""COMPUTED_VALUE"""),"catboy")</f>
        <v>catboy</v>
      </c>
      <c r="C2510" s="2" t="str">
        <f ca="1">IFERROR(__xludf.DUMMYFUNCTION("""COMPUTED_VALUE"""),"Catboy")</f>
        <v>Catboy</v>
      </c>
    </row>
    <row r="2511" spans="1:3" x14ac:dyDescent="0.25">
      <c r="A2511" s="2" t="str">
        <f ca="1">IFERROR(__xludf.DUMMYFUNCTION("""COMPUTED_VALUE"""),"cat-cat-token")</f>
        <v>cat-cat-token</v>
      </c>
      <c r="B2511" s="2" t="str">
        <f ca="1">IFERROR(__xludf.DUMMYFUNCTION("""COMPUTED_VALUE"""),"cat")</f>
        <v>cat</v>
      </c>
      <c r="C2511" s="2" t="str">
        <f ca="1">IFERROR(__xludf.DUMMYFUNCTION("""COMPUTED_VALUE"""),"Cat")</f>
        <v>Cat</v>
      </c>
    </row>
    <row r="2512" spans="1:3" x14ac:dyDescent="0.25">
      <c r="A2512" s="2" t="str">
        <f ca="1">IFERROR(__xludf.DUMMYFUNCTION("""COMPUTED_VALUE"""),"catchcoin")</f>
        <v>catchcoin</v>
      </c>
      <c r="B2512" s="2" t="str">
        <f ca="1">IFERROR(__xludf.DUMMYFUNCTION("""COMPUTED_VALUE"""),"catch")</f>
        <v>catch</v>
      </c>
      <c r="C2512" s="2" t="str">
        <f ca="1">IFERROR(__xludf.DUMMYFUNCTION("""COMPUTED_VALUE"""),"Catchcoin")</f>
        <v>Catchcoin</v>
      </c>
    </row>
    <row r="2513" spans="1:3" x14ac:dyDescent="0.25">
      <c r="A2513" s="2" t="str">
        <f ca="1">IFERROR(__xludf.DUMMYFUNCTION("""COMPUTED_VALUE"""),"catchiliz")</f>
        <v>catchiliz</v>
      </c>
      <c r="B2513" s="2" t="str">
        <f ca="1">IFERROR(__xludf.DUMMYFUNCTION("""COMPUTED_VALUE"""),"catchi")</f>
        <v>catchi</v>
      </c>
      <c r="C2513" s="2" t="str">
        <f ca="1">IFERROR(__xludf.DUMMYFUNCTION("""COMPUTED_VALUE"""),"Catchiliz")</f>
        <v>Catchiliz</v>
      </c>
    </row>
    <row r="2514" spans="1:3" x14ac:dyDescent="0.25">
      <c r="A2514" s="2" t="str">
        <f ca="1">IFERROR(__xludf.DUMMYFUNCTION("""COMPUTED_VALUE"""),"catcoin")</f>
        <v>catcoin</v>
      </c>
      <c r="B2514" s="2" t="str">
        <f ca="1">IFERROR(__xludf.DUMMYFUNCTION("""COMPUTED_VALUE"""),"cat")</f>
        <v>cat</v>
      </c>
      <c r="C2514" s="2" t="str">
        <f ca="1">IFERROR(__xludf.DUMMYFUNCTION("""COMPUTED_VALUE"""),"Catcoin")</f>
        <v>Catcoin</v>
      </c>
    </row>
    <row r="2515" spans="1:3" x14ac:dyDescent="0.25">
      <c r="A2515" s="2" t="str">
        <f ca="1">IFERROR(__xludf.DUMMYFUNCTION("""COMPUTED_VALUE"""),"catcoin-bsc")</f>
        <v>catcoin-bsc</v>
      </c>
      <c r="B2515" s="2" t="str">
        <f ca="1">IFERROR(__xludf.DUMMYFUNCTION("""COMPUTED_VALUE"""),"cat")</f>
        <v>cat</v>
      </c>
      <c r="C2515" s="2" t="str">
        <f ca="1">IFERROR(__xludf.DUMMYFUNCTION("""COMPUTED_VALUE"""),"Catcoin BSC")</f>
        <v>Catcoin BSC</v>
      </c>
    </row>
    <row r="2516" spans="1:3" x14ac:dyDescent="0.25">
      <c r="A2516" s="2" t="str">
        <f ca="1">IFERROR(__xludf.DUMMYFUNCTION("""COMPUTED_VALUE"""),"catcoin-cash")</f>
        <v>catcoin-cash</v>
      </c>
      <c r="B2516" s="2" t="str">
        <f ca="1">IFERROR(__xludf.DUMMYFUNCTION("""COMPUTED_VALUE"""),"cat")</f>
        <v>cat</v>
      </c>
      <c r="C2516" s="2" t="str">
        <f ca="1">IFERROR(__xludf.DUMMYFUNCTION("""COMPUTED_VALUE"""),"Catcoin")</f>
        <v>Catcoin</v>
      </c>
    </row>
    <row r="2517" spans="1:3" x14ac:dyDescent="0.25">
      <c r="A2517" s="2" t="str">
        <f ca="1">IFERROR(__xludf.DUMMYFUNCTION("""COMPUTED_VALUE"""),"catcoin-token")</f>
        <v>catcoin-token</v>
      </c>
      <c r="B2517" s="2" t="str">
        <f ca="1">IFERROR(__xludf.DUMMYFUNCTION("""COMPUTED_VALUE"""),"cats")</f>
        <v>cats</v>
      </c>
      <c r="C2517" s="2" t="str">
        <f ca="1">IFERROR(__xludf.DUMMYFUNCTION("""COMPUTED_VALUE"""),"CatCoin Token")</f>
        <v>CatCoin Token</v>
      </c>
    </row>
    <row r="2518" spans="1:3" x14ac:dyDescent="0.25">
      <c r="A2518" s="2" t="str">
        <f ca="1">IFERROR(__xludf.DUMMYFUNCTION("""COMPUTED_VALUE"""),"catdog")</f>
        <v>catdog</v>
      </c>
      <c r="B2518" s="2" t="str">
        <f ca="1">IFERROR(__xludf.DUMMYFUNCTION("""COMPUTED_VALUE"""),"catdog")</f>
        <v>catdog</v>
      </c>
      <c r="C2518" s="2" t="str">
        <f ca="1">IFERROR(__xludf.DUMMYFUNCTION("""COMPUTED_VALUE"""),"CATDOG")</f>
        <v>CATDOG</v>
      </c>
    </row>
    <row r="2519" spans="1:3" x14ac:dyDescent="0.25">
      <c r="A2519" s="2" t="str">
        <f ca="1">IFERROR(__xludf.DUMMYFUNCTION("""COMPUTED_VALUE"""),"cat-dog")</f>
        <v>cat-dog</v>
      </c>
      <c r="B2519" s="2" t="str">
        <f ca="1">IFERROR(__xludf.DUMMYFUNCTION("""COMPUTED_VALUE"""),"catdog")</f>
        <v>catdog</v>
      </c>
      <c r="C2519" s="2" t="str">
        <f ca="1">IFERROR(__xludf.DUMMYFUNCTION("""COMPUTED_VALUE"""),"Cat-Dog")</f>
        <v>Cat-Dog</v>
      </c>
    </row>
    <row r="2520" spans="1:3" x14ac:dyDescent="0.25">
      <c r="A2520" s="2" t="str">
        <f ca="1">IFERROR(__xludf.DUMMYFUNCTION("""COMPUTED_VALUE"""),"cat-driving-bitcoin")</f>
        <v>cat-driving-bitcoin</v>
      </c>
      <c r="B2520" s="2" t="str">
        <f ca="1">IFERROR(__xludf.DUMMYFUNCTION("""COMPUTED_VALUE"""),"cbd")</f>
        <v>cbd</v>
      </c>
      <c r="C2520" s="2" t="str">
        <f ca="1">IFERROR(__xludf.DUMMYFUNCTION("""COMPUTED_VALUE"""),"Cat Driving Bitcoin")</f>
        <v>Cat Driving Bitcoin</v>
      </c>
    </row>
    <row r="2521" spans="1:3" x14ac:dyDescent="0.25">
      <c r="A2521" s="2" t="str">
        <f ca="1">IFERROR(__xludf.DUMMYFUNCTION("""COMPUTED_VALUE"""),"cat-duck")</f>
        <v>cat-duck</v>
      </c>
      <c r="B2521" s="2" t="str">
        <f ca="1">IFERROR(__xludf.DUMMYFUNCTION("""COMPUTED_VALUE"""),"cuck")</f>
        <v>cuck</v>
      </c>
      <c r="C2521" s="2" t="str">
        <f ca="1">IFERROR(__xludf.DUMMYFUNCTION("""COMPUTED_VALUE"""),"Cat Duck")</f>
        <v>Cat Duck</v>
      </c>
    </row>
    <row r="2522" spans="1:3" x14ac:dyDescent="0.25">
      <c r="A2522" s="2" t="str">
        <f ca="1">IFERROR(__xludf.DUMMYFUNCTION("""COMPUTED_VALUE"""),"catecoin")</f>
        <v>catecoin</v>
      </c>
      <c r="B2522" s="2" t="str">
        <f ca="1">IFERROR(__xludf.DUMMYFUNCTION("""COMPUTED_VALUE"""),"cate")</f>
        <v>cate</v>
      </c>
      <c r="C2522" s="2" t="str">
        <f ca="1">IFERROR(__xludf.DUMMYFUNCTION("""COMPUTED_VALUE"""),"CateCoin")</f>
        <v>CateCoin</v>
      </c>
    </row>
    <row r="2523" spans="1:3" x14ac:dyDescent="0.25">
      <c r="A2523" s="2" t="str">
        <f ca="1">IFERROR(__xludf.DUMMYFUNCTION("""COMPUTED_VALUE"""),"catex")</f>
        <v>catex</v>
      </c>
      <c r="B2523" s="2" t="str">
        <f ca="1">IFERROR(__xludf.DUMMYFUNCTION("""COMPUTED_VALUE"""),"catex")</f>
        <v>catex</v>
      </c>
      <c r="C2523" s="2" t="str">
        <f ca="1">IFERROR(__xludf.DUMMYFUNCTION("""COMPUTED_VALUE"""),"CATEX")</f>
        <v>CATEX</v>
      </c>
    </row>
    <row r="2524" spans="1:3" x14ac:dyDescent="0.25">
      <c r="A2524" s="2" t="str">
        <f ca="1">IFERROR(__xludf.DUMMYFUNCTION("""COMPUTED_VALUE"""),"catex-token")</f>
        <v>catex-token</v>
      </c>
      <c r="B2524" s="2" t="str">
        <f ca="1">IFERROR(__xludf.DUMMYFUNCTION("""COMPUTED_VALUE"""),"catt")</f>
        <v>catt</v>
      </c>
      <c r="C2524" s="2" t="str">
        <f ca="1">IFERROR(__xludf.DUMMYFUNCTION("""COMPUTED_VALUE"""),"Catex")</f>
        <v>Catex</v>
      </c>
    </row>
    <row r="2525" spans="1:3" x14ac:dyDescent="0.25">
      <c r="A2525" s="2" t="str">
        <f ca="1">IFERROR(__xludf.DUMMYFUNCTION("""COMPUTED_VALUE"""),"cat-finance")</f>
        <v>cat-finance</v>
      </c>
      <c r="B2525" s="2" t="str">
        <f ca="1">IFERROR(__xludf.DUMMYFUNCTION("""COMPUTED_VALUE"""),"cat")</f>
        <v>cat</v>
      </c>
      <c r="C2525" s="2" t="str">
        <f ca="1">IFERROR(__xludf.DUMMYFUNCTION("""COMPUTED_VALUE"""),"Cat Finance")</f>
        <v>Cat Finance</v>
      </c>
    </row>
    <row r="2526" spans="1:3" x14ac:dyDescent="0.25">
      <c r="A2526" s="2" t="str">
        <f ca="1">IFERROR(__xludf.DUMMYFUNCTION("""COMPUTED_VALUE"""),"catfish")</f>
        <v>catfish</v>
      </c>
      <c r="B2526" s="2" t="str">
        <f ca="1">IFERROR(__xludf.DUMMYFUNCTION("""COMPUTED_VALUE"""),"catfish")</f>
        <v>catfish</v>
      </c>
      <c r="C2526" s="2" t="str">
        <f ca="1">IFERROR(__xludf.DUMMYFUNCTION("""COMPUTED_VALUE"""),"Catfish")</f>
        <v>Catfish</v>
      </c>
    </row>
    <row r="2527" spans="1:3" x14ac:dyDescent="0.25">
      <c r="A2527" s="2" t="str">
        <f ca="1">IFERROR(__xludf.DUMMYFUNCTION("""COMPUTED_VALUE"""),"catfrogdogshark")</f>
        <v>catfrogdogshark</v>
      </c>
      <c r="B2527" s="2" t="str">
        <f ca="1">IFERROR(__xludf.DUMMYFUNCTION("""COMPUTED_VALUE"""),"catfrogdogshark")</f>
        <v>catfrogdogshark</v>
      </c>
      <c r="C2527" s="2" t="str">
        <f ca="1">IFERROR(__xludf.DUMMYFUNCTION("""COMPUTED_VALUE"""),"CatFrogDogShark")</f>
        <v>CatFrogDogShark</v>
      </c>
    </row>
    <row r="2528" spans="1:3" x14ac:dyDescent="0.25">
      <c r="A2528" s="2" t="str">
        <f ca="1">IFERROR(__xludf.DUMMYFUNCTION("""COMPUTED_VALUE"""),"catge-coin")</f>
        <v>catge-coin</v>
      </c>
      <c r="B2528" s="2" t="str">
        <f ca="1">IFERROR(__xludf.DUMMYFUNCTION("""COMPUTED_VALUE"""),"catge")</f>
        <v>catge</v>
      </c>
      <c r="C2528" s="2" t="str">
        <f ca="1">IFERROR(__xludf.DUMMYFUNCTION("""COMPUTED_VALUE"""),"Catge Coin")</f>
        <v>Catge Coin</v>
      </c>
    </row>
    <row r="2529" spans="1:3" x14ac:dyDescent="0.25">
      <c r="A2529" s="2" t="str">
        <f ca="1">IFERROR(__xludf.DUMMYFUNCTION("""COMPUTED_VALUE"""),"cat-getting-fade")</f>
        <v>cat-getting-fade</v>
      </c>
      <c r="B2529" s="2" t="str">
        <f ca="1">IFERROR(__xludf.DUMMYFUNCTION("""COMPUTED_VALUE"""),"cgf")</f>
        <v>cgf</v>
      </c>
      <c r="C2529" s="2" t="str">
        <f ca="1">IFERROR(__xludf.DUMMYFUNCTION("""COMPUTED_VALUE"""),"Cat getting fade")</f>
        <v>Cat getting fade</v>
      </c>
    </row>
    <row r="2530" spans="1:3" x14ac:dyDescent="0.25">
      <c r="A2530" s="2" t="str">
        <f ca="1">IFERROR(__xludf.DUMMYFUNCTION("""COMPUTED_VALUE"""),"catgirl")</f>
        <v>catgirl</v>
      </c>
      <c r="B2530" s="2" t="str">
        <f ca="1">IFERROR(__xludf.DUMMYFUNCTION("""COMPUTED_VALUE"""),"catgirl")</f>
        <v>catgirl</v>
      </c>
      <c r="C2530" s="2" t="str">
        <f ca="1">IFERROR(__xludf.DUMMYFUNCTION("""COMPUTED_VALUE"""),"Catgirl")</f>
        <v>Catgirl</v>
      </c>
    </row>
    <row r="2531" spans="1:3" x14ac:dyDescent="0.25">
      <c r="A2531" s="2" t="str">
        <f ca="1">IFERROR(__xludf.DUMMYFUNCTION("""COMPUTED_VALUE"""),"catgpt")</f>
        <v>catgpt</v>
      </c>
      <c r="B2531" s="2" t="str">
        <f ca="1">IFERROR(__xludf.DUMMYFUNCTION("""COMPUTED_VALUE"""),"catgpt")</f>
        <v>catgpt</v>
      </c>
      <c r="C2531" s="2" t="str">
        <f ca="1">IFERROR(__xludf.DUMMYFUNCTION("""COMPUTED_VALUE"""),"CatGPT")</f>
        <v>CatGPT</v>
      </c>
    </row>
    <row r="2532" spans="1:3" x14ac:dyDescent="0.25">
      <c r="A2532" s="2" t="str">
        <f ca="1">IFERROR(__xludf.DUMMYFUNCTION("""COMPUTED_VALUE"""),"cathena-gold")</f>
        <v>cathena-gold</v>
      </c>
      <c r="B2532" s="2" t="str">
        <f ca="1">IFERROR(__xludf.DUMMYFUNCTION("""COMPUTED_VALUE"""),"cgo")</f>
        <v>cgo</v>
      </c>
      <c r="C2532" s="2" t="str">
        <f ca="1">IFERROR(__xludf.DUMMYFUNCTION("""COMPUTED_VALUE"""),"Cathena Gold")</f>
        <v>Cathena Gold</v>
      </c>
    </row>
    <row r="2533" spans="1:3" x14ac:dyDescent="0.25">
      <c r="A2533" s="2" t="str">
        <f ca="1">IFERROR(__xludf.DUMMYFUNCTION("""COMPUTED_VALUE"""),"catheon-gaming")</f>
        <v>catheon-gaming</v>
      </c>
      <c r="B2533" s="2" t="str">
        <f ca="1">IFERROR(__xludf.DUMMYFUNCTION("""COMPUTED_VALUE"""),"catheon")</f>
        <v>catheon</v>
      </c>
      <c r="C2533" s="2" t="str">
        <f ca="1">IFERROR(__xludf.DUMMYFUNCTION("""COMPUTED_VALUE"""),"Catheon Gaming")</f>
        <v>Catheon Gaming</v>
      </c>
    </row>
    <row r="2534" spans="1:3" x14ac:dyDescent="0.25">
      <c r="A2534" s="2" t="str">
        <f ca="1">IFERROR(__xludf.DUMMYFUNCTION("""COMPUTED_VALUE"""),"cat-in-a-box-ether")</f>
        <v>cat-in-a-box-ether</v>
      </c>
      <c r="B2534" s="2" t="str">
        <f ca="1">IFERROR(__xludf.DUMMYFUNCTION("""COMPUTED_VALUE"""),"boxeth")</f>
        <v>boxeth</v>
      </c>
      <c r="C2534" s="2" t="str">
        <f ca="1">IFERROR(__xludf.DUMMYFUNCTION("""COMPUTED_VALUE"""),"Cat-in-a-Box Ether")</f>
        <v>Cat-in-a-Box Ether</v>
      </c>
    </row>
    <row r="2535" spans="1:3" x14ac:dyDescent="0.25">
      <c r="A2535" s="2" t="str">
        <f ca="1">IFERROR(__xludf.DUMMYFUNCTION("""COMPUTED_VALUE"""),"cat-in-a-dogs-world")</f>
        <v>cat-in-a-dogs-world</v>
      </c>
      <c r="B2535" s="2" t="str">
        <f ca="1">IFERROR(__xludf.DUMMYFUNCTION("""COMPUTED_VALUE"""),"mew")</f>
        <v>mew</v>
      </c>
      <c r="C2535" s="2" t="str">
        <f ca="1">IFERROR(__xludf.DUMMYFUNCTION("""COMPUTED_VALUE"""),"cat in a dogs world")</f>
        <v>cat in a dogs world</v>
      </c>
    </row>
    <row r="2536" spans="1:3" x14ac:dyDescent="0.25">
      <c r="A2536" s="2" t="str">
        <f ca="1">IFERROR(__xludf.DUMMYFUNCTION("""COMPUTED_VALUE"""),"cat-in-hoodie")</f>
        <v>cat-in-hoodie</v>
      </c>
      <c r="B2536" s="2" t="str">
        <f ca="1">IFERROR(__xludf.DUMMYFUNCTION("""COMPUTED_VALUE"""),"hodi")</f>
        <v>hodi</v>
      </c>
      <c r="C2536" s="2" t="str">
        <f ca="1">IFERROR(__xludf.DUMMYFUNCTION("""COMPUTED_VALUE"""),"Cat in Hoodie")</f>
        <v>Cat in Hoodie</v>
      </c>
    </row>
    <row r="2537" spans="1:3" x14ac:dyDescent="0.25">
      <c r="A2537" s="2" t="str">
        <f ca="1">IFERROR(__xludf.DUMMYFUNCTION("""COMPUTED_VALUE"""),"catino")</f>
        <v>catino</v>
      </c>
      <c r="B2537" s="2" t="str">
        <f ca="1">IFERROR(__xludf.DUMMYFUNCTION("""COMPUTED_VALUE"""),"catino")</f>
        <v>catino</v>
      </c>
      <c r="C2537" s="2" t="str">
        <f ca="1">IFERROR(__xludf.DUMMYFUNCTION("""COMPUTED_VALUE"""),"Catino")</f>
        <v>Catino</v>
      </c>
    </row>
    <row r="2538" spans="1:3" x14ac:dyDescent="0.25">
      <c r="A2538" s="2" t="str">
        <f ca="1">IFERROR(__xludf.DUMMYFUNCTION("""COMPUTED_VALUE"""),"cat-inu")</f>
        <v>cat-inu</v>
      </c>
      <c r="B2538" s="2" t="str">
        <f ca="1">IFERROR(__xludf.DUMMYFUNCTION("""COMPUTED_VALUE"""),"cat")</f>
        <v>cat</v>
      </c>
      <c r="C2538" s="2" t="str">
        <f ca="1">IFERROR(__xludf.DUMMYFUNCTION("""COMPUTED_VALUE"""),"CAT INU")</f>
        <v>CAT INU</v>
      </c>
    </row>
    <row r="2539" spans="1:3" x14ac:dyDescent="0.25">
      <c r="A2539" s="2" t="str">
        <f ca="1">IFERROR(__xludf.DUMMYFUNCTION("""COMPUTED_VALUE"""),"catizen")</f>
        <v>catizen</v>
      </c>
      <c r="B2539" s="2" t="str">
        <f ca="1">IFERROR(__xludf.DUMMYFUNCTION("""COMPUTED_VALUE"""),"cati")</f>
        <v>cati</v>
      </c>
      <c r="C2539" s="2" t="str">
        <f ca="1">IFERROR(__xludf.DUMMYFUNCTION("""COMPUTED_VALUE"""),"Catizen")</f>
        <v>Catizen</v>
      </c>
    </row>
    <row r="2540" spans="1:3" x14ac:dyDescent="0.25">
      <c r="A2540" s="2" t="str">
        <f ca="1">IFERROR(__xludf.DUMMYFUNCTION("""COMPUTED_VALUE"""),"catman")</f>
        <v>catman</v>
      </c>
      <c r="B2540" s="2" t="str">
        <f ca="1">IFERROR(__xludf.DUMMYFUNCTION("""COMPUTED_VALUE"""),"catman")</f>
        <v>catman</v>
      </c>
      <c r="C2540" s="2" t="str">
        <f ca="1">IFERROR(__xludf.DUMMYFUNCTION("""COMPUTED_VALUE"""),"Catman")</f>
        <v>Catman</v>
      </c>
    </row>
    <row r="2541" spans="1:3" x14ac:dyDescent="0.25">
      <c r="A2541" s="2" t="str">
        <f ca="1">IFERROR(__xludf.DUMMYFUNCTION("""COMPUTED_VALUE"""),"cat-mouse")</f>
        <v>cat-mouse</v>
      </c>
      <c r="B2541" s="2" t="str">
        <f ca="1">IFERROR(__xludf.DUMMYFUNCTION("""COMPUTED_VALUE"""),"catmouse")</f>
        <v>catmouse</v>
      </c>
      <c r="C2541" s="2" t="str">
        <f ca="1">IFERROR(__xludf.DUMMYFUNCTION("""COMPUTED_VALUE"""),"Cat &amp; Mouse")</f>
        <v>Cat &amp; Mouse</v>
      </c>
    </row>
    <row r="2542" spans="1:3" x14ac:dyDescent="0.25">
      <c r="A2542" s="2" t="str">
        <f ca="1">IFERROR(__xludf.DUMMYFUNCTION("""COMPUTED_VALUE"""),"cato")</f>
        <v>cato</v>
      </c>
      <c r="B2542" s="2" t="str">
        <f ca="1">IFERROR(__xludf.DUMMYFUNCTION("""COMPUTED_VALUE"""),"cato")</f>
        <v>cato</v>
      </c>
      <c r="C2542" s="2" t="str">
        <f ca="1">IFERROR(__xludf.DUMMYFUNCTION("""COMPUTED_VALUE"""),"CATO")</f>
        <v>CATO</v>
      </c>
    </row>
    <row r="2543" spans="1:3" x14ac:dyDescent="0.25">
      <c r="A2543" s="2" t="str">
        <f ca="1">IFERROR(__xludf.DUMMYFUNCTION("""COMPUTED_VALUE"""),"cat-of-elon")</f>
        <v>cat-of-elon</v>
      </c>
      <c r="B2543" s="2" t="str">
        <f ca="1">IFERROR(__xludf.DUMMYFUNCTION("""COMPUTED_VALUE"""),"eloncat")</f>
        <v>eloncat</v>
      </c>
      <c r="C2543" s="2" t="str">
        <f ca="1">IFERROR(__xludf.DUMMYFUNCTION("""COMPUTED_VALUE"""),"Cat of ELON")</f>
        <v>Cat of ELON</v>
      </c>
    </row>
    <row r="2544" spans="1:3" x14ac:dyDescent="0.25">
      <c r="A2544" s="2" t="str">
        <f ca="1">IFERROR(__xludf.DUMMYFUNCTION("""COMPUTED_VALUE"""),"cat-on-catnip")</f>
        <v>cat-on-catnip</v>
      </c>
      <c r="B2544" s="2" t="str">
        <f ca="1">IFERROR(__xludf.DUMMYFUNCTION("""COMPUTED_VALUE"""),"nippy")</f>
        <v>nippy</v>
      </c>
      <c r="C2544" s="2" t="str">
        <f ca="1">IFERROR(__xludf.DUMMYFUNCTION("""COMPUTED_VALUE"""),"Cat On Catnip")</f>
        <v>Cat On Catnip</v>
      </c>
    </row>
    <row r="2545" spans="1:3" x14ac:dyDescent="0.25">
      <c r="A2545" s="2" t="str">
        <f ca="1">IFERROR(__xludf.DUMMYFUNCTION("""COMPUTED_VALUE"""),"catour")</f>
        <v>catour</v>
      </c>
      <c r="B2545" s="2" t="str">
        <f ca="1">IFERROR(__xludf.DUMMYFUNCTION("""COMPUTED_VALUE"""),"catour")</f>
        <v>catour</v>
      </c>
      <c r="C2545" s="2" t="str">
        <f ca="1">IFERROR(__xludf.DUMMYFUNCTION("""COMPUTED_VALUE"""),"CATOUR")</f>
        <v>CATOUR</v>
      </c>
    </row>
    <row r="2546" spans="1:3" x14ac:dyDescent="0.25">
      <c r="A2546" s="2" t="str">
        <f ca="1">IFERROR(__xludf.DUMMYFUNCTION("""COMPUTED_VALUE"""),"catownkimono")</f>
        <v>catownkimono</v>
      </c>
      <c r="B2546" s="2" t="str">
        <f ca="1">IFERROR(__xludf.DUMMYFUNCTION("""COMPUTED_VALUE"""),"cok")</f>
        <v>cok</v>
      </c>
      <c r="C2546" s="2" t="str">
        <f ca="1">IFERROR(__xludf.DUMMYFUNCTION("""COMPUTED_VALUE"""),"catownkimono")</f>
        <v>catownkimono</v>
      </c>
    </row>
    <row r="2547" spans="1:3" x14ac:dyDescent="0.25">
      <c r="A2547" s="2" t="str">
        <f ca="1">IFERROR(__xludf.DUMMYFUNCTION("""COMPUTED_VALUE"""),"cat-poop-joystick")</f>
        <v>cat-poop-joystick</v>
      </c>
      <c r="B2547" s="2" t="str">
        <f ca="1">IFERROR(__xludf.DUMMYFUNCTION("""COMPUTED_VALUE"""),"n64")</f>
        <v>n64</v>
      </c>
      <c r="C2547" s="2" t="str">
        <f ca="1">IFERROR(__xludf.DUMMYFUNCTION("""COMPUTED_VALUE"""),"Cat Poop Joystick")</f>
        <v>Cat Poop Joystick</v>
      </c>
    </row>
    <row r="2548" spans="1:3" x14ac:dyDescent="0.25">
      <c r="A2548" s="2" t="str">
        <f ca="1">IFERROR(__xludf.DUMMYFUNCTION("""COMPUTED_VALUE"""),"cats-2")</f>
        <v>cats-2</v>
      </c>
      <c r="B2548" s="2" t="str">
        <f ca="1">IFERROR(__xludf.DUMMYFUNCTION("""COMPUTED_VALUE"""),"cats")</f>
        <v>cats</v>
      </c>
      <c r="C2548" s="2" t="str">
        <f ca="1">IFERROR(__xludf.DUMMYFUNCTION("""COMPUTED_VALUE"""),"CATS")</f>
        <v>CATS</v>
      </c>
    </row>
    <row r="2549" spans="1:3" x14ac:dyDescent="0.25">
      <c r="A2549" s="2" t="str">
        <f ca="1">IFERROR(__xludf.DUMMYFUNCTION("""COMPUTED_VALUE"""),"catsaidmeow")</f>
        <v>catsaidmeow</v>
      </c>
      <c r="B2549" s="2" t="str">
        <f ca="1">IFERROR(__xludf.DUMMYFUNCTION("""COMPUTED_VALUE"""),"meow")</f>
        <v>meow</v>
      </c>
      <c r="C2549" s="2" t="str">
        <f ca="1">IFERROR(__xludf.DUMMYFUNCTION("""COMPUTED_VALUE"""),"Catsaidmeow")</f>
        <v>Catsaidmeow</v>
      </c>
    </row>
    <row r="2550" spans="1:3" x14ac:dyDescent="0.25">
      <c r="A2550" s="2" t="str">
        <f ca="1">IFERROR(__xludf.DUMMYFUNCTION("""COMPUTED_VALUE"""),"cats-coin-1722f9f2-68f8-4ad8-a123-2835ea18abc5")</f>
        <v>cats-coin-1722f9f2-68f8-4ad8-a123-2835ea18abc5</v>
      </c>
      <c r="B2550" s="2" t="str">
        <f ca="1">IFERROR(__xludf.DUMMYFUNCTION("""COMPUTED_VALUE"""),"cts")</f>
        <v>cts</v>
      </c>
      <c r="C2550" s="2" t="str">
        <f ca="1">IFERROR(__xludf.DUMMYFUNCTION("""COMPUTED_VALUE"""),"Cats Coin (BSC)")</f>
        <v>Cats Coin (BSC)</v>
      </c>
    </row>
    <row r="2551" spans="1:3" x14ac:dyDescent="0.25">
      <c r="A2551" s="2" t="str">
        <f ca="1">IFERROR(__xludf.DUMMYFUNCTION("""COMPUTED_VALUE"""),"catscoin-2")</f>
        <v>catscoin-2</v>
      </c>
      <c r="B2551" s="2" t="str">
        <f ca="1">IFERROR(__xludf.DUMMYFUNCTION("""COMPUTED_VALUE"""),"cats")</f>
        <v>cats</v>
      </c>
      <c r="C2551" s="2" t="str">
        <f ca="1">IFERROR(__xludf.DUMMYFUNCTION("""COMPUTED_VALUE"""),"Catscoin")</f>
        <v>Catscoin</v>
      </c>
    </row>
    <row r="2552" spans="1:3" x14ac:dyDescent="0.25">
      <c r="A2552" s="2" t="str">
        <f ca="1">IFERROR(__xludf.DUMMYFUNCTION("""COMPUTED_VALUE"""),"cats-do-something")</f>
        <v>cats-do-something</v>
      </c>
      <c r="B2552" s="2" t="str">
        <f ca="1">IFERROR(__xludf.DUMMYFUNCTION("""COMPUTED_VALUE"""),"cds")</f>
        <v>cds</v>
      </c>
      <c r="C2552" s="2" t="str">
        <f ca="1">IFERROR(__xludf.DUMMYFUNCTION("""COMPUTED_VALUE"""),"Cats Do Something")</f>
        <v>Cats Do Something</v>
      </c>
    </row>
    <row r="2553" spans="1:3" x14ac:dyDescent="0.25">
      <c r="A2553" s="2" t="str">
        <f ca="1">IFERROR(__xludf.DUMMYFUNCTION("""COMPUTED_VALUE"""),"cats-in-the-sats")</f>
        <v>cats-in-the-sats</v>
      </c>
      <c r="B2553" s="2" t="str">
        <f ca="1">IFERROR(__xludf.DUMMYFUNCTION("""COMPUTED_VALUE"""),"$cats")</f>
        <v>$cats</v>
      </c>
      <c r="C2553" s="2" t="str">
        <f ca="1">IFERROR(__xludf.DUMMYFUNCTION("""COMPUTED_VALUE"""),"CATS•IN•THE•SATS")</f>
        <v>CATS•IN•THE•SATS</v>
      </c>
    </row>
    <row r="2554" spans="1:3" x14ac:dyDescent="0.25">
      <c r="A2554" s="2" t="str">
        <f ca="1">IFERROR(__xludf.DUMMYFUNCTION("""COMPUTED_VALUE"""),"cats-n-cars")</f>
        <v>cats-n-cars</v>
      </c>
      <c r="B2554" s="2" t="str">
        <f ca="1">IFERROR(__xludf.DUMMYFUNCTION("""COMPUTED_VALUE"""),"cnc")</f>
        <v>cnc</v>
      </c>
      <c r="C2554" s="2" t="str">
        <f ca="1">IFERROR(__xludf.DUMMYFUNCTION("""COMPUTED_VALUE"""),"Cats N Cars")</f>
        <v>Cats N Cars</v>
      </c>
    </row>
    <row r="2555" spans="1:3" x14ac:dyDescent="0.25">
      <c r="A2555" s="2" t="str">
        <f ca="1">IFERROR(__xludf.DUMMYFUNCTION("""COMPUTED_VALUE"""),"cats-of-sol")</f>
        <v>cats-of-sol</v>
      </c>
      <c r="B2555" s="2" t="str">
        <f ca="1">IFERROR(__xludf.DUMMYFUNCTION("""COMPUTED_VALUE"""),"cos")</f>
        <v>cos</v>
      </c>
      <c r="C2555" s="2" t="str">
        <f ca="1">IFERROR(__xludf.DUMMYFUNCTION("""COMPUTED_VALUE"""),"Cats Of Sol")</f>
        <v>Cats Of Sol</v>
      </c>
    </row>
    <row r="2556" spans="1:3" x14ac:dyDescent="0.25">
      <c r="A2556" s="2" t="str">
        <f ca="1">IFERROR(__xludf.DUMMYFUNCTION("""COMPUTED_VALUE"""),"catsolhat")</f>
        <v>catsolhat</v>
      </c>
      <c r="B2556" s="2" t="str">
        <f ca="1">IFERROR(__xludf.DUMMYFUNCTION("""COMPUTED_VALUE"""),"solcat")</f>
        <v>solcat</v>
      </c>
      <c r="C2556" s="2" t="str">
        <f ca="1">IFERROR(__xludf.DUMMYFUNCTION("""COMPUTED_VALUE"""),"CatSolHat")</f>
        <v>CatSolHat</v>
      </c>
    </row>
    <row r="2557" spans="1:3" x14ac:dyDescent="0.25">
      <c r="A2557" s="2" t="str">
        <f ca="1">IFERROR(__xludf.DUMMYFUNCTION("""COMPUTED_VALUE"""),"catson")</f>
        <v>catson</v>
      </c>
      <c r="B2557" s="2" t="str">
        <f ca="1">IFERROR(__xludf.DUMMYFUNCTION("""COMPUTED_VALUE"""),"cat")</f>
        <v>cat</v>
      </c>
      <c r="C2557" s="2" t="str">
        <f ca="1">IFERROR(__xludf.DUMMYFUNCTION("""COMPUTED_VALUE"""),"Catson")</f>
        <v>Catson</v>
      </c>
    </row>
    <row r="2558" spans="1:3" x14ac:dyDescent="0.25">
      <c r="A2558" s="2" t="str">
        <f ca="1">IFERROR(__xludf.DUMMYFUNCTION("""COMPUTED_VALUE"""),"catster")</f>
        <v>catster</v>
      </c>
      <c r="B2558" s="2" t="str">
        <f ca="1">IFERROR(__xludf.DUMMYFUNCTION("""COMPUTED_VALUE"""),"catstr")</f>
        <v>catstr</v>
      </c>
      <c r="C2558" s="2" t="str">
        <f ca="1">IFERROR(__xludf.DUMMYFUNCTION("""COMPUTED_VALUE"""),"Catster")</f>
        <v>Catster</v>
      </c>
    </row>
    <row r="2559" spans="1:3" x14ac:dyDescent="0.25">
      <c r="A2559" s="2" t="str">
        <f ca="1">IFERROR(__xludf.DUMMYFUNCTION("""COMPUTED_VALUE"""),"cats-wif-hats-in-a-dogs-world")</f>
        <v>cats-wif-hats-in-a-dogs-world</v>
      </c>
      <c r="B2559" s="2" t="str">
        <f ca="1">IFERROR(__xludf.DUMMYFUNCTION("""COMPUTED_VALUE"""),"mewswifhat")</f>
        <v>mewswifhat</v>
      </c>
      <c r="C2559" s="2" t="str">
        <f ca="1">IFERROR(__xludf.DUMMYFUNCTION("""COMPUTED_VALUE"""),"cats wif hats in a dogs world")</f>
        <v>cats wif hats in a dogs world</v>
      </c>
    </row>
    <row r="2560" spans="1:3" x14ac:dyDescent="0.25">
      <c r="A2560" s="2" t="str">
        <f ca="1">IFERROR(__xludf.DUMMYFUNCTION("""COMPUTED_VALUE"""),"cat-token")</f>
        <v>cat-token</v>
      </c>
      <c r="B2560" s="2" t="str">
        <f ca="1">IFERROR(__xludf.DUMMYFUNCTION("""COMPUTED_VALUE"""),"cat")</f>
        <v>cat</v>
      </c>
      <c r="C2560" s="2" t="str">
        <f ca="1">IFERROR(__xludf.DUMMYFUNCTION("""COMPUTED_VALUE"""),"Mooncat CAT")</f>
        <v>Mooncat CAT</v>
      </c>
    </row>
    <row r="2561" spans="1:3" x14ac:dyDescent="0.25">
      <c r="A2561" s="2" t="str">
        <f ca="1">IFERROR(__xludf.DUMMYFUNCTION("""COMPUTED_VALUE"""),"catvax")</f>
        <v>catvax</v>
      </c>
      <c r="B2561" s="2" t="str">
        <f ca="1">IFERROR(__xludf.DUMMYFUNCTION("""COMPUTED_VALUE"""),"catvax")</f>
        <v>catvax</v>
      </c>
      <c r="C2561" s="2" t="str">
        <f ca="1">IFERROR(__xludf.DUMMYFUNCTION("""COMPUTED_VALUE"""),"Catvax")</f>
        <v>Catvax</v>
      </c>
    </row>
    <row r="2562" spans="1:3" x14ac:dyDescent="0.25">
      <c r="A2562" s="2" t="str">
        <f ca="1">IFERROR(__xludf.DUMMYFUNCTION("""COMPUTED_VALUE"""),"catwifbag")</f>
        <v>catwifbag</v>
      </c>
      <c r="B2562" s="2" t="str">
        <f ca="1">IFERROR(__xludf.DUMMYFUNCTION("""COMPUTED_VALUE"""),"bag")</f>
        <v>bag</v>
      </c>
      <c r="C2562" s="2" t="str">
        <f ca="1">IFERROR(__xludf.DUMMYFUNCTION("""COMPUTED_VALUE"""),"catwifbag")</f>
        <v>catwifbag</v>
      </c>
    </row>
    <row r="2563" spans="1:3" x14ac:dyDescent="0.25">
      <c r="A2563" s="2" t="str">
        <f ca="1">IFERROR(__xludf.DUMMYFUNCTION("""COMPUTED_VALUE"""),"cat-wif-hands")</f>
        <v>cat-wif-hands</v>
      </c>
      <c r="B2563" s="2" t="str">
        <f ca="1">IFERROR(__xludf.DUMMYFUNCTION("""COMPUTED_VALUE"""),"catwif")</f>
        <v>catwif</v>
      </c>
      <c r="C2563" s="2" t="str">
        <f ca="1">IFERROR(__xludf.DUMMYFUNCTION("""COMPUTED_VALUE"""),"Cat Wif Hands")</f>
        <v>Cat Wif Hands</v>
      </c>
    </row>
    <row r="2564" spans="1:3" x14ac:dyDescent="0.25">
      <c r="A2564" s="2" t="str">
        <f ca="1">IFERROR(__xludf.DUMMYFUNCTION("""COMPUTED_VALUE"""),"catwifhat")</f>
        <v>catwifhat</v>
      </c>
      <c r="B2564" s="2" t="str">
        <f ca="1">IFERROR(__xludf.DUMMYFUNCTION("""COMPUTED_VALUE"""),"cif")</f>
        <v>cif</v>
      </c>
      <c r="C2564" s="2" t="str">
        <f ca="1">IFERROR(__xludf.DUMMYFUNCTION("""COMPUTED_VALUE"""),"CatwifHat")</f>
        <v>CatwifHat</v>
      </c>
    </row>
    <row r="2565" spans="1:3" x14ac:dyDescent="0.25">
      <c r="A2565" s="2" t="str">
        <f ca="1">IFERROR(__xludf.DUMMYFUNCTION("""COMPUTED_VALUE"""),"catwifhat-2")</f>
        <v>catwifhat-2</v>
      </c>
      <c r="B2565" s="2" t="str">
        <f ca="1">IFERROR(__xludf.DUMMYFUNCTION("""COMPUTED_VALUE"""),"$cwif")</f>
        <v>$cwif</v>
      </c>
      <c r="C2565" s="2" t="str">
        <f ca="1">IFERROR(__xludf.DUMMYFUNCTION("""COMPUTED_VALUE"""),"catwifhat")</f>
        <v>catwifhat</v>
      </c>
    </row>
    <row r="2566" spans="1:3" x14ac:dyDescent="0.25">
      <c r="A2566" s="2" t="str">
        <f ca="1">IFERROR(__xludf.DUMMYFUNCTION("""COMPUTED_VALUE"""),"catwifhat-3")</f>
        <v>catwifhat-3</v>
      </c>
      <c r="B2566" s="2" t="str">
        <f ca="1">IFERROR(__xludf.DUMMYFUNCTION("""COMPUTED_VALUE"""),"catwif")</f>
        <v>catwif</v>
      </c>
      <c r="C2566" s="2" t="str">
        <f ca="1">IFERROR(__xludf.DUMMYFUNCTION("""COMPUTED_VALUE"""),"CatWifHat")</f>
        <v>CatWifHat</v>
      </c>
    </row>
    <row r="2567" spans="1:3" x14ac:dyDescent="0.25">
      <c r="A2567" s="2" t="str">
        <f ca="1">IFERROR(__xludf.DUMMYFUNCTION("""COMPUTED_VALUE"""),"catwifmelon")</f>
        <v>catwifmelon</v>
      </c>
      <c r="B2567" s="2" t="str">
        <f ca="1">IFERROR(__xludf.DUMMYFUNCTION("""COMPUTED_VALUE"""),"melon")</f>
        <v>melon</v>
      </c>
      <c r="C2567" s="2" t="str">
        <f ca="1">IFERROR(__xludf.DUMMYFUNCTION("""COMPUTED_VALUE"""),"CATWIFMELON")</f>
        <v>CATWIFMELON</v>
      </c>
    </row>
    <row r="2568" spans="1:3" x14ac:dyDescent="0.25">
      <c r="A2568" s="2" t="str">
        <f ca="1">IFERROR(__xludf.DUMMYFUNCTION("""COMPUTED_VALUE"""),"catx")</f>
        <v>catx</v>
      </c>
      <c r="B2568" s="2" t="str">
        <f ca="1">IFERROR(__xludf.DUMMYFUNCTION("""COMPUTED_VALUE"""),"catx")</f>
        <v>catx</v>
      </c>
      <c r="C2568" s="2" t="str">
        <f ca="1">IFERROR(__xludf.DUMMYFUNCTION("""COMPUTED_VALUE"""),"CATX")</f>
        <v>CATX</v>
      </c>
    </row>
    <row r="2569" spans="1:3" x14ac:dyDescent="0.25">
      <c r="A2569" s="2" t="str">
        <f ca="1">IFERROR(__xludf.DUMMYFUNCTION("""COMPUTED_VALUE"""),"catzcoin")</f>
        <v>catzcoin</v>
      </c>
      <c r="B2569" s="2" t="str">
        <f ca="1">IFERROR(__xludf.DUMMYFUNCTION("""COMPUTED_VALUE"""),"catz")</f>
        <v>catz</v>
      </c>
      <c r="C2569" s="2" t="str">
        <f ca="1">IFERROR(__xludf.DUMMYFUNCTION("""COMPUTED_VALUE"""),"CatzCoin")</f>
        <v>CatzCoin</v>
      </c>
    </row>
    <row r="2570" spans="1:3" x14ac:dyDescent="0.25">
      <c r="A2570" s="2" t="str">
        <f ca="1">IFERROR(__xludf.DUMMYFUNCTION("""COMPUTED_VALUE"""),"cavada")</f>
        <v>cavada</v>
      </c>
      <c r="B2570" s="2" t="str">
        <f ca="1">IFERROR(__xludf.DUMMYFUNCTION("""COMPUTED_VALUE"""),"cavada")</f>
        <v>cavada</v>
      </c>
      <c r="C2570" s="2" t="str">
        <f ca="1">IFERROR(__xludf.DUMMYFUNCTION("""COMPUTED_VALUE"""),"Cavada")</f>
        <v>Cavada</v>
      </c>
    </row>
    <row r="2571" spans="1:3" x14ac:dyDescent="0.25">
      <c r="A2571" s="2" t="str">
        <f ca="1">IFERROR(__xludf.DUMMYFUNCTION("""COMPUTED_VALUE"""),"cave")</f>
        <v>cave</v>
      </c>
      <c r="B2571" s="2" t="str">
        <f ca="1">IFERROR(__xludf.DUMMYFUNCTION("""COMPUTED_VALUE"""),"cave")</f>
        <v>cave</v>
      </c>
      <c r="C2571" s="2" t="str">
        <f ca="1">IFERROR(__xludf.DUMMYFUNCTION("""COMPUTED_VALUE"""),"CaveWorld")</f>
        <v>CaveWorld</v>
      </c>
    </row>
    <row r="2572" spans="1:3" x14ac:dyDescent="0.25">
      <c r="A2572" s="2" t="str">
        <f ca="1">IFERROR(__xludf.DUMMYFUNCTION("""COMPUTED_VALUE"""),"caviar-2")</f>
        <v>caviar-2</v>
      </c>
      <c r="B2572" s="2" t="str">
        <f ca="1">IFERROR(__xludf.DUMMYFUNCTION("""COMPUTED_VALUE"""),"caviar")</f>
        <v>caviar</v>
      </c>
      <c r="C2572" s="2" t="str">
        <f ca="1">IFERROR(__xludf.DUMMYFUNCTION("""COMPUTED_VALUE"""),"CAVIAR")</f>
        <v>CAVIAR</v>
      </c>
    </row>
    <row r="2573" spans="1:3" x14ac:dyDescent="0.25">
      <c r="A2573" s="2" t="str">
        <f ca="1">IFERROR(__xludf.DUMMYFUNCTION("""COMPUTED_VALUE"""),"caviar-3")</f>
        <v>caviar-3</v>
      </c>
      <c r="B2573" s="2" t="str">
        <f ca="1">IFERROR(__xludf.DUMMYFUNCTION("""COMPUTED_VALUE"""),"cvr")</f>
        <v>cvr</v>
      </c>
      <c r="C2573" s="2" t="str">
        <f ca="1">IFERROR(__xludf.DUMMYFUNCTION("""COMPUTED_VALUE"""),"Caviar")</f>
        <v>Caviar</v>
      </c>
    </row>
    <row r="2574" spans="1:3" x14ac:dyDescent="0.25">
      <c r="A2574" s="2" t="str">
        <f ca="1">IFERROR(__xludf.DUMMYFUNCTION("""COMPUTED_VALUE"""),"caviar-meme")</f>
        <v>caviar-meme</v>
      </c>
      <c r="B2574" s="2" t="str">
        <f ca="1">IFERROR(__xludf.DUMMYFUNCTION("""COMPUTED_VALUE"""),"caviar")</f>
        <v>caviar</v>
      </c>
      <c r="C2574" s="2" t="str">
        <f ca="1">IFERROR(__xludf.DUMMYFUNCTION("""COMPUTED_VALUE"""),"Caviar")</f>
        <v>Caviar</v>
      </c>
    </row>
    <row r="2575" spans="1:3" x14ac:dyDescent="0.25">
      <c r="A2575" s="2" t="str">
        <f ca="1">IFERROR(__xludf.DUMMYFUNCTION("""COMPUTED_VALUE"""),"caviarnine-lsu-pool-lp")</f>
        <v>caviarnine-lsu-pool-lp</v>
      </c>
      <c r="B2575" s="2" t="str">
        <f ca="1">IFERROR(__xludf.DUMMYFUNCTION("""COMPUTED_VALUE"""),"lsulp")</f>
        <v>lsulp</v>
      </c>
      <c r="C2575" s="2" t="str">
        <f ca="1">IFERROR(__xludf.DUMMYFUNCTION("""COMPUTED_VALUE"""),"CaviarNine LSU Pool LP")</f>
        <v>CaviarNine LSU Pool LP</v>
      </c>
    </row>
    <row r="2576" spans="1:3" x14ac:dyDescent="0.25">
      <c r="A2576" s="2" t="str">
        <f ca="1">IFERROR(__xludf.DUMMYFUNCTION("""COMPUTED_VALUE"""),"cbdc")</f>
        <v>cbdc</v>
      </c>
      <c r="B2576" s="2" t="str">
        <f ca="1">IFERROR(__xludf.DUMMYFUNCTION("""COMPUTED_VALUE"""),"cbdc")</f>
        <v>cbdc</v>
      </c>
      <c r="C2576" s="2" t="str">
        <f ca="1">IFERROR(__xludf.DUMMYFUNCTION("""COMPUTED_VALUE"""),"CBDC")</f>
        <v>CBDC</v>
      </c>
    </row>
    <row r="2577" spans="1:3" x14ac:dyDescent="0.25">
      <c r="A2577" s="2" t="str">
        <f ca="1">IFERROR(__xludf.DUMMYFUNCTION("""COMPUTED_VALUE"""),"cca")</f>
        <v>cca</v>
      </c>
      <c r="B2577" s="2" t="str">
        <f ca="1">IFERROR(__xludf.DUMMYFUNCTION("""COMPUTED_VALUE"""),"cca")</f>
        <v>cca</v>
      </c>
      <c r="C2577" s="2" t="str">
        <f ca="1">IFERROR(__xludf.DUMMYFUNCTION("""COMPUTED_VALUE"""),"CCA")</f>
        <v>CCA</v>
      </c>
    </row>
    <row r="2578" spans="1:3" x14ac:dyDescent="0.25">
      <c r="A2578" s="2" t="str">
        <f ca="1">IFERROR(__xludf.DUMMYFUNCTION("""COMPUTED_VALUE"""),"c-cash")</f>
        <v>c-cash</v>
      </c>
      <c r="B2578" s="2" t="str">
        <f ca="1">IFERROR(__xludf.DUMMYFUNCTION("""COMPUTED_VALUE"""),"ccash")</f>
        <v>ccash</v>
      </c>
      <c r="C2578" s="2" t="str">
        <f ca="1">IFERROR(__xludf.DUMMYFUNCTION("""COMPUTED_VALUE"""),"C-Cash")</f>
        <v>C-Cash</v>
      </c>
    </row>
    <row r="2579" spans="1:3" x14ac:dyDescent="0.25">
      <c r="A2579" s="2" t="str">
        <f ca="1">IFERROR(__xludf.DUMMYFUNCTION("""COMPUTED_VALUE"""),"ccb")</f>
        <v>ccb</v>
      </c>
      <c r="B2579" s="2" t="str">
        <f ca="1">IFERROR(__xludf.DUMMYFUNCTION("""COMPUTED_VALUE"""),"鸡鸡币 (ccb)")</f>
        <v>鸡鸡币 (ccb)</v>
      </c>
      <c r="C2579" s="2" t="str">
        <f ca="1">IFERROR(__xludf.DUMMYFUNCTION("""COMPUTED_VALUE"""),"$CCB 鸡鸡币")</f>
        <v>$CCB 鸡鸡币</v>
      </c>
    </row>
    <row r="2580" spans="1:3" x14ac:dyDescent="0.25">
      <c r="A2580" s="2" t="str">
        <f ca="1">IFERROR(__xludf.DUMMYFUNCTION("""COMPUTED_VALUE"""),"ccc-protocol")</f>
        <v>ccc-protocol</v>
      </c>
      <c r="B2580" s="2" t="str">
        <f ca="1">IFERROR(__xludf.DUMMYFUNCTION("""COMPUTED_VALUE"""),"ccc")</f>
        <v>ccc</v>
      </c>
      <c r="C2580" s="2" t="str">
        <f ca="1">IFERROR(__xludf.DUMMYFUNCTION("""COMPUTED_VALUE"""),"CCC Protocol")</f>
        <v>CCC Protocol</v>
      </c>
    </row>
    <row r="2581" spans="1:3" x14ac:dyDescent="0.25">
      <c r="A2581" s="2" t="str">
        <f ca="1">IFERROR(__xludf.DUMMYFUNCTION("""COMPUTED_VALUE"""),"ccfound-2")</f>
        <v>ccfound-2</v>
      </c>
      <c r="B2581" s="2" t="str">
        <f ca="1">IFERROR(__xludf.DUMMYFUNCTION("""COMPUTED_VALUE"""),"found")</f>
        <v>found</v>
      </c>
      <c r="C2581" s="2" t="str">
        <f ca="1">IFERROR(__xludf.DUMMYFUNCTION("""COMPUTED_VALUE"""),"ccFound")</f>
        <v>ccFound</v>
      </c>
    </row>
    <row r="2582" spans="1:3" x14ac:dyDescent="0.25">
      <c r="A2582" s="2" t="str">
        <f ca="1">IFERROR(__xludf.DUMMYFUNCTION("""COMPUTED_VALUE"""),"ccgds")</f>
        <v>ccgds</v>
      </c>
      <c r="B2582" s="2" t="str">
        <f ca="1">IFERROR(__xludf.DUMMYFUNCTION("""COMPUTED_VALUE"""),"ccgds")</f>
        <v>ccgds</v>
      </c>
      <c r="C2582" s="2" t="str">
        <f ca="1">IFERROR(__xludf.DUMMYFUNCTION("""COMPUTED_VALUE"""),"CCGDS")</f>
        <v>CCGDS</v>
      </c>
    </row>
    <row r="2583" spans="1:3" x14ac:dyDescent="0.25">
      <c r="A2583" s="2" t="str">
        <f ca="1">IFERROR(__xludf.DUMMYFUNCTION("""COMPUTED_VALUE"""),"ccomp")</f>
        <v>ccomp</v>
      </c>
      <c r="B2583" s="2" t="str">
        <f ca="1">IFERROR(__xludf.DUMMYFUNCTION("""COMPUTED_VALUE"""),"ccomp")</f>
        <v>ccomp</v>
      </c>
      <c r="C2583" s="2" t="str">
        <f ca="1">IFERROR(__xludf.DUMMYFUNCTION("""COMPUTED_VALUE"""),"cCOMP")</f>
        <v>cCOMP</v>
      </c>
    </row>
    <row r="2584" spans="1:3" x14ac:dyDescent="0.25">
      <c r="A2584" s="2" t="str">
        <f ca="1">IFERROR(__xludf.DUMMYFUNCTION("""COMPUTED_VALUE"""),"ccore")</f>
        <v>ccore</v>
      </c>
      <c r="B2584" s="2" t="str">
        <f ca="1">IFERROR(__xludf.DUMMYFUNCTION("""COMPUTED_VALUE"""),"cco")</f>
        <v>cco</v>
      </c>
      <c r="C2584" s="2" t="str">
        <f ca="1">IFERROR(__xludf.DUMMYFUNCTION("""COMPUTED_VALUE"""),"Ccore")</f>
        <v>Ccore</v>
      </c>
    </row>
    <row r="2585" spans="1:3" x14ac:dyDescent="0.25">
      <c r="A2585" s="2" t="str">
        <f ca="1">IFERROR(__xludf.DUMMYFUNCTION("""COMPUTED_VALUE"""),"ccqkl")</f>
        <v>ccqkl</v>
      </c>
      <c r="B2585" s="2" t="str">
        <f ca="1">IFERROR(__xludf.DUMMYFUNCTION("""COMPUTED_VALUE"""),"cc")</f>
        <v>cc</v>
      </c>
      <c r="C2585" s="2" t="str">
        <f ca="1">IFERROR(__xludf.DUMMYFUNCTION("""COMPUTED_VALUE"""),"CCQKL")</f>
        <v>CCQKL</v>
      </c>
    </row>
    <row r="2586" spans="1:3" x14ac:dyDescent="0.25">
      <c r="A2586" s="2" t="str">
        <f ca="1">IFERROR(__xludf.DUMMYFUNCTION("""COMPUTED_VALUE"""),"cdai")</f>
        <v>cdai</v>
      </c>
      <c r="B2586" s="2" t="str">
        <f ca="1">IFERROR(__xludf.DUMMYFUNCTION("""COMPUTED_VALUE"""),"cdai")</f>
        <v>cdai</v>
      </c>
      <c r="C2586" s="2" t="str">
        <f ca="1">IFERROR(__xludf.DUMMYFUNCTION("""COMPUTED_VALUE"""),"cDAI")</f>
        <v>cDAI</v>
      </c>
    </row>
    <row r="2587" spans="1:3" x14ac:dyDescent="0.25">
      <c r="A2587" s="2" t="str">
        <f ca="1">IFERROR(__xludf.DUMMYFUNCTION("""COMPUTED_VALUE"""),"cdao")</f>
        <v>cdao</v>
      </c>
      <c r="B2587" s="2" t="str">
        <f ca="1">IFERROR(__xludf.DUMMYFUNCTION("""COMPUTED_VALUE"""),"cdao")</f>
        <v>cdao</v>
      </c>
      <c r="C2587" s="2" t="str">
        <f ca="1">IFERROR(__xludf.DUMMYFUNCTION("""COMPUTED_VALUE"""),"cDAO")</f>
        <v>cDAO</v>
      </c>
    </row>
    <row r="2588" spans="1:3" x14ac:dyDescent="0.25">
      <c r="A2588" s="2" t="str">
        <f ca="1">IFERROR(__xludf.DUMMYFUNCTION("""COMPUTED_VALUE"""),"cdbio")</f>
        <v>cdbio</v>
      </c>
      <c r="B2588" s="2" t="str">
        <f ca="1">IFERROR(__xludf.DUMMYFUNCTION("""COMPUTED_VALUE"""),"mcd")</f>
        <v>mcd</v>
      </c>
      <c r="C2588" s="2" t="str">
        <f ca="1">IFERROR(__xludf.DUMMYFUNCTION("""COMPUTED_VALUE"""),"CDbio")</f>
        <v>CDbio</v>
      </c>
    </row>
    <row r="2589" spans="1:3" x14ac:dyDescent="0.25">
      <c r="A2589" s="2" t="str">
        <f ca="1">IFERROR(__xludf.DUMMYFUNCTION("""COMPUTED_VALUE"""),"cebiolabs")</f>
        <v>cebiolabs</v>
      </c>
      <c r="B2589" s="2" t="str">
        <f ca="1">IFERROR(__xludf.DUMMYFUNCTION("""COMPUTED_VALUE"""),"cbsl")</f>
        <v>cbsl</v>
      </c>
      <c r="C2589" s="2" t="str">
        <f ca="1">IFERROR(__xludf.DUMMYFUNCTION("""COMPUTED_VALUE"""),"CeBioLabs")</f>
        <v>CeBioLabs</v>
      </c>
    </row>
    <row r="2590" spans="1:3" x14ac:dyDescent="0.25">
      <c r="A2590" s="2" t="str">
        <f ca="1">IFERROR(__xludf.DUMMYFUNCTION("""COMPUTED_VALUE"""),"cedefiai")</f>
        <v>cedefiai</v>
      </c>
      <c r="B2590" s="2" t="str">
        <f ca="1">IFERROR(__xludf.DUMMYFUNCTION("""COMPUTED_VALUE"""),"cdfi")</f>
        <v>cdfi</v>
      </c>
      <c r="C2590" s="2" t="str">
        <f ca="1">IFERROR(__xludf.DUMMYFUNCTION("""COMPUTED_VALUE"""),"CeDeFiAi")</f>
        <v>CeDeFiAi</v>
      </c>
    </row>
    <row r="2591" spans="1:3" x14ac:dyDescent="0.25">
      <c r="A2591" s="2" t="str">
        <f ca="1">IFERROR(__xludf.DUMMYFUNCTION("""COMPUTED_VALUE"""),"ceden")</f>
        <v>ceden</v>
      </c>
      <c r="B2591" s="2" t="str">
        <f ca="1">IFERROR(__xludf.DUMMYFUNCTION("""COMPUTED_VALUE"""),"cdn")</f>
        <v>cdn</v>
      </c>
      <c r="C2591" s="2" t="str">
        <f ca="1">IFERROR(__xludf.DUMMYFUNCTION("""COMPUTED_VALUE"""),"CEDEN")</f>
        <v>CEDEN</v>
      </c>
    </row>
    <row r="2592" spans="1:3" x14ac:dyDescent="0.25">
      <c r="A2592" s="2" t="str">
        <f ca="1">IFERROR(__xludf.DUMMYFUNCTION("""COMPUTED_VALUE"""),"ceek")</f>
        <v>ceek</v>
      </c>
      <c r="B2592" s="2" t="str">
        <f ca="1">IFERROR(__xludf.DUMMYFUNCTION("""COMPUTED_VALUE"""),"ceek")</f>
        <v>ceek</v>
      </c>
      <c r="C2592" s="2" t="str">
        <f ca="1">IFERROR(__xludf.DUMMYFUNCTION("""COMPUTED_VALUE"""),"CEEK Smart VR")</f>
        <v>CEEK Smart VR</v>
      </c>
    </row>
    <row r="2593" spans="1:3" x14ac:dyDescent="0.25">
      <c r="A2593" s="2" t="str">
        <f ca="1">IFERROR(__xludf.DUMMYFUNCTION("""COMPUTED_VALUE"""),"ceiling-cat")</f>
        <v>ceiling-cat</v>
      </c>
      <c r="B2593" s="2" t="str">
        <f ca="1">IFERROR(__xludf.DUMMYFUNCTION("""COMPUTED_VALUE"""),"ceicat")</f>
        <v>ceicat</v>
      </c>
      <c r="C2593" s="2" t="str">
        <f ca="1">IFERROR(__xludf.DUMMYFUNCTION("""COMPUTED_VALUE"""),"Ceiling Cat")</f>
        <v>Ceiling Cat</v>
      </c>
    </row>
    <row r="2594" spans="1:3" x14ac:dyDescent="0.25">
      <c r="A2594" s="2" t="str">
        <f ca="1">IFERROR(__xludf.DUMMYFUNCTION("""COMPUTED_VALUE"""),"cekke-cronje")</f>
        <v>cekke-cronje</v>
      </c>
      <c r="B2594" s="2" t="str">
        <f ca="1">IFERROR(__xludf.DUMMYFUNCTION("""COMPUTED_VALUE"""),"cekke")</f>
        <v>cekke</v>
      </c>
      <c r="C2594" s="2" t="str">
        <f ca="1">IFERROR(__xludf.DUMMYFUNCTION("""COMPUTED_VALUE"""),"Cekke Cronje")</f>
        <v>Cekke Cronje</v>
      </c>
    </row>
    <row r="2595" spans="1:3" x14ac:dyDescent="0.25">
      <c r="A2595" s="2" t="str">
        <f ca="1">IFERROR(__xludf.DUMMYFUNCTION("""COMPUTED_VALUE"""),"celer-bridged-busd-zksync")</f>
        <v>celer-bridged-busd-zksync</v>
      </c>
      <c r="B2595" s="2" t="str">
        <f ca="1">IFERROR(__xludf.DUMMYFUNCTION("""COMPUTED_VALUE"""),"busd")</f>
        <v>busd</v>
      </c>
      <c r="C2595" s="2" t="str">
        <f ca="1">IFERROR(__xludf.DUMMYFUNCTION("""COMPUTED_VALUE"""),"Celer Bridged BUSD (zkSync)")</f>
        <v>Celer Bridged BUSD (zkSync)</v>
      </c>
    </row>
    <row r="2596" spans="1:3" x14ac:dyDescent="0.25">
      <c r="A2596" s="2" t="str">
        <f ca="1">IFERROR(__xludf.DUMMYFUNCTION("""COMPUTED_VALUE"""),"celer-bridged-dai-astar")</f>
        <v>celer-bridged-dai-astar</v>
      </c>
      <c r="B2596" s="2" t="str">
        <f ca="1">IFERROR(__xludf.DUMMYFUNCTION("""COMPUTED_VALUE"""),"dai")</f>
        <v>dai</v>
      </c>
      <c r="C2596" s="2" t="str">
        <f ca="1">IFERROR(__xludf.DUMMYFUNCTION("""COMPUTED_VALUE"""),"Celer Bridged DAI (Astar)")</f>
        <v>Celer Bridged DAI (Astar)</v>
      </c>
    </row>
    <row r="2597" spans="1:3" x14ac:dyDescent="0.25">
      <c r="A2597" s="2" t="str">
        <f ca="1">IFERROR(__xludf.DUMMYFUNCTION("""COMPUTED_VALUE"""),"celer-bridged-usdc-astar")</f>
        <v>celer-bridged-usdc-astar</v>
      </c>
      <c r="B2597" s="2" t="str">
        <f ca="1">IFERROR(__xludf.DUMMYFUNCTION("""COMPUTED_VALUE"""),"usdc")</f>
        <v>usdc</v>
      </c>
      <c r="C2597" s="2" t="str">
        <f ca="1">IFERROR(__xludf.DUMMYFUNCTION("""COMPUTED_VALUE"""),"Celer Bridged USDC (Astar)")</f>
        <v>Celer Bridged USDC (Astar)</v>
      </c>
    </row>
    <row r="2598" spans="1:3" x14ac:dyDescent="0.25">
      <c r="A2598" s="2" t="str">
        <f ca="1">IFERROR(__xludf.DUMMYFUNCTION("""COMPUTED_VALUE"""),"celer-bridged-usdc-conflux")</f>
        <v>celer-bridged-usdc-conflux</v>
      </c>
      <c r="B2598" s="2" t="str">
        <f ca="1">IFERROR(__xludf.DUMMYFUNCTION("""COMPUTED_VALUE"""),"usdc")</f>
        <v>usdc</v>
      </c>
      <c r="C2598" s="2" t="str">
        <f ca="1">IFERROR(__xludf.DUMMYFUNCTION("""COMPUTED_VALUE"""),"Celer Bridged USDC (Conflux)")</f>
        <v>Celer Bridged USDC (Conflux)</v>
      </c>
    </row>
    <row r="2599" spans="1:3" x14ac:dyDescent="0.25">
      <c r="A2599" s="2" t="str">
        <f ca="1">IFERROR(__xludf.DUMMYFUNCTION("""COMPUTED_VALUE"""),"celer-bridged-usdc-flow-evm")</f>
        <v>celer-bridged-usdc-flow-evm</v>
      </c>
      <c r="B2599" s="2" t="str">
        <f ca="1">IFERROR(__xludf.DUMMYFUNCTION("""COMPUTED_VALUE"""),"usdc.e")</f>
        <v>usdc.e</v>
      </c>
      <c r="C2599" s="2" t="str">
        <f ca="1">IFERROR(__xludf.DUMMYFUNCTION("""COMPUTED_VALUE"""),"Celer Bridged USDC (Flow EVM)")</f>
        <v>Celer Bridged USDC (Flow EVM)</v>
      </c>
    </row>
    <row r="2600" spans="1:3" x14ac:dyDescent="0.25">
      <c r="A2600" s="2" t="str">
        <f ca="1">IFERROR(__xludf.DUMMYFUNCTION("""COMPUTED_VALUE"""),"celer-bridged-usdc-oasys")</f>
        <v>celer-bridged-usdc-oasys</v>
      </c>
      <c r="B2600" s="2" t="str">
        <f ca="1">IFERROR(__xludf.DUMMYFUNCTION("""COMPUTED_VALUE"""),"usdc")</f>
        <v>usdc</v>
      </c>
      <c r="C2600" s="2" t="str">
        <f ca="1">IFERROR(__xludf.DUMMYFUNCTION("""COMPUTED_VALUE"""),"Celer Bridged USDC (Oasys)")</f>
        <v>Celer Bridged USDC (Oasys)</v>
      </c>
    </row>
    <row r="2601" spans="1:3" x14ac:dyDescent="0.25">
      <c r="A2601" s="2" t="str">
        <f ca="1">IFERROR(__xludf.DUMMYFUNCTION("""COMPUTED_VALUE"""),"celer-bridged-usdt-astar")</f>
        <v>celer-bridged-usdt-astar</v>
      </c>
      <c r="B2601" s="2" t="str">
        <f ca="1">IFERROR(__xludf.DUMMYFUNCTION("""COMPUTED_VALUE"""),"usdc")</f>
        <v>usdc</v>
      </c>
      <c r="C2601" s="2" t="str">
        <f ca="1">IFERROR(__xludf.DUMMYFUNCTION("""COMPUTED_VALUE"""),"Celer Bridged USDT (Astar)")</f>
        <v>Celer Bridged USDT (Astar)</v>
      </c>
    </row>
    <row r="2602" spans="1:3" x14ac:dyDescent="0.25">
      <c r="A2602" s="2" t="str">
        <f ca="1">IFERROR(__xludf.DUMMYFUNCTION("""COMPUTED_VALUE"""),"celer-bridged-usdt-conflux")</f>
        <v>celer-bridged-usdt-conflux</v>
      </c>
      <c r="B2602" s="2" t="str">
        <f ca="1">IFERROR(__xludf.DUMMYFUNCTION("""COMPUTED_VALUE"""),"usdt")</f>
        <v>usdt</v>
      </c>
      <c r="C2602" s="2" t="str">
        <f ca="1">IFERROR(__xludf.DUMMYFUNCTION("""COMPUTED_VALUE"""),"Celer Bridged USDT (Conflux)")</f>
        <v>Celer Bridged USDT (Conflux)</v>
      </c>
    </row>
    <row r="2603" spans="1:3" x14ac:dyDescent="0.25">
      <c r="A2603" s="2" t="str">
        <f ca="1">IFERROR(__xludf.DUMMYFUNCTION("""COMPUTED_VALUE"""),"celer-bridged-wbtc-conflux")</f>
        <v>celer-bridged-wbtc-conflux</v>
      </c>
      <c r="B2603" s="2" t="str">
        <f ca="1">IFERROR(__xludf.DUMMYFUNCTION("""COMPUTED_VALUE"""),"wbtc")</f>
        <v>wbtc</v>
      </c>
      <c r="C2603" s="2" t="str">
        <f ca="1">IFERROR(__xludf.DUMMYFUNCTION("""COMPUTED_VALUE"""),"Celer Bridged WBTC (Conflux)")</f>
        <v>Celer Bridged WBTC (Conflux)</v>
      </c>
    </row>
    <row r="2604" spans="1:3" x14ac:dyDescent="0.25">
      <c r="A2604" s="2" t="str">
        <f ca="1">IFERROR(__xludf.DUMMYFUNCTION("""COMPUTED_VALUE"""),"celer-bridged-weth-astar")</f>
        <v>celer-bridged-weth-astar</v>
      </c>
      <c r="B2604" s="2" t="str">
        <f ca="1">IFERROR(__xludf.DUMMYFUNCTION("""COMPUTED_VALUE"""),"weth")</f>
        <v>weth</v>
      </c>
      <c r="C2604" s="2" t="str">
        <f ca="1">IFERROR(__xludf.DUMMYFUNCTION("""COMPUTED_VALUE"""),"Celer Bridged WETH (Astar)")</f>
        <v>Celer Bridged WETH (Astar)</v>
      </c>
    </row>
    <row r="2605" spans="1:3" x14ac:dyDescent="0.25">
      <c r="A2605" s="2" t="str">
        <f ca="1">IFERROR(__xludf.DUMMYFUNCTION("""COMPUTED_VALUE"""),"celer-bridged-weth-conflux")</f>
        <v>celer-bridged-weth-conflux</v>
      </c>
      <c r="B2605" s="2" t="str">
        <f ca="1">IFERROR(__xludf.DUMMYFUNCTION("""COMPUTED_VALUE"""),"weth")</f>
        <v>weth</v>
      </c>
      <c r="C2605" s="2" t="str">
        <f ca="1">IFERROR(__xludf.DUMMYFUNCTION("""COMPUTED_VALUE"""),"Celer Bridged WETH (Conflux)")</f>
        <v>Celer Bridged WETH (Conflux)</v>
      </c>
    </row>
    <row r="2606" spans="1:3" x14ac:dyDescent="0.25">
      <c r="A2606" s="2" t="str">
        <f ca="1">IFERROR(__xludf.DUMMYFUNCTION("""COMPUTED_VALUE"""),"celer-network")</f>
        <v>celer-network</v>
      </c>
      <c r="B2606" s="2" t="str">
        <f ca="1">IFERROR(__xludf.DUMMYFUNCTION("""COMPUTED_VALUE"""),"celr")</f>
        <v>celr</v>
      </c>
      <c r="C2606" s="2" t="str">
        <f ca="1">IFERROR(__xludf.DUMMYFUNCTION("""COMPUTED_VALUE"""),"Celer Network")</f>
        <v>Celer Network</v>
      </c>
    </row>
    <row r="2607" spans="1:3" x14ac:dyDescent="0.25">
      <c r="A2607" s="2" t="str">
        <f ca="1">IFERROR(__xludf.DUMMYFUNCTION("""COMPUTED_VALUE"""),"celestia")</f>
        <v>celestia</v>
      </c>
      <c r="B2607" s="2" t="str">
        <f ca="1">IFERROR(__xludf.DUMMYFUNCTION("""COMPUTED_VALUE"""),"tia")</f>
        <v>tia</v>
      </c>
      <c r="C2607" s="2" t="str">
        <f ca="1">IFERROR(__xludf.DUMMYFUNCTION("""COMPUTED_VALUE"""),"Celestia")</f>
        <v>Celestia</v>
      </c>
    </row>
    <row r="2608" spans="1:3" x14ac:dyDescent="0.25">
      <c r="A2608" s="2" t="str">
        <f ca="1">IFERROR(__xludf.DUMMYFUNCTION("""COMPUTED_VALUE"""),"celestial")</f>
        <v>celestial</v>
      </c>
      <c r="B2608" s="2" t="str">
        <f ca="1">IFERROR(__xludf.DUMMYFUNCTION("""COMPUTED_VALUE"""),"celt")</f>
        <v>celt</v>
      </c>
      <c r="C2608" s="2" t="str">
        <f ca="1">IFERROR(__xludf.DUMMYFUNCTION("""COMPUTED_VALUE"""),"Celestial")</f>
        <v>Celestial</v>
      </c>
    </row>
    <row r="2609" spans="1:3" x14ac:dyDescent="0.25">
      <c r="A2609" s="2" t="str">
        <f ca="1">IFERROR(__xludf.DUMMYFUNCTION("""COMPUTED_VALUE"""),"cellena-finance")</f>
        <v>cellena-finance</v>
      </c>
      <c r="B2609" s="2" t="str">
        <f ca="1">IFERROR(__xludf.DUMMYFUNCTION("""COMPUTED_VALUE"""),"cell")</f>
        <v>cell</v>
      </c>
      <c r="C2609" s="2" t="str">
        <f ca="1">IFERROR(__xludf.DUMMYFUNCTION("""COMPUTED_VALUE"""),"Cellana Finance")</f>
        <v>Cellana Finance</v>
      </c>
    </row>
    <row r="2610" spans="1:3" x14ac:dyDescent="0.25">
      <c r="A2610" s="2" t="str">
        <f ca="1">IFERROR(__xludf.DUMMYFUNCTION("""COMPUTED_VALUE"""),"cellframe")</f>
        <v>cellframe</v>
      </c>
      <c r="B2610" s="2" t="str">
        <f ca="1">IFERROR(__xludf.DUMMYFUNCTION("""COMPUTED_VALUE"""),"cell")</f>
        <v>cell</v>
      </c>
      <c r="C2610" s="2" t="str">
        <f ca="1">IFERROR(__xludf.DUMMYFUNCTION("""COMPUTED_VALUE"""),"Cellframe")</f>
        <v>Cellframe</v>
      </c>
    </row>
    <row r="2611" spans="1:3" x14ac:dyDescent="0.25">
      <c r="A2611" s="2" t="str">
        <f ca="1">IFERROR(__xludf.DUMMYFUNCTION("""COMPUTED_VALUE"""),"cellmates")</f>
        <v>cellmates</v>
      </c>
      <c r="B2611" s="2" t="str">
        <f ca="1">IFERROR(__xludf.DUMMYFUNCTION("""COMPUTED_VALUE"""),"cell")</f>
        <v>cell</v>
      </c>
      <c r="C2611" s="2" t="str">
        <f ca="1">IFERROR(__xludf.DUMMYFUNCTION("""COMPUTED_VALUE"""),"CellMates")</f>
        <v>CellMates</v>
      </c>
    </row>
    <row r="2612" spans="1:3" x14ac:dyDescent="0.25">
      <c r="A2612" s="2" t="str">
        <f ca="1">IFERROR(__xludf.DUMMYFUNCTION("""COMPUTED_VALUE"""),"celo")</f>
        <v>celo</v>
      </c>
      <c r="B2612" s="2" t="str">
        <f ca="1">IFERROR(__xludf.DUMMYFUNCTION("""COMPUTED_VALUE"""),"celo")</f>
        <v>celo</v>
      </c>
      <c r="C2612" s="2" t="str">
        <f ca="1">IFERROR(__xludf.DUMMYFUNCTION("""COMPUTED_VALUE"""),"Celo")</f>
        <v>Celo</v>
      </c>
    </row>
    <row r="2613" spans="1:3" x14ac:dyDescent="0.25">
      <c r="A2613" s="2" t="str">
        <f ca="1">IFERROR(__xludf.DUMMYFUNCTION("""COMPUTED_VALUE"""),"celo-dollar")</f>
        <v>celo-dollar</v>
      </c>
      <c r="B2613" s="2" t="str">
        <f ca="1">IFERROR(__xludf.DUMMYFUNCTION("""COMPUTED_VALUE"""),"cusd")</f>
        <v>cusd</v>
      </c>
      <c r="C2613" s="2" t="str">
        <f ca="1">IFERROR(__xludf.DUMMYFUNCTION("""COMPUTED_VALUE"""),"Celo Dollar")</f>
        <v>Celo Dollar</v>
      </c>
    </row>
    <row r="2614" spans="1:3" x14ac:dyDescent="0.25">
      <c r="A2614" s="2" t="str">
        <f ca="1">IFERROR(__xludf.DUMMYFUNCTION("""COMPUTED_VALUE"""),"celo-euro")</f>
        <v>celo-euro</v>
      </c>
      <c r="B2614" s="2" t="str">
        <f ca="1">IFERROR(__xludf.DUMMYFUNCTION("""COMPUTED_VALUE"""),"ceur")</f>
        <v>ceur</v>
      </c>
      <c r="C2614" s="2" t="str">
        <f ca="1">IFERROR(__xludf.DUMMYFUNCTION("""COMPUTED_VALUE"""),"Celo Euro")</f>
        <v>Celo Euro</v>
      </c>
    </row>
    <row r="2615" spans="1:3" x14ac:dyDescent="0.25">
      <c r="A2615" s="2" t="str">
        <f ca="1">IFERROR(__xludf.DUMMYFUNCTION("""COMPUTED_VALUE"""),"celo-kenyan-shilling")</f>
        <v>celo-kenyan-shilling</v>
      </c>
      <c r="B2615" s="2" t="str">
        <f ca="1">IFERROR(__xludf.DUMMYFUNCTION("""COMPUTED_VALUE"""),"ckes")</f>
        <v>ckes</v>
      </c>
      <c r="C2615" s="2" t="str">
        <f ca="1">IFERROR(__xludf.DUMMYFUNCTION("""COMPUTED_VALUE"""),"Celo Kenyan Shilling")</f>
        <v>Celo Kenyan Shilling</v>
      </c>
    </row>
    <row r="2616" spans="1:3" x14ac:dyDescent="0.25">
      <c r="A2616" s="2" t="str">
        <f ca="1">IFERROR(__xludf.DUMMYFUNCTION("""COMPUTED_VALUE"""),"celo-real-creal")</f>
        <v>celo-real-creal</v>
      </c>
      <c r="B2616" s="2" t="str">
        <f ca="1">IFERROR(__xludf.DUMMYFUNCTION("""COMPUTED_VALUE"""),"creal")</f>
        <v>creal</v>
      </c>
      <c r="C2616" s="2" t="str">
        <f ca="1">IFERROR(__xludf.DUMMYFUNCTION("""COMPUTED_VALUE"""),"Celo Real (cREAL)")</f>
        <v>Celo Real (cREAL)</v>
      </c>
    </row>
    <row r="2617" spans="1:3" x14ac:dyDescent="0.25">
      <c r="A2617" s="2" t="str">
        <f ca="1">IFERROR(__xludf.DUMMYFUNCTION("""COMPUTED_VALUE"""),"celo-wormhole")</f>
        <v>celo-wormhole</v>
      </c>
      <c r="B2617" s="2" t="str">
        <f ca="1">IFERROR(__xludf.DUMMYFUNCTION("""COMPUTED_VALUE"""),"celo")</f>
        <v>celo</v>
      </c>
      <c r="C2617" s="2" t="str">
        <f ca="1">IFERROR(__xludf.DUMMYFUNCTION("""COMPUTED_VALUE"""),"Celo (Wormhole)")</f>
        <v>Celo (Wormhole)</v>
      </c>
    </row>
    <row r="2618" spans="1:3" x14ac:dyDescent="0.25">
      <c r="A2618" s="2" t="str">
        <f ca="1">IFERROR(__xludf.DUMMYFUNCTION("""COMPUTED_VALUE"""),"celsius-degree-token")</f>
        <v>celsius-degree-token</v>
      </c>
      <c r="B2618" s="2" t="str">
        <f ca="1">IFERROR(__xludf.DUMMYFUNCTION("""COMPUTED_VALUE"""),"cel")</f>
        <v>cel</v>
      </c>
      <c r="C2618" s="2" t="str">
        <f ca="1">IFERROR(__xludf.DUMMYFUNCTION("""COMPUTED_VALUE"""),"Celsius Network")</f>
        <v>Celsius Network</v>
      </c>
    </row>
    <row r="2619" spans="1:3" x14ac:dyDescent="0.25">
      <c r="A2619" s="2" t="str">
        <f ca="1">IFERROR(__xludf.DUMMYFUNCTION("""COMPUTED_VALUE"""),"celsiusx-wrapped-eth")</f>
        <v>celsiusx-wrapped-eth</v>
      </c>
      <c r="B2619" s="2" t="str">
        <f ca="1">IFERROR(__xludf.DUMMYFUNCTION("""COMPUTED_VALUE"""),"cxeth")</f>
        <v>cxeth</v>
      </c>
      <c r="C2619" s="2" t="str">
        <f ca="1">IFERROR(__xludf.DUMMYFUNCTION("""COMPUTED_VALUE"""),"CelsiusX Wrapped ETH")</f>
        <v>CelsiusX Wrapped ETH</v>
      </c>
    </row>
    <row r="2620" spans="1:3" x14ac:dyDescent="0.25">
      <c r="A2620" s="2" t="str">
        <f ca="1">IFERROR(__xludf.DUMMYFUNCTION("""COMPUTED_VALUE"""),"censored-ai")</f>
        <v>censored-ai</v>
      </c>
      <c r="B2620" s="2" t="str">
        <f ca="1">IFERROR(__xludf.DUMMYFUNCTION("""COMPUTED_VALUE"""),"cens")</f>
        <v>cens</v>
      </c>
      <c r="C2620" s="2" t="str">
        <f ca="1">IFERROR(__xludf.DUMMYFUNCTION("""COMPUTED_VALUE"""),"Censored AI")</f>
        <v>Censored AI</v>
      </c>
    </row>
    <row r="2621" spans="1:3" x14ac:dyDescent="0.25">
      <c r="A2621" s="2" t="str">
        <f ca="1">IFERROR(__xludf.DUMMYFUNCTION("""COMPUTED_VALUE"""),"centaur")</f>
        <v>centaur</v>
      </c>
      <c r="B2621" s="2" t="str">
        <f ca="1">IFERROR(__xludf.DUMMYFUNCTION("""COMPUTED_VALUE"""),"cntr")</f>
        <v>cntr</v>
      </c>
      <c r="C2621" s="2" t="str">
        <f ca="1">IFERROR(__xludf.DUMMYFUNCTION("""COMPUTED_VALUE"""),"Centaur")</f>
        <v>Centaur</v>
      </c>
    </row>
    <row r="2622" spans="1:3" x14ac:dyDescent="0.25">
      <c r="A2622" s="2" t="str">
        <f ca="1">IFERROR(__xludf.DUMMYFUNCTION("""COMPUTED_VALUE"""),"centaurify")</f>
        <v>centaurify</v>
      </c>
      <c r="B2622" s="2" t="str">
        <f ca="1">IFERROR(__xludf.DUMMYFUNCTION("""COMPUTED_VALUE"""),"cent")</f>
        <v>cent</v>
      </c>
      <c r="C2622" s="2" t="str">
        <f ca="1">IFERROR(__xludf.DUMMYFUNCTION("""COMPUTED_VALUE"""),"Centaurify")</f>
        <v>Centaurify</v>
      </c>
    </row>
    <row r="2623" spans="1:3" x14ac:dyDescent="0.25">
      <c r="A2623" s="2" t="str">
        <f ca="1">IFERROR(__xludf.DUMMYFUNCTION("""COMPUTED_VALUE"""),"centbit")</f>
        <v>centbit</v>
      </c>
      <c r="B2623" s="2" t="str">
        <f ca="1">IFERROR(__xludf.DUMMYFUNCTION("""COMPUTED_VALUE"""),"cbit")</f>
        <v>cbit</v>
      </c>
      <c r="C2623" s="2" t="str">
        <f ca="1">IFERROR(__xludf.DUMMYFUNCTION("""COMPUTED_VALUE"""),"CentBit")</f>
        <v>CentBit</v>
      </c>
    </row>
    <row r="2624" spans="1:3" x14ac:dyDescent="0.25">
      <c r="A2624" s="2" t="str">
        <f ca="1">IFERROR(__xludf.DUMMYFUNCTION("""COMPUTED_VALUE"""),"centcex")</f>
        <v>centcex</v>
      </c>
      <c r="B2624" s="2" t="str">
        <f ca="1">IFERROR(__xludf.DUMMYFUNCTION("""COMPUTED_VALUE"""),"cenx")</f>
        <v>cenx</v>
      </c>
      <c r="C2624" s="2" t="str">
        <f ca="1">IFERROR(__xludf.DUMMYFUNCTION("""COMPUTED_VALUE"""),"Centcex")</f>
        <v>Centcex</v>
      </c>
    </row>
    <row r="2625" spans="1:3" x14ac:dyDescent="0.25">
      <c r="A2625" s="2" t="str">
        <f ca="1">IFERROR(__xludf.DUMMYFUNCTION("""COMPUTED_VALUE"""),"central-bank-digital-currency-memecoin")</f>
        <v>central-bank-digital-currency-memecoin</v>
      </c>
      <c r="B2625" s="2" t="str">
        <f ca="1">IFERROR(__xludf.DUMMYFUNCTION("""COMPUTED_VALUE"""),"cbdc")</f>
        <v>cbdc</v>
      </c>
      <c r="C2625" s="2" t="str">
        <f ca="1">IFERROR(__xludf.DUMMYFUNCTION("""COMPUTED_VALUE"""),"Central Bank Digital Currency Memecoin")</f>
        <v>Central Bank Digital Currency Memecoin</v>
      </c>
    </row>
    <row r="2626" spans="1:3" x14ac:dyDescent="0.25">
      <c r="A2626" s="2" t="str">
        <f ca="1">IFERROR(__xludf.DUMMYFUNCTION("""COMPUTED_VALUE"""),"centrality")</f>
        <v>centrality</v>
      </c>
      <c r="B2626" s="2" t="str">
        <f ca="1">IFERROR(__xludf.DUMMYFUNCTION("""COMPUTED_VALUE"""),"cennz")</f>
        <v>cennz</v>
      </c>
      <c r="C2626" s="2" t="str">
        <f ca="1">IFERROR(__xludf.DUMMYFUNCTION("""COMPUTED_VALUE"""),"CENNZnet")</f>
        <v>CENNZnet</v>
      </c>
    </row>
    <row r="2627" spans="1:3" x14ac:dyDescent="0.25">
      <c r="A2627" s="2" t="str">
        <f ca="1">IFERROR(__xludf.DUMMYFUNCTION("""COMPUTED_VALUE"""),"centric-cash")</f>
        <v>centric-cash</v>
      </c>
      <c r="B2627" s="2" t="str">
        <f ca="1">IFERROR(__xludf.DUMMYFUNCTION("""COMPUTED_VALUE"""),"cns")</f>
        <v>cns</v>
      </c>
      <c r="C2627" s="2" t="str">
        <f ca="1">IFERROR(__xludf.DUMMYFUNCTION("""COMPUTED_VALUE"""),"Centric Swap")</f>
        <v>Centric Swap</v>
      </c>
    </row>
    <row r="2628" spans="1:3" x14ac:dyDescent="0.25">
      <c r="A2628" s="2" t="str">
        <f ca="1">IFERROR(__xludf.DUMMYFUNCTION("""COMPUTED_VALUE"""),"centrifuge")</f>
        <v>centrifuge</v>
      </c>
      <c r="B2628" s="2" t="str">
        <f ca="1">IFERROR(__xludf.DUMMYFUNCTION("""COMPUTED_VALUE"""),"cfg")</f>
        <v>cfg</v>
      </c>
      <c r="C2628" s="2" t="str">
        <f ca="1">IFERROR(__xludf.DUMMYFUNCTION("""COMPUTED_VALUE"""),"Centrifuge")</f>
        <v>Centrifuge</v>
      </c>
    </row>
    <row r="2629" spans="1:3" x14ac:dyDescent="0.25">
      <c r="A2629" s="2" t="str">
        <f ca="1">IFERROR(__xludf.DUMMYFUNCTION("""COMPUTED_VALUE"""),"centurion-invest")</f>
        <v>centurion-invest</v>
      </c>
      <c r="B2629" s="2" t="str">
        <f ca="1">IFERROR(__xludf.DUMMYFUNCTION("""COMPUTED_VALUE"""),"cix")</f>
        <v>cix</v>
      </c>
      <c r="C2629" s="2" t="str">
        <f ca="1">IFERROR(__xludf.DUMMYFUNCTION("""COMPUTED_VALUE"""),"Centurion Invest")</f>
        <v>Centurion Invest</v>
      </c>
    </row>
    <row r="2630" spans="1:3" x14ac:dyDescent="0.25">
      <c r="A2630" s="2" t="str">
        <f ca="1">IFERROR(__xludf.DUMMYFUNCTION("""COMPUTED_VALUE"""),"cerberoge")</f>
        <v>cerberoge</v>
      </c>
      <c r="B2630" s="2" t="str">
        <f ca="1">IFERROR(__xludf.DUMMYFUNCTION("""COMPUTED_VALUE"""),"cerber")</f>
        <v>cerber</v>
      </c>
      <c r="C2630" s="2" t="str">
        <f ca="1">IFERROR(__xludf.DUMMYFUNCTION("""COMPUTED_VALUE"""),"CERBEROGE")</f>
        <v>CERBEROGE</v>
      </c>
    </row>
    <row r="2631" spans="1:3" x14ac:dyDescent="0.25">
      <c r="A2631" s="2" t="str">
        <f ca="1">IFERROR(__xludf.DUMMYFUNCTION("""COMPUTED_VALUE"""),"cerberus-2")</f>
        <v>cerberus-2</v>
      </c>
      <c r="B2631" s="2" t="str">
        <f ca="1">IFERROR(__xludf.DUMMYFUNCTION("""COMPUTED_VALUE"""),"crbrus")</f>
        <v>crbrus</v>
      </c>
      <c r="C2631" s="2" t="str">
        <f ca="1">IFERROR(__xludf.DUMMYFUNCTION("""COMPUTED_VALUE"""),"Cerberus")</f>
        <v>Cerberus</v>
      </c>
    </row>
    <row r="2632" spans="1:3" x14ac:dyDescent="0.25">
      <c r="A2632" s="2" t="str">
        <f ca="1">IFERROR(__xludf.DUMMYFUNCTION("""COMPUTED_VALUE"""),"cerebrum-dao")</f>
        <v>cerebrum-dao</v>
      </c>
      <c r="B2632" s="2" t="str">
        <f ca="1">IFERROR(__xludf.DUMMYFUNCTION("""COMPUTED_VALUE"""),"neuron")</f>
        <v>neuron</v>
      </c>
      <c r="C2632" s="2" t="str">
        <f ca="1">IFERROR(__xludf.DUMMYFUNCTION("""COMPUTED_VALUE"""),"Cerebrum DAO")</f>
        <v>Cerebrum DAO</v>
      </c>
    </row>
    <row r="2633" spans="1:3" x14ac:dyDescent="0.25">
      <c r="A2633" s="2" t="str">
        <f ca="1">IFERROR(__xludf.DUMMYFUNCTION("""COMPUTED_VALUE"""),"cere-network")</f>
        <v>cere-network</v>
      </c>
      <c r="B2633" s="2" t="str">
        <f ca="1">IFERROR(__xludf.DUMMYFUNCTION("""COMPUTED_VALUE"""),"cere")</f>
        <v>cere</v>
      </c>
      <c r="C2633" s="2" t="str">
        <f ca="1">IFERROR(__xludf.DUMMYFUNCTION("""COMPUTED_VALUE"""),"Cere Network")</f>
        <v>Cere Network</v>
      </c>
    </row>
    <row r="2634" spans="1:3" x14ac:dyDescent="0.25">
      <c r="A2634" s="2" t="str">
        <f ca="1">IFERROR(__xludf.DUMMYFUNCTION("""COMPUTED_VALUE"""),"ceres")</f>
        <v>ceres</v>
      </c>
      <c r="B2634" s="2" t="str">
        <f ca="1">IFERROR(__xludf.DUMMYFUNCTION("""COMPUTED_VALUE"""),"ceres")</f>
        <v>ceres</v>
      </c>
      <c r="C2634" s="2" t="str">
        <f ca="1">IFERROR(__xludf.DUMMYFUNCTION("""COMPUTED_VALUE"""),"Ceres")</f>
        <v>Ceres</v>
      </c>
    </row>
    <row r="2635" spans="1:3" x14ac:dyDescent="0.25">
      <c r="A2635" s="2" t="str">
        <f ca="1">IFERROR(__xludf.DUMMYFUNCTION("""COMPUTED_VALUE"""),"cerra")</f>
        <v>cerra</v>
      </c>
      <c r="B2635" s="2" t="str">
        <f ca="1">IFERROR(__xludf.DUMMYFUNCTION("""COMPUTED_VALUE"""),"cerra")</f>
        <v>cerra</v>
      </c>
      <c r="C2635" s="2" t="str">
        <f ca="1">IFERROR(__xludf.DUMMYFUNCTION("""COMPUTED_VALUE"""),"Cerra")</f>
        <v>Cerra</v>
      </c>
    </row>
    <row r="2636" spans="1:3" x14ac:dyDescent="0.25">
      <c r="A2636" s="2" t="str">
        <f ca="1">IFERROR(__xludf.DUMMYFUNCTION("""COMPUTED_VALUE"""),"certik")</f>
        <v>certik</v>
      </c>
      <c r="B2636" s="2" t="str">
        <f ca="1">IFERROR(__xludf.DUMMYFUNCTION("""COMPUTED_VALUE"""),"ctk")</f>
        <v>ctk</v>
      </c>
      <c r="C2636" s="2" t="str">
        <f ca="1">IFERROR(__xludf.DUMMYFUNCTION("""COMPUTED_VALUE"""),"Shentu")</f>
        <v>Shentu</v>
      </c>
    </row>
    <row r="2637" spans="1:3" x14ac:dyDescent="0.25">
      <c r="A2637" s="2" t="str">
        <f ca="1">IFERROR(__xludf.DUMMYFUNCTION("""COMPUTED_VALUE"""),"cerus")</f>
        <v>cerus</v>
      </c>
      <c r="B2637" s="2" t="str">
        <f ca="1">IFERROR(__xludf.DUMMYFUNCTION("""COMPUTED_VALUE"""),"cerus")</f>
        <v>cerus</v>
      </c>
      <c r="C2637" s="2" t="str">
        <f ca="1">IFERROR(__xludf.DUMMYFUNCTION("""COMPUTED_VALUE"""),"Cerus")</f>
        <v>Cerus</v>
      </c>
    </row>
    <row r="2638" spans="1:3" x14ac:dyDescent="0.25">
      <c r="A2638" s="2" t="str">
        <f ca="1">IFERROR(__xludf.DUMMYFUNCTION("""COMPUTED_VALUE"""),"cetcoinsol")</f>
        <v>cetcoinsol</v>
      </c>
      <c r="B2638" s="2" t="str">
        <f ca="1">IFERROR(__xludf.DUMMYFUNCTION("""COMPUTED_VALUE"""),"cet")</f>
        <v>cet</v>
      </c>
      <c r="C2638" s="2" t="str">
        <f ca="1">IFERROR(__xludf.DUMMYFUNCTION("""COMPUTED_VALUE"""),"CetCoinSOL")</f>
        <v>CetCoinSOL</v>
      </c>
    </row>
    <row r="2639" spans="1:3" x14ac:dyDescent="0.25">
      <c r="A2639" s="2" t="str">
        <f ca="1">IFERROR(__xludf.DUMMYFUNCTION("""COMPUTED_VALUE"""),"cetes")</f>
        <v>cetes</v>
      </c>
      <c r="B2639" s="2" t="str">
        <f ca="1">IFERROR(__xludf.DUMMYFUNCTION("""COMPUTED_VALUE"""),"cetes")</f>
        <v>cetes</v>
      </c>
      <c r="C2639" s="2" t="str">
        <f ca="1">IFERROR(__xludf.DUMMYFUNCTION("""COMPUTED_VALUE"""),"Cetes")</f>
        <v>Cetes</v>
      </c>
    </row>
    <row r="2640" spans="1:3" x14ac:dyDescent="0.25">
      <c r="A2640" s="2" t="str">
        <f ca="1">IFERROR(__xludf.DUMMYFUNCTION("""COMPUTED_VALUE"""),"ceto-swap")</f>
        <v>ceto-swap</v>
      </c>
      <c r="B2640" s="2" t="str">
        <f ca="1">IFERROR(__xludf.DUMMYFUNCTION("""COMPUTED_VALUE"""),"ceto")</f>
        <v>ceto</v>
      </c>
      <c r="C2640" s="2" t="str">
        <f ca="1">IFERROR(__xludf.DUMMYFUNCTION("""COMPUTED_VALUE"""),"Ceto Swap")</f>
        <v>Ceto Swap</v>
      </c>
    </row>
    <row r="2641" spans="1:3" x14ac:dyDescent="0.25">
      <c r="A2641" s="2" t="str">
        <f ca="1">IFERROR(__xludf.DUMMYFUNCTION("""COMPUTED_VALUE"""),"ceto-swap-burned-ceto")</f>
        <v>ceto-swap-burned-ceto</v>
      </c>
      <c r="B2641" s="2" t="str">
        <f ca="1">IFERROR(__xludf.DUMMYFUNCTION("""COMPUTED_VALUE"""),"bceto")</f>
        <v>bceto</v>
      </c>
      <c r="C2641" s="2" t="str">
        <f ca="1">IFERROR(__xludf.DUMMYFUNCTION("""COMPUTED_VALUE"""),"Ceto Swap Burned CETO")</f>
        <v>Ceto Swap Burned CETO</v>
      </c>
    </row>
    <row r="2642" spans="1:3" x14ac:dyDescent="0.25">
      <c r="A2642" s="2" t="str">
        <f ca="1">IFERROR(__xludf.DUMMYFUNCTION("""COMPUTED_VALUE"""),"cetus-protocol")</f>
        <v>cetus-protocol</v>
      </c>
      <c r="B2642" s="2" t="str">
        <f ca="1">IFERROR(__xludf.DUMMYFUNCTION("""COMPUTED_VALUE"""),"cetus")</f>
        <v>cetus</v>
      </c>
      <c r="C2642" s="2" t="str">
        <f ca="1">IFERROR(__xludf.DUMMYFUNCTION("""COMPUTED_VALUE"""),"Cetus Protocol")</f>
        <v>Cetus Protocol</v>
      </c>
    </row>
    <row r="2643" spans="1:3" x14ac:dyDescent="0.25">
      <c r="A2643" s="2" t="str">
        <f ca="1">IFERROR(__xludf.DUMMYFUNCTION("""COMPUTED_VALUE"""),"cfx-quantum")</f>
        <v>cfx-quantum</v>
      </c>
      <c r="B2643" s="2" t="str">
        <f ca="1">IFERROR(__xludf.DUMMYFUNCTION("""COMPUTED_VALUE"""),"cfxq")</f>
        <v>cfxq</v>
      </c>
      <c r="C2643" s="2" t="str">
        <f ca="1">IFERROR(__xludf.DUMMYFUNCTION("""COMPUTED_VALUE"""),"CFX Quantum")</f>
        <v>CFX Quantum</v>
      </c>
    </row>
    <row r="2644" spans="1:3" x14ac:dyDescent="0.25">
      <c r="A2644" s="2" t="str">
        <f ca="1">IFERROR(__xludf.DUMMYFUNCTION("""COMPUTED_VALUE"""),"chabit")</f>
        <v>chabit</v>
      </c>
      <c r="B2644" s="2" t="str">
        <f ca="1">IFERROR(__xludf.DUMMYFUNCTION("""COMPUTED_VALUE"""),"cb8")</f>
        <v>cb8</v>
      </c>
      <c r="C2644" s="2" t="str">
        <f ca="1">IFERROR(__xludf.DUMMYFUNCTION("""COMPUTED_VALUE"""),"chabit")</f>
        <v>chabit</v>
      </c>
    </row>
    <row r="2645" spans="1:3" x14ac:dyDescent="0.25">
      <c r="A2645" s="2" t="str">
        <f ca="1">IFERROR(__xludf.DUMMYFUNCTION("""COMPUTED_VALUE"""),"chad")</f>
        <v>chad</v>
      </c>
      <c r="B2645" s="2" t="str">
        <f ca="1">IFERROR(__xludf.DUMMYFUNCTION("""COMPUTED_VALUE"""),"chad")</f>
        <v>chad</v>
      </c>
      <c r="C2645" s="2" t="str">
        <f ca="1">IFERROR(__xludf.DUMMYFUNCTION("""COMPUTED_VALUE"""),"CHAD")</f>
        <v>CHAD</v>
      </c>
    </row>
    <row r="2646" spans="1:3" x14ac:dyDescent="0.25">
      <c r="A2646" s="2" t="str">
        <f ca="1">IFERROR(__xludf.DUMMYFUNCTION("""COMPUTED_VALUE"""),"chad-cat")</f>
        <v>chad-cat</v>
      </c>
      <c r="B2646" s="2" t="str">
        <f ca="1">IFERROR(__xludf.DUMMYFUNCTION("""COMPUTED_VALUE"""),"chadcat")</f>
        <v>chadcat</v>
      </c>
      <c r="C2646" s="2" t="str">
        <f ca="1">IFERROR(__xludf.DUMMYFUNCTION("""COMPUTED_VALUE"""),"CHAD CAT")</f>
        <v>CHAD CAT</v>
      </c>
    </row>
    <row r="2647" spans="1:3" x14ac:dyDescent="0.25">
      <c r="A2647" s="2" t="str">
        <f ca="1">IFERROR(__xludf.DUMMYFUNCTION("""COMPUTED_VALUE"""),"chad-coin")</f>
        <v>chad-coin</v>
      </c>
      <c r="B2647" s="2" t="str">
        <f ca="1">IFERROR(__xludf.DUMMYFUNCTION("""COMPUTED_VALUE"""),"chad")</f>
        <v>chad</v>
      </c>
      <c r="C2647" s="2" t="str">
        <f ca="1">IFERROR(__xludf.DUMMYFUNCTION("""COMPUTED_VALUE"""),"Chad Coin")</f>
        <v>Chad Coin</v>
      </c>
    </row>
    <row r="2648" spans="1:3" x14ac:dyDescent="0.25">
      <c r="A2648" s="2" t="str">
        <f ca="1">IFERROR(__xludf.DUMMYFUNCTION("""COMPUTED_VALUE"""),"chad-frog")</f>
        <v>chad-frog</v>
      </c>
      <c r="B2648" s="2" t="str">
        <f ca="1">IFERROR(__xludf.DUMMYFUNCTION("""COMPUTED_VALUE"""),"chad")</f>
        <v>chad</v>
      </c>
      <c r="C2648" s="2" t="str">
        <f ca="1">IFERROR(__xludf.DUMMYFUNCTION("""COMPUTED_VALUE"""),"Chad Frog")</f>
        <v>Chad Frog</v>
      </c>
    </row>
    <row r="2649" spans="1:3" x14ac:dyDescent="0.25">
      <c r="A2649" s="2" t="str">
        <f ca="1">IFERROR(__xludf.DUMMYFUNCTION("""COMPUTED_VALUE"""),"chadimir-putni")</f>
        <v>chadimir-putni</v>
      </c>
      <c r="B2649" s="2" t="str">
        <f ca="1">IFERROR(__xludf.DUMMYFUNCTION("""COMPUTED_VALUE"""),"putni")</f>
        <v>putni</v>
      </c>
      <c r="C2649" s="2" t="str">
        <f ca="1">IFERROR(__xludf.DUMMYFUNCTION("""COMPUTED_VALUE"""),"Chadimir Putni")</f>
        <v>Chadimir Putni</v>
      </c>
    </row>
    <row r="2650" spans="1:3" x14ac:dyDescent="0.25">
      <c r="A2650" s="2" t="str">
        <f ca="1">IFERROR(__xludf.DUMMYFUNCTION("""COMPUTED_VALUE"""),"chad-on-solana")</f>
        <v>chad-on-solana</v>
      </c>
      <c r="B2650" s="2" t="str">
        <f ca="1">IFERROR(__xludf.DUMMYFUNCTION("""COMPUTED_VALUE"""),"chad")</f>
        <v>chad</v>
      </c>
      <c r="C2650" s="2" t="str">
        <f ca="1">IFERROR(__xludf.DUMMYFUNCTION("""COMPUTED_VALUE"""),"Chad On Solana")</f>
        <v>Chad On Solana</v>
      </c>
    </row>
    <row r="2651" spans="1:3" x14ac:dyDescent="0.25">
      <c r="A2651" s="2" t="str">
        <f ca="1">IFERROR(__xludf.DUMMYFUNCTION("""COMPUTED_VALUE"""),"chad-scanner")</f>
        <v>chad-scanner</v>
      </c>
      <c r="B2651" s="2" t="str">
        <f ca="1">IFERROR(__xludf.DUMMYFUNCTION("""COMPUTED_VALUE"""),"chad")</f>
        <v>chad</v>
      </c>
      <c r="C2651" s="2" t="str">
        <f ca="1">IFERROR(__xludf.DUMMYFUNCTION("""COMPUTED_VALUE"""),"Chad Scanner")</f>
        <v>Chad Scanner</v>
      </c>
    </row>
    <row r="2652" spans="1:3" x14ac:dyDescent="0.25">
      <c r="A2652" s="2" t="str">
        <f ca="1">IFERROR(__xludf.DUMMYFUNCTION("""COMPUTED_VALUE"""),"chady")</f>
        <v>chady</v>
      </c>
      <c r="B2652" s="2" t="str">
        <f ca="1">IFERROR(__xludf.DUMMYFUNCTION("""COMPUTED_VALUE"""),"chady")</f>
        <v>chady</v>
      </c>
      <c r="C2652" s="2" t="str">
        <f ca="1">IFERROR(__xludf.DUMMYFUNCTION("""COMPUTED_VALUE"""),"CHADY")</f>
        <v>CHADY</v>
      </c>
    </row>
    <row r="2653" spans="1:3" x14ac:dyDescent="0.25">
      <c r="A2653" s="2" t="str">
        <f ca="1">IFERROR(__xludf.DUMMYFUNCTION("""COMPUTED_VALUE"""),"chain-2")</f>
        <v>chain-2</v>
      </c>
      <c r="B2653" s="2" t="str">
        <f ca="1">IFERROR(__xludf.DUMMYFUNCTION("""COMPUTED_VALUE"""),"xcn")</f>
        <v>xcn</v>
      </c>
      <c r="C2653" s="2" t="str">
        <f ca="1">IFERROR(__xludf.DUMMYFUNCTION("""COMPUTED_VALUE"""),"Onyxcoin")</f>
        <v>Onyxcoin</v>
      </c>
    </row>
    <row r="2654" spans="1:3" x14ac:dyDescent="0.25">
      <c r="A2654" s="2" t="str">
        <f ca="1">IFERROR(__xludf.DUMMYFUNCTION("""COMPUTED_VALUE"""),"chain4energy")</f>
        <v>chain4energy</v>
      </c>
      <c r="B2654" s="2" t="str">
        <f ca="1">IFERROR(__xludf.DUMMYFUNCTION("""COMPUTED_VALUE"""),"c4e")</f>
        <v>c4e</v>
      </c>
      <c r="C2654" s="2" t="str">
        <f ca="1">IFERROR(__xludf.DUMMYFUNCTION("""COMPUTED_VALUE"""),"Chain4Energy")</f>
        <v>Chain4Energy</v>
      </c>
    </row>
    <row r="2655" spans="1:3" x14ac:dyDescent="0.25">
      <c r="A2655" s="2" t="str">
        <f ca="1">IFERROR(__xludf.DUMMYFUNCTION("""COMPUTED_VALUE"""),"chainback")</f>
        <v>chainback</v>
      </c>
      <c r="B2655" s="2" t="str">
        <f ca="1">IFERROR(__xludf.DUMMYFUNCTION("""COMPUTED_VALUE"""),"archive")</f>
        <v>archive</v>
      </c>
      <c r="C2655" s="2" t="str">
        <f ca="1">IFERROR(__xludf.DUMMYFUNCTION("""COMPUTED_VALUE"""),"Chainback")</f>
        <v>Chainback</v>
      </c>
    </row>
    <row r="2656" spans="1:3" x14ac:dyDescent="0.25">
      <c r="A2656" s="2" t="str">
        <f ca="1">IFERROR(__xludf.DUMMYFUNCTION("""COMPUTED_VALUE"""),"chainbing")</f>
        <v>chainbing</v>
      </c>
      <c r="B2656" s="2" t="str">
        <f ca="1">IFERROR(__xludf.DUMMYFUNCTION("""COMPUTED_VALUE"""),"cbg")</f>
        <v>cbg</v>
      </c>
      <c r="C2656" s="2" t="str">
        <f ca="1">IFERROR(__xludf.DUMMYFUNCTION("""COMPUTED_VALUE"""),"Chainbing")</f>
        <v>Chainbing</v>
      </c>
    </row>
    <row r="2657" spans="1:3" x14ac:dyDescent="0.25">
      <c r="A2657" s="2" t="str">
        <f ca="1">IFERROR(__xludf.DUMMYFUNCTION("""COMPUTED_VALUE"""),"chaincade")</f>
        <v>chaincade</v>
      </c>
      <c r="B2657" s="2" t="str">
        <f ca="1">IFERROR(__xludf.DUMMYFUNCTION("""COMPUTED_VALUE"""),"chaincade")</f>
        <v>chaincade</v>
      </c>
      <c r="C2657" s="2" t="str">
        <f ca="1">IFERROR(__xludf.DUMMYFUNCTION("""COMPUTED_VALUE"""),"ChainCade")</f>
        <v>ChainCade</v>
      </c>
    </row>
    <row r="2658" spans="1:3" x14ac:dyDescent="0.25">
      <c r="A2658" s="2" t="str">
        <f ca="1">IFERROR(__xludf.DUMMYFUNCTION("""COMPUTED_VALUE"""),"chain-crisis")</f>
        <v>chain-crisis</v>
      </c>
      <c r="B2658" s="2" t="str">
        <f ca="1">IFERROR(__xludf.DUMMYFUNCTION("""COMPUTED_VALUE"""),"crisis")</f>
        <v>crisis</v>
      </c>
      <c r="C2658" s="2" t="str">
        <f ca="1">IFERROR(__xludf.DUMMYFUNCTION("""COMPUTED_VALUE"""),"Chain Crisis")</f>
        <v>Chain Crisis</v>
      </c>
    </row>
    <row r="2659" spans="1:3" x14ac:dyDescent="0.25">
      <c r="A2659" s="2" t="str">
        <f ca="1">IFERROR(__xludf.DUMMYFUNCTION("""COMPUTED_VALUE"""),"chainex")</f>
        <v>chainex</v>
      </c>
      <c r="B2659" s="2" t="str">
        <f ca="1">IFERROR(__xludf.DUMMYFUNCTION("""COMPUTED_VALUE"""),"cex")</f>
        <v>cex</v>
      </c>
      <c r="C2659" s="2" t="str">
        <f ca="1">IFERROR(__xludf.DUMMYFUNCTION("""COMPUTED_VALUE"""),"ChainEx")</f>
        <v>ChainEx</v>
      </c>
    </row>
    <row r="2660" spans="1:3" x14ac:dyDescent="0.25">
      <c r="A2660" s="2" t="str">
        <f ca="1">IFERROR(__xludf.DUMMYFUNCTION("""COMPUTED_VALUE"""),"chainfactory")</f>
        <v>chainfactory</v>
      </c>
      <c r="B2660" s="2" t="str">
        <f ca="1">IFERROR(__xludf.DUMMYFUNCTION("""COMPUTED_VALUE"""),"factory")</f>
        <v>factory</v>
      </c>
      <c r="C2660" s="2" t="str">
        <f ca="1">IFERROR(__xludf.DUMMYFUNCTION("""COMPUTED_VALUE"""),"ChainFactory")</f>
        <v>ChainFactory</v>
      </c>
    </row>
    <row r="2661" spans="1:3" x14ac:dyDescent="0.25">
      <c r="A2661" s="2" t="str">
        <f ca="1">IFERROR(__xludf.DUMMYFUNCTION("""COMPUTED_VALUE"""),"chainflip")</f>
        <v>chainflip</v>
      </c>
      <c r="B2661" s="2" t="str">
        <f ca="1">IFERROR(__xludf.DUMMYFUNCTION("""COMPUTED_VALUE"""),"flip")</f>
        <v>flip</v>
      </c>
      <c r="C2661" s="2" t="str">
        <f ca="1">IFERROR(__xludf.DUMMYFUNCTION("""COMPUTED_VALUE"""),"Chainflip")</f>
        <v>Chainflip</v>
      </c>
    </row>
    <row r="2662" spans="1:3" x14ac:dyDescent="0.25">
      <c r="A2662" s="2" t="str">
        <f ca="1">IFERROR(__xludf.DUMMYFUNCTION("""COMPUTED_VALUE"""),"chain-games")</f>
        <v>chain-games</v>
      </c>
      <c r="B2662" s="2" t="str">
        <f ca="1">IFERROR(__xludf.DUMMYFUNCTION("""COMPUTED_VALUE"""),"chain")</f>
        <v>chain</v>
      </c>
      <c r="C2662" s="2" t="str">
        <f ca="1">IFERROR(__xludf.DUMMYFUNCTION("""COMPUTED_VALUE"""),"Chain Games")</f>
        <v>Chain Games</v>
      </c>
    </row>
    <row r="2663" spans="1:3" x14ac:dyDescent="0.25">
      <c r="A2663" s="2" t="str">
        <f ca="1">IFERROR(__xludf.DUMMYFUNCTION("""COMPUTED_VALUE"""),"chainge-finance")</f>
        <v>chainge-finance</v>
      </c>
      <c r="B2663" s="2" t="str">
        <f ca="1">IFERROR(__xludf.DUMMYFUNCTION("""COMPUTED_VALUE"""),"xchng")</f>
        <v>xchng</v>
      </c>
      <c r="C2663" s="2" t="str">
        <f ca="1">IFERROR(__xludf.DUMMYFUNCTION("""COMPUTED_VALUE"""),"Chainge")</f>
        <v>Chainge</v>
      </c>
    </row>
    <row r="2664" spans="1:3" x14ac:dyDescent="0.25">
      <c r="A2664" s="2" t="str">
        <f ca="1">IFERROR(__xludf.DUMMYFUNCTION("""COMPUTED_VALUE"""),"chaingpt")</f>
        <v>chaingpt</v>
      </c>
      <c r="B2664" s="2" t="str">
        <f ca="1">IFERROR(__xludf.DUMMYFUNCTION("""COMPUTED_VALUE"""),"cgpt")</f>
        <v>cgpt</v>
      </c>
      <c r="C2664" s="2" t="str">
        <f ca="1">IFERROR(__xludf.DUMMYFUNCTION("""COMPUTED_VALUE"""),"ChainGPT")</f>
        <v>ChainGPT</v>
      </c>
    </row>
    <row r="2665" spans="1:3" x14ac:dyDescent="0.25">
      <c r="A2665" s="2" t="str">
        <f ca="1">IFERROR(__xludf.DUMMYFUNCTION("""COMPUTED_VALUE"""),"chaingpu")</f>
        <v>chaingpu</v>
      </c>
      <c r="B2665" s="2" t="str">
        <f ca="1">IFERROR(__xludf.DUMMYFUNCTION("""COMPUTED_VALUE"""),"cgpu")</f>
        <v>cgpu</v>
      </c>
      <c r="C2665" s="2" t="str">
        <f ca="1">IFERROR(__xludf.DUMMYFUNCTION("""COMPUTED_VALUE"""),"ChainGPU")</f>
        <v>ChainGPU</v>
      </c>
    </row>
    <row r="2666" spans="1:3" x14ac:dyDescent="0.25">
      <c r="A2666" s="2" t="str">
        <f ca="1">IFERROR(__xludf.DUMMYFUNCTION("""COMPUTED_VALUE"""),"chain-guardians")</f>
        <v>chain-guardians</v>
      </c>
      <c r="B2666" s="2" t="str">
        <f ca="1">IFERROR(__xludf.DUMMYFUNCTION("""COMPUTED_VALUE"""),"cgg")</f>
        <v>cgg</v>
      </c>
      <c r="C2666" s="2" t="str">
        <f ca="1">IFERROR(__xludf.DUMMYFUNCTION("""COMPUTED_VALUE"""),"Chain Guardians")</f>
        <v>Chain Guardians</v>
      </c>
    </row>
    <row r="2667" spans="1:3" x14ac:dyDescent="0.25">
      <c r="A2667" s="2" t="str">
        <f ca="1">IFERROR(__xludf.DUMMYFUNCTION("""COMPUTED_VALUE"""),"chain-key-bitcoin")</f>
        <v>chain-key-bitcoin</v>
      </c>
      <c r="B2667" s="2" t="str">
        <f ca="1">IFERROR(__xludf.DUMMYFUNCTION("""COMPUTED_VALUE"""),"ckbtc")</f>
        <v>ckbtc</v>
      </c>
      <c r="C2667" s="2" t="str">
        <f ca="1">IFERROR(__xludf.DUMMYFUNCTION("""COMPUTED_VALUE"""),"Chain-key Bitcoin")</f>
        <v>Chain-key Bitcoin</v>
      </c>
    </row>
    <row r="2668" spans="1:3" x14ac:dyDescent="0.25">
      <c r="A2668" s="2" t="str">
        <f ca="1">IFERROR(__xludf.DUMMYFUNCTION("""COMPUTED_VALUE"""),"chain-key-ethereum")</f>
        <v>chain-key-ethereum</v>
      </c>
      <c r="B2668" s="2" t="str">
        <f ca="1">IFERROR(__xludf.DUMMYFUNCTION("""COMPUTED_VALUE"""),"cketh")</f>
        <v>cketh</v>
      </c>
      <c r="C2668" s="2" t="str">
        <f ca="1">IFERROR(__xludf.DUMMYFUNCTION("""COMPUTED_VALUE"""),"Chain-key Ethereum")</f>
        <v>Chain-key Ethereum</v>
      </c>
    </row>
    <row r="2669" spans="1:3" x14ac:dyDescent="0.25">
      <c r="A2669" s="2" t="str">
        <f ca="1">IFERROR(__xludf.DUMMYFUNCTION("""COMPUTED_VALUE"""),"chain-key-usdc")</f>
        <v>chain-key-usdc</v>
      </c>
      <c r="B2669" s="2" t="str">
        <f ca="1">IFERROR(__xludf.DUMMYFUNCTION("""COMPUTED_VALUE"""),"ckusdc")</f>
        <v>ckusdc</v>
      </c>
      <c r="C2669" s="2" t="str">
        <f ca="1">IFERROR(__xludf.DUMMYFUNCTION("""COMPUTED_VALUE"""),"Chain-key USDC")</f>
        <v>Chain-key USDC</v>
      </c>
    </row>
    <row r="2670" spans="1:3" x14ac:dyDescent="0.25">
      <c r="A2670" s="2" t="str">
        <f ca="1">IFERROR(__xludf.DUMMYFUNCTION("""COMPUTED_VALUE"""),"chain-key-usdt")</f>
        <v>chain-key-usdt</v>
      </c>
      <c r="B2670" s="2" t="str">
        <f ca="1">IFERROR(__xludf.DUMMYFUNCTION("""COMPUTED_VALUE"""),"ckusdt")</f>
        <v>ckusdt</v>
      </c>
      <c r="C2670" s="2" t="str">
        <f ca="1">IFERROR(__xludf.DUMMYFUNCTION("""COMPUTED_VALUE"""),"Chain-key USDT")</f>
        <v>Chain-key USDT</v>
      </c>
    </row>
    <row r="2671" spans="1:3" x14ac:dyDescent="0.25">
      <c r="A2671" s="2" t="str">
        <f ca="1">IFERROR(__xludf.DUMMYFUNCTION("""COMPUTED_VALUE"""),"chainlabel")</f>
        <v>chainlabel</v>
      </c>
      <c r="B2671" s="2" t="str">
        <f ca="1">IFERROR(__xludf.DUMMYFUNCTION("""COMPUTED_VALUE"""),"label")</f>
        <v>label</v>
      </c>
      <c r="C2671" s="2" t="str">
        <f ca="1">IFERROR(__xludf.DUMMYFUNCTION("""COMPUTED_VALUE"""),"ChainLabel")</f>
        <v>ChainLabel</v>
      </c>
    </row>
    <row r="2672" spans="1:3" x14ac:dyDescent="0.25">
      <c r="A2672" s="2" t="str">
        <f ca="1">IFERROR(__xludf.DUMMYFUNCTION("""COMPUTED_VALUE"""),"chainlink")</f>
        <v>chainlink</v>
      </c>
      <c r="B2672" s="2" t="str">
        <f ca="1">IFERROR(__xludf.DUMMYFUNCTION("""COMPUTED_VALUE"""),"link")</f>
        <v>link</v>
      </c>
      <c r="C2672" s="2" t="str">
        <f ca="1">IFERROR(__xludf.DUMMYFUNCTION("""COMPUTED_VALUE"""),"Chainlink")</f>
        <v>Chainlink</v>
      </c>
    </row>
    <row r="2673" spans="1:3" x14ac:dyDescent="0.25">
      <c r="A2673" s="2" t="str">
        <f ca="1">IFERROR(__xludf.DUMMYFUNCTION("""COMPUTED_VALUE"""),"chainlink-plenty-bridge")</f>
        <v>chainlink-plenty-bridge</v>
      </c>
      <c r="B2673" s="2" t="str">
        <f ca="1">IFERROR(__xludf.DUMMYFUNCTION("""COMPUTED_VALUE"""),"link.e")</f>
        <v>link.e</v>
      </c>
      <c r="C2673" s="2" t="str">
        <f ca="1">IFERROR(__xludf.DUMMYFUNCTION("""COMPUTED_VALUE"""),"Chainlink (Plenty Bridge)")</f>
        <v>Chainlink (Plenty Bridge)</v>
      </c>
    </row>
    <row r="2674" spans="1:3" x14ac:dyDescent="0.25">
      <c r="A2674" s="2" t="str">
        <f ca="1">IFERROR(__xludf.DUMMYFUNCTION("""COMPUTED_VALUE"""),"chainminer")</f>
        <v>chainminer</v>
      </c>
      <c r="B2674" s="2" t="str">
        <f ca="1">IFERROR(__xludf.DUMMYFUNCTION("""COMPUTED_VALUE"""),"cminer")</f>
        <v>cminer</v>
      </c>
      <c r="C2674" s="2" t="str">
        <f ca="1">IFERROR(__xludf.DUMMYFUNCTION("""COMPUTED_VALUE"""),"ChainMiner")</f>
        <v>ChainMiner</v>
      </c>
    </row>
    <row r="2675" spans="1:3" x14ac:dyDescent="0.25">
      <c r="A2675" s="2" t="str">
        <f ca="1">IFERROR(__xludf.DUMMYFUNCTION("""COMPUTED_VALUE"""),"chainnet")</f>
        <v>chainnet</v>
      </c>
      <c r="B2675" s="2" t="str">
        <f ca="1">IFERROR(__xludf.DUMMYFUNCTION("""COMPUTED_VALUE"""),"cnet")</f>
        <v>cnet</v>
      </c>
      <c r="C2675" s="2" t="str">
        <f ca="1">IFERROR(__xludf.DUMMYFUNCTION("""COMPUTED_VALUE"""),"ChainNet")</f>
        <v>ChainNet</v>
      </c>
    </row>
    <row r="2676" spans="1:3" x14ac:dyDescent="0.25">
      <c r="A2676" s="2" t="str">
        <f ca="1">IFERROR(__xludf.DUMMYFUNCTION("""COMPUTED_VALUE"""),"chain-of-legends")</f>
        <v>chain-of-legends</v>
      </c>
      <c r="B2676" s="2" t="str">
        <f ca="1">IFERROR(__xludf.DUMMYFUNCTION("""COMPUTED_VALUE"""),"cleg")</f>
        <v>cleg</v>
      </c>
      <c r="C2676" s="2" t="str">
        <f ca="1">IFERROR(__xludf.DUMMYFUNCTION("""COMPUTED_VALUE"""),"Chain of Legends")</f>
        <v>Chain of Legends</v>
      </c>
    </row>
    <row r="2677" spans="1:3" x14ac:dyDescent="0.25">
      <c r="A2677" s="2" t="str">
        <f ca="1">IFERROR(__xludf.DUMMYFUNCTION("""COMPUTED_VALUE"""),"chainpal")</f>
        <v>chainpal</v>
      </c>
      <c r="B2677" s="2" t="str">
        <f ca="1">IFERROR(__xludf.DUMMYFUNCTION("""COMPUTED_VALUE"""),"cpal")</f>
        <v>cpal</v>
      </c>
      <c r="C2677" s="2" t="str">
        <f ca="1">IFERROR(__xludf.DUMMYFUNCTION("""COMPUTED_VALUE"""),"Chainpal")</f>
        <v>Chainpal</v>
      </c>
    </row>
    <row r="2678" spans="1:3" x14ac:dyDescent="0.25">
      <c r="A2678" s="2" t="str">
        <f ca="1">IFERROR(__xludf.DUMMYFUNCTION("""COMPUTED_VALUE"""),"chainport")</f>
        <v>chainport</v>
      </c>
      <c r="B2678" s="2" t="str">
        <f ca="1">IFERROR(__xludf.DUMMYFUNCTION("""COMPUTED_VALUE"""),"portx")</f>
        <v>portx</v>
      </c>
      <c r="C2678" s="2" t="str">
        <f ca="1">IFERROR(__xludf.DUMMYFUNCTION("""COMPUTED_VALUE"""),"ChainPort")</f>
        <v>ChainPort</v>
      </c>
    </row>
    <row r="2679" spans="1:3" x14ac:dyDescent="0.25">
      <c r="A2679" s="2" t="str">
        <f ca="1">IFERROR(__xludf.DUMMYFUNCTION("""COMPUTED_VALUE"""),"chainpulse")</f>
        <v>chainpulse</v>
      </c>
      <c r="B2679" s="2" t="str">
        <f ca="1">IFERROR(__xludf.DUMMYFUNCTION("""COMPUTED_VALUE"""),"cp")</f>
        <v>cp</v>
      </c>
      <c r="C2679" s="2" t="str">
        <f ca="1">IFERROR(__xludf.DUMMYFUNCTION("""COMPUTED_VALUE"""),"ChainPulse")</f>
        <v>ChainPulse</v>
      </c>
    </row>
    <row r="2680" spans="1:3" x14ac:dyDescent="0.25">
      <c r="A2680" s="2" t="str">
        <f ca="1">IFERROR(__xludf.DUMMYFUNCTION("""COMPUTED_VALUE"""),"chains-of-war")</f>
        <v>chains-of-war</v>
      </c>
      <c r="B2680" s="2" t="str">
        <f ca="1">IFERROR(__xludf.DUMMYFUNCTION("""COMPUTED_VALUE"""),"mira")</f>
        <v>mira</v>
      </c>
      <c r="C2680" s="2" t="str">
        <f ca="1">IFERROR(__xludf.DUMMYFUNCTION("""COMPUTED_VALUE"""),"Chains of War")</f>
        <v>Chains of War</v>
      </c>
    </row>
    <row r="2681" spans="1:3" x14ac:dyDescent="0.25">
      <c r="A2681" s="2" t="str">
        <f ca="1">IFERROR(__xludf.DUMMYFUNCTION("""COMPUTED_VALUE"""),"chainswap-2")</f>
        <v>chainswap-2</v>
      </c>
      <c r="B2681" s="2" t="str">
        <f ca="1">IFERROR(__xludf.DUMMYFUNCTION("""COMPUTED_VALUE"""),"chains")</f>
        <v>chains</v>
      </c>
      <c r="C2681" s="2" t="str">
        <f ca="1">IFERROR(__xludf.DUMMYFUNCTION("""COMPUTED_VALUE"""),"ChainSwap")</f>
        <v>ChainSwap</v>
      </c>
    </row>
    <row r="2682" spans="1:3" x14ac:dyDescent="0.25">
      <c r="A2682" s="2" t="str">
        <f ca="1">IFERROR(__xludf.DUMMYFUNCTION("""COMPUTED_VALUE"""),"chainswap-3")</f>
        <v>chainswap-3</v>
      </c>
      <c r="B2682" s="2" t="str">
        <f ca="1">IFERROR(__xludf.DUMMYFUNCTION("""COMPUTED_VALUE"""),"cswap")</f>
        <v>cswap</v>
      </c>
      <c r="C2682" s="2" t="str">
        <f ca="1">IFERROR(__xludf.DUMMYFUNCTION("""COMPUTED_VALUE"""),"ChainSwap")</f>
        <v>ChainSwap</v>
      </c>
    </row>
    <row r="2683" spans="1:3" x14ac:dyDescent="0.25">
      <c r="A2683" s="2" t="str">
        <f ca="1">IFERROR(__xludf.DUMMYFUNCTION("""COMPUTED_VALUE"""),"chainx")</f>
        <v>chainx</v>
      </c>
      <c r="B2683" s="2" t="str">
        <f ca="1">IFERROR(__xludf.DUMMYFUNCTION("""COMPUTED_VALUE"""),"pcx")</f>
        <v>pcx</v>
      </c>
      <c r="C2683" s="2" t="str">
        <f ca="1">IFERROR(__xludf.DUMMYFUNCTION("""COMPUTED_VALUE"""),"ChainX")</f>
        <v>ChainX</v>
      </c>
    </row>
    <row r="2684" spans="1:3" x14ac:dyDescent="0.25">
      <c r="A2684" s="2" t="str">
        <f ca="1">IFERROR(__xludf.DUMMYFUNCTION("""COMPUTED_VALUE"""),"chainzoom")</f>
        <v>chainzoom</v>
      </c>
      <c r="B2684" s="2" t="str">
        <f ca="1">IFERROR(__xludf.DUMMYFUNCTION("""COMPUTED_VALUE"""),"zoom")</f>
        <v>zoom</v>
      </c>
      <c r="C2684" s="2" t="str">
        <f ca="1">IFERROR(__xludf.DUMMYFUNCTION("""COMPUTED_VALUE"""),"ChainZoom")</f>
        <v>ChainZoom</v>
      </c>
    </row>
    <row r="2685" spans="1:3" x14ac:dyDescent="0.25">
      <c r="A2685" s="2" t="str">
        <f ca="1">IFERROR(__xludf.DUMMYFUNCTION("""COMPUTED_VALUE"""),"chair")</f>
        <v>chair</v>
      </c>
      <c r="B2685" s="2" t="str">
        <f ca="1">IFERROR(__xludf.DUMMYFUNCTION("""COMPUTED_VALUE"""),"chair")</f>
        <v>chair</v>
      </c>
      <c r="C2685" s="2" t="str">
        <f ca="1">IFERROR(__xludf.DUMMYFUNCTION("""COMPUTED_VALUE"""),"chair")</f>
        <v>chair</v>
      </c>
    </row>
    <row r="2686" spans="1:3" x14ac:dyDescent="0.25">
      <c r="A2686" s="2" t="str">
        <f ca="1">IFERROR(__xludf.DUMMYFUNCTION("""COMPUTED_VALUE"""),"chambs")</f>
        <v>chambs</v>
      </c>
      <c r="B2686" s="2" t="str">
        <f ca="1">IFERROR(__xludf.DUMMYFUNCTION("""COMPUTED_VALUE"""),"chambs")</f>
        <v>chambs</v>
      </c>
      <c r="C2686" s="2" t="str">
        <f ca="1">IFERROR(__xludf.DUMMYFUNCTION("""COMPUTED_VALUE"""),"Chambs")</f>
        <v>Chambs</v>
      </c>
    </row>
    <row r="2687" spans="1:3" x14ac:dyDescent="0.25">
      <c r="A2687" s="2" t="str">
        <f ca="1">IFERROR(__xludf.DUMMYFUNCTION("""COMPUTED_VALUE"""),"champignons-of-arborethia")</f>
        <v>champignons-of-arborethia</v>
      </c>
      <c r="B2687" s="2" t="str">
        <f ca="1">IFERROR(__xludf.DUMMYFUNCTION("""COMPUTED_VALUE"""),"champz")</f>
        <v>champz</v>
      </c>
      <c r="C2687" s="2" t="str">
        <f ca="1">IFERROR(__xludf.DUMMYFUNCTION("""COMPUTED_VALUE"""),"Champignons of Arborethia")</f>
        <v>Champignons of Arborethia</v>
      </c>
    </row>
    <row r="2688" spans="1:3" x14ac:dyDescent="0.25">
      <c r="A2688" s="2" t="str">
        <f ca="1">IFERROR(__xludf.DUMMYFUNCTION("""COMPUTED_VALUE"""),"change")</f>
        <v>change</v>
      </c>
      <c r="B2688" s="2" t="str">
        <f ca="1">IFERROR(__xludf.DUMMYFUNCTION("""COMPUTED_VALUE"""),"cag")</f>
        <v>cag</v>
      </c>
      <c r="C2688" s="2" t="str">
        <f ca="1">IFERROR(__xludf.DUMMYFUNCTION("""COMPUTED_VALUE"""),"Change")</f>
        <v>Change</v>
      </c>
    </row>
    <row r="2689" spans="1:3" x14ac:dyDescent="0.25">
      <c r="A2689" s="2" t="str">
        <f ca="1">IFERROR(__xludf.DUMMYFUNCTION("""COMPUTED_VALUE"""),"changenow")</f>
        <v>changenow</v>
      </c>
      <c r="B2689" s="2" t="str">
        <f ca="1">IFERROR(__xludf.DUMMYFUNCTION("""COMPUTED_VALUE"""),"now")</f>
        <v>now</v>
      </c>
      <c r="C2689" s="2" t="str">
        <f ca="1">IFERROR(__xludf.DUMMYFUNCTION("""COMPUTED_VALUE"""),"ChangeNOW")</f>
        <v>ChangeNOW</v>
      </c>
    </row>
    <row r="2690" spans="1:3" x14ac:dyDescent="0.25">
      <c r="A2690" s="2" t="str">
        <f ca="1">IFERROR(__xludf.DUMMYFUNCTION("""COMPUTED_VALUE"""),"changer")</f>
        <v>changer</v>
      </c>
      <c r="B2690" s="2" t="str">
        <f ca="1">IFERROR(__xludf.DUMMYFUNCTION("""COMPUTED_VALUE"""),"cng")</f>
        <v>cng</v>
      </c>
      <c r="C2690" s="2" t="str">
        <f ca="1">IFERROR(__xludf.DUMMYFUNCTION("""COMPUTED_VALUE"""),"Changer")</f>
        <v>Changer</v>
      </c>
    </row>
    <row r="2691" spans="1:3" x14ac:dyDescent="0.25">
      <c r="A2691" s="2" t="str">
        <f ca="1">IFERROR(__xludf.DUMMYFUNCTION("""COMPUTED_VALUE"""),"changex")</f>
        <v>changex</v>
      </c>
      <c r="B2691" s="2" t="str">
        <f ca="1">IFERROR(__xludf.DUMMYFUNCTION("""COMPUTED_VALUE"""),"change")</f>
        <v>change</v>
      </c>
      <c r="C2691" s="2" t="str">
        <f ca="1">IFERROR(__xludf.DUMMYFUNCTION("""COMPUTED_VALUE"""),"Changex")</f>
        <v>Changex</v>
      </c>
    </row>
    <row r="2692" spans="1:3" x14ac:dyDescent="0.25">
      <c r="A2692" s="2" t="str">
        <f ca="1">IFERROR(__xludf.DUMMYFUNCTION("""COMPUTED_VALUE"""),"changpeng-zhao")</f>
        <v>changpeng-zhao</v>
      </c>
      <c r="B2692" s="2" t="str">
        <f ca="1">IFERROR(__xludf.DUMMYFUNCTION("""COMPUTED_VALUE"""),"cz")</f>
        <v>cz</v>
      </c>
      <c r="C2692" s="2" t="str">
        <f ca="1">IFERROR(__xludf.DUMMYFUNCTION("""COMPUTED_VALUE"""),"Changpeng Zhao")</f>
        <v>Changpeng Zhao</v>
      </c>
    </row>
    <row r="2693" spans="1:3" x14ac:dyDescent="0.25">
      <c r="A2693" s="2" t="str">
        <f ca="1">IFERROR(__xludf.DUMMYFUNCTION("""COMPUTED_VALUE"""),"channels")</f>
        <v>channels</v>
      </c>
      <c r="B2693" s="2" t="str">
        <f ca="1">IFERROR(__xludf.DUMMYFUNCTION("""COMPUTED_VALUE"""),"can")</f>
        <v>can</v>
      </c>
      <c r="C2693" s="2" t="str">
        <f ca="1">IFERROR(__xludf.DUMMYFUNCTION("""COMPUTED_VALUE"""),"Channels")</f>
        <v>Channels</v>
      </c>
    </row>
    <row r="2694" spans="1:3" x14ac:dyDescent="0.25">
      <c r="A2694" s="2" t="str">
        <f ca="1">IFERROR(__xludf.DUMMYFUNCTION("""COMPUTED_VALUE"""),"chappie")</f>
        <v>chappie</v>
      </c>
      <c r="B2694" s="2" t="str">
        <f ca="1">IFERROR(__xludf.DUMMYFUNCTION("""COMPUTED_VALUE"""),"chap")</f>
        <v>chap</v>
      </c>
      <c r="C2694" s="2" t="str">
        <f ca="1">IFERROR(__xludf.DUMMYFUNCTION("""COMPUTED_VALUE"""),"Chappie")</f>
        <v>Chappie</v>
      </c>
    </row>
    <row r="2695" spans="1:3" x14ac:dyDescent="0.25">
      <c r="A2695" s="2" t="str">
        <f ca="1">IFERROR(__xludf.DUMMYFUNCTION("""COMPUTED_VALUE"""),"chappyz")</f>
        <v>chappyz</v>
      </c>
      <c r="B2695" s="2" t="str">
        <f ca="1">IFERROR(__xludf.DUMMYFUNCTION("""COMPUTED_VALUE"""),"chapz")</f>
        <v>chapz</v>
      </c>
      <c r="C2695" s="2" t="str">
        <f ca="1">IFERROR(__xludf.DUMMYFUNCTION("""COMPUTED_VALUE"""),"Chappyz")</f>
        <v>Chappyz</v>
      </c>
    </row>
    <row r="2696" spans="1:3" x14ac:dyDescent="0.25">
      <c r="A2696" s="2" t="str">
        <f ca="1">IFERROR(__xludf.DUMMYFUNCTION("""COMPUTED_VALUE"""),"chargedefi-static")</f>
        <v>chargedefi-static</v>
      </c>
      <c r="B2696" s="2" t="str">
        <f ca="1">IFERROR(__xludf.DUMMYFUNCTION("""COMPUTED_VALUE"""),"static")</f>
        <v>static</v>
      </c>
      <c r="C2696" s="2" t="str">
        <f ca="1">IFERROR(__xludf.DUMMYFUNCTION("""COMPUTED_VALUE"""),"ChargeDeFi Static")</f>
        <v>ChargeDeFi Static</v>
      </c>
    </row>
    <row r="2697" spans="1:3" x14ac:dyDescent="0.25">
      <c r="A2697" s="2" t="str">
        <f ca="1">IFERROR(__xludf.DUMMYFUNCTION("""COMPUTED_VALUE"""),"charged-particles")</f>
        <v>charged-particles</v>
      </c>
      <c r="B2697" s="2" t="str">
        <f ca="1">IFERROR(__xludf.DUMMYFUNCTION("""COMPUTED_VALUE"""),"ionx")</f>
        <v>ionx</v>
      </c>
      <c r="C2697" s="2" t="str">
        <f ca="1">IFERROR(__xludf.DUMMYFUNCTION("""COMPUTED_VALUE"""),"Charged Particles")</f>
        <v>Charged Particles</v>
      </c>
    </row>
    <row r="2698" spans="1:3" x14ac:dyDescent="0.25">
      <c r="A2698" s="2" t="str">
        <f ca="1">IFERROR(__xludf.DUMMYFUNCTION("""COMPUTED_VALUE"""),"charity-dao-token")</f>
        <v>charity-dao-token</v>
      </c>
      <c r="B2698" s="2" t="str">
        <f ca="1">IFERROR(__xludf.DUMMYFUNCTION("""COMPUTED_VALUE"""),"chdao")</f>
        <v>chdao</v>
      </c>
      <c r="C2698" s="2" t="str">
        <f ca="1">IFERROR(__xludf.DUMMYFUNCTION("""COMPUTED_VALUE"""),"Charity DAO Token")</f>
        <v>Charity DAO Token</v>
      </c>
    </row>
    <row r="2699" spans="1:3" x14ac:dyDescent="0.25">
      <c r="A2699" s="2" t="str">
        <f ca="1">IFERROR(__xludf.DUMMYFUNCTION("""COMPUTED_VALUE"""),"charli3")</f>
        <v>charli3</v>
      </c>
      <c r="B2699" s="2" t="str">
        <f ca="1">IFERROR(__xludf.DUMMYFUNCTION("""COMPUTED_VALUE"""),"c3")</f>
        <v>c3</v>
      </c>
      <c r="C2699" s="2" t="str">
        <f ca="1">IFERROR(__xludf.DUMMYFUNCTION("""COMPUTED_VALUE"""),"Charli3")</f>
        <v>Charli3</v>
      </c>
    </row>
    <row r="2700" spans="1:3" x14ac:dyDescent="0.25">
      <c r="A2700" s="2" t="str">
        <f ca="1">IFERROR(__xludf.DUMMYFUNCTION("""COMPUTED_VALUE"""),"charlie")</f>
        <v>charlie</v>
      </c>
      <c r="B2700" s="2" t="str">
        <f ca="1">IFERROR(__xludf.DUMMYFUNCTION("""COMPUTED_VALUE"""),"charlie")</f>
        <v>charlie</v>
      </c>
      <c r="C2700" s="2" t="str">
        <f ca="1">IFERROR(__xludf.DUMMYFUNCTION("""COMPUTED_VALUE"""),"Charlie")</f>
        <v>Charlie</v>
      </c>
    </row>
    <row r="2701" spans="1:3" x14ac:dyDescent="0.25">
      <c r="A2701" s="2" t="str">
        <f ca="1">IFERROR(__xludf.DUMMYFUNCTION("""COMPUTED_VALUE"""),"charm")</f>
        <v>charm</v>
      </c>
      <c r="B2701" s="2" t="str">
        <f ca="1">IFERROR(__xludf.DUMMYFUNCTION("""COMPUTED_VALUE"""),"charm")</f>
        <v>charm</v>
      </c>
      <c r="C2701" s="2" t="str">
        <f ca="1">IFERROR(__xludf.DUMMYFUNCTION("""COMPUTED_VALUE"""),"Charm")</f>
        <v>Charm</v>
      </c>
    </row>
    <row r="2702" spans="1:3" x14ac:dyDescent="0.25">
      <c r="A2702" s="2" t="str">
        <f ca="1">IFERROR(__xludf.DUMMYFUNCTION("""COMPUTED_VALUE"""),"chartai")</f>
        <v>chartai</v>
      </c>
      <c r="B2702" s="2" t="str">
        <f ca="1">IFERROR(__xludf.DUMMYFUNCTION("""COMPUTED_VALUE"""),"eye")</f>
        <v>eye</v>
      </c>
      <c r="C2702" s="2" t="str">
        <f ca="1">IFERROR(__xludf.DUMMYFUNCTION("""COMPUTED_VALUE"""),"ChartAI")</f>
        <v>ChartAI</v>
      </c>
    </row>
    <row r="2703" spans="1:3" x14ac:dyDescent="0.25">
      <c r="A2703" s="2" t="str">
        <f ca="1">IFERROR(__xludf.DUMMYFUNCTION("""COMPUTED_VALUE"""),"chasm-ai")</f>
        <v>chasm-ai</v>
      </c>
      <c r="B2703" s="2" t="str">
        <f ca="1">IFERROR(__xludf.DUMMYFUNCTION("""COMPUTED_VALUE"""),"cai")</f>
        <v>cai</v>
      </c>
      <c r="C2703" s="2" t="str">
        <f ca="1">IFERROR(__xludf.DUMMYFUNCTION("""COMPUTED_VALUE"""),"Chasm")</f>
        <v>Chasm</v>
      </c>
    </row>
    <row r="2704" spans="1:3" x14ac:dyDescent="0.25">
      <c r="A2704" s="2" t="str">
        <f ca="1">IFERROR(__xludf.DUMMYFUNCTION("""COMPUTED_VALUE"""),"chatai")</f>
        <v>chatai</v>
      </c>
      <c r="B2704" s="2" t="str">
        <f ca="1">IFERROR(__xludf.DUMMYFUNCTION("""COMPUTED_VALUE"""),"chatai")</f>
        <v>chatai</v>
      </c>
      <c r="C2704" s="2" t="str">
        <f ca="1">IFERROR(__xludf.DUMMYFUNCTION("""COMPUTED_VALUE"""),"ChatAI")</f>
        <v>ChatAI</v>
      </c>
    </row>
    <row r="2705" spans="1:3" x14ac:dyDescent="0.25">
      <c r="A2705" s="2" t="str">
        <f ca="1">IFERROR(__xludf.DUMMYFUNCTION("""COMPUTED_VALUE"""),"chat-ai")</f>
        <v>chat-ai</v>
      </c>
      <c r="B2705" s="2" t="str">
        <f ca="1">IFERROR(__xludf.DUMMYFUNCTION("""COMPUTED_VALUE"""),"ai")</f>
        <v>ai</v>
      </c>
      <c r="C2705" s="2" t="str">
        <f ca="1">IFERROR(__xludf.DUMMYFUNCTION("""COMPUTED_VALUE"""),"Chat AI")</f>
        <v>Chat AI</v>
      </c>
    </row>
    <row r="2706" spans="1:3" x14ac:dyDescent="0.25">
      <c r="A2706" s="2" t="str">
        <f ca="1">IFERROR(__xludf.DUMMYFUNCTION("""COMPUTED_VALUE"""),"chat-chain")</f>
        <v>chat-chain</v>
      </c>
      <c r="B2706" s="2" t="str">
        <f ca="1">IFERROR(__xludf.DUMMYFUNCTION("""COMPUTED_VALUE"""),"chat")</f>
        <v>chat</v>
      </c>
      <c r="C2706" s="2" t="str">
        <f ca="1">IFERROR(__xludf.DUMMYFUNCTION("""COMPUTED_VALUE"""),"Chat Chain")</f>
        <v>Chat Chain</v>
      </c>
    </row>
    <row r="2707" spans="1:3" x14ac:dyDescent="0.25">
      <c r="A2707" s="2" t="str">
        <f ca="1">IFERROR(__xludf.DUMMYFUNCTION("""COMPUTED_VALUE"""),"chatni")</f>
        <v>chatni</v>
      </c>
      <c r="B2707" s="2" t="str">
        <f ca="1">IFERROR(__xludf.DUMMYFUNCTION("""COMPUTED_VALUE"""),"chatni")</f>
        <v>chatni</v>
      </c>
      <c r="C2707" s="2" t="str">
        <f ca="1">IFERROR(__xludf.DUMMYFUNCTION("""COMPUTED_VALUE"""),"Chatni")</f>
        <v>Chatni</v>
      </c>
    </row>
    <row r="2708" spans="1:3" x14ac:dyDescent="0.25">
      <c r="A2708" s="2" t="str">
        <f ca="1">IFERROR(__xludf.DUMMYFUNCTION("""COMPUTED_VALUE"""),"chatter-shield-2")</f>
        <v>chatter-shield-2</v>
      </c>
      <c r="B2708" s="2" t="str">
        <f ca="1">IFERROR(__xludf.DUMMYFUNCTION("""COMPUTED_VALUE"""),"shield")</f>
        <v>shield</v>
      </c>
      <c r="C2708" s="2" t="str">
        <f ca="1">IFERROR(__xludf.DUMMYFUNCTION("""COMPUTED_VALUE"""),"Chatter Shield")</f>
        <v>Chatter Shield</v>
      </c>
    </row>
    <row r="2709" spans="1:3" x14ac:dyDescent="0.25">
      <c r="A2709" s="2" t="str">
        <f ca="1">IFERROR(__xludf.DUMMYFUNCTION("""COMPUTED_VALUE"""),"chatxbt")</f>
        <v>chatxbt</v>
      </c>
      <c r="B2709" s="2" t="str">
        <f ca="1">IFERROR(__xludf.DUMMYFUNCTION("""COMPUTED_VALUE"""),"chatfi")</f>
        <v>chatfi</v>
      </c>
      <c r="C2709" s="2" t="str">
        <f ca="1">IFERROR(__xludf.DUMMYFUNCTION("""COMPUTED_VALUE"""),"ChatXBT")</f>
        <v>ChatXBT</v>
      </c>
    </row>
    <row r="2710" spans="1:3" x14ac:dyDescent="0.25">
      <c r="A2710" s="2" t="str">
        <f ca="1">IFERROR(__xludf.DUMMYFUNCTION("""COMPUTED_VALUE"""),"chax")</f>
        <v>chax</v>
      </c>
      <c r="B2710" s="2" t="str">
        <f ca="1">IFERROR(__xludf.DUMMYFUNCTION("""COMPUTED_VALUE"""),"chax")</f>
        <v>chax</v>
      </c>
      <c r="C2710" s="2" t="str">
        <f ca="1">IFERROR(__xludf.DUMMYFUNCTION("""COMPUTED_VALUE"""),"CHAX")</f>
        <v>CHAX</v>
      </c>
    </row>
    <row r="2711" spans="1:3" x14ac:dyDescent="0.25">
      <c r="A2711" s="2" t="str">
        <f ca="1">IFERROR(__xludf.DUMMYFUNCTION("""COMPUTED_VALUE"""),"check")</f>
        <v>check</v>
      </c>
      <c r="B2711" s="2" t="str">
        <f ca="1">IFERROR(__xludf.DUMMYFUNCTION("""COMPUTED_VALUE"""),"check")</f>
        <v>check</v>
      </c>
      <c r="C2711" s="2" t="str">
        <f ca="1">IFERROR(__xludf.DUMMYFUNCTION("""COMPUTED_VALUE"""),"CHECK")</f>
        <v>CHECK</v>
      </c>
    </row>
    <row r="2712" spans="1:3" x14ac:dyDescent="0.25">
      <c r="A2712" s="2" t="str">
        <f ca="1">IFERROR(__xludf.DUMMYFUNCTION("""COMPUTED_VALUE"""),"checkdot")</f>
        <v>checkdot</v>
      </c>
      <c r="B2712" s="2" t="str">
        <f ca="1">IFERROR(__xludf.DUMMYFUNCTION("""COMPUTED_VALUE"""),"cdt")</f>
        <v>cdt</v>
      </c>
      <c r="C2712" s="2" t="str">
        <f ca="1">IFERROR(__xludf.DUMMYFUNCTION("""COMPUTED_VALUE"""),"CheckDot")</f>
        <v>CheckDot</v>
      </c>
    </row>
    <row r="2713" spans="1:3" x14ac:dyDescent="0.25">
      <c r="A2713" s="2" t="str">
        <f ca="1">IFERROR(__xludf.DUMMYFUNCTION("""COMPUTED_VALUE"""),"checkerchain")</f>
        <v>checkerchain</v>
      </c>
      <c r="B2713" s="2" t="str">
        <f ca="1">IFERROR(__xludf.DUMMYFUNCTION("""COMPUTED_VALUE"""),"checkr")</f>
        <v>checkr</v>
      </c>
      <c r="C2713" s="2" t="str">
        <f ca="1">IFERROR(__xludf.DUMMYFUNCTION("""COMPUTED_VALUE"""),"CheckerChain")</f>
        <v>CheckerChain</v>
      </c>
    </row>
    <row r="2714" spans="1:3" x14ac:dyDescent="0.25">
      <c r="A2714" s="2" t="str">
        <f ca="1">IFERROR(__xludf.DUMMYFUNCTION("""COMPUTED_VALUE"""),"checks-token")</f>
        <v>checks-token</v>
      </c>
      <c r="B2714" s="2" t="str">
        <f ca="1">IFERROR(__xludf.DUMMYFUNCTION("""COMPUTED_VALUE"""),"checks")</f>
        <v>checks</v>
      </c>
      <c r="C2714" s="2" t="str">
        <f ca="1">IFERROR(__xludf.DUMMYFUNCTION("""COMPUTED_VALUE"""),"Checks Token")</f>
        <v>Checks Token</v>
      </c>
    </row>
    <row r="2715" spans="1:3" x14ac:dyDescent="0.25">
      <c r="A2715" s="2" t="str">
        <f ca="1">IFERROR(__xludf.DUMMYFUNCTION("""COMPUTED_VALUE"""),"checoin")</f>
        <v>checoin</v>
      </c>
      <c r="B2715" s="2" t="str">
        <f ca="1">IFERROR(__xludf.DUMMYFUNCTION("""COMPUTED_VALUE"""),"checoin")</f>
        <v>checoin</v>
      </c>
      <c r="C2715" s="2" t="str">
        <f ca="1">IFERROR(__xludf.DUMMYFUNCTION("""COMPUTED_VALUE"""),"CheCoin")</f>
        <v>CheCoin</v>
      </c>
    </row>
    <row r="2716" spans="1:3" x14ac:dyDescent="0.25">
      <c r="A2716" s="2" t="str">
        <f ca="1">IFERROR(__xludf.DUMMYFUNCTION("""COMPUTED_VALUE"""),"chedda-2")</f>
        <v>chedda-2</v>
      </c>
      <c r="B2716" s="2" t="str">
        <f ca="1">IFERROR(__xludf.DUMMYFUNCTION("""COMPUTED_VALUE"""),"chedda")</f>
        <v>chedda</v>
      </c>
      <c r="C2716" s="2" t="str">
        <f ca="1">IFERROR(__xludf.DUMMYFUNCTION("""COMPUTED_VALUE"""),"Chedda")</f>
        <v>Chedda</v>
      </c>
    </row>
    <row r="2717" spans="1:3" x14ac:dyDescent="0.25">
      <c r="A2717" s="2" t="str">
        <f ca="1">IFERROR(__xludf.DUMMYFUNCTION("""COMPUTED_VALUE"""),"cheeks")</f>
        <v>cheeks</v>
      </c>
      <c r="B2717" s="2" t="str">
        <f ca="1">IFERROR(__xludf.DUMMYFUNCTION("""COMPUTED_VALUE"""),"cheeks")</f>
        <v>cheeks</v>
      </c>
      <c r="C2717" s="2" t="str">
        <f ca="1">IFERROR(__xludf.DUMMYFUNCTION("""COMPUTED_VALUE"""),"CHEEKS")</f>
        <v>CHEEKS</v>
      </c>
    </row>
    <row r="2718" spans="1:3" x14ac:dyDescent="0.25">
      <c r="A2718" s="2" t="str">
        <f ca="1">IFERROR(__xludf.DUMMYFUNCTION("""COMPUTED_VALUE"""),"cheeky-dawg")</f>
        <v>cheeky-dawg</v>
      </c>
      <c r="B2718" s="2" t="str">
        <f ca="1">IFERROR(__xludf.DUMMYFUNCTION("""COMPUTED_VALUE"""),"dawg")</f>
        <v>dawg</v>
      </c>
      <c r="C2718" s="2" t="str">
        <f ca="1">IFERROR(__xludf.DUMMYFUNCTION("""COMPUTED_VALUE"""),"Cheeky Dawg")</f>
        <v>Cheeky Dawg</v>
      </c>
    </row>
    <row r="2719" spans="1:3" x14ac:dyDescent="0.25">
      <c r="A2719" s="2" t="str">
        <f ca="1">IFERROR(__xludf.DUMMYFUNCTION("""COMPUTED_VALUE"""),"cheelee")</f>
        <v>cheelee</v>
      </c>
      <c r="B2719" s="2" t="str">
        <f ca="1">IFERROR(__xludf.DUMMYFUNCTION("""COMPUTED_VALUE"""),"cheel")</f>
        <v>cheel</v>
      </c>
      <c r="C2719" s="2" t="str">
        <f ca="1">IFERROR(__xludf.DUMMYFUNCTION("""COMPUTED_VALUE"""),"Cheelee")</f>
        <v>Cheelee</v>
      </c>
    </row>
    <row r="2720" spans="1:3" x14ac:dyDescent="0.25">
      <c r="A2720" s="2" t="str">
        <f ca="1">IFERROR(__xludf.DUMMYFUNCTION("""COMPUTED_VALUE"""),"cheems")</f>
        <v>cheems</v>
      </c>
      <c r="B2720" s="2" t="str">
        <f ca="1">IFERROR(__xludf.DUMMYFUNCTION("""COMPUTED_VALUE"""),"cheems")</f>
        <v>cheems</v>
      </c>
      <c r="C2720" s="2" t="str">
        <f ca="1">IFERROR(__xludf.DUMMYFUNCTION("""COMPUTED_VALUE"""),"Cheems")</f>
        <v>Cheems</v>
      </c>
    </row>
    <row r="2721" spans="1:3" x14ac:dyDescent="0.25">
      <c r="A2721" s="2" t="str">
        <f ca="1">IFERROR(__xludf.DUMMYFUNCTION("""COMPUTED_VALUE"""),"cheems-cto")</f>
        <v>cheems-cto</v>
      </c>
      <c r="B2721" s="2" t="str">
        <f ca="1">IFERROR(__xludf.DUMMYFUNCTION("""COMPUTED_VALUE"""),"cheems")</f>
        <v>cheems</v>
      </c>
      <c r="C2721" s="2" t="str">
        <f ca="1">IFERROR(__xludf.DUMMYFUNCTION("""COMPUTED_VALUE"""),"Cheems CTO")</f>
        <v>Cheems CTO</v>
      </c>
    </row>
    <row r="2722" spans="1:3" x14ac:dyDescent="0.25">
      <c r="A2722" s="2" t="str">
        <f ca="1">IFERROR(__xludf.DUMMYFUNCTION("""COMPUTED_VALUE"""),"cheems-token")</f>
        <v>cheems-token</v>
      </c>
      <c r="B2722" s="2" t="str">
        <f ca="1">IFERROR(__xludf.DUMMYFUNCTION("""COMPUTED_VALUE"""),"cheems")</f>
        <v>cheems</v>
      </c>
      <c r="C2722" s="2" t="str">
        <f ca="1">IFERROR(__xludf.DUMMYFUNCTION("""COMPUTED_VALUE"""),"Cheems Token")</f>
        <v>Cheems Token</v>
      </c>
    </row>
    <row r="2723" spans="1:3" x14ac:dyDescent="0.25">
      <c r="A2723" s="2" t="str">
        <f ca="1">IFERROR(__xludf.DUMMYFUNCTION("""COMPUTED_VALUE"""),"cheepepe")</f>
        <v>cheepepe</v>
      </c>
      <c r="B2723" s="2" t="str">
        <f ca="1">IFERROR(__xludf.DUMMYFUNCTION("""COMPUTED_VALUE"""),"cheepepe")</f>
        <v>cheepepe</v>
      </c>
      <c r="C2723" s="2" t="str">
        <f ca="1">IFERROR(__xludf.DUMMYFUNCTION("""COMPUTED_VALUE"""),"cheepepe")</f>
        <v>cheepepe</v>
      </c>
    </row>
    <row r="2724" spans="1:3" x14ac:dyDescent="0.25">
      <c r="A2724" s="2" t="str">
        <f ca="1">IFERROR(__xludf.DUMMYFUNCTION("""COMPUTED_VALUE"""),"cheersland")</f>
        <v>cheersland</v>
      </c>
      <c r="B2724" s="2" t="str">
        <f ca="1">IFERROR(__xludf.DUMMYFUNCTION("""COMPUTED_VALUE"""),"cheers")</f>
        <v>cheers</v>
      </c>
      <c r="C2724" s="2" t="str">
        <f ca="1">IFERROR(__xludf.DUMMYFUNCTION("""COMPUTED_VALUE"""),"CheersLand")</f>
        <v>CheersLand</v>
      </c>
    </row>
    <row r="2725" spans="1:3" x14ac:dyDescent="0.25">
      <c r="A2725" s="2" t="str">
        <f ca="1">IFERROR(__xludf.DUMMYFUNCTION("""COMPUTED_VALUE"""),"cheese-2")</f>
        <v>cheese-2</v>
      </c>
      <c r="B2725" s="2" t="str">
        <f ca="1">IFERROR(__xludf.DUMMYFUNCTION("""COMPUTED_VALUE"""),"cheese")</f>
        <v>cheese</v>
      </c>
      <c r="C2725" s="2" t="str">
        <f ca="1">IFERROR(__xludf.DUMMYFUNCTION("""COMPUTED_VALUE"""),"Cheese")</f>
        <v>Cheese</v>
      </c>
    </row>
    <row r="2726" spans="1:3" x14ac:dyDescent="0.25">
      <c r="A2726" s="2" t="str">
        <f ca="1">IFERROR(__xludf.DUMMYFUNCTION("""COMPUTED_VALUE"""),"cheeseball")</f>
        <v>cheeseball</v>
      </c>
      <c r="B2726" s="2" t="str">
        <f ca="1">IFERROR(__xludf.DUMMYFUNCTION("""COMPUTED_VALUE"""),"cb")</f>
        <v>cb</v>
      </c>
      <c r="C2726" s="2" t="str">
        <f ca="1">IFERROR(__xludf.DUMMYFUNCTION("""COMPUTED_VALUE"""),"Cheeseball")</f>
        <v>Cheeseball</v>
      </c>
    </row>
    <row r="2727" spans="1:3" x14ac:dyDescent="0.25">
      <c r="A2727" s="2" t="str">
        <f ca="1">IFERROR(__xludf.DUMMYFUNCTION("""COMPUTED_VALUE"""),"cheeseball-the-wizard")</f>
        <v>cheeseball-the-wizard</v>
      </c>
      <c r="B2727" s="2" t="str">
        <f ca="1">IFERROR(__xludf.DUMMYFUNCTION("""COMPUTED_VALUE"""),"cheeseball")</f>
        <v>cheeseball</v>
      </c>
      <c r="C2727" s="2" t="str">
        <f ca="1">IFERROR(__xludf.DUMMYFUNCTION("""COMPUTED_VALUE"""),"Cheeseball the Wizard")</f>
        <v>Cheeseball the Wizard</v>
      </c>
    </row>
    <row r="2728" spans="1:3" x14ac:dyDescent="0.25">
      <c r="A2728" s="2" t="str">
        <f ca="1">IFERROR(__xludf.DUMMYFUNCTION("""COMPUTED_VALUE"""),"cheesecakeswap")</f>
        <v>cheesecakeswap</v>
      </c>
      <c r="B2728" s="2" t="str">
        <f ca="1">IFERROR(__xludf.DUMMYFUNCTION("""COMPUTED_VALUE"""),"ccake")</f>
        <v>ccake</v>
      </c>
      <c r="C2728" s="2" t="str">
        <f ca="1">IFERROR(__xludf.DUMMYFUNCTION("""COMPUTED_VALUE"""),"CheesecakeSwap")</f>
        <v>CheesecakeSwap</v>
      </c>
    </row>
    <row r="2729" spans="1:3" x14ac:dyDescent="0.25">
      <c r="A2729" s="2" t="str">
        <f ca="1">IFERROR(__xludf.DUMMYFUNCTION("""COMPUTED_VALUE"""),"cheesed")</f>
        <v>cheesed</v>
      </c>
      <c r="B2729" s="2" t="str">
        <f ca="1">IFERROR(__xludf.DUMMYFUNCTION("""COMPUTED_VALUE"""),"cheesed")</f>
        <v>cheesed</v>
      </c>
      <c r="C2729" s="2" t="str">
        <f ca="1">IFERROR(__xludf.DUMMYFUNCTION("""COMPUTED_VALUE"""),"Cheesed")</f>
        <v>Cheesed</v>
      </c>
    </row>
    <row r="2730" spans="1:3" x14ac:dyDescent="0.25">
      <c r="A2730" s="2" t="str">
        <f ca="1">IFERROR(__xludf.DUMMYFUNCTION("""COMPUTED_VALUE"""),"cheese-swap")</f>
        <v>cheese-swap</v>
      </c>
      <c r="B2730" s="2" t="str">
        <f ca="1">IFERROR(__xludf.DUMMYFUNCTION("""COMPUTED_VALUE"""),"cheese")</f>
        <v>cheese</v>
      </c>
      <c r="C2730" s="2" t="str">
        <f ca="1">IFERROR(__xludf.DUMMYFUNCTION("""COMPUTED_VALUE"""),"Cheese Swap")</f>
        <v>Cheese Swap</v>
      </c>
    </row>
    <row r="2731" spans="1:3" x14ac:dyDescent="0.25">
      <c r="A2731" s="2" t="str">
        <f ca="1">IFERROR(__xludf.DUMMYFUNCTION("""COMPUTED_VALUE"""),"cheetahcoin")</f>
        <v>cheetahcoin</v>
      </c>
      <c r="B2731" s="2" t="str">
        <f ca="1">IFERROR(__xludf.DUMMYFUNCTION("""COMPUTED_VALUE"""),"chta")</f>
        <v>chta</v>
      </c>
      <c r="C2731" s="2" t="str">
        <f ca="1">IFERROR(__xludf.DUMMYFUNCTION("""COMPUTED_VALUE"""),"Cheetahcoin")</f>
        <v>Cheetahcoin</v>
      </c>
    </row>
    <row r="2732" spans="1:3" x14ac:dyDescent="0.25">
      <c r="A2732" s="2" t="str">
        <f ca="1">IFERROR(__xludf.DUMMYFUNCTION("""COMPUTED_VALUE"""),"cheezburger-2")</f>
        <v>cheezburger-2</v>
      </c>
      <c r="B2732" s="2" t="str">
        <f ca="1">IFERROR(__xludf.DUMMYFUNCTION("""COMPUTED_VALUE"""),"cheez")</f>
        <v>cheez</v>
      </c>
      <c r="C2732" s="2" t="str">
        <f ca="1">IFERROR(__xludf.DUMMYFUNCTION("""COMPUTED_VALUE"""),"Cheezburger")</f>
        <v>Cheezburger</v>
      </c>
    </row>
    <row r="2733" spans="1:3" x14ac:dyDescent="0.25">
      <c r="A2733" s="2" t="str">
        <f ca="1">IFERROR(__xludf.DUMMYFUNCTION("""COMPUTED_VALUE"""),"cheezburger-cat")</f>
        <v>cheezburger-cat</v>
      </c>
      <c r="B2733" s="2" t="str">
        <f ca="1">IFERROR(__xludf.DUMMYFUNCTION("""COMPUTED_VALUE"""),"cheez")</f>
        <v>cheez</v>
      </c>
      <c r="C2733" s="2" t="str">
        <f ca="1">IFERROR(__xludf.DUMMYFUNCTION("""COMPUTED_VALUE"""),"Cheezburger Cat")</f>
        <v>Cheezburger Cat</v>
      </c>
    </row>
    <row r="2734" spans="1:3" x14ac:dyDescent="0.25">
      <c r="A2734" s="2" t="str">
        <f ca="1">IFERROR(__xludf.DUMMYFUNCTION("""COMPUTED_VALUE"""),"chefdotfun")</f>
        <v>chefdotfun</v>
      </c>
      <c r="B2734" s="2" t="str">
        <f ca="1">IFERROR(__xludf.DUMMYFUNCTION("""COMPUTED_VALUE"""),"chef")</f>
        <v>chef</v>
      </c>
      <c r="C2734" s="2" t="str">
        <f ca="1">IFERROR(__xludf.DUMMYFUNCTION("""COMPUTED_VALUE"""),"Chefdotfun")</f>
        <v>Chefdotfun</v>
      </c>
    </row>
    <row r="2735" spans="1:3" x14ac:dyDescent="0.25">
      <c r="A2735" s="2" t="str">
        <f ca="1">IFERROR(__xludf.DUMMYFUNCTION("""COMPUTED_VALUE"""),"chengshi")</f>
        <v>chengshi</v>
      </c>
      <c r="B2735" s="2" t="str">
        <f ca="1">IFERROR(__xludf.DUMMYFUNCTION("""COMPUTED_VALUE"""),"cheng")</f>
        <v>cheng</v>
      </c>
      <c r="C2735" s="2" t="str">
        <f ca="1">IFERROR(__xludf.DUMMYFUNCTION("""COMPUTED_VALUE"""),"Chengshi")</f>
        <v>Chengshi</v>
      </c>
    </row>
    <row r="2736" spans="1:3" x14ac:dyDescent="0.25">
      <c r="A2736" s="2" t="str">
        <f ca="1">IFERROR(__xludf.DUMMYFUNCTION("""COMPUTED_VALUE"""),"cheqd-network")</f>
        <v>cheqd-network</v>
      </c>
      <c r="B2736" s="2" t="str">
        <f ca="1">IFERROR(__xludf.DUMMYFUNCTION("""COMPUTED_VALUE"""),"cheq")</f>
        <v>cheq</v>
      </c>
      <c r="C2736" s="2" t="str">
        <f ca="1">IFERROR(__xludf.DUMMYFUNCTION("""COMPUTED_VALUE"""),"CHEQD Network")</f>
        <v>CHEQD Network</v>
      </c>
    </row>
    <row r="2737" spans="1:3" x14ac:dyDescent="0.25">
      <c r="A2737" s="2" t="str">
        <f ca="1">IFERROR(__xludf.DUMMYFUNCTION("""COMPUTED_VALUE"""),"cherrylend")</f>
        <v>cherrylend</v>
      </c>
      <c r="B2737" s="2" t="str">
        <f ca="1">IFERROR(__xludf.DUMMYFUNCTION("""COMPUTED_VALUE"""),"chry")</f>
        <v>chry</v>
      </c>
      <c r="C2737" s="2" t="str">
        <f ca="1">IFERROR(__xludf.DUMMYFUNCTION("""COMPUTED_VALUE"""),"CherryLend")</f>
        <v>CherryLend</v>
      </c>
    </row>
    <row r="2738" spans="1:3" x14ac:dyDescent="0.25">
      <c r="A2738" s="2" t="str">
        <f ca="1">IFERROR(__xludf.DUMMYFUNCTION("""COMPUTED_VALUE"""),"cherry-network")</f>
        <v>cherry-network</v>
      </c>
      <c r="B2738" s="2" t="str">
        <f ca="1">IFERROR(__xludf.DUMMYFUNCTION("""COMPUTED_VALUE"""),"cher")</f>
        <v>cher</v>
      </c>
      <c r="C2738" s="2" t="str">
        <f ca="1">IFERROR(__xludf.DUMMYFUNCTION("""COMPUTED_VALUE"""),"Cherry Network")</f>
        <v>Cherry Network</v>
      </c>
    </row>
    <row r="2739" spans="1:3" x14ac:dyDescent="0.25">
      <c r="A2739" s="2" t="str">
        <f ca="1">IFERROR(__xludf.DUMMYFUNCTION("""COMPUTED_VALUE"""),"chesscoin-0-32")</f>
        <v>chesscoin-0-32</v>
      </c>
      <c r="B2739" s="2" t="str">
        <f ca="1">IFERROR(__xludf.DUMMYFUNCTION("""COMPUTED_VALUE"""),"chess")</f>
        <v>chess</v>
      </c>
      <c r="C2739" s="2" t="str">
        <f ca="1">IFERROR(__xludf.DUMMYFUNCTION("""COMPUTED_VALUE"""),"ChessCoin 0.32%")</f>
        <v>ChessCoin 0.32%</v>
      </c>
    </row>
    <row r="2740" spans="1:3" x14ac:dyDescent="0.25">
      <c r="A2740" s="2" t="str">
        <f ca="1">IFERROR(__xludf.DUMMYFUNCTION("""COMPUTED_VALUE"""),"chewy")</f>
        <v>chewy</v>
      </c>
      <c r="B2740" s="2" t="str">
        <f ca="1">IFERROR(__xludf.DUMMYFUNCTION("""COMPUTED_VALUE"""),"chwy")</f>
        <v>chwy</v>
      </c>
      <c r="C2740" s="2" t="str">
        <f ca="1">IFERROR(__xludf.DUMMYFUNCTION("""COMPUTED_VALUE"""),"CHEWY")</f>
        <v>CHEWY</v>
      </c>
    </row>
    <row r="2741" spans="1:3" x14ac:dyDescent="0.25">
      <c r="A2741" s="2" t="str">
        <f ca="1">IFERROR(__xludf.DUMMYFUNCTION("""COMPUTED_VALUE"""),"chewy-on-sol")</f>
        <v>chewy-on-sol</v>
      </c>
      <c r="B2741" s="2" t="str">
        <f ca="1">IFERROR(__xludf.DUMMYFUNCTION("""COMPUTED_VALUE"""),"chwy")</f>
        <v>chwy</v>
      </c>
      <c r="C2741" s="2" t="str">
        <f ca="1">IFERROR(__xludf.DUMMYFUNCTION("""COMPUTED_VALUE"""),"CHEWY")</f>
        <v>CHEWY</v>
      </c>
    </row>
    <row r="2742" spans="1:3" x14ac:dyDescent="0.25">
      <c r="A2742" s="2" t="str">
        <f ca="1">IFERROR(__xludf.DUMMYFUNCTION("""COMPUTED_VALUE"""),"chewyswap")</f>
        <v>chewyswap</v>
      </c>
      <c r="B2742" s="2" t="str">
        <f ca="1">IFERROR(__xludf.DUMMYFUNCTION("""COMPUTED_VALUE"""),"chewy")</f>
        <v>chewy</v>
      </c>
      <c r="C2742" s="2" t="str">
        <f ca="1">IFERROR(__xludf.DUMMYFUNCTION("""COMPUTED_VALUE"""),"Chewyswap")</f>
        <v>Chewyswap</v>
      </c>
    </row>
    <row r="2743" spans="1:3" x14ac:dyDescent="0.25">
      <c r="A2743" s="2" t="str">
        <f ca="1">IFERROR(__xludf.DUMMYFUNCTION("""COMPUTED_VALUE"""),"chewy-token")</f>
        <v>chewy-token</v>
      </c>
      <c r="B2743" s="2" t="str">
        <f ca="1">IFERROR(__xludf.DUMMYFUNCTION("""COMPUTED_VALUE"""),"chew")</f>
        <v>chew</v>
      </c>
      <c r="C2743" s="2" t="str">
        <f ca="1">IFERROR(__xludf.DUMMYFUNCTION("""COMPUTED_VALUE"""),"Chewy Token")</f>
        <v>Chewy Token</v>
      </c>
    </row>
    <row r="2744" spans="1:3" x14ac:dyDescent="0.25">
      <c r="A2744" s="2" t="str">
        <f ca="1">IFERROR(__xludf.DUMMYFUNCTION("""COMPUTED_VALUE"""),"chexbacca")</f>
        <v>chexbacca</v>
      </c>
      <c r="B2744" s="2" t="str">
        <f ca="1">IFERROR(__xludf.DUMMYFUNCTION("""COMPUTED_VALUE"""),"chexbacca")</f>
        <v>chexbacca</v>
      </c>
      <c r="C2744" s="2" t="str">
        <f ca="1">IFERROR(__xludf.DUMMYFUNCTION("""COMPUTED_VALUE"""),"CHEXBACCA")</f>
        <v>CHEXBACCA</v>
      </c>
    </row>
    <row r="2745" spans="1:3" x14ac:dyDescent="0.25">
      <c r="A2745" s="2" t="str">
        <f ca="1">IFERROR(__xludf.DUMMYFUNCTION("""COMPUTED_VALUE"""),"chex-token")</f>
        <v>chex-token</v>
      </c>
      <c r="B2745" s="2" t="str">
        <f ca="1">IFERROR(__xludf.DUMMYFUNCTION("""COMPUTED_VALUE"""),"chex")</f>
        <v>chex</v>
      </c>
      <c r="C2745" s="2" t="str">
        <f ca="1">IFERROR(__xludf.DUMMYFUNCTION("""COMPUTED_VALUE"""),"CHEX Token")</f>
        <v>CHEX Token</v>
      </c>
    </row>
    <row r="2746" spans="1:3" x14ac:dyDescent="0.25">
      <c r="A2746" s="2" t="str">
        <f ca="1">IFERROR(__xludf.DUMMYFUNCTION("""COMPUTED_VALUE"""),"chia")</f>
        <v>chia</v>
      </c>
      <c r="B2746" s="2" t="str">
        <f ca="1">IFERROR(__xludf.DUMMYFUNCTION("""COMPUTED_VALUE"""),"xch")</f>
        <v>xch</v>
      </c>
      <c r="C2746" s="2" t="str">
        <f ca="1">IFERROR(__xludf.DUMMYFUNCTION("""COMPUTED_VALUE"""),"Chia")</f>
        <v>Chia</v>
      </c>
    </row>
    <row r="2747" spans="1:3" x14ac:dyDescent="0.25">
      <c r="A2747" s="2" t="str">
        <f ca="1">IFERROR(__xludf.DUMMYFUNCTION("""COMPUTED_VALUE"""),"chiba-neko")</f>
        <v>chiba-neko</v>
      </c>
      <c r="B2747" s="2" t="str">
        <f ca="1">IFERROR(__xludf.DUMMYFUNCTION("""COMPUTED_VALUE"""),"talk")</f>
        <v>talk</v>
      </c>
      <c r="C2747" s="2" t="str">
        <f ca="1">IFERROR(__xludf.DUMMYFUNCTION("""COMPUTED_VALUE"""),"Talk AI")</f>
        <v>Talk AI</v>
      </c>
    </row>
    <row r="2748" spans="1:3" x14ac:dyDescent="0.25">
      <c r="A2748" s="2" t="str">
        <f ca="1">IFERROR(__xludf.DUMMYFUNCTION("""COMPUTED_VALUE"""),"chibi")</f>
        <v>chibi</v>
      </c>
      <c r="B2748" s="2" t="str">
        <f ca="1">IFERROR(__xludf.DUMMYFUNCTION("""COMPUTED_VALUE"""),"chibi")</f>
        <v>chibi</v>
      </c>
      <c r="C2748" s="2" t="str">
        <f ca="1">IFERROR(__xludf.DUMMYFUNCTION("""COMPUTED_VALUE"""),"chibi")</f>
        <v>chibi</v>
      </c>
    </row>
    <row r="2749" spans="1:3" x14ac:dyDescent="0.25">
      <c r="A2749" s="2" t="str">
        <f ca="1">IFERROR(__xludf.DUMMYFUNCTION("""COMPUTED_VALUE"""),"chica-chain")</f>
        <v>chica-chain</v>
      </c>
      <c r="B2749" s="2" t="str">
        <f ca="1">IFERROR(__xludf.DUMMYFUNCTION("""COMPUTED_VALUE"""),"chica")</f>
        <v>chica</v>
      </c>
      <c r="C2749" s="2" t="str">
        <f ca="1">IFERROR(__xludf.DUMMYFUNCTION("""COMPUTED_VALUE"""),"Chica Chain")</f>
        <v>Chica Chain</v>
      </c>
    </row>
    <row r="2750" spans="1:3" x14ac:dyDescent="0.25">
      <c r="A2750" s="2" t="str">
        <f ca="1">IFERROR(__xludf.DUMMYFUNCTION("""COMPUTED_VALUE"""),"chicken")</f>
        <v>chicken</v>
      </c>
      <c r="B2750" s="2" t="str">
        <f ca="1">IFERROR(__xludf.DUMMYFUNCTION("""COMPUTED_VALUE"""),"kfc")</f>
        <v>kfc</v>
      </c>
      <c r="C2750" s="2" t="str">
        <f ca="1">IFERROR(__xludf.DUMMYFUNCTION("""COMPUTED_VALUE"""),"Chicken")</f>
        <v>Chicken</v>
      </c>
    </row>
    <row r="2751" spans="1:3" x14ac:dyDescent="0.25">
      <c r="A2751" s="2" t="str">
        <f ca="1">IFERROR(__xludf.DUMMYFUNCTION("""COMPUTED_VALUE"""),"chickencoin")</f>
        <v>chickencoin</v>
      </c>
      <c r="B2751" s="2" t="str">
        <f ca="1">IFERROR(__xludf.DUMMYFUNCTION("""COMPUTED_VALUE"""),"chkn")</f>
        <v>chkn</v>
      </c>
      <c r="C2751" s="2" t="str">
        <f ca="1">IFERROR(__xludf.DUMMYFUNCTION("""COMPUTED_VALUE"""),"Chickencoin")</f>
        <v>Chickencoin</v>
      </c>
    </row>
    <row r="2752" spans="1:3" x14ac:dyDescent="0.25">
      <c r="A2752" s="2" t="str">
        <f ca="1">IFERROR(__xludf.DUMMYFUNCTION("""COMPUTED_VALUE"""),"chicken-town")</f>
        <v>chicken-town</v>
      </c>
      <c r="B2752" s="2" t="str">
        <f ca="1">IFERROR(__xludf.DUMMYFUNCTION("""COMPUTED_VALUE"""),"chickentown")</f>
        <v>chickentown</v>
      </c>
      <c r="C2752" s="2" t="str">
        <f ca="1">IFERROR(__xludf.DUMMYFUNCTION("""COMPUTED_VALUE"""),"Chicken Town")</f>
        <v>Chicken Town</v>
      </c>
    </row>
    <row r="2753" spans="1:3" x14ac:dyDescent="0.25">
      <c r="A2753" s="2" t="str">
        <f ca="1">IFERROR(__xludf.DUMMYFUNCTION("""COMPUTED_VALUE"""),"chicky")</f>
        <v>chicky</v>
      </c>
      <c r="B2753" s="2" t="str">
        <f ca="1">IFERROR(__xludf.DUMMYFUNCTION("""COMPUTED_VALUE"""),"chicky")</f>
        <v>chicky</v>
      </c>
      <c r="C2753" s="2" t="str">
        <f ca="1">IFERROR(__xludf.DUMMYFUNCTION("""COMPUTED_VALUE"""),"Chicky")</f>
        <v>Chicky</v>
      </c>
    </row>
    <row r="2754" spans="1:3" x14ac:dyDescent="0.25">
      <c r="A2754" s="2" t="str">
        <f ca="1">IFERROR(__xludf.DUMMYFUNCTION("""COMPUTED_VALUE"""),"chief-troll-officer")</f>
        <v>chief-troll-officer</v>
      </c>
      <c r="B2754" s="2" t="str">
        <f ca="1">IFERROR(__xludf.DUMMYFUNCTION("""COMPUTED_VALUE"""),"cto")</f>
        <v>cto</v>
      </c>
      <c r="C2754" s="2" t="str">
        <f ca="1">IFERROR(__xludf.DUMMYFUNCTION("""COMPUTED_VALUE"""),"Chief Troll Officer")</f>
        <v>Chief Troll Officer</v>
      </c>
    </row>
    <row r="2755" spans="1:3" x14ac:dyDescent="0.25">
      <c r="A2755" s="2" t="str">
        <f ca="1">IFERROR(__xludf.DUMMYFUNCTION("""COMPUTED_VALUE"""),"chief-troll-officer-2")</f>
        <v>chief-troll-officer-2</v>
      </c>
      <c r="B2755" s="2" t="str">
        <f ca="1">IFERROR(__xludf.DUMMYFUNCTION("""COMPUTED_VALUE"""),"cto")</f>
        <v>cto</v>
      </c>
      <c r="C2755" s="2" t="str">
        <f ca="1">IFERROR(__xludf.DUMMYFUNCTION("""COMPUTED_VALUE"""),"Chief Troll Officer")</f>
        <v>Chief Troll Officer</v>
      </c>
    </row>
    <row r="2756" spans="1:3" x14ac:dyDescent="0.25">
      <c r="A2756" s="2" t="str">
        <f ca="1">IFERROR(__xludf.DUMMYFUNCTION("""COMPUTED_VALUE"""),"chief-troll-officer-3")</f>
        <v>chief-troll-officer-3</v>
      </c>
      <c r="B2756" s="2" t="str">
        <f ca="1">IFERROR(__xludf.DUMMYFUNCTION("""COMPUTED_VALUE"""),"cto")</f>
        <v>cto</v>
      </c>
      <c r="C2756" s="2" t="str">
        <f ca="1">IFERROR(__xludf.DUMMYFUNCTION("""COMPUTED_VALUE"""),"Chief Troll Officer")</f>
        <v>Chief Troll Officer</v>
      </c>
    </row>
    <row r="2757" spans="1:3" x14ac:dyDescent="0.25">
      <c r="A2757" s="2" t="str">
        <f ca="1">IFERROR(__xludf.DUMMYFUNCTION("""COMPUTED_VALUE"""),"chihuahua")</f>
        <v>chihuahua</v>
      </c>
      <c r="B2757" s="2" t="str">
        <f ca="1">IFERROR(__xludf.DUMMYFUNCTION("""COMPUTED_VALUE"""),"hua")</f>
        <v>hua</v>
      </c>
      <c r="C2757" s="2" t="str">
        <f ca="1">IFERROR(__xludf.DUMMYFUNCTION("""COMPUTED_VALUE"""),"Chihuahua")</f>
        <v>Chihuahua</v>
      </c>
    </row>
    <row r="2758" spans="1:3" x14ac:dyDescent="0.25">
      <c r="A2758" s="2" t="str">
        <f ca="1">IFERROR(__xludf.DUMMYFUNCTION("""COMPUTED_VALUE"""),"chihuahua-token")</f>
        <v>chihuahua-token</v>
      </c>
      <c r="B2758" s="2" t="str">
        <f ca="1">IFERROR(__xludf.DUMMYFUNCTION("""COMPUTED_VALUE"""),"huahua")</f>
        <v>huahua</v>
      </c>
      <c r="C2758" s="2" t="str">
        <f ca="1">IFERROR(__xludf.DUMMYFUNCTION("""COMPUTED_VALUE"""),"Chihuahua Chain")</f>
        <v>Chihuahua Chain</v>
      </c>
    </row>
    <row r="2759" spans="1:3" x14ac:dyDescent="0.25">
      <c r="A2759" s="2" t="str">
        <f ca="1">IFERROR(__xludf.DUMMYFUNCTION("""COMPUTED_VALUE"""),"chiitan")</f>
        <v>chiitan</v>
      </c>
      <c r="B2759" s="2" t="str">
        <f ca="1">IFERROR(__xludf.DUMMYFUNCTION("""COMPUTED_VALUE"""),"chiitan")</f>
        <v>chiitan</v>
      </c>
      <c r="C2759" s="2" t="str">
        <f ca="1">IFERROR(__xludf.DUMMYFUNCTION("""COMPUTED_VALUE"""),"Chiitan")</f>
        <v>Chiitan</v>
      </c>
    </row>
    <row r="2760" spans="1:3" x14ac:dyDescent="0.25">
      <c r="A2760" s="2" t="str">
        <f ca="1">IFERROR(__xludf.DUMMYFUNCTION("""COMPUTED_VALUE"""),"chikincoin")</f>
        <v>chikincoin</v>
      </c>
      <c r="B2760" s="2" t="str">
        <f ca="1">IFERROR(__xludf.DUMMYFUNCTION("""COMPUTED_VALUE"""),"ckc")</f>
        <v>ckc</v>
      </c>
      <c r="C2760" s="2" t="str">
        <f ca="1">IFERROR(__xludf.DUMMYFUNCTION("""COMPUTED_VALUE"""),"ChikinCoin")</f>
        <v>ChikinCoin</v>
      </c>
    </row>
    <row r="2761" spans="1:3" x14ac:dyDescent="0.25">
      <c r="A2761" s="2" t="str">
        <f ca="1">IFERROR(__xludf.DUMMYFUNCTION("""COMPUTED_VALUE"""),"chikn-egg")</f>
        <v>chikn-egg</v>
      </c>
      <c r="B2761" s="2" t="str">
        <f ca="1">IFERROR(__xludf.DUMMYFUNCTION("""COMPUTED_VALUE"""),"egg")</f>
        <v>egg</v>
      </c>
      <c r="C2761" s="2" t="str">
        <f ca="1">IFERROR(__xludf.DUMMYFUNCTION("""COMPUTED_VALUE"""),"Chikn Egg")</f>
        <v>Chikn Egg</v>
      </c>
    </row>
    <row r="2762" spans="1:3" x14ac:dyDescent="0.25">
      <c r="A2762" s="2" t="str">
        <f ca="1">IFERROR(__xludf.DUMMYFUNCTION("""COMPUTED_VALUE"""),"chikn-feed")</f>
        <v>chikn-feed</v>
      </c>
      <c r="B2762" s="2" t="str">
        <f ca="1">IFERROR(__xludf.DUMMYFUNCTION("""COMPUTED_VALUE"""),"feed")</f>
        <v>feed</v>
      </c>
      <c r="C2762" s="2" t="str">
        <f ca="1">IFERROR(__xludf.DUMMYFUNCTION("""COMPUTED_VALUE"""),"chikn feed")</f>
        <v>chikn feed</v>
      </c>
    </row>
    <row r="2763" spans="1:3" x14ac:dyDescent="0.25">
      <c r="A2763" s="2" t="str">
        <f ca="1">IFERROR(__xludf.DUMMYFUNCTION("""COMPUTED_VALUE"""),"chikn-fert")</f>
        <v>chikn-fert</v>
      </c>
      <c r="B2763" s="2" t="str">
        <f ca="1">IFERROR(__xludf.DUMMYFUNCTION("""COMPUTED_VALUE"""),"fert")</f>
        <v>fert</v>
      </c>
      <c r="C2763" s="2" t="str">
        <f ca="1">IFERROR(__xludf.DUMMYFUNCTION("""COMPUTED_VALUE"""),"Chikn Fert")</f>
        <v>Chikn Fert</v>
      </c>
    </row>
    <row r="2764" spans="1:3" x14ac:dyDescent="0.25">
      <c r="A2764" s="2" t="str">
        <f ca="1">IFERROR(__xludf.DUMMYFUNCTION("""COMPUTED_VALUE"""),"chikn-worm")</f>
        <v>chikn-worm</v>
      </c>
      <c r="B2764" s="2" t="str">
        <f ca="1">IFERROR(__xludf.DUMMYFUNCTION("""COMPUTED_VALUE"""),"worm")</f>
        <v>worm</v>
      </c>
      <c r="C2764" s="2" t="str">
        <f ca="1">IFERROR(__xludf.DUMMYFUNCTION("""COMPUTED_VALUE"""),"Chikn Worm")</f>
        <v>Chikn Worm</v>
      </c>
    </row>
    <row r="2765" spans="1:3" x14ac:dyDescent="0.25">
      <c r="A2765" s="2" t="str">
        <f ca="1">IFERROR(__xludf.DUMMYFUNCTION("""COMPUTED_VALUE"""),"childhoods-end")</f>
        <v>childhoods-end</v>
      </c>
      <c r="B2765" s="2" t="str">
        <f ca="1">IFERROR(__xludf.DUMMYFUNCTION("""COMPUTED_VALUE"""),"o")</f>
        <v>o</v>
      </c>
      <c r="C2765" s="2" t="str">
        <f ca="1">IFERROR(__xludf.DUMMYFUNCTION("""COMPUTED_VALUE"""),"Childhoods End")</f>
        <v>Childhoods End</v>
      </c>
    </row>
    <row r="2766" spans="1:3" x14ac:dyDescent="0.25">
      <c r="A2766" s="2" t="str">
        <f ca="1">IFERROR(__xludf.DUMMYFUNCTION("""COMPUTED_VALUE"""),"childrens-aid-foundation")</f>
        <v>childrens-aid-foundation</v>
      </c>
      <c r="B2766" s="2" t="str">
        <f ca="1">IFERROR(__xludf.DUMMYFUNCTION("""COMPUTED_VALUE"""),"caf")</f>
        <v>caf</v>
      </c>
      <c r="C2766" s="2" t="str">
        <f ca="1">IFERROR(__xludf.DUMMYFUNCTION("""COMPUTED_VALUE"""),"Childrens Aid Foundation")</f>
        <v>Childrens Aid Foundation</v>
      </c>
    </row>
    <row r="2767" spans="1:3" x14ac:dyDescent="0.25">
      <c r="A2767" s="2" t="str">
        <f ca="1">IFERROR(__xludf.DUMMYFUNCTION("""COMPUTED_VALUE"""),"child-support")</f>
        <v>child-support</v>
      </c>
      <c r="B2767" s="2" t="str">
        <f ca="1">IFERROR(__xludf.DUMMYFUNCTION("""COMPUTED_VALUE"""),"$cs")</f>
        <v>$cs</v>
      </c>
      <c r="C2767" s="2" t="str">
        <f ca="1">IFERROR(__xludf.DUMMYFUNCTION("""COMPUTED_VALUE"""),"Child Support")</f>
        <v>Child Support</v>
      </c>
    </row>
    <row r="2768" spans="1:3" x14ac:dyDescent="0.25">
      <c r="A2768" s="2" t="str">
        <f ca="1">IFERROR(__xludf.DUMMYFUNCTION("""COMPUTED_VALUE"""),"chili")</f>
        <v>chili</v>
      </c>
      <c r="B2768" s="2" t="str">
        <f ca="1">IFERROR(__xludf.DUMMYFUNCTION("""COMPUTED_VALUE"""),"chili")</f>
        <v>chili</v>
      </c>
      <c r="C2768" s="2" t="str">
        <f ca="1">IFERROR(__xludf.DUMMYFUNCTION("""COMPUTED_VALUE"""),"CHILI")</f>
        <v>CHILI</v>
      </c>
    </row>
    <row r="2769" spans="1:3" x14ac:dyDescent="0.25">
      <c r="A2769" s="2" t="str">
        <f ca="1">IFERROR(__xludf.DUMMYFUNCTION("""COMPUTED_VALUE"""),"chiliz")</f>
        <v>chiliz</v>
      </c>
      <c r="B2769" s="2" t="str">
        <f ca="1">IFERROR(__xludf.DUMMYFUNCTION("""COMPUTED_VALUE"""),"chz")</f>
        <v>chz</v>
      </c>
      <c r="C2769" s="2" t="str">
        <f ca="1">IFERROR(__xludf.DUMMYFUNCTION("""COMPUTED_VALUE"""),"Chiliz")</f>
        <v>Chiliz</v>
      </c>
    </row>
    <row r="2770" spans="1:3" x14ac:dyDescent="0.25">
      <c r="A2770" s="2" t="str">
        <f ca="1">IFERROR(__xludf.DUMMYFUNCTION("""COMPUTED_VALUE"""),"chiliz-inu")</f>
        <v>chiliz-inu</v>
      </c>
      <c r="B2770" s="2" t="str">
        <f ca="1">IFERROR(__xludf.DUMMYFUNCTION("""COMPUTED_VALUE"""),"chzinu")</f>
        <v>chzinu</v>
      </c>
      <c r="C2770" s="2" t="str">
        <f ca="1">IFERROR(__xludf.DUMMYFUNCTION("""COMPUTED_VALUE"""),"Chiliz Inu")</f>
        <v>Chiliz Inu</v>
      </c>
    </row>
    <row r="2771" spans="1:3" x14ac:dyDescent="0.25">
      <c r="A2771" s="2" t="str">
        <f ca="1">IFERROR(__xludf.DUMMYFUNCTION("""COMPUTED_VALUE"""),"chillpill")</f>
        <v>chillpill</v>
      </c>
      <c r="B2771" s="2" t="str">
        <f ca="1">IFERROR(__xludf.DUMMYFUNCTION("""COMPUTED_VALUE"""),"$chill")</f>
        <v>$chill</v>
      </c>
      <c r="C2771" s="2" t="str">
        <f ca="1">IFERROR(__xludf.DUMMYFUNCTION("""COMPUTED_VALUE"""),"ChillPill")</f>
        <v>ChillPill</v>
      </c>
    </row>
    <row r="2772" spans="1:3" x14ac:dyDescent="0.25">
      <c r="A2772" s="2" t="str">
        <f ca="1">IFERROR(__xludf.DUMMYFUNCTION("""COMPUTED_VALUE"""),"chillwhales")</f>
        <v>chillwhales</v>
      </c>
      <c r="B2772" s="2" t="str">
        <f ca="1">IFERROR(__xludf.DUMMYFUNCTION("""COMPUTED_VALUE"""),"$chill")</f>
        <v>$chill</v>
      </c>
      <c r="C2772" s="2" t="str">
        <f ca="1">IFERROR(__xludf.DUMMYFUNCTION("""COMPUTED_VALUE"""),"chill")</f>
        <v>chill</v>
      </c>
    </row>
    <row r="2773" spans="1:3" x14ac:dyDescent="0.25">
      <c r="A2773" s="2" t="str">
        <f ca="1">IFERROR(__xludf.DUMMYFUNCTION("""COMPUTED_VALUE"""),"chilly")</f>
        <v>chilly</v>
      </c>
      <c r="B2773" s="2" t="str">
        <f ca="1">IFERROR(__xludf.DUMMYFUNCTION("""COMPUTED_VALUE"""),"chilly")</f>
        <v>chilly</v>
      </c>
      <c r="C2773" s="2" t="str">
        <f ca="1">IFERROR(__xludf.DUMMYFUNCTION("""COMPUTED_VALUE"""),"Chilly")</f>
        <v>Chilly</v>
      </c>
    </row>
    <row r="2774" spans="1:3" x14ac:dyDescent="0.25">
      <c r="A2774" s="2" t="str">
        <f ca="1">IFERROR(__xludf.DUMMYFUNCTION("""COMPUTED_VALUE"""),"chimaera")</f>
        <v>chimaera</v>
      </c>
      <c r="B2774" s="2" t="str">
        <f ca="1">IFERROR(__xludf.DUMMYFUNCTION("""COMPUTED_VALUE"""),"wchi")</f>
        <v>wchi</v>
      </c>
      <c r="C2774" s="2" t="str">
        <f ca="1">IFERROR(__xludf.DUMMYFUNCTION("""COMPUTED_VALUE"""),"XAYA")</f>
        <v>XAYA</v>
      </c>
    </row>
    <row r="2775" spans="1:3" x14ac:dyDescent="0.25">
      <c r="A2775" s="2" t="str">
        <f ca="1">IFERROR(__xludf.DUMMYFUNCTION("""COMPUTED_VALUE"""),"chimpzee-chmpz")</f>
        <v>chimpzee-chmpz</v>
      </c>
      <c r="B2775" s="2" t="str">
        <f ca="1">IFERROR(__xludf.DUMMYFUNCTION("""COMPUTED_VALUE"""),"chmpz")</f>
        <v>chmpz</v>
      </c>
      <c r="C2775" s="2" t="str">
        <f ca="1">IFERROR(__xludf.DUMMYFUNCTION("""COMPUTED_VALUE"""),"Chimpzee (CHMPZ）")</f>
        <v>Chimpzee (CHMPZ）</v>
      </c>
    </row>
    <row r="2776" spans="1:3" x14ac:dyDescent="0.25">
      <c r="A2776" s="2" t="str">
        <f ca="1">IFERROR(__xludf.DUMMYFUNCTION("""COMPUTED_VALUE"""),"chinese-andy")</f>
        <v>chinese-andy</v>
      </c>
      <c r="B2776" s="2" t="str">
        <f ca="1">IFERROR(__xludf.DUMMYFUNCTION("""COMPUTED_VALUE"""),"andwu")</f>
        <v>andwu</v>
      </c>
      <c r="C2776" s="2" t="str">
        <f ca="1">IFERROR(__xludf.DUMMYFUNCTION("""COMPUTED_VALUE"""),"Chinese Andy")</f>
        <v>Chinese Andy</v>
      </c>
    </row>
    <row r="2777" spans="1:3" x14ac:dyDescent="0.25">
      <c r="A2777" s="2" t="str">
        <f ca="1">IFERROR(__xludf.DUMMYFUNCTION("""COMPUTED_VALUE"""),"chinese-brett")</f>
        <v>chinese-brett</v>
      </c>
      <c r="B2777" s="2" t="str">
        <f ca="1">IFERROR(__xludf.DUMMYFUNCTION("""COMPUTED_VALUE"""),"chrett")</f>
        <v>chrett</v>
      </c>
      <c r="C2777" s="2" t="str">
        <f ca="1">IFERROR(__xludf.DUMMYFUNCTION("""COMPUTED_VALUE"""),"Chinese Brett")</f>
        <v>Chinese Brett</v>
      </c>
    </row>
    <row r="2778" spans="1:3" x14ac:dyDescent="0.25">
      <c r="A2778" s="2" t="str">
        <f ca="1">IFERROR(__xludf.DUMMYFUNCTION("""COMPUTED_VALUE"""),"chinese-pepe")</f>
        <v>chinese-pepe</v>
      </c>
      <c r="B2778" s="2" t="str">
        <f ca="1">IFERROR(__xludf.DUMMYFUNCTION("""COMPUTED_VALUE"""),"peipei")</f>
        <v>peipei</v>
      </c>
      <c r="C2778" s="2" t="str">
        <f ca="1">IFERROR(__xludf.DUMMYFUNCTION("""COMPUTED_VALUE"""),"Chinese PEPE")</f>
        <v>Chinese PEPE</v>
      </c>
    </row>
    <row r="2779" spans="1:3" x14ac:dyDescent="0.25">
      <c r="A2779" s="2" t="str">
        <f ca="1">IFERROR(__xludf.DUMMYFUNCTION("""COMPUTED_VALUE"""),"chinese-toshi")</f>
        <v>chinese-toshi</v>
      </c>
      <c r="B2779" s="2" t="str">
        <f ca="1">IFERROR(__xludf.DUMMYFUNCTION("""COMPUTED_VALUE"""),"ctoshi")</f>
        <v>ctoshi</v>
      </c>
      <c r="C2779" s="2" t="str">
        <f ca="1">IFERROR(__xludf.DUMMYFUNCTION("""COMPUTED_VALUE"""),"Chinese Toshi")</f>
        <v>Chinese Toshi</v>
      </c>
    </row>
    <row r="2780" spans="1:3" x14ac:dyDescent="0.25">
      <c r="A2780" s="2" t="str">
        <f ca="1">IFERROR(__xludf.DUMMYFUNCTION("""COMPUTED_VALUE"""),"chinu-2")</f>
        <v>chinu-2</v>
      </c>
      <c r="B2780" s="2" t="str">
        <f ca="1">IFERROR(__xludf.DUMMYFUNCTION("""COMPUTED_VALUE"""),"chinu")</f>
        <v>chinu</v>
      </c>
      <c r="C2780" s="2" t="str">
        <f ca="1">IFERROR(__xludf.DUMMYFUNCTION("""COMPUTED_VALUE"""),"Chinu")</f>
        <v>Chinu</v>
      </c>
    </row>
    <row r="2781" spans="1:3" x14ac:dyDescent="0.25">
      <c r="A2781" s="2" t="str">
        <f ca="1">IFERROR(__xludf.DUMMYFUNCTION("""COMPUTED_VALUE"""),"chipi")</f>
        <v>chipi</v>
      </c>
      <c r="B2781" s="2" t="str">
        <f ca="1">IFERROR(__xludf.DUMMYFUNCTION("""COMPUTED_VALUE"""),"chipi")</f>
        <v>chipi</v>
      </c>
      <c r="C2781" s="2" t="str">
        <f ca="1">IFERROR(__xludf.DUMMYFUNCTION("""COMPUTED_VALUE"""),"CHIPI")</f>
        <v>CHIPI</v>
      </c>
    </row>
    <row r="2782" spans="1:3" x14ac:dyDescent="0.25">
      <c r="A2782" s="2" t="str">
        <f ca="1">IFERROR(__xludf.DUMMYFUNCTION("""COMPUTED_VALUE"""),"chippy")</f>
        <v>chippy</v>
      </c>
      <c r="B2782" s="2" t="str">
        <f ca="1">IFERROR(__xludf.DUMMYFUNCTION("""COMPUTED_VALUE"""),"chippy")</f>
        <v>chippy</v>
      </c>
      <c r="C2782" s="2" t="str">
        <f ca="1">IFERROR(__xludf.DUMMYFUNCTION("""COMPUTED_VALUE"""),"Chippy")</f>
        <v>Chippy</v>
      </c>
    </row>
    <row r="2783" spans="1:3" x14ac:dyDescent="0.25">
      <c r="A2783" s="2" t="str">
        <f ca="1">IFERROR(__xludf.DUMMYFUNCTION("""COMPUTED_VALUE"""),"chi-protocol")</f>
        <v>chi-protocol</v>
      </c>
      <c r="B2783" s="2" t="str">
        <f ca="1">IFERROR(__xludf.DUMMYFUNCTION("""COMPUTED_VALUE"""),"chi")</f>
        <v>chi</v>
      </c>
      <c r="C2783" s="2" t="str">
        <f ca="1">IFERROR(__xludf.DUMMYFUNCTION("""COMPUTED_VALUE"""),"Chi Protocol")</f>
        <v>Chi Protocol</v>
      </c>
    </row>
    <row r="2784" spans="1:3" x14ac:dyDescent="0.25">
      <c r="A2784" s="2" t="str">
        <f ca="1">IFERROR(__xludf.DUMMYFUNCTION("""COMPUTED_VALUE"""),"chirpley")</f>
        <v>chirpley</v>
      </c>
      <c r="B2784" s="2" t="str">
        <f ca="1">IFERROR(__xludf.DUMMYFUNCTION("""COMPUTED_VALUE"""),"chrp")</f>
        <v>chrp</v>
      </c>
      <c r="C2784" s="2" t="str">
        <f ca="1">IFERROR(__xludf.DUMMYFUNCTION("""COMPUTED_VALUE"""),"Chirpley")</f>
        <v>Chirpley</v>
      </c>
    </row>
    <row r="2785" spans="1:3" x14ac:dyDescent="0.25">
      <c r="A2785" s="2" t="str">
        <f ca="1">IFERROR(__xludf.DUMMYFUNCTION("""COMPUTED_VALUE"""),"chitan")</f>
        <v>chitan</v>
      </c>
      <c r="B2785" s="2" t="str">
        <f ca="1">IFERROR(__xludf.DUMMYFUNCTION("""COMPUTED_VALUE"""),"chitan")</f>
        <v>chitan</v>
      </c>
      <c r="C2785" s="2" t="str">
        <f ca="1">IFERROR(__xludf.DUMMYFUNCTION("""COMPUTED_VALUE"""),"Chitan")</f>
        <v>Chitan</v>
      </c>
    </row>
    <row r="2786" spans="1:3" x14ac:dyDescent="0.25">
      <c r="A2786" s="2" t="str">
        <f ca="1">IFERROR(__xludf.DUMMYFUNCTION("""COMPUTED_VALUE"""),"chi-usd")</f>
        <v>chi-usd</v>
      </c>
      <c r="B2786" s="2" t="str">
        <f ca="1">IFERROR(__xludf.DUMMYFUNCTION("""COMPUTED_VALUE"""),"chi")</f>
        <v>chi</v>
      </c>
      <c r="C2786" s="2" t="str">
        <f ca="1">IFERROR(__xludf.DUMMYFUNCTION("""COMPUTED_VALUE"""),"Chi USD")</f>
        <v>Chi USD</v>
      </c>
    </row>
    <row r="2787" spans="1:3" x14ac:dyDescent="0.25">
      <c r="A2787" s="2" t="str">
        <f ca="1">IFERROR(__xludf.DUMMYFUNCTION("""COMPUTED_VALUE"""),"choccyswap")</f>
        <v>choccyswap</v>
      </c>
      <c r="B2787" s="2" t="str">
        <f ca="1">IFERROR(__xludf.DUMMYFUNCTION("""COMPUTED_VALUE"""),"ccy")</f>
        <v>ccy</v>
      </c>
      <c r="C2787" s="2" t="str">
        <f ca="1">IFERROR(__xludf.DUMMYFUNCTION("""COMPUTED_VALUE"""),"ChoccySwap")</f>
        <v>ChoccySwap</v>
      </c>
    </row>
    <row r="2788" spans="1:3" x14ac:dyDescent="0.25">
      <c r="A2788" s="2" t="str">
        <f ca="1">IFERROR(__xludf.DUMMYFUNCTION("""COMPUTED_VALUE"""),"choise")</f>
        <v>choise</v>
      </c>
      <c r="B2788" s="2" t="str">
        <f ca="1">IFERROR(__xludf.DUMMYFUNCTION("""COMPUTED_VALUE"""),"cho")</f>
        <v>cho</v>
      </c>
      <c r="C2788" s="3" t="str">
        <f ca="1">IFERROR(__xludf.DUMMYFUNCTION("""COMPUTED_VALUE"""),"Choise.ai")</f>
        <v>Choise.ai</v>
      </c>
    </row>
    <row r="2789" spans="1:3" x14ac:dyDescent="0.25">
      <c r="A2789" s="2" t="str">
        <f ca="1">IFERROR(__xludf.DUMMYFUNCTION("""COMPUTED_VALUE"""),"cholo-pepe")</f>
        <v>cholo-pepe</v>
      </c>
      <c r="B2789" s="2" t="str">
        <f ca="1">IFERROR(__xludf.DUMMYFUNCTION("""COMPUTED_VALUE"""),"cholo")</f>
        <v>cholo</v>
      </c>
      <c r="C2789" s="2" t="str">
        <f ca="1">IFERROR(__xludf.DUMMYFUNCTION("""COMPUTED_VALUE"""),"Cholo Pepe")</f>
        <v>Cholo Pepe</v>
      </c>
    </row>
    <row r="2790" spans="1:3" x14ac:dyDescent="0.25">
      <c r="A2790" s="2" t="str">
        <f ca="1">IFERROR(__xludf.DUMMYFUNCTION("""COMPUTED_VALUE"""),"chompcoin")</f>
        <v>chompcoin</v>
      </c>
      <c r="B2790" s="2" t="str">
        <f ca="1">IFERROR(__xludf.DUMMYFUNCTION("""COMPUTED_VALUE"""),"chomp")</f>
        <v>chomp</v>
      </c>
      <c r="C2790" s="2" t="str">
        <f ca="1">IFERROR(__xludf.DUMMYFUNCTION("""COMPUTED_VALUE"""),"ChompCoin")</f>
        <v>ChompCoin</v>
      </c>
    </row>
    <row r="2791" spans="1:3" x14ac:dyDescent="0.25">
      <c r="A2791" s="2" t="str">
        <f ca="1">IFERROR(__xludf.DUMMYFUNCTION("""COMPUTED_VALUE"""),"chonk-on-base")</f>
        <v>chonk-on-base</v>
      </c>
      <c r="B2791" s="2" t="str">
        <f ca="1">IFERROR(__xludf.DUMMYFUNCTION("""COMPUTED_VALUE"""),"chonk")</f>
        <v>chonk</v>
      </c>
      <c r="C2791" s="2" t="str">
        <f ca="1">IFERROR(__xludf.DUMMYFUNCTION("""COMPUTED_VALUE"""),"Chonk")</f>
        <v>Chonk</v>
      </c>
    </row>
    <row r="2792" spans="1:3" x14ac:dyDescent="0.25">
      <c r="A2792" s="2" t="str">
        <f ca="1">IFERROR(__xludf.DUMMYFUNCTION("""COMPUTED_VALUE"""),"chonk-the-cat")</f>
        <v>chonk-the-cat</v>
      </c>
      <c r="B2792" s="2" t="str">
        <f ca="1">IFERROR(__xludf.DUMMYFUNCTION("""COMPUTED_VALUE"""),"chonk")</f>
        <v>chonk</v>
      </c>
      <c r="C2792" s="2" t="str">
        <f ca="1">IFERROR(__xludf.DUMMYFUNCTION("""COMPUTED_VALUE"""),"Chonk The Cat")</f>
        <v>Chonk The Cat</v>
      </c>
    </row>
    <row r="2793" spans="1:3" x14ac:dyDescent="0.25">
      <c r="A2793" s="2" t="str">
        <f ca="1">IFERROR(__xludf.DUMMYFUNCTION("""COMPUTED_VALUE"""),"chonky")</f>
        <v>chonky</v>
      </c>
      <c r="B2793" s="2" t="str">
        <f ca="1">IFERROR(__xludf.DUMMYFUNCTION("""COMPUTED_VALUE"""),"chonky")</f>
        <v>chonky</v>
      </c>
      <c r="C2793" s="2" t="str">
        <f ca="1">IFERROR(__xludf.DUMMYFUNCTION("""COMPUTED_VALUE"""),"CHONKY")</f>
        <v>CHONKY</v>
      </c>
    </row>
    <row r="2794" spans="1:3" x14ac:dyDescent="0.25">
      <c r="A2794" s="2" t="str">
        <f ca="1">IFERROR(__xludf.DUMMYFUNCTION("""COMPUTED_VALUE"""),"chooky-records")</f>
        <v>chooky-records</v>
      </c>
      <c r="B2794" s="2" t="str">
        <f ca="1">IFERROR(__xludf.DUMMYFUNCTION("""COMPUTED_VALUE"""),"choo")</f>
        <v>choo</v>
      </c>
      <c r="C2794" s="2" t="str">
        <f ca="1">IFERROR(__xludf.DUMMYFUNCTION("""COMPUTED_VALUE"""),"Chooky Records")</f>
        <v>Chooky Records</v>
      </c>
    </row>
    <row r="2795" spans="1:3" x14ac:dyDescent="0.25">
      <c r="A2795" s="2" t="str">
        <f ca="1">IFERROR(__xludf.DUMMYFUNCTION("""COMPUTED_VALUE"""),"chooserich")</f>
        <v>chooserich</v>
      </c>
      <c r="B2795" s="2" t="str">
        <f ca="1">IFERROR(__xludf.DUMMYFUNCTION("""COMPUTED_VALUE"""),"rich")</f>
        <v>rich</v>
      </c>
      <c r="C2795" s="2" t="str">
        <f ca="1">IFERROR(__xludf.DUMMYFUNCTION("""COMPUTED_VALUE"""),"ChooseRich")</f>
        <v>ChooseRich</v>
      </c>
    </row>
    <row r="2796" spans="1:3" x14ac:dyDescent="0.25">
      <c r="A2796" s="2" t="str">
        <f ca="1">IFERROR(__xludf.DUMMYFUNCTION("""COMPUTED_VALUE"""),"choppy")</f>
        <v>choppy</v>
      </c>
      <c r="B2796" s="2" t="str">
        <f ca="1">IFERROR(__xludf.DUMMYFUNCTION("""COMPUTED_VALUE"""),"choppy")</f>
        <v>choppy</v>
      </c>
      <c r="C2796" s="2" t="str">
        <f ca="1">IFERROR(__xludf.DUMMYFUNCTION("""COMPUTED_VALUE"""),"Choppy")</f>
        <v>Choppy</v>
      </c>
    </row>
    <row r="2797" spans="1:3" x14ac:dyDescent="0.25">
      <c r="A2797" s="2" t="str">
        <f ca="1">IFERROR(__xludf.DUMMYFUNCTION("""COMPUTED_VALUE"""),"chow")</f>
        <v>chow</v>
      </c>
      <c r="B2797" s="2" t="str">
        <f ca="1">IFERROR(__xludf.DUMMYFUNCTION("""COMPUTED_VALUE"""),"chow")</f>
        <v>chow</v>
      </c>
      <c r="C2797" s="2" t="str">
        <f ca="1">IFERROR(__xludf.DUMMYFUNCTION("""COMPUTED_VALUE"""),"CHOW")</f>
        <v>CHOW</v>
      </c>
    </row>
    <row r="2798" spans="1:3" x14ac:dyDescent="0.25">
      <c r="A2798" s="2" t="str">
        <f ca="1">IFERROR(__xludf.DUMMYFUNCTION("""COMPUTED_VALUE"""),"chow-chow")</f>
        <v>chow-chow</v>
      </c>
      <c r="B2798" s="2" t="str">
        <f ca="1">IFERROR(__xludf.DUMMYFUNCTION("""COMPUTED_VALUE"""),"chow")</f>
        <v>chow</v>
      </c>
      <c r="C2798" s="2" t="str">
        <f ca="1">IFERROR(__xludf.DUMMYFUNCTION("""COMPUTED_VALUE"""),"CHOW CHOW")</f>
        <v>CHOW CHOW</v>
      </c>
    </row>
    <row r="2799" spans="1:3" x14ac:dyDescent="0.25">
      <c r="A2799" s="2" t="str">
        <f ca="1">IFERROR(__xludf.DUMMYFUNCTION("""COMPUTED_VALUE"""),"chrischan")</f>
        <v>chrischan</v>
      </c>
      <c r="B2799" s="2" t="str">
        <f ca="1">IFERROR(__xludf.DUMMYFUNCTION("""COMPUTED_VALUE"""),"chch")</f>
        <v>chch</v>
      </c>
      <c r="C2799" s="2" t="str">
        <f ca="1">IFERROR(__xludf.DUMMYFUNCTION("""COMPUTED_VALUE"""),"CHRISCHAN")</f>
        <v>CHRISCHAN</v>
      </c>
    </row>
    <row r="2800" spans="1:3" x14ac:dyDescent="0.25">
      <c r="A2800" s="2" t="str">
        <f ca="1">IFERROR(__xludf.DUMMYFUNCTION("""COMPUTED_VALUE"""),"chromaway")</f>
        <v>chromaway</v>
      </c>
      <c r="B2800" s="2" t="str">
        <f ca="1">IFERROR(__xludf.DUMMYFUNCTION("""COMPUTED_VALUE"""),"chr")</f>
        <v>chr</v>
      </c>
      <c r="C2800" s="2" t="str">
        <f ca="1">IFERROR(__xludf.DUMMYFUNCTION("""COMPUTED_VALUE"""),"Chromia")</f>
        <v>Chromia</v>
      </c>
    </row>
    <row r="2801" spans="1:3" x14ac:dyDescent="0.25">
      <c r="A2801" s="2" t="str">
        <f ca="1">IFERROR(__xludf.DUMMYFUNCTION("""COMPUTED_VALUE"""),"chromium-dollar")</f>
        <v>chromium-dollar</v>
      </c>
      <c r="B2801" s="2" t="str">
        <f ca="1">IFERROR(__xludf.DUMMYFUNCTION("""COMPUTED_VALUE"""),"cr")</f>
        <v>cr</v>
      </c>
      <c r="C2801" s="2" t="str">
        <f ca="1">IFERROR(__xludf.DUMMYFUNCTION("""COMPUTED_VALUE"""),"Chromium Dollar")</f>
        <v>Chromium Dollar</v>
      </c>
    </row>
    <row r="2802" spans="1:3" x14ac:dyDescent="0.25">
      <c r="A2802" s="2" t="str">
        <f ca="1">IFERROR(__xludf.DUMMYFUNCTION("""COMPUTED_VALUE"""),"chronicle")</f>
        <v>chronicle</v>
      </c>
      <c r="B2802" s="2" t="str">
        <f ca="1">IFERROR(__xludf.DUMMYFUNCTION("""COMPUTED_VALUE"""),"xnl")</f>
        <v>xnl</v>
      </c>
      <c r="C2802" s="2" t="str">
        <f ca="1">IFERROR(__xludf.DUMMYFUNCTION("""COMPUTED_VALUE"""),"Chronicle")</f>
        <v>Chronicle</v>
      </c>
    </row>
    <row r="2803" spans="1:3" x14ac:dyDescent="0.25">
      <c r="A2803" s="2" t="str">
        <f ca="1">IFERROR(__xludf.DUMMYFUNCTION("""COMPUTED_VALUE"""),"chronicles-of-warcraft")</f>
        <v>chronicles-of-warcraft</v>
      </c>
      <c r="B2803" s="2" t="str">
        <f ca="1">IFERROR(__xludf.DUMMYFUNCTION("""COMPUTED_VALUE"""),"cow")</f>
        <v>cow</v>
      </c>
      <c r="C2803" s="2" t="str">
        <f ca="1">IFERROR(__xludf.DUMMYFUNCTION("""COMPUTED_VALUE"""),"Chronicles of Warcraft")</f>
        <v>Chronicles of Warcraft</v>
      </c>
    </row>
    <row r="2804" spans="1:3" x14ac:dyDescent="0.25">
      <c r="A2804" s="2" t="str">
        <f ca="1">IFERROR(__xludf.DUMMYFUNCTION("""COMPUTED_VALUE"""),"chronicum")</f>
        <v>chronicum</v>
      </c>
      <c r="B2804" s="2" t="str">
        <f ca="1">IFERROR(__xludf.DUMMYFUNCTION("""COMPUTED_VALUE"""),"chro")</f>
        <v>chro</v>
      </c>
      <c r="C2804" s="2" t="str">
        <f ca="1">IFERROR(__xludf.DUMMYFUNCTION("""COMPUTED_VALUE"""),"Chronicum")</f>
        <v>Chronicum</v>
      </c>
    </row>
    <row r="2805" spans="1:3" x14ac:dyDescent="0.25">
      <c r="A2805" s="2" t="str">
        <f ca="1">IFERROR(__xludf.DUMMYFUNCTION("""COMPUTED_VALUE"""),"chronobank")</f>
        <v>chronobank</v>
      </c>
      <c r="B2805" s="2" t="str">
        <f ca="1">IFERROR(__xludf.DUMMYFUNCTION("""COMPUTED_VALUE"""),"time")</f>
        <v>time</v>
      </c>
      <c r="C2805" s="2" t="str">
        <f ca="1">IFERROR(__xludf.DUMMYFUNCTION("""COMPUTED_VALUE"""),"chrono.tech")</f>
        <v>chrono.tech</v>
      </c>
    </row>
    <row r="2806" spans="1:3" x14ac:dyDescent="0.25">
      <c r="A2806" s="2" t="str">
        <f ca="1">IFERROR(__xludf.DUMMYFUNCTION("""COMPUTED_VALUE"""),"chronos-finance")</f>
        <v>chronos-finance</v>
      </c>
      <c r="B2806" s="2" t="str">
        <f ca="1">IFERROR(__xludf.DUMMYFUNCTION("""COMPUTED_VALUE"""),"chr")</f>
        <v>chr</v>
      </c>
      <c r="C2806" s="2" t="str">
        <f ca="1">IFERROR(__xludf.DUMMYFUNCTION("""COMPUTED_VALUE"""),"Chronos Finance")</f>
        <v>Chronos Finance</v>
      </c>
    </row>
    <row r="2807" spans="1:3" x14ac:dyDescent="0.25">
      <c r="A2807" s="2" t="str">
        <f ca="1">IFERROR(__xludf.DUMMYFUNCTION("""COMPUTED_VALUE"""),"chronos-worlds-sphere")</f>
        <v>chronos-worlds-sphere</v>
      </c>
      <c r="B2807" s="2" t="str">
        <f ca="1">IFERROR(__xludf.DUMMYFUNCTION("""COMPUTED_VALUE"""),"sphr")</f>
        <v>sphr</v>
      </c>
      <c r="C2807" s="2" t="str">
        <f ca="1">IFERROR(__xludf.DUMMYFUNCTION("""COMPUTED_VALUE"""),"Chronos Worlds Sphere")</f>
        <v>Chronos Worlds Sphere</v>
      </c>
    </row>
    <row r="2808" spans="1:3" x14ac:dyDescent="0.25">
      <c r="A2808" s="2" t="str">
        <f ca="1">IFERROR(__xludf.DUMMYFUNCTION("""COMPUTED_VALUE"""),"chuan-pu")</f>
        <v>chuan-pu</v>
      </c>
      <c r="B2808" s="2" t="str">
        <f ca="1">IFERROR(__xludf.DUMMYFUNCTION("""COMPUTED_VALUE"""),"chuanpu")</f>
        <v>chuanpu</v>
      </c>
      <c r="C2808" s="2" t="str">
        <f ca="1">IFERROR(__xludf.DUMMYFUNCTION("""COMPUTED_VALUE"""),"Chuan Pu")</f>
        <v>Chuan Pu</v>
      </c>
    </row>
    <row r="2809" spans="1:3" x14ac:dyDescent="0.25">
      <c r="A2809" s="2" t="str">
        <f ca="1">IFERROR(__xludf.DUMMYFUNCTION("""COMPUTED_VALUE"""),"chubbyakita")</f>
        <v>chubbyakita</v>
      </c>
      <c r="B2809" s="2" t="str">
        <f ca="1">IFERROR(__xludf.DUMMYFUNCTION("""COMPUTED_VALUE"""),"cakita")</f>
        <v>cakita</v>
      </c>
      <c r="C2809" s="2" t="str">
        <f ca="1">IFERROR(__xludf.DUMMYFUNCTION("""COMPUTED_VALUE"""),"ChubbyAkita")</f>
        <v>ChubbyAkita</v>
      </c>
    </row>
    <row r="2810" spans="1:3" x14ac:dyDescent="0.25">
      <c r="A2810" s="2" t="str">
        <f ca="1">IFERROR(__xludf.DUMMYFUNCTION("""COMPUTED_VALUE"""),"chuchu")</f>
        <v>chuchu</v>
      </c>
      <c r="B2810" s="2" t="str">
        <f ca="1">IFERROR(__xludf.DUMMYFUNCTION("""COMPUTED_VALUE"""),"chuchu")</f>
        <v>chuchu</v>
      </c>
      <c r="C2810" s="2" t="str">
        <f ca="1">IFERROR(__xludf.DUMMYFUNCTION("""COMPUTED_VALUE"""),"Chuchu")</f>
        <v>Chuchu</v>
      </c>
    </row>
    <row r="2811" spans="1:3" x14ac:dyDescent="0.25">
      <c r="A2811" s="2" t="str">
        <f ca="1">IFERROR(__xludf.DUMMYFUNCTION("""COMPUTED_VALUE"""),"chuck")</f>
        <v>chuck</v>
      </c>
      <c r="B2811" s="2" t="str">
        <f ca="1">IFERROR(__xludf.DUMMYFUNCTION("""COMPUTED_VALUE"""),"chuck")</f>
        <v>chuck</v>
      </c>
      <c r="C2811" s="2" t="str">
        <f ca="1">IFERROR(__xludf.DUMMYFUNCTION("""COMPUTED_VALUE"""),"Chuck")</f>
        <v>Chuck</v>
      </c>
    </row>
    <row r="2812" spans="1:3" x14ac:dyDescent="0.25">
      <c r="A2812" s="2" t="str">
        <f ca="1">IFERROR(__xludf.DUMMYFUNCTION("""COMPUTED_VALUE"""),"chuck-on-eth")</f>
        <v>chuck-on-eth</v>
      </c>
      <c r="B2812" s="2" t="str">
        <f ca="1">IFERROR(__xludf.DUMMYFUNCTION("""COMPUTED_VALUE"""),"chuck")</f>
        <v>chuck</v>
      </c>
      <c r="C2812" s="2" t="str">
        <f ca="1">IFERROR(__xludf.DUMMYFUNCTION("""COMPUTED_VALUE"""),"Chuck")</f>
        <v>Chuck</v>
      </c>
    </row>
    <row r="2813" spans="1:3" x14ac:dyDescent="0.25">
      <c r="A2813" s="2" t="str">
        <f ca="1">IFERROR(__xludf.DUMMYFUNCTION("""COMPUTED_VALUE"""),"chucky")</f>
        <v>chucky</v>
      </c>
      <c r="B2813" s="2" t="str">
        <f ca="1">IFERROR(__xludf.DUMMYFUNCTION("""COMPUTED_VALUE"""),"chucky")</f>
        <v>chucky</v>
      </c>
      <c r="C2813" s="2" t="str">
        <f ca="1">IFERROR(__xludf.DUMMYFUNCTION("""COMPUTED_VALUE"""),"Chucky")</f>
        <v>Chucky</v>
      </c>
    </row>
    <row r="2814" spans="1:3" x14ac:dyDescent="0.25">
      <c r="A2814" s="2" t="str">
        <f ca="1">IFERROR(__xludf.DUMMYFUNCTION("""COMPUTED_VALUE"""),"chudjak")</f>
        <v>chudjak</v>
      </c>
      <c r="B2814" s="2" t="str">
        <f ca="1">IFERROR(__xludf.DUMMYFUNCTION("""COMPUTED_VALUE"""),"chud")</f>
        <v>chud</v>
      </c>
      <c r="C2814" s="2" t="str">
        <f ca="1">IFERROR(__xludf.DUMMYFUNCTION("""COMPUTED_VALUE"""),"Chudjak")</f>
        <v>Chudjak</v>
      </c>
    </row>
    <row r="2815" spans="1:3" x14ac:dyDescent="0.25">
      <c r="A2815" s="2" t="str">
        <f ca="1">IFERROR(__xludf.DUMMYFUNCTION("""COMPUTED_VALUE"""),"chumbai-valley")</f>
        <v>chumbai-valley</v>
      </c>
      <c r="B2815" s="2" t="str">
        <f ca="1">IFERROR(__xludf.DUMMYFUNCTION("""COMPUTED_VALUE"""),"chmb")</f>
        <v>chmb</v>
      </c>
      <c r="C2815" s="2" t="str">
        <f ca="1">IFERROR(__xludf.DUMMYFUNCTION("""COMPUTED_VALUE"""),"Chumbi Valley")</f>
        <v>Chumbi Valley</v>
      </c>
    </row>
    <row r="2816" spans="1:3" x14ac:dyDescent="0.25">
      <c r="A2816" s="2" t="str">
        <f ca="1">IFERROR(__xludf.DUMMYFUNCTION("""COMPUTED_VALUE"""),"chump-change")</f>
        <v>chump-change</v>
      </c>
      <c r="B2816" s="2" t="str">
        <f ca="1">IFERROR(__xludf.DUMMYFUNCTION("""COMPUTED_VALUE"""),"chump")</f>
        <v>chump</v>
      </c>
      <c r="C2816" s="2" t="str">
        <f ca="1">IFERROR(__xludf.DUMMYFUNCTION("""COMPUTED_VALUE"""),"Chump Change")</f>
        <v>Chump Change</v>
      </c>
    </row>
    <row r="2817" spans="1:3" x14ac:dyDescent="0.25">
      <c r="A2817" s="2" t="str">
        <f ca="1">IFERROR(__xludf.DUMMYFUNCTION("""COMPUTED_VALUE"""),"chunks")</f>
        <v>chunks</v>
      </c>
      <c r="B2817" s="2" t="str">
        <f ca="1">IFERROR(__xludf.DUMMYFUNCTION("""COMPUTED_VALUE"""),"chunks")</f>
        <v>chunks</v>
      </c>
      <c r="C2817" s="2" t="str">
        <f ca="1">IFERROR(__xludf.DUMMYFUNCTION("""COMPUTED_VALUE"""),"Chunks")</f>
        <v>Chunks</v>
      </c>
    </row>
    <row r="2818" spans="1:3" x14ac:dyDescent="0.25">
      <c r="A2818" s="2" t="str">
        <f ca="1">IFERROR(__xludf.DUMMYFUNCTION("""COMPUTED_VALUE"""),"church-of-the-machina")</f>
        <v>church-of-the-machina</v>
      </c>
      <c r="B2818" s="2" t="str">
        <f ca="1">IFERROR(__xludf.DUMMYFUNCTION("""COMPUTED_VALUE"""),"machina")</f>
        <v>machina</v>
      </c>
      <c r="C2818" s="2" t="str">
        <f ca="1">IFERROR(__xludf.DUMMYFUNCTION("""COMPUTED_VALUE"""),"Church of the Machina")</f>
        <v>Church of the Machina</v>
      </c>
    </row>
    <row r="2819" spans="1:3" x14ac:dyDescent="0.25">
      <c r="A2819" s="2" t="str">
        <f ca="1">IFERROR(__xludf.DUMMYFUNCTION("""COMPUTED_VALUE"""),"churro")</f>
        <v>churro</v>
      </c>
      <c r="B2819" s="2" t="str">
        <f ca="1">IFERROR(__xludf.DUMMYFUNCTION("""COMPUTED_VALUE"""),"churro")</f>
        <v>churro</v>
      </c>
      <c r="C2819" s="2" t="str">
        <f ca="1">IFERROR(__xludf.DUMMYFUNCTION("""COMPUTED_VALUE"""),"Churro")</f>
        <v>Churro</v>
      </c>
    </row>
    <row r="2820" spans="1:3" x14ac:dyDescent="0.25">
      <c r="A2820" s="2" t="str">
        <f ca="1">IFERROR(__xludf.DUMMYFUNCTION("""COMPUTED_VALUE"""),"chwy")</f>
        <v>chwy</v>
      </c>
      <c r="B2820" s="2" t="str">
        <f ca="1">IFERROR(__xludf.DUMMYFUNCTION("""COMPUTED_VALUE"""),"chwy")</f>
        <v>chwy</v>
      </c>
      <c r="C2820" s="2" t="str">
        <f ca="1">IFERROR(__xludf.DUMMYFUNCTION("""COMPUTED_VALUE"""),"CHWY")</f>
        <v>CHWY</v>
      </c>
    </row>
    <row r="2821" spans="1:3" x14ac:dyDescent="0.25">
      <c r="A2821" s="2" t="str">
        <f ca="1">IFERROR(__xludf.DUMMYFUNCTION("""COMPUTED_VALUE"""),"cia")</f>
        <v>cia</v>
      </c>
      <c r="B2821" s="2" t="str">
        <f ca="1">IFERROR(__xludf.DUMMYFUNCTION("""COMPUTED_VALUE"""),"cia")</f>
        <v>cia</v>
      </c>
      <c r="C2821" s="2" t="str">
        <f ca="1">IFERROR(__xludf.DUMMYFUNCTION("""COMPUTED_VALUE"""),"CIA")</f>
        <v>CIA</v>
      </c>
    </row>
    <row r="2822" spans="1:3" x14ac:dyDescent="0.25">
      <c r="A2822" s="2" t="str">
        <f ca="1">IFERROR(__xludf.DUMMYFUNCTION("""COMPUTED_VALUE"""),"cias")</f>
        <v>cias</v>
      </c>
      <c r="B2822" s="2" t="str">
        <f ca="1">IFERROR(__xludf.DUMMYFUNCTION("""COMPUTED_VALUE"""),"cias")</f>
        <v>cias</v>
      </c>
      <c r="C2822" s="2" t="str">
        <f ca="1">IFERROR(__xludf.DUMMYFUNCTION("""COMPUTED_VALUE"""),"CIAS")</f>
        <v>CIAS</v>
      </c>
    </row>
    <row r="2823" spans="1:3" x14ac:dyDescent="0.25">
      <c r="A2823" s="2" t="str">
        <f ca="1">IFERROR(__xludf.DUMMYFUNCTION("""COMPUTED_VALUE"""),"cicca-network")</f>
        <v>cicca-network</v>
      </c>
      <c r="B2823" s="2" t="str">
        <f ca="1">IFERROR(__xludf.DUMMYFUNCTION("""COMPUTED_VALUE"""),"cicca")</f>
        <v>cicca</v>
      </c>
      <c r="C2823" s="2" t="str">
        <f ca="1">IFERROR(__xludf.DUMMYFUNCTION("""COMPUTED_VALUE"""),"Cicca Network")</f>
        <v>Cicca Network</v>
      </c>
    </row>
    <row r="2824" spans="1:3" x14ac:dyDescent="0.25">
      <c r="A2824" s="2" t="str">
        <f ca="1">IFERROR(__xludf.DUMMYFUNCTION("""COMPUTED_VALUE"""),"ciento-exchange")</f>
        <v>ciento-exchange</v>
      </c>
      <c r="B2824" s="2" t="str">
        <f ca="1">IFERROR(__xludf.DUMMYFUNCTION("""COMPUTED_VALUE"""),"cnto")</f>
        <v>cnto</v>
      </c>
      <c r="C2824" s="2" t="str">
        <f ca="1">IFERROR(__xludf.DUMMYFUNCTION("""COMPUTED_VALUE"""),"Ciento Exchange")</f>
        <v>Ciento Exchange</v>
      </c>
    </row>
    <row r="2825" spans="1:3" x14ac:dyDescent="0.25">
      <c r="A2825" s="2" t="str">
        <f ca="1">IFERROR(__xludf.DUMMYFUNCTION("""COMPUTED_VALUE"""),"cifdaq")</f>
        <v>cifdaq</v>
      </c>
      <c r="B2825" s="2" t="str">
        <f ca="1">IFERROR(__xludf.DUMMYFUNCTION("""COMPUTED_VALUE"""),"cifd")</f>
        <v>cifd</v>
      </c>
      <c r="C2825" s="2" t="str">
        <f ca="1">IFERROR(__xludf.DUMMYFUNCTION("""COMPUTED_VALUE"""),"CIFDAQ")</f>
        <v>CIFDAQ</v>
      </c>
    </row>
    <row r="2826" spans="1:3" x14ac:dyDescent="0.25">
      <c r="A2826" s="2" t="str">
        <f ca="1">IFERROR(__xludf.DUMMYFUNCTION("""COMPUTED_VALUE"""),"cifi")</f>
        <v>cifi</v>
      </c>
      <c r="B2826" s="2" t="str">
        <f ca="1">IFERROR(__xludf.DUMMYFUNCTION("""COMPUTED_VALUE"""),"cifi")</f>
        <v>cifi</v>
      </c>
      <c r="C2826" s="2" t="str">
        <f ca="1">IFERROR(__xludf.DUMMYFUNCTION("""COMPUTED_VALUE"""),"CIFI")</f>
        <v>CIFI</v>
      </c>
    </row>
    <row r="2827" spans="1:3" x14ac:dyDescent="0.25">
      <c r="A2827" s="2" t="str">
        <f ca="1">IFERROR(__xludf.DUMMYFUNCTION("""COMPUTED_VALUE"""),"cig")</f>
        <v>cig</v>
      </c>
      <c r="B2827" s="2" t="str">
        <f ca="1">IFERROR(__xludf.DUMMYFUNCTION("""COMPUTED_VALUE"""),"cig")</f>
        <v>cig</v>
      </c>
      <c r="C2827" s="2" t="str">
        <f ca="1">IFERROR(__xludf.DUMMYFUNCTION("""COMPUTED_VALUE"""),"cig")</f>
        <v>cig</v>
      </c>
    </row>
    <row r="2828" spans="1:3" x14ac:dyDescent="0.25">
      <c r="A2828" s="2" t="str">
        <f ca="1">IFERROR(__xludf.DUMMYFUNCTION("""COMPUTED_VALUE"""),"cigarette-token")</f>
        <v>cigarette-token</v>
      </c>
      <c r="B2828" s="2" t="str">
        <f ca="1">IFERROR(__xludf.DUMMYFUNCTION("""COMPUTED_VALUE"""),"cig")</f>
        <v>cig</v>
      </c>
      <c r="C2828" s="2" t="str">
        <f ca="1">IFERROR(__xludf.DUMMYFUNCTION("""COMPUTED_VALUE"""),"Cigarette")</f>
        <v>Cigarette</v>
      </c>
    </row>
    <row r="2829" spans="1:3" x14ac:dyDescent="0.25">
      <c r="A2829" s="2" t="str">
        <f ca="1">IFERROR(__xludf.DUMMYFUNCTION("""COMPUTED_VALUE"""),"cindicator")</f>
        <v>cindicator</v>
      </c>
      <c r="B2829" s="2" t="str">
        <f ca="1">IFERROR(__xludf.DUMMYFUNCTION("""COMPUTED_VALUE"""),"cnd")</f>
        <v>cnd</v>
      </c>
      <c r="C2829" s="2" t="str">
        <f ca="1">IFERROR(__xludf.DUMMYFUNCTION("""COMPUTED_VALUE"""),"Cindicator")</f>
        <v>Cindicator</v>
      </c>
    </row>
    <row r="2830" spans="1:3" x14ac:dyDescent="0.25">
      <c r="A2830" s="2" t="str">
        <f ca="1">IFERROR(__xludf.DUMMYFUNCTION("""COMPUTED_VALUE"""),"cindrum")</f>
        <v>cindrum</v>
      </c>
      <c r="B2830" s="2" t="str">
        <f ca="1">IFERROR(__xludf.DUMMYFUNCTION("""COMPUTED_VALUE"""),"cind")</f>
        <v>cind</v>
      </c>
      <c r="C2830" s="2" t="str">
        <f ca="1">IFERROR(__xludf.DUMMYFUNCTION("""COMPUTED_VALUE"""),"Cindrum")</f>
        <v>Cindrum</v>
      </c>
    </row>
    <row r="2831" spans="1:3" x14ac:dyDescent="0.25">
      <c r="A2831" s="2" t="str">
        <f ca="1">IFERROR(__xludf.DUMMYFUNCTION("""COMPUTED_VALUE"""),"cinogames")</f>
        <v>cinogames</v>
      </c>
      <c r="B2831" s="2" t="str">
        <f ca="1">IFERROR(__xludf.DUMMYFUNCTION("""COMPUTED_VALUE"""),"$cino")</f>
        <v>$cino</v>
      </c>
      <c r="C2831" s="2" t="str">
        <f ca="1">IFERROR(__xludf.DUMMYFUNCTION("""COMPUTED_VALUE"""),"Cinogames")</f>
        <v>Cinogames</v>
      </c>
    </row>
    <row r="2832" spans="1:3" x14ac:dyDescent="0.25">
      <c r="A2832" s="2" t="str">
        <f ca="1">IFERROR(__xludf.DUMMYFUNCTION("""COMPUTED_VALUE"""),"cipher-2")</f>
        <v>cipher-2</v>
      </c>
      <c r="B2832" s="2" t="str">
        <f ca="1">IFERROR(__xludf.DUMMYFUNCTION("""COMPUTED_VALUE"""),"cpr")</f>
        <v>cpr</v>
      </c>
      <c r="C2832" s="2" t="str">
        <f ca="1">IFERROR(__xludf.DUMMYFUNCTION("""COMPUTED_VALUE"""),"CIPHER")</f>
        <v>CIPHER</v>
      </c>
    </row>
    <row r="2833" spans="1:3" x14ac:dyDescent="0.25">
      <c r="A2833" s="2" t="str">
        <f ca="1">IFERROR(__xludf.DUMMYFUNCTION("""COMPUTED_VALUE"""),"circlepacific")</f>
        <v>circlepacific</v>
      </c>
      <c r="B2833" s="2" t="str">
        <f ca="1">IFERROR(__xludf.DUMMYFUNCTION("""COMPUTED_VALUE"""),"circle")</f>
        <v>circle</v>
      </c>
      <c r="C2833" s="2" t="str">
        <f ca="1">IFERROR(__xludf.DUMMYFUNCTION("""COMPUTED_VALUE"""),"CirclePacific")</f>
        <v>CirclePacific</v>
      </c>
    </row>
    <row r="2834" spans="1:3" x14ac:dyDescent="0.25">
      <c r="A2834" s="2" t="str">
        <f ca="1">IFERROR(__xludf.DUMMYFUNCTION("""COMPUTED_VALUE"""),"circleswap")</f>
        <v>circleswap</v>
      </c>
      <c r="B2834" s="2" t="str">
        <f ca="1">IFERROR(__xludf.DUMMYFUNCTION("""COMPUTED_VALUE"""),"cir")</f>
        <v>cir</v>
      </c>
      <c r="C2834" s="2" t="str">
        <f ca="1">IFERROR(__xludf.DUMMYFUNCTION("""COMPUTED_VALUE"""),"CircleSwap")</f>
        <v>CircleSwap</v>
      </c>
    </row>
    <row r="2835" spans="1:3" x14ac:dyDescent="0.25">
      <c r="A2835" s="2" t="str">
        <f ca="1">IFERROR(__xludf.DUMMYFUNCTION("""COMPUTED_VALUE"""),"circuits-of-value")</f>
        <v>circuits-of-value</v>
      </c>
      <c r="B2835" s="2" t="str">
        <f ca="1">IFERROR(__xludf.DUMMYFUNCTION("""COMPUTED_VALUE"""),"coval")</f>
        <v>coval</v>
      </c>
      <c r="C2835" s="2" t="str">
        <f ca="1">IFERROR(__xludf.DUMMYFUNCTION("""COMPUTED_VALUE"""),"Circuits of Value")</f>
        <v>Circuits of Value</v>
      </c>
    </row>
    <row r="2836" spans="1:3" x14ac:dyDescent="0.25">
      <c r="A2836" s="2" t="str">
        <f ca="1">IFERROR(__xludf.DUMMYFUNCTION("""COMPUTED_VALUE"""),"circularity-finance")</f>
        <v>circularity-finance</v>
      </c>
      <c r="B2836" s="2" t="str">
        <f ca="1">IFERROR(__xludf.DUMMYFUNCTION("""COMPUTED_VALUE"""),"cifi")</f>
        <v>cifi</v>
      </c>
      <c r="C2836" s="2" t="str">
        <f ca="1">IFERROR(__xludf.DUMMYFUNCTION("""COMPUTED_VALUE"""),"Circularity Finance")</f>
        <v>Circularity Finance</v>
      </c>
    </row>
    <row r="2837" spans="1:3" x14ac:dyDescent="0.25">
      <c r="A2837" s="2" t="str">
        <f ca="1">IFERROR(__xludf.DUMMYFUNCTION("""COMPUTED_VALUE"""),"circular-protocol")</f>
        <v>circular-protocol</v>
      </c>
      <c r="B2837" s="2" t="str">
        <f ca="1">IFERROR(__xludf.DUMMYFUNCTION("""COMPUTED_VALUE"""),"cirx")</f>
        <v>cirx</v>
      </c>
      <c r="C2837" s="2" t="str">
        <f ca="1">IFERROR(__xludf.DUMMYFUNCTION("""COMPUTED_VALUE"""),"Circular Protocol")</f>
        <v>Circular Protocol</v>
      </c>
    </row>
    <row r="2838" spans="1:3" x14ac:dyDescent="0.25">
      <c r="A2838" s="2" t="str">
        <f ca="1">IFERROR(__xludf.DUMMYFUNCTION("""COMPUTED_VALUE"""),"ciri-coin")</f>
        <v>ciri-coin</v>
      </c>
      <c r="B2838" s="2" t="str">
        <f ca="1">IFERROR(__xludf.DUMMYFUNCTION("""COMPUTED_VALUE"""),"ciri")</f>
        <v>ciri</v>
      </c>
      <c r="C2838" s="2" t="str">
        <f ca="1">IFERROR(__xludf.DUMMYFUNCTION("""COMPUTED_VALUE"""),"CIRI Coin")</f>
        <v>CIRI Coin</v>
      </c>
    </row>
    <row r="2839" spans="1:3" x14ac:dyDescent="0.25">
      <c r="A2839" s="2" t="str">
        <f ca="1">IFERROR(__xludf.DUMMYFUNCTION("""COMPUTED_VALUE"""),"cirque-du-sol")</f>
        <v>cirque-du-sol</v>
      </c>
      <c r="B2839" s="2" t="str">
        <f ca="1">IFERROR(__xludf.DUMMYFUNCTION("""COMPUTED_VALUE"""),"circ")</f>
        <v>circ</v>
      </c>
      <c r="C2839" s="2" t="str">
        <f ca="1">IFERROR(__xludf.DUMMYFUNCTION("""COMPUTED_VALUE"""),"Cirque Du Sol")</f>
        <v>Cirque Du Sol</v>
      </c>
    </row>
    <row r="2840" spans="1:3" x14ac:dyDescent="0.25">
      <c r="A2840" s="2" t="str">
        <f ca="1">IFERROR(__xludf.DUMMYFUNCTION("""COMPUTED_VALUE"""),"cirquity")</f>
        <v>cirquity</v>
      </c>
      <c r="B2840" s="2" t="str">
        <f ca="1">IFERROR(__xludf.DUMMYFUNCTION("""COMPUTED_VALUE"""),"cirq")</f>
        <v>cirq</v>
      </c>
      <c r="C2840" s="2" t="str">
        <f ca="1">IFERROR(__xludf.DUMMYFUNCTION("""COMPUTED_VALUE"""),"Cirquity")</f>
        <v>Cirquity</v>
      </c>
    </row>
    <row r="2841" spans="1:3" x14ac:dyDescent="0.25">
      <c r="A2841" s="2" t="str">
        <f ca="1">IFERROR(__xludf.DUMMYFUNCTION("""COMPUTED_VALUE"""),"cirus")</f>
        <v>cirus</v>
      </c>
      <c r="B2841" s="2" t="str">
        <f ca="1">IFERROR(__xludf.DUMMYFUNCTION("""COMPUTED_VALUE"""),"cirus")</f>
        <v>cirus</v>
      </c>
      <c r="C2841" s="2" t="str">
        <f ca="1">IFERROR(__xludf.DUMMYFUNCTION("""COMPUTED_VALUE"""),"Cirus")</f>
        <v>Cirus</v>
      </c>
    </row>
    <row r="2842" spans="1:3" x14ac:dyDescent="0.25">
      <c r="A2842" s="2" t="str">
        <f ca="1">IFERROR(__xludf.DUMMYFUNCTION("""COMPUTED_VALUE"""),"citadao")</f>
        <v>citadao</v>
      </c>
      <c r="B2842" s="2" t="str">
        <f ca="1">IFERROR(__xludf.DUMMYFUNCTION("""COMPUTED_VALUE"""),"knight")</f>
        <v>knight</v>
      </c>
      <c r="C2842" s="2" t="str">
        <f ca="1">IFERROR(__xludf.DUMMYFUNCTION("""COMPUTED_VALUE"""),"CitaDAO")</f>
        <v>CitaDAO</v>
      </c>
    </row>
    <row r="2843" spans="1:3" x14ac:dyDescent="0.25">
      <c r="A2843" s="2" t="str">
        <f ca="1">IFERROR(__xludf.DUMMYFUNCTION("""COMPUTED_VALUE"""),"citadel")</f>
        <v>citadel</v>
      </c>
      <c r="B2843" s="2" t="str">
        <f ca="1">IFERROR(__xludf.DUMMYFUNCTION("""COMPUTED_VALUE"""),"ctl")</f>
        <v>ctl</v>
      </c>
      <c r="C2843" s="2" t="str">
        <f ca="1">IFERROR(__xludf.DUMMYFUNCTION("""COMPUTED_VALUE"""),"Citadel")</f>
        <v>Citadel</v>
      </c>
    </row>
    <row r="2844" spans="1:3" x14ac:dyDescent="0.25">
      <c r="A2844" s="2" t="str">
        <f ca="1">IFERROR(__xludf.DUMMYFUNCTION("""COMPUTED_VALUE"""),"citadel-one")</f>
        <v>citadel-one</v>
      </c>
      <c r="B2844" s="2" t="str">
        <f ca="1">IFERROR(__xludf.DUMMYFUNCTION("""COMPUTED_VALUE"""),"xct")</f>
        <v>xct</v>
      </c>
      <c r="C2844" s="2" t="str">
        <f ca="1">IFERROR(__xludf.DUMMYFUNCTION("""COMPUTED_VALUE"""),"Citadel.one")</f>
        <v>Citadel.one</v>
      </c>
    </row>
    <row r="2845" spans="1:3" x14ac:dyDescent="0.25">
      <c r="A2845" s="2" t="str">
        <f ca="1">IFERROR(__xludf.DUMMYFUNCTION("""COMPUTED_VALUE"""),"citadel-swap")</f>
        <v>citadel-swap</v>
      </c>
      <c r="B2845" s="2" t="str">
        <f ca="1">IFERROR(__xludf.DUMMYFUNCTION("""COMPUTED_VALUE"""),"fort")</f>
        <v>fort</v>
      </c>
      <c r="C2845" s="2" t="str">
        <f ca="1">IFERROR(__xludf.DUMMYFUNCTION("""COMPUTED_VALUE"""),"Citadel")</f>
        <v>Citadel</v>
      </c>
    </row>
    <row r="2846" spans="1:3" x14ac:dyDescent="0.25">
      <c r="A2846" s="2" t="str">
        <f ca="1">IFERROR(__xludf.DUMMYFUNCTION("""COMPUTED_VALUE"""),"citty-meme-coin")</f>
        <v>citty-meme-coin</v>
      </c>
      <c r="B2846" s="2" t="str">
        <f ca="1">IFERROR(__xludf.DUMMYFUNCTION("""COMPUTED_VALUE"""),"citty")</f>
        <v>citty</v>
      </c>
      <c r="C2846" s="2" t="str">
        <f ca="1">IFERROR(__xludf.DUMMYFUNCTION("""COMPUTED_VALUE"""),"Citty Meme Coin")</f>
        <v>Citty Meme Coin</v>
      </c>
    </row>
    <row r="2847" spans="1:3" x14ac:dyDescent="0.25">
      <c r="A2847" s="2" t="str">
        <f ca="1">IFERROR(__xludf.DUMMYFUNCTION("""COMPUTED_VALUE"""),"city-boys")</f>
        <v>city-boys</v>
      </c>
      <c r="B2847" s="2" t="str">
        <f ca="1">IFERROR(__xludf.DUMMYFUNCTION("""COMPUTED_VALUE"""),"toons")</f>
        <v>toons</v>
      </c>
      <c r="C2847" s="2" t="str">
        <f ca="1">IFERROR(__xludf.DUMMYFUNCTION("""COMPUTED_VALUE"""),"City Boys")</f>
        <v>City Boys</v>
      </c>
    </row>
    <row r="2848" spans="1:3" x14ac:dyDescent="0.25">
      <c r="A2848" s="2" t="str">
        <f ca="1">IFERROR(__xludf.DUMMYFUNCTION("""COMPUTED_VALUE"""),"city-tycoon-games")</f>
        <v>city-tycoon-games</v>
      </c>
      <c r="B2848" s="2" t="str">
        <f ca="1">IFERROR(__xludf.DUMMYFUNCTION("""COMPUTED_VALUE"""),"ctg")</f>
        <v>ctg</v>
      </c>
      <c r="C2848" s="2" t="str">
        <f ca="1">IFERROR(__xludf.DUMMYFUNCTION("""COMPUTED_VALUE"""),"City Tycoon Games")</f>
        <v>City Tycoon Games</v>
      </c>
    </row>
    <row r="2849" spans="1:3" x14ac:dyDescent="0.25">
      <c r="A2849" s="2" t="str">
        <f ca="1">IFERROR(__xludf.DUMMYFUNCTION("""COMPUTED_VALUE"""),"civfund-stone")</f>
        <v>civfund-stone</v>
      </c>
      <c r="B2849" s="2" t="str">
        <f ca="1">IFERROR(__xludf.DUMMYFUNCTION("""COMPUTED_VALUE"""),"0ne")</f>
        <v>0ne</v>
      </c>
      <c r="C2849" s="2" t="str">
        <f ca="1">IFERROR(__xludf.DUMMYFUNCTION("""COMPUTED_VALUE"""),"Civfund Stone")</f>
        <v>Civfund Stone</v>
      </c>
    </row>
    <row r="2850" spans="1:3" x14ac:dyDescent="0.25">
      <c r="A2850" s="2" t="str">
        <f ca="1">IFERROR(__xludf.DUMMYFUNCTION("""COMPUTED_VALUE"""),"civic")</f>
        <v>civic</v>
      </c>
      <c r="B2850" s="2" t="str">
        <f ca="1">IFERROR(__xludf.DUMMYFUNCTION("""COMPUTED_VALUE"""),"cvc")</f>
        <v>cvc</v>
      </c>
      <c r="C2850" s="2" t="str">
        <f ca="1">IFERROR(__xludf.DUMMYFUNCTION("""COMPUTED_VALUE"""),"Civic")</f>
        <v>Civic</v>
      </c>
    </row>
    <row r="2851" spans="1:3" x14ac:dyDescent="0.25">
      <c r="A2851" s="2" t="str">
        <f ca="1">IFERROR(__xludf.DUMMYFUNCTION("""COMPUTED_VALUE"""),"civilization")</f>
        <v>civilization</v>
      </c>
      <c r="B2851" s="2" t="str">
        <f ca="1">IFERROR(__xludf.DUMMYFUNCTION("""COMPUTED_VALUE"""),"civ")</f>
        <v>civ</v>
      </c>
      <c r="C2851" s="2" t="str">
        <f ca="1">IFERROR(__xludf.DUMMYFUNCTION("""COMPUTED_VALUE"""),"Civilization")</f>
        <v>Civilization</v>
      </c>
    </row>
    <row r="2852" spans="1:3" x14ac:dyDescent="0.25">
      <c r="A2852" s="2" t="str">
        <f ca="1">IFERROR(__xludf.DUMMYFUNCTION("""COMPUTED_VALUE"""),"cjournal")</f>
        <v>cjournal</v>
      </c>
      <c r="B2852" s="2" t="str">
        <f ca="1">IFERROR(__xludf.DUMMYFUNCTION("""COMPUTED_VALUE"""),"ucjl")</f>
        <v>ucjl</v>
      </c>
      <c r="C2852" s="2" t="str">
        <f ca="1">IFERROR(__xludf.DUMMYFUNCTION("""COMPUTED_VALUE"""),"Utility Cjournal")</f>
        <v>Utility Cjournal</v>
      </c>
    </row>
    <row r="2853" spans="1:3" x14ac:dyDescent="0.25">
      <c r="A2853" s="2" t="str">
        <f ca="1">IFERROR(__xludf.DUMMYFUNCTION("""COMPUTED_VALUE"""),"claimswap")</f>
        <v>claimswap</v>
      </c>
      <c r="B2853" s="2" t="str">
        <f ca="1">IFERROR(__xludf.DUMMYFUNCTION("""COMPUTED_VALUE"""),"cla")</f>
        <v>cla</v>
      </c>
      <c r="C2853" s="2" t="str">
        <f ca="1">IFERROR(__xludf.DUMMYFUNCTION("""COMPUTED_VALUE"""),"ClaimSwap")</f>
        <v>ClaimSwap</v>
      </c>
    </row>
    <row r="2854" spans="1:3" x14ac:dyDescent="0.25">
      <c r="A2854" s="2" t="str">
        <f ca="1">IFERROR(__xludf.DUMMYFUNCTION("""COMPUTED_VALUE"""),"clams")</f>
        <v>clams</v>
      </c>
      <c r="B2854" s="2" t="str">
        <f ca="1">IFERROR(__xludf.DUMMYFUNCTION("""COMPUTED_VALUE"""),"clam")</f>
        <v>clam</v>
      </c>
      <c r="C2854" s="2" t="str">
        <f ca="1">IFERROR(__xludf.DUMMYFUNCTION("""COMPUTED_VALUE"""),"Clams")</f>
        <v>Clams</v>
      </c>
    </row>
    <row r="2855" spans="1:3" x14ac:dyDescent="0.25">
      <c r="A2855" s="2" t="str">
        <f ca="1">IFERROR(__xludf.DUMMYFUNCTION("""COMPUTED_VALUE"""),"clapcat")</f>
        <v>clapcat</v>
      </c>
      <c r="B2855" s="2" t="str">
        <f ca="1">IFERROR(__xludf.DUMMYFUNCTION("""COMPUTED_VALUE"""),"$clap")</f>
        <v>$clap</v>
      </c>
      <c r="C2855" s="2" t="str">
        <f ca="1">IFERROR(__xludf.DUMMYFUNCTION("""COMPUTED_VALUE"""),"CLAPCAT")</f>
        <v>CLAPCAT</v>
      </c>
    </row>
    <row r="2856" spans="1:3" x14ac:dyDescent="0.25">
      <c r="A2856" s="2" t="str">
        <f ca="1">IFERROR(__xludf.DUMMYFUNCTION("""COMPUTED_VALUE"""),"clashmon-ignition-torch")</f>
        <v>clashmon-ignition-torch</v>
      </c>
      <c r="B2856" s="2" t="str">
        <f ca="1">IFERROR(__xludf.DUMMYFUNCTION("""COMPUTED_VALUE"""),"torch")</f>
        <v>torch</v>
      </c>
      <c r="C2856" s="2" t="str">
        <f ca="1">IFERROR(__xludf.DUMMYFUNCTION("""COMPUTED_VALUE"""),"Torch")</f>
        <v>Torch</v>
      </c>
    </row>
    <row r="2857" spans="1:3" x14ac:dyDescent="0.25">
      <c r="A2857" s="2" t="str">
        <f ca="1">IFERROR(__xludf.DUMMYFUNCTION("""COMPUTED_VALUE"""),"clash-of-lilliput")</f>
        <v>clash-of-lilliput</v>
      </c>
      <c r="B2857" s="2" t="str">
        <f ca="1">IFERROR(__xludf.DUMMYFUNCTION("""COMPUTED_VALUE"""),"col")</f>
        <v>col</v>
      </c>
      <c r="C2857" s="2" t="str">
        <f ca="1">IFERROR(__xludf.DUMMYFUNCTION("""COMPUTED_VALUE"""),"Clash of Lilliput")</f>
        <v>Clash of Lilliput</v>
      </c>
    </row>
    <row r="2858" spans="1:3" x14ac:dyDescent="0.25">
      <c r="A2858" s="2" t="str">
        <f ca="1">IFERROR(__xludf.DUMMYFUNCTION("""COMPUTED_VALUE"""),"clashub")</f>
        <v>clashub</v>
      </c>
      <c r="B2858" s="2" t="str">
        <f ca="1">IFERROR(__xludf.DUMMYFUNCTION("""COMPUTED_VALUE"""),"clash")</f>
        <v>clash</v>
      </c>
      <c r="C2858" s="2" t="str">
        <f ca="1">IFERROR(__xludf.DUMMYFUNCTION("""COMPUTED_VALUE"""),"Clashub")</f>
        <v>Clashub</v>
      </c>
    </row>
    <row r="2859" spans="1:3" x14ac:dyDescent="0.25">
      <c r="A2859" s="2" t="str">
        <f ca="1">IFERROR(__xludf.DUMMYFUNCTION("""COMPUTED_VALUE"""),"classicbitcoin")</f>
        <v>classicbitcoin</v>
      </c>
      <c r="B2859" s="2" t="str">
        <f ca="1">IFERROR(__xludf.DUMMYFUNCTION("""COMPUTED_VALUE"""),"cbtc")</f>
        <v>cbtc</v>
      </c>
      <c r="C2859" s="2" t="str">
        <f ca="1">IFERROR(__xludf.DUMMYFUNCTION("""COMPUTED_VALUE"""),"ClassicBitcoin")</f>
        <v>ClassicBitcoin</v>
      </c>
    </row>
    <row r="2860" spans="1:3" x14ac:dyDescent="0.25">
      <c r="A2860" s="2" t="str">
        <f ca="1">IFERROR(__xludf.DUMMYFUNCTION("""COMPUTED_VALUE"""),"classic-usd")</f>
        <v>classic-usd</v>
      </c>
      <c r="B2860" s="2" t="str">
        <f ca="1">IFERROR(__xludf.DUMMYFUNCTION("""COMPUTED_VALUE"""),"usc")</f>
        <v>usc</v>
      </c>
      <c r="C2860" s="2" t="str">
        <f ca="1">IFERROR(__xludf.DUMMYFUNCTION("""COMPUTED_VALUE"""),"Classic USD")</f>
        <v>Classic USD</v>
      </c>
    </row>
    <row r="2861" spans="1:3" x14ac:dyDescent="0.25">
      <c r="A2861" s="2" t="str">
        <f ca="1">IFERROR(__xludf.DUMMYFUNCTION("""COMPUTED_VALUE"""),"classzz")</f>
        <v>classzz</v>
      </c>
      <c r="B2861" s="2" t="str">
        <f ca="1">IFERROR(__xludf.DUMMYFUNCTION("""COMPUTED_VALUE"""),"czz")</f>
        <v>czz</v>
      </c>
      <c r="C2861" s="2" t="str">
        <f ca="1">IFERROR(__xludf.DUMMYFUNCTION("""COMPUTED_VALUE"""),"ClassZZ")</f>
        <v>ClassZZ</v>
      </c>
    </row>
    <row r="2862" spans="1:3" x14ac:dyDescent="0.25">
      <c r="A2862" s="2" t="str">
        <f ca="1">IFERROR(__xludf.DUMMYFUNCTION("""COMPUTED_VALUE"""),"clay-nation")</f>
        <v>clay-nation</v>
      </c>
      <c r="B2862" s="2" t="str">
        <f ca="1">IFERROR(__xludf.DUMMYFUNCTION("""COMPUTED_VALUE"""),"clay")</f>
        <v>clay</v>
      </c>
      <c r="C2862" s="2" t="str">
        <f ca="1">IFERROR(__xludf.DUMMYFUNCTION("""COMPUTED_VALUE"""),"Clay Nation")</f>
        <v>Clay Nation</v>
      </c>
    </row>
    <row r="2863" spans="1:3" x14ac:dyDescent="0.25">
      <c r="A2863" s="2" t="str">
        <f ca="1">IFERROR(__xludf.DUMMYFUNCTION("""COMPUTED_VALUE"""),"clearcryptos")</f>
        <v>clearcryptos</v>
      </c>
      <c r="B2863" s="2" t="str">
        <f ca="1">IFERROR(__xludf.DUMMYFUNCTION("""COMPUTED_VALUE"""),"ccx")</f>
        <v>ccx</v>
      </c>
      <c r="C2863" s="2" t="str">
        <f ca="1">IFERROR(__xludf.DUMMYFUNCTION("""COMPUTED_VALUE"""),"ClearCryptos")</f>
        <v>ClearCryptos</v>
      </c>
    </row>
    <row r="2864" spans="1:3" x14ac:dyDescent="0.25">
      <c r="A2864" s="2" t="str">
        <f ca="1">IFERROR(__xludf.DUMMYFUNCTION("""COMPUTED_VALUE"""),"cleardao")</f>
        <v>cleardao</v>
      </c>
      <c r="B2864" s="2" t="str">
        <f ca="1">IFERROR(__xludf.DUMMYFUNCTION("""COMPUTED_VALUE"""),"clh")</f>
        <v>clh</v>
      </c>
      <c r="C2864" s="2" t="str">
        <f ca="1">IFERROR(__xludf.DUMMYFUNCTION("""COMPUTED_VALUE"""),"ClearDAO")</f>
        <v>ClearDAO</v>
      </c>
    </row>
    <row r="2865" spans="1:3" x14ac:dyDescent="0.25">
      <c r="A2865" s="2" t="str">
        <f ca="1">IFERROR(__xludf.DUMMYFUNCTION("""COMPUTED_VALUE"""),"clearpool")</f>
        <v>clearpool</v>
      </c>
      <c r="B2865" s="2" t="str">
        <f ca="1">IFERROR(__xludf.DUMMYFUNCTION("""COMPUTED_VALUE"""),"cpool")</f>
        <v>cpool</v>
      </c>
      <c r="C2865" s="2" t="str">
        <f ca="1">IFERROR(__xludf.DUMMYFUNCTION("""COMPUTED_VALUE"""),"Clearpool")</f>
        <v>Clearpool</v>
      </c>
    </row>
    <row r="2866" spans="1:3" x14ac:dyDescent="0.25">
      <c r="A2866" s="2" t="str">
        <f ca="1">IFERROR(__xludf.DUMMYFUNCTION("""COMPUTED_VALUE"""),"clecoin")</f>
        <v>clecoin</v>
      </c>
      <c r="B2866" s="2" t="str">
        <f ca="1">IFERROR(__xludf.DUMMYFUNCTION("""COMPUTED_VALUE"""),"cle")</f>
        <v>cle</v>
      </c>
      <c r="C2866" s="2" t="str">
        <f ca="1">IFERROR(__xludf.DUMMYFUNCTION("""COMPUTED_VALUE"""),"CLECOIN")</f>
        <v>CLECOIN</v>
      </c>
    </row>
    <row r="2867" spans="1:3" x14ac:dyDescent="0.25">
      <c r="A2867" s="2" t="str">
        <f ca="1">IFERROR(__xludf.DUMMYFUNCTION("""COMPUTED_VALUE"""),"cleopatra")</f>
        <v>cleopatra</v>
      </c>
      <c r="B2867" s="2" t="str">
        <f ca="1">IFERROR(__xludf.DUMMYFUNCTION("""COMPUTED_VALUE"""),"cleo")</f>
        <v>cleo</v>
      </c>
      <c r="C2867" s="2" t="str">
        <f ca="1">IFERROR(__xludf.DUMMYFUNCTION("""COMPUTED_VALUE"""),"Cleopatra")</f>
        <v>Cleopatra</v>
      </c>
    </row>
    <row r="2868" spans="1:3" x14ac:dyDescent="0.25">
      <c r="A2868" s="2" t="str">
        <f ca="1">IFERROR(__xludf.DUMMYFUNCTION("""COMPUTED_VALUE"""),"cleo-tech")</f>
        <v>cleo-tech</v>
      </c>
      <c r="B2868" s="2" t="str">
        <f ca="1">IFERROR(__xludf.DUMMYFUNCTION("""COMPUTED_VALUE"""),"$cleo")</f>
        <v>$cleo</v>
      </c>
      <c r="C2868" s="2" t="str">
        <f ca="1">IFERROR(__xludf.DUMMYFUNCTION("""COMPUTED_VALUE"""),"Cleo Tech")</f>
        <v>Cleo Tech</v>
      </c>
    </row>
    <row r="2869" spans="1:3" x14ac:dyDescent="0.25">
      <c r="A2869" s="2" t="str">
        <f ca="1">IFERROR(__xludf.DUMMYFUNCTION("""COMPUTED_VALUE"""),"clevernode")</f>
        <v>clevernode</v>
      </c>
      <c r="B2869" s="2" t="str">
        <f ca="1">IFERROR(__xludf.DUMMYFUNCTION("""COMPUTED_VALUE"""),"clv")</f>
        <v>clv</v>
      </c>
      <c r="C2869" s="2" t="str">
        <f ca="1">IFERROR(__xludf.DUMMYFUNCTION("""COMPUTED_VALUE"""),"Clevernode")</f>
        <v>Clevernode</v>
      </c>
    </row>
    <row r="2870" spans="1:3" x14ac:dyDescent="0.25">
      <c r="A2870" s="2" t="str">
        <f ca="1">IFERROR(__xludf.DUMMYFUNCTION("""COMPUTED_VALUE"""),"clever-token")</f>
        <v>clever-token</v>
      </c>
      <c r="B2870" s="2" t="str">
        <f ca="1">IFERROR(__xludf.DUMMYFUNCTION("""COMPUTED_VALUE"""),"clev")</f>
        <v>clev</v>
      </c>
      <c r="C2870" s="2" t="str">
        <f ca="1">IFERROR(__xludf.DUMMYFUNCTION("""COMPUTED_VALUE"""),"CLever")</f>
        <v>CLever</v>
      </c>
    </row>
    <row r="2871" spans="1:3" x14ac:dyDescent="0.25">
      <c r="A2871" s="2" t="str">
        <f ca="1">IFERROR(__xludf.DUMMYFUNCTION("""COMPUTED_VALUE"""),"climate101")</f>
        <v>climate101</v>
      </c>
      <c r="B2871" s="2" t="str">
        <f ca="1">IFERROR(__xludf.DUMMYFUNCTION("""COMPUTED_VALUE"""),"gigs")</f>
        <v>gigs</v>
      </c>
      <c r="C2871" s="2" t="str">
        <f ca="1">IFERROR(__xludf.DUMMYFUNCTION("""COMPUTED_VALUE"""),"Climate101")</f>
        <v>Climate101</v>
      </c>
    </row>
    <row r="2872" spans="1:3" x14ac:dyDescent="0.25">
      <c r="A2872" s="2" t="str">
        <f ca="1">IFERROR(__xludf.DUMMYFUNCTION("""COMPUTED_VALUE"""),"clintex-cti")</f>
        <v>clintex-cti</v>
      </c>
      <c r="B2872" s="2" t="str">
        <f ca="1">IFERROR(__xludf.DUMMYFUNCTION("""COMPUTED_VALUE"""),"cti")</f>
        <v>cti</v>
      </c>
      <c r="C2872" s="2" t="str">
        <f ca="1">IFERROR(__xludf.DUMMYFUNCTION("""COMPUTED_VALUE"""),"ClinTex CTi")</f>
        <v>ClinTex CTi</v>
      </c>
    </row>
    <row r="2873" spans="1:3" x14ac:dyDescent="0.25">
      <c r="A2873" s="2" t="str">
        <f ca="1">IFERROR(__xludf.DUMMYFUNCTION("""COMPUTED_VALUE"""),"clip-finance")</f>
        <v>clip-finance</v>
      </c>
      <c r="B2873" s="2" t="str">
        <f ca="1">IFERROR(__xludf.DUMMYFUNCTION("""COMPUTED_VALUE"""),"clip")</f>
        <v>clip</v>
      </c>
      <c r="C2873" s="2" t="str">
        <f ca="1">IFERROR(__xludf.DUMMYFUNCTION("""COMPUTED_VALUE"""),"Clip Finance")</f>
        <v>Clip Finance</v>
      </c>
    </row>
    <row r="2874" spans="1:3" x14ac:dyDescent="0.25">
      <c r="A2874" s="2" t="str">
        <f ca="1">IFERROR(__xludf.DUMMYFUNCTION("""COMPUTED_VALUE"""),"clippy")</f>
        <v>clippy</v>
      </c>
      <c r="B2874" s="2" t="str">
        <f ca="1">IFERROR(__xludf.DUMMYFUNCTION("""COMPUTED_VALUE"""),"clippy")</f>
        <v>clippy</v>
      </c>
      <c r="C2874" s="2" t="str">
        <f ca="1">IFERROR(__xludf.DUMMYFUNCTION("""COMPUTED_VALUE"""),"Clippy")</f>
        <v>Clippy</v>
      </c>
    </row>
    <row r="2875" spans="1:3" x14ac:dyDescent="0.25">
      <c r="A2875" s="2" t="str">
        <f ca="1">IFERROR(__xludf.DUMMYFUNCTION("""COMPUTED_VALUE"""),"clippy-ai")</f>
        <v>clippy-ai</v>
      </c>
      <c r="B2875" s="2" t="str">
        <f ca="1">IFERROR(__xludf.DUMMYFUNCTION("""COMPUTED_VALUE"""),"$clippy")</f>
        <v>$clippy</v>
      </c>
      <c r="C2875" s="2" t="str">
        <f ca="1">IFERROR(__xludf.DUMMYFUNCTION("""COMPUTED_VALUE"""),"Clippy AI")</f>
        <v>Clippy AI</v>
      </c>
    </row>
    <row r="2876" spans="1:3" x14ac:dyDescent="0.25">
      <c r="A2876" s="2" t="str">
        <f ca="1">IFERROR(__xludf.DUMMYFUNCTION("""COMPUTED_VALUE"""),"clips")</f>
        <v>clips</v>
      </c>
      <c r="B2876" s="2" t="str">
        <f ca="1">IFERROR(__xludf.DUMMYFUNCTION("""COMPUTED_VALUE"""),"clips")</f>
        <v>clips</v>
      </c>
      <c r="C2876" s="2" t="str">
        <f ca="1">IFERROR(__xludf.DUMMYFUNCTION("""COMPUTED_VALUE"""),"Clips")</f>
        <v>Clips</v>
      </c>
    </row>
    <row r="2877" spans="1:3" x14ac:dyDescent="0.25">
      <c r="A2877" s="2" t="str">
        <f ca="1">IFERROR(__xludf.DUMMYFUNCTION("""COMPUTED_VALUE"""),"cliq")</f>
        <v>cliq</v>
      </c>
      <c r="B2877" s="2" t="str">
        <f ca="1">IFERROR(__xludf.DUMMYFUNCTION("""COMPUTED_VALUE"""),"ct")</f>
        <v>ct</v>
      </c>
      <c r="C2877" s="2" t="str">
        <f ca="1">IFERROR(__xludf.DUMMYFUNCTION("""COMPUTED_VALUE"""),"CLIQ")</f>
        <v>CLIQ</v>
      </c>
    </row>
    <row r="2878" spans="1:3" x14ac:dyDescent="0.25">
      <c r="A2878" s="2" t="str">
        <f ca="1">IFERROR(__xludf.DUMMYFUNCTION("""COMPUTED_VALUE"""),"cloak-2")</f>
        <v>cloak-2</v>
      </c>
      <c r="B2878" s="2" t="str">
        <f ca="1">IFERROR(__xludf.DUMMYFUNCTION("""COMPUTED_VALUE"""),"cloak")</f>
        <v>cloak</v>
      </c>
      <c r="C2878" s="2" t="str">
        <f ca="1">IFERROR(__xludf.DUMMYFUNCTION("""COMPUTED_VALUE"""),"Cloak")</f>
        <v>Cloak</v>
      </c>
    </row>
    <row r="2879" spans="1:3" x14ac:dyDescent="0.25">
      <c r="A2879" s="2" t="str">
        <f ca="1">IFERROR(__xludf.DUMMYFUNCTION("""COMPUTED_VALUE"""),"cloakcoin")</f>
        <v>cloakcoin</v>
      </c>
      <c r="B2879" s="2" t="str">
        <f ca="1">IFERROR(__xludf.DUMMYFUNCTION("""COMPUTED_VALUE"""),"cloak")</f>
        <v>cloak</v>
      </c>
      <c r="C2879" s="2" t="str">
        <f ca="1">IFERROR(__xludf.DUMMYFUNCTION("""COMPUTED_VALUE"""),"Cloakcoin")</f>
        <v>Cloakcoin</v>
      </c>
    </row>
    <row r="2880" spans="1:3" x14ac:dyDescent="0.25">
      <c r="A2880" s="2" t="str">
        <f ca="1">IFERROR(__xludf.DUMMYFUNCTION("""COMPUTED_VALUE"""),"cloned-1mpepe")</f>
        <v>cloned-1mpepe</v>
      </c>
      <c r="B2880" s="2" t="str">
        <f ca="1">IFERROR(__xludf.DUMMYFUNCTION("""COMPUTED_VALUE"""),"cl1mpepe")</f>
        <v>cl1mpepe</v>
      </c>
      <c r="C2880" s="2" t="str">
        <f ca="1">IFERROR(__xludf.DUMMYFUNCTION("""COMPUTED_VALUE"""),"Cloned 1MPEPE")</f>
        <v>Cloned 1MPEPE</v>
      </c>
    </row>
    <row r="2881" spans="1:3" x14ac:dyDescent="0.25">
      <c r="A2881" s="2" t="str">
        <f ca="1">IFERROR(__xludf.DUMMYFUNCTION("""COMPUTED_VALUE"""),"cloned-aptos")</f>
        <v>cloned-aptos</v>
      </c>
      <c r="B2881" s="2" t="str">
        <f ca="1">IFERROR(__xludf.DUMMYFUNCTION("""COMPUTED_VALUE"""),"clapt")</f>
        <v>clapt</v>
      </c>
      <c r="C2881" s="2" t="str">
        <f ca="1">IFERROR(__xludf.DUMMYFUNCTION("""COMPUTED_VALUE"""),"Cloned Aptos")</f>
        <v>Cloned Aptos</v>
      </c>
    </row>
    <row r="2882" spans="1:3" x14ac:dyDescent="0.25">
      <c r="A2882" s="2" t="str">
        <f ca="1">IFERROR(__xludf.DUMMYFUNCTION("""COMPUTED_VALUE"""),"cloned-bnb")</f>
        <v>cloned-bnb</v>
      </c>
      <c r="B2882" s="2" t="str">
        <f ca="1">IFERROR(__xludf.DUMMYFUNCTION("""COMPUTED_VALUE"""),"clbnb")</f>
        <v>clbnb</v>
      </c>
      <c r="C2882" s="2" t="str">
        <f ca="1">IFERROR(__xludf.DUMMYFUNCTION("""COMPUTED_VALUE"""),"Cloned BNB")</f>
        <v>Cloned BNB</v>
      </c>
    </row>
    <row r="2883" spans="1:3" x14ac:dyDescent="0.25">
      <c r="A2883" s="2" t="str">
        <f ca="1">IFERROR(__xludf.DUMMYFUNCTION("""COMPUTED_VALUE"""),"clore-ai")</f>
        <v>clore-ai</v>
      </c>
      <c r="B2883" s="2" t="str">
        <f ca="1">IFERROR(__xludf.DUMMYFUNCTION("""COMPUTED_VALUE"""),"clore")</f>
        <v>clore</v>
      </c>
      <c r="C2883" s="3" t="str">
        <f ca="1">IFERROR(__xludf.DUMMYFUNCTION("""COMPUTED_VALUE"""),"Clore.ai")</f>
        <v>Clore.ai</v>
      </c>
    </row>
    <row r="2884" spans="1:3" x14ac:dyDescent="0.25">
      <c r="A2884" s="2" t="str">
        <f ca="1">IFERROR(__xludf.DUMMYFUNCTION("""COMPUTED_VALUE"""),"closedai")</f>
        <v>closedai</v>
      </c>
      <c r="B2884" s="2" t="str">
        <f ca="1">IFERROR(__xludf.DUMMYFUNCTION("""COMPUTED_VALUE"""),"closedai")</f>
        <v>closedai</v>
      </c>
      <c r="C2884" s="2" t="str">
        <f ca="1">IFERROR(__xludf.DUMMYFUNCTION("""COMPUTED_VALUE"""),"ClosedAI")</f>
        <v>ClosedAI</v>
      </c>
    </row>
    <row r="2885" spans="1:3" x14ac:dyDescent="0.25">
      <c r="A2885" s="2" t="str">
        <f ca="1">IFERROR(__xludf.DUMMYFUNCTION("""COMPUTED_VALUE"""),"cloud-ai")</f>
        <v>cloud-ai</v>
      </c>
      <c r="B2885" s="2" t="str">
        <f ca="1">IFERROR(__xludf.DUMMYFUNCTION("""COMPUTED_VALUE"""),"cld")</f>
        <v>cld</v>
      </c>
      <c r="C2885" s="2" t="str">
        <f ca="1">IFERROR(__xludf.DUMMYFUNCTION("""COMPUTED_VALUE"""),"Cloud AI")</f>
        <v>Cloud AI</v>
      </c>
    </row>
    <row r="2886" spans="1:3" x14ac:dyDescent="0.25">
      <c r="A2886" s="2" t="str">
        <f ca="1">IFERROR(__xludf.DUMMYFUNCTION("""COMPUTED_VALUE"""),"cloudbase")</f>
        <v>cloudbase</v>
      </c>
      <c r="B2886" s="2" t="str">
        <f ca="1">IFERROR(__xludf.DUMMYFUNCTION("""COMPUTED_VALUE"""),"cloud")</f>
        <v>cloud</v>
      </c>
      <c r="C2886" s="2" t="str">
        <f ca="1">IFERROR(__xludf.DUMMYFUNCTION("""COMPUTED_VALUE"""),"CloudBase")</f>
        <v>CloudBase</v>
      </c>
    </row>
    <row r="2887" spans="1:3" x14ac:dyDescent="0.25">
      <c r="A2887" s="2" t="str">
        <f ca="1">IFERROR(__xludf.DUMMYFUNCTION("""COMPUTED_VALUE"""),"cloud-binary")</f>
        <v>cloud-binary</v>
      </c>
      <c r="B2887" s="2" t="str">
        <f ca="1">IFERROR(__xludf.DUMMYFUNCTION("""COMPUTED_VALUE"""),"cby")</f>
        <v>cby</v>
      </c>
      <c r="C2887" s="2" t="str">
        <f ca="1">IFERROR(__xludf.DUMMYFUNCTION("""COMPUTED_VALUE"""),"Cloud Binary")</f>
        <v>Cloud Binary</v>
      </c>
    </row>
    <row r="2888" spans="1:3" x14ac:dyDescent="0.25">
      <c r="A2888" s="2" t="str">
        <f ca="1">IFERROR(__xludf.DUMMYFUNCTION("""COMPUTED_VALUE"""),"cloudbric")</f>
        <v>cloudbric</v>
      </c>
      <c r="B2888" s="2" t="str">
        <f ca="1">IFERROR(__xludf.DUMMYFUNCTION("""COMPUTED_VALUE"""),"clbk")</f>
        <v>clbk</v>
      </c>
      <c r="C2888" s="2" t="str">
        <f ca="1">IFERROR(__xludf.DUMMYFUNCTION("""COMPUTED_VALUE"""),"Cloudbric")</f>
        <v>Cloudbric</v>
      </c>
    </row>
    <row r="2889" spans="1:3" x14ac:dyDescent="0.25">
      <c r="A2889" s="2" t="str">
        <f ca="1">IFERROR(__xludf.DUMMYFUNCTION("""COMPUTED_VALUE"""),"cloudcoin-finance")</f>
        <v>cloudcoin-finance</v>
      </c>
      <c r="B2889" s="2" t="str">
        <f ca="1">IFERROR(__xludf.DUMMYFUNCTION("""COMPUTED_VALUE"""),"ccfi")</f>
        <v>ccfi</v>
      </c>
      <c r="C2889" s="2" t="str">
        <f ca="1">IFERROR(__xludf.DUMMYFUNCTION("""COMPUTED_VALUE"""),"CloudCoin Finance")</f>
        <v>CloudCoin Finance</v>
      </c>
    </row>
    <row r="2890" spans="1:3" x14ac:dyDescent="0.25">
      <c r="A2890" s="2" t="str">
        <f ca="1">IFERROR(__xludf.DUMMYFUNCTION("""COMPUTED_VALUE"""),"cloudmind-ai")</f>
        <v>cloudmind-ai</v>
      </c>
      <c r="B2890" s="2" t="str">
        <f ca="1">IFERROR(__xludf.DUMMYFUNCTION("""COMPUTED_VALUE"""),"cmnd")</f>
        <v>cmnd</v>
      </c>
      <c r="C2890" s="2" t="str">
        <f ca="1">IFERROR(__xludf.DUMMYFUNCTION("""COMPUTED_VALUE"""),"CloudMind AI")</f>
        <v>CloudMind AI</v>
      </c>
    </row>
    <row r="2891" spans="1:3" x14ac:dyDescent="0.25">
      <c r="A2891" s="2" t="str">
        <f ca="1">IFERROR(__xludf.DUMMYFUNCTION("""COMPUTED_VALUE"""),"cloudname")</f>
        <v>cloudname</v>
      </c>
      <c r="B2891" s="2" t="str">
        <f ca="1">IFERROR(__xludf.DUMMYFUNCTION("""COMPUTED_VALUE"""),"cname")</f>
        <v>cname</v>
      </c>
      <c r="C2891" s="2" t="str">
        <f ca="1">IFERROR(__xludf.DUMMYFUNCTION("""COMPUTED_VALUE"""),"Cloudname")</f>
        <v>Cloudname</v>
      </c>
    </row>
    <row r="2892" spans="1:3" x14ac:dyDescent="0.25">
      <c r="A2892" s="2" t="str">
        <f ca="1">IFERROR(__xludf.DUMMYFUNCTION("""COMPUTED_VALUE"""),"cloudnet-ai")</f>
        <v>cloudnet-ai</v>
      </c>
      <c r="B2892" s="2" t="str">
        <f ca="1">IFERROR(__xludf.DUMMYFUNCTION("""COMPUTED_VALUE"""),"cnai")</f>
        <v>cnai</v>
      </c>
      <c r="C2892" s="2" t="str">
        <f ca="1">IFERROR(__xludf.DUMMYFUNCTION("""COMPUTED_VALUE"""),"Cloudnet Ai")</f>
        <v>Cloudnet Ai</v>
      </c>
    </row>
    <row r="2893" spans="1:3" x14ac:dyDescent="0.25">
      <c r="A2893" s="2" t="str">
        <f ca="1">IFERROR(__xludf.DUMMYFUNCTION("""COMPUTED_VALUE"""),"cloud-pet")</f>
        <v>cloud-pet</v>
      </c>
      <c r="B2893" s="2" t="str">
        <f ca="1">IFERROR(__xludf.DUMMYFUNCTION("""COMPUTED_VALUE"""),"cpet")</f>
        <v>cpet</v>
      </c>
      <c r="C2893" s="2" t="str">
        <f ca="1">IFERROR(__xludf.DUMMYFUNCTION("""COMPUTED_VALUE"""),"Cloud Pet")</f>
        <v>Cloud Pet</v>
      </c>
    </row>
    <row r="2894" spans="1:3" x14ac:dyDescent="0.25">
      <c r="A2894" s="2" t="str">
        <f ca="1">IFERROR(__xludf.DUMMYFUNCTION("""COMPUTED_VALUE"""),"cloutcontracts")</f>
        <v>cloutcontracts</v>
      </c>
      <c r="B2894" s="2" t="str">
        <f ca="1">IFERROR(__xludf.DUMMYFUNCTION("""COMPUTED_VALUE"""),"ccs")</f>
        <v>ccs</v>
      </c>
      <c r="C2894" s="2" t="str">
        <f ca="1">IFERROR(__xludf.DUMMYFUNCTION("""COMPUTED_VALUE"""),"CloutContracts")</f>
        <v>CloutContracts</v>
      </c>
    </row>
    <row r="2895" spans="1:3" x14ac:dyDescent="0.25">
      <c r="A2895" s="2" t="str">
        <f ca="1">IFERROR(__xludf.DUMMYFUNCTION("""COMPUTED_VALUE"""),"clover-finance")</f>
        <v>clover-finance</v>
      </c>
      <c r="B2895" s="2" t="str">
        <f ca="1">IFERROR(__xludf.DUMMYFUNCTION("""COMPUTED_VALUE"""),"clv")</f>
        <v>clv</v>
      </c>
      <c r="C2895" s="2" t="str">
        <f ca="1">IFERROR(__xludf.DUMMYFUNCTION("""COMPUTED_VALUE"""),"Clover Finance")</f>
        <v>Clover Finance</v>
      </c>
    </row>
    <row r="2896" spans="1:3" x14ac:dyDescent="0.25">
      <c r="A2896" s="2" t="str">
        <f ca="1">IFERROR(__xludf.DUMMYFUNCTION("""COMPUTED_VALUE"""),"clown")</f>
        <v>clown</v>
      </c>
      <c r="B2896" s="2" t="str">
        <f ca="1">IFERROR(__xludf.DUMMYFUNCTION("""COMPUTED_VALUE"""),"clown")</f>
        <v>clown</v>
      </c>
      <c r="C2896" s="2" t="str">
        <f ca="1">IFERROR(__xludf.DUMMYFUNCTION("""COMPUTED_VALUE"""),"CLOWN")</f>
        <v>CLOWN</v>
      </c>
    </row>
    <row r="2897" spans="1:3" x14ac:dyDescent="0.25">
      <c r="A2897" s="2" t="str">
        <f ca="1">IFERROR(__xludf.DUMMYFUNCTION("""COMPUTED_VALUE"""),"clown-pepe")</f>
        <v>clown-pepe</v>
      </c>
      <c r="B2897" s="2" t="str">
        <f ca="1">IFERROR(__xludf.DUMMYFUNCTION("""COMPUTED_VALUE"""),"honk")</f>
        <v>honk</v>
      </c>
      <c r="C2897" s="2" t="str">
        <f ca="1">IFERROR(__xludf.DUMMYFUNCTION("""COMPUTED_VALUE"""),"Clown Pepe")</f>
        <v>Clown Pepe</v>
      </c>
    </row>
    <row r="2898" spans="1:3" x14ac:dyDescent="0.25">
      <c r="A2898" s="2" t="str">
        <f ca="1">IFERROR(__xludf.DUMMYFUNCTION("""COMPUTED_VALUE"""),"clown-sol")</f>
        <v>clown-sol</v>
      </c>
      <c r="B2898" s="2" t="str">
        <f ca="1">IFERROR(__xludf.DUMMYFUNCTION("""COMPUTED_VALUE"""),"clown")</f>
        <v>clown</v>
      </c>
      <c r="C2898" s="2" t="str">
        <f ca="1">IFERROR(__xludf.DUMMYFUNCTION("""COMPUTED_VALUE"""),"CLOWN (SOL)")</f>
        <v>CLOWN (SOL)</v>
      </c>
    </row>
    <row r="2899" spans="1:3" x14ac:dyDescent="0.25">
      <c r="A2899" s="2" t="str">
        <f ca="1">IFERROR(__xludf.DUMMYFUNCTION("""COMPUTED_VALUE"""),"clp")</f>
        <v>clp</v>
      </c>
      <c r="B2899" s="2" t="str">
        <f ca="1">IFERROR(__xludf.DUMMYFUNCTION("""COMPUTED_VALUE"""),"clp")</f>
        <v>clp</v>
      </c>
      <c r="C2899" s="2" t="str">
        <f ca="1">IFERROR(__xludf.DUMMYFUNCTION("""COMPUTED_VALUE"""),"CLP")</f>
        <v>CLP</v>
      </c>
    </row>
    <row r="2900" spans="1:3" x14ac:dyDescent="0.25">
      <c r="A2900" s="2" t="str">
        <f ca="1">IFERROR(__xludf.DUMMYFUNCTION("""COMPUTED_VALUE"""),"club-atletico-independiente")</f>
        <v>club-atletico-independiente</v>
      </c>
      <c r="B2900" s="2" t="str">
        <f ca="1">IFERROR(__xludf.DUMMYFUNCTION("""COMPUTED_VALUE"""),"cai")</f>
        <v>cai</v>
      </c>
      <c r="C2900" s="2" t="str">
        <f ca="1">IFERROR(__xludf.DUMMYFUNCTION("""COMPUTED_VALUE"""),"Club Atletico Independiente Fan Token")</f>
        <v>Club Atletico Independiente Fan Token</v>
      </c>
    </row>
    <row r="2901" spans="1:3" x14ac:dyDescent="0.25">
      <c r="A2901" s="2" t="str">
        <f ca="1">IFERROR(__xludf.DUMMYFUNCTION("""COMPUTED_VALUE"""),"club-deportivo-fan-token")</f>
        <v>club-deportivo-fan-token</v>
      </c>
      <c r="B2901" s="2" t="str">
        <f ca="1">IFERROR(__xludf.DUMMYFUNCTION("""COMPUTED_VALUE"""),"chvs")</f>
        <v>chvs</v>
      </c>
      <c r="C2901" s="2" t="str">
        <f ca="1">IFERROR(__xludf.DUMMYFUNCTION("""COMPUTED_VALUE"""),"Club Deportivo Guadalajara Fan Token")</f>
        <v>Club Deportivo Guadalajara Fan Token</v>
      </c>
    </row>
    <row r="2902" spans="1:3" x14ac:dyDescent="0.25">
      <c r="A2902" s="2" t="str">
        <f ca="1">IFERROR(__xludf.DUMMYFUNCTION("""COMPUTED_VALUE"""),"clube-atletico-mineiro-fan-token")</f>
        <v>clube-atletico-mineiro-fan-token</v>
      </c>
      <c r="B2902" s="2" t="str">
        <f ca="1">IFERROR(__xludf.DUMMYFUNCTION("""COMPUTED_VALUE"""),"galo")</f>
        <v>galo</v>
      </c>
      <c r="C2902" s="2" t="str">
        <f ca="1">IFERROR(__xludf.DUMMYFUNCTION("""COMPUTED_VALUE"""),"Clube Atlético Mineiro Fan Token")</f>
        <v>Clube Atlético Mineiro Fan Token</v>
      </c>
    </row>
    <row r="2903" spans="1:3" x14ac:dyDescent="0.25">
      <c r="A2903" s="2" t="str">
        <f ca="1">IFERROR(__xludf.DUMMYFUNCTION("""COMPUTED_VALUE"""),"clubrare-empower")</f>
        <v>clubrare-empower</v>
      </c>
      <c r="B2903" s="2" t="str">
        <f ca="1">IFERROR(__xludf.DUMMYFUNCTION("""COMPUTED_VALUE"""),"mpwr")</f>
        <v>mpwr</v>
      </c>
      <c r="C2903" s="2" t="str">
        <f ca="1">IFERROR(__xludf.DUMMYFUNCTION("""COMPUTED_VALUE"""),"Empower")</f>
        <v>Empower</v>
      </c>
    </row>
    <row r="2904" spans="1:3" x14ac:dyDescent="0.25">
      <c r="A2904" s="2" t="str">
        <f ca="1">IFERROR(__xludf.DUMMYFUNCTION("""COMPUTED_VALUE"""),"club-santos-laguna-fan-token")</f>
        <v>club-santos-laguna-fan-token</v>
      </c>
      <c r="B2904" s="2" t="str">
        <f ca="1">IFERROR(__xludf.DUMMYFUNCTION("""COMPUTED_VALUE"""),"san")</f>
        <v>san</v>
      </c>
      <c r="C2904" s="2" t="str">
        <f ca="1">IFERROR(__xludf.DUMMYFUNCTION("""COMPUTED_VALUE"""),"Club Santos Laguna Fan Token")</f>
        <v>Club Santos Laguna Fan Token</v>
      </c>
    </row>
    <row r="2905" spans="1:3" x14ac:dyDescent="0.25">
      <c r="A2905" s="2" t="str">
        <f ca="1">IFERROR(__xludf.DUMMYFUNCTION("""COMPUTED_VALUE"""),"clucoin")</f>
        <v>clucoin</v>
      </c>
      <c r="B2905" s="2" t="str">
        <f ca="1">IFERROR(__xludf.DUMMYFUNCTION("""COMPUTED_VALUE"""),"clu")</f>
        <v>clu</v>
      </c>
      <c r="C2905" s="2" t="str">
        <f ca="1">IFERROR(__xludf.DUMMYFUNCTION("""COMPUTED_VALUE"""),"CluCoin")</f>
        <v>CluCoin</v>
      </c>
    </row>
    <row r="2906" spans="1:3" x14ac:dyDescent="0.25">
      <c r="A2906" s="2" t="str">
        <f ca="1">IFERROR(__xludf.DUMMYFUNCTION("""COMPUTED_VALUE"""),"cmusicai")</f>
        <v>cmusicai</v>
      </c>
      <c r="B2906" s="2" t="str">
        <f ca="1">IFERROR(__xludf.DUMMYFUNCTION("""COMPUTED_VALUE"""),"cms")</f>
        <v>cms</v>
      </c>
      <c r="C2906" s="2" t="str">
        <f ca="1">IFERROR(__xludf.DUMMYFUNCTION("""COMPUTED_VALUE"""),"CmusicAI")</f>
        <v>CmusicAI</v>
      </c>
    </row>
    <row r="2907" spans="1:3" x14ac:dyDescent="0.25">
      <c r="A2907" s="2" t="str">
        <f ca="1">IFERROR(__xludf.DUMMYFUNCTION("""COMPUTED_VALUE"""),"cneta")</f>
        <v>cneta</v>
      </c>
      <c r="B2907" s="2" t="str">
        <f ca="1">IFERROR(__xludf.DUMMYFUNCTION("""COMPUTED_VALUE"""),"cneta")</f>
        <v>cneta</v>
      </c>
      <c r="C2907" s="2" t="str">
        <f ca="1">IFERROR(__xludf.DUMMYFUNCTION("""COMPUTED_VALUE"""),"cNETA")</f>
        <v>cNETA</v>
      </c>
    </row>
    <row r="2908" spans="1:3" x14ac:dyDescent="0.25">
      <c r="A2908" s="2" t="str">
        <f ca="1">IFERROR(__xludf.DUMMYFUNCTION("""COMPUTED_VALUE"""),"cnh-tether")</f>
        <v>cnh-tether</v>
      </c>
      <c r="B2908" s="2" t="str">
        <f ca="1">IFERROR(__xludf.DUMMYFUNCTION("""COMPUTED_VALUE"""),"cnht")</f>
        <v>cnht</v>
      </c>
      <c r="C2908" s="2" t="str">
        <f ca="1">IFERROR(__xludf.DUMMYFUNCTION("""COMPUTED_VALUE"""),"CNH Tether")</f>
        <v>CNH Tether</v>
      </c>
    </row>
    <row r="2909" spans="1:3" x14ac:dyDescent="0.25">
      <c r="A2909" s="2" t="str">
        <f ca="1">IFERROR(__xludf.DUMMYFUNCTION("""COMPUTED_VALUE"""),"cnns")</f>
        <v>cnns</v>
      </c>
      <c r="B2909" s="2" t="str">
        <f ca="1">IFERROR(__xludf.DUMMYFUNCTION("""COMPUTED_VALUE"""),"cnns")</f>
        <v>cnns</v>
      </c>
      <c r="C2909" s="2" t="str">
        <f ca="1">IFERROR(__xludf.DUMMYFUNCTION("""COMPUTED_VALUE"""),"CNNS")</f>
        <v>CNNS</v>
      </c>
    </row>
    <row r="2910" spans="1:3" x14ac:dyDescent="0.25">
      <c r="A2910" s="2" t="str">
        <f ca="1">IFERROR(__xludf.DUMMYFUNCTION("""COMPUTED_VALUE"""),"co2dao")</f>
        <v>co2dao</v>
      </c>
      <c r="B2910" s="2" t="str">
        <f ca="1">IFERROR(__xludf.DUMMYFUNCTION("""COMPUTED_VALUE"""),"co2")</f>
        <v>co2</v>
      </c>
      <c r="C2910" s="2" t="str">
        <f ca="1">IFERROR(__xludf.DUMMYFUNCTION("""COMPUTED_VALUE"""),"Co2DAO")</f>
        <v>Co2DAO</v>
      </c>
    </row>
    <row r="2911" spans="1:3" x14ac:dyDescent="0.25">
      <c r="A2911" s="2" t="str">
        <f ca="1">IFERROR(__xludf.DUMMYFUNCTION("""COMPUTED_VALUE"""),"coalculus")</f>
        <v>coalculus</v>
      </c>
      <c r="B2911" s="2" t="str">
        <f ca="1">IFERROR(__xludf.DUMMYFUNCTION("""COMPUTED_VALUE"""),"coal")</f>
        <v>coal</v>
      </c>
      <c r="C2911" s="2" t="str">
        <f ca="1">IFERROR(__xludf.DUMMYFUNCTION("""COMPUTED_VALUE"""),"Coalculus")</f>
        <v>Coalculus</v>
      </c>
    </row>
    <row r="2912" spans="1:3" x14ac:dyDescent="0.25">
      <c r="A2912" s="2" t="str">
        <f ca="1">IFERROR(__xludf.DUMMYFUNCTION("""COMPUTED_VALUE"""),"coast-cst")</f>
        <v>coast-cst</v>
      </c>
      <c r="B2912" s="2" t="str">
        <f ca="1">IFERROR(__xludf.DUMMYFUNCTION("""COMPUTED_VALUE"""),"cst")</f>
        <v>cst</v>
      </c>
      <c r="C2912" s="2" t="str">
        <f ca="1">IFERROR(__xludf.DUMMYFUNCTION("""COMPUTED_VALUE"""),"Coast CST")</f>
        <v>Coast CST</v>
      </c>
    </row>
    <row r="2913" spans="1:3" x14ac:dyDescent="0.25">
      <c r="A2913" s="2" t="str">
        <f ca="1">IFERROR(__xludf.DUMMYFUNCTION("""COMPUTED_VALUE"""),"cobak-token")</f>
        <v>cobak-token</v>
      </c>
      <c r="B2913" s="2" t="str">
        <f ca="1">IFERROR(__xludf.DUMMYFUNCTION("""COMPUTED_VALUE"""),"cbk")</f>
        <v>cbk</v>
      </c>
      <c r="C2913" s="2" t="str">
        <f ca="1">IFERROR(__xludf.DUMMYFUNCTION("""COMPUTED_VALUE"""),"Cobak")</f>
        <v>Cobak</v>
      </c>
    </row>
    <row r="2914" spans="1:3" x14ac:dyDescent="0.25">
      <c r="A2914" s="2" t="str">
        <f ca="1">IFERROR(__xludf.DUMMYFUNCTION("""COMPUTED_VALUE"""),"coby")</f>
        <v>coby</v>
      </c>
      <c r="B2914" s="2" t="str">
        <f ca="1">IFERROR(__xludf.DUMMYFUNCTION("""COMPUTED_VALUE"""),"coby")</f>
        <v>coby</v>
      </c>
      <c r="C2914" s="2" t="str">
        <f ca="1">IFERROR(__xludf.DUMMYFUNCTION("""COMPUTED_VALUE"""),"coby")</f>
        <v>coby</v>
      </c>
    </row>
    <row r="2915" spans="1:3" x14ac:dyDescent="0.25">
      <c r="A2915" s="2" t="str">
        <f ca="1">IFERROR(__xludf.DUMMYFUNCTION("""COMPUTED_VALUE"""),"coc")</f>
        <v>coc</v>
      </c>
      <c r="B2915" s="2" t="str">
        <f ca="1">IFERROR(__xludf.DUMMYFUNCTION("""COMPUTED_VALUE"""),"coc")</f>
        <v>coc</v>
      </c>
      <c r="C2915" s="2" t="str">
        <f ca="1">IFERROR(__xludf.DUMMYFUNCTION("""COMPUTED_VALUE"""),"COC")</f>
        <v>COC</v>
      </c>
    </row>
    <row r="2916" spans="1:3" x14ac:dyDescent="0.25">
      <c r="A2916" s="2" t="str">
        <f ca="1">IFERROR(__xludf.DUMMYFUNCTION("""COMPUTED_VALUE"""),"cockapoo")</f>
        <v>cockapoo</v>
      </c>
      <c r="B2916" s="2" t="str">
        <f ca="1">IFERROR(__xludf.DUMMYFUNCTION("""COMPUTED_VALUE"""),"cpoo")</f>
        <v>cpoo</v>
      </c>
      <c r="C2916" s="2" t="str">
        <f ca="1">IFERROR(__xludf.DUMMYFUNCTION("""COMPUTED_VALUE"""),"Cockapoo")</f>
        <v>Cockapoo</v>
      </c>
    </row>
    <row r="2917" spans="1:3" x14ac:dyDescent="0.25">
      <c r="A2917" s="2" t="str">
        <f ca="1">IFERROR(__xludf.DUMMYFUNCTION("""COMPUTED_VALUE"""),"cocktailbar")</f>
        <v>cocktailbar</v>
      </c>
      <c r="B2917" s="2" t="str">
        <f ca="1">IFERROR(__xludf.DUMMYFUNCTION("""COMPUTED_VALUE"""),"coc")</f>
        <v>coc</v>
      </c>
      <c r="C2917" s="2" t="str">
        <f ca="1">IFERROR(__xludf.DUMMYFUNCTION("""COMPUTED_VALUE"""),"The Cocktailbar")</f>
        <v>The Cocktailbar</v>
      </c>
    </row>
    <row r="2918" spans="1:3" x14ac:dyDescent="0.25">
      <c r="A2918" s="2" t="str">
        <f ca="1">IFERROR(__xludf.DUMMYFUNCTION("""COMPUTED_VALUE"""),"coco-coin")</f>
        <v>coco-coin</v>
      </c>
      <c r="B2918" s="2" t="str">
        <f ca="1">IFERROR(__xludf.DUMMYFUNCTION("""COMPUTED_VALUE"""),"coco")</f>
        <v>coco</v>
      </c>
      <c r="C2918" s="2" t="str">
        <f ca="1">IFERROR(__xludf.DUMMYFUNCTION("""COMPUTED_VALUE"""),"COCO COIN")</f>
        <v>COCO COIN</v>
      </c>
    </row>
    <row r="2919" spans="1:3" x14ac:dyDescent="0.25">
      <c r="A2919" s="2" t="str">
        <f ca="1">IFERROR(__xludf.DUMMYFUNCTION("""COMPUTED_VALUE"""),"coconut-chicken")</f>
        <v>coconut-chicken</v>
      </c>
      <c r="B2919" s="2" t="str">
        <f ca="1">IFERROR(__xludf.DUMMYFUNCTION("""COMPUTED_VALUE"""),"$ccc")</f>
        <v>$ccc</v>
      </c>
      <c r="C2919" s="2" t="str">
        <f ca="1">IFERROR(__xludf.DUMMYFUNCTION("""COMPUTED_VALUE"""),"Coconut Chicken")</f>
        <v>Coconut Chicken</v>
      </c>
    </row>
    <row r="2920" spans="1:3" x14ac:dyDescent="0.25">
      <c r="A2920" s="2" t="str">
        <f ca="1">IFERROR(__xludf.DUMMYFUNCTION("""COMPUTED_VALUE"""),"cocos-bcx")</f>
        <v>cocos-bcx</v>
      </c>
      <c r="B2920" s="2" t="str">
        <f ca="1">IFERROR(__xludf.DUMMYFUNCTION("""COMPUTED_VALUE"""),"combo")</f>
        <v>combo</v>
      </c>
      <c r="C2920" s="2" t="str">
        <f ca="1">IFERROR(__xludf.DUMMYFUNCTION("""COMPUTED_VALUE"""),"COMBO")</f>
        <v>COMBO</v>
      </c>
    </row>
    <row r="2921" spans="1:3" x14ac:dyDescent="0.25">
      <c r="A2921" s="2" t="str">
        <f ca="1">IFERROR(__xludf.DUMMYFUNCTION("""COMPUTED_VALUE"""),"coda")</f>
        <v>coda</v>
      </c>
      <c r="B2921" s="2" t="str">
        <f ca="1">IFERROR(__xludf.DUMMYFUNCTION("""COMPUTED_VALUE"""),"coda")</f>
        <v>coda</v>
      </c>
      <c r="C2921" s="2" t="str">
        <f ca="1">IFERROR(__xludf.DUMMYFUNCTION("""COMPUTED_VALUE"""),"CODA")</f>
        <v>CODA</v>
      </c>
    </row>
    <row r="2922" spans="1:3" x14ac:dyDescent="0.25">
      <c r="A2922" s="2" t="str">
        <f ca="1">IFERROR(__xludf.DUMMYFUNCTION("""COMPUTED_VALUE"""),"codai")</f>
        <v>codai</v>
      </c>
      <c r="B2922" s="2" t="str">
        <f ca="1">IFERROR(__xludf.DUMMYFUNCTION("""COMPUTED_VALUE"""),"codai")</f>
        <v>codai</v>
      </c>
      <c r="C2922" s="2" t="str">
        <f ca="1">IFERROR(__xludf.DUMMYFUNCTION("""COMPUTED_VALUE"""),"CODAI")</f>
        <v>CODAI</v>
      </c>
    </row>
    <row r="2923" spans="1:3" x14ac:dyDescent="0.25">
      <c r="A2923" s="2" t="str">
        <f ca="1">IFERROR(__xludf.DUMMYFUNCTION("""COMPUTED_VALUE"""),"codegenie")</f>
        <v>codegenie</v>
      </c>
      <c r="B2923" s="2" t="str">
        <f ca="1">IFERROR(__xludf.DUMMYFUNCTION("""COMPUTED_VALUE"""),"$codeg")</f>
        <v>$codeg</v>
      </c>
      <c r="C2923" s="2" t="str">
        <f ca="1">IFERROR(__xludf.DUMMYFUNCTION("""COMPUTED_VALUE"""),"CodeGenie")</f>
        <v>CodeGenie</v>
      </c>
    </row>
    <row r="2924" spans="1:3" x14ac:dyDescent="0.25">
      <c r="A2924" s="2" t="str">
        <f ca="1">IFERROR(__xludf.DUMMYFUNCTION("""COMPUTED_VALUE"""),"codemong-ai-games")</f>
        <v>codemong-ai-games</v>
      </c>
      <c r="B2924" s="2" t="str">
        <f ca="1">IFERROR(__xludf.DUMMYFUNCTION("""COMPUTED_VALUE"""),"coai")</f>
        <v>coai</v>
      </c>
      <c r="C2924" s="2" t="str">
        <f ca="1">IFERROR(__xludf.DUMMYFUNCTION("""COMPUTED_VALUE"""),"CodeMong Ai Games")</f>
        <v>CodeMong Ai Games</v>
      </c>
    </row>
    <row r="2925" spans="1:3" x14ac:dyDescent="0.25">
      <c r="A2925" s="2" t="str">
        <f ca="1">IFERROR(__xludf.DUMMYFUNCTION("""COMPUTED_VALUE"""),"code-token")</f>
        <v>code-token</v>
      </c>
      <c r="B2925" s="2" t="str">
        <f ca="1">IFERROR(__xludf.DUMMYFUNCTION("""COMPUTED_VALUE"""),"code")</f>
        <v>code</v>
      </c>
      <c r="C2925" s="2" t="str">
        <f ca="1">IFERROR(__xludf.DUMMYFUNCTION("""COMPUTED_VALUE"""),"Code Token")</f>
        <v>Code Token</v>
      </c>
    </row>
    <row r="2926" spans="1:3" x14ac:dyDescent="0.25">
      <c r="A2926" s="2" t="str">
        <f ca="1">IFERROR(__xludf.DUMMYFUNCTION("""COMPUTED_VALUE"""),"codexchain")</f>
        <v>codexchain</v>
      </c>
      <c r="B2926" s="2" t="str">
        <f ca="1">IFERROR(__xludf.DUMMYFUNCTION("""COMPUTED_VALUE"""),"cdx")</f>
        <v>cdx</v>
      </c>
      <c r="C2926" s="2" t="str">
        <f ca="1">IFERROR(__xludf.DUMMYFUNCTION("""COMPUTED_VALUE"""),"CodeXChain")</f>
        <v>CodeXChain</v>
      </c>
    </row>
    <row r="2927" spans="1:3" x14ac:dyDescent="0.25">
      <c r="A2927" s="2" t="str">
        <f ca="1">IFERROR(__xludf.DUMMYFUNCTION("""COMPUTED_VALUE"""),"codex-multichain")</f>
        <v>codex-multichain</v>
      </c>
      <c r="B2927" s="2" t="str">
        <f ca="1">IFERROR(__xludf.DUMMYFUNCTION("""COMPUTED_VALUE"""),"codex")</f>
        <v>codex</v>
      </c>
      <c r="C2927" s="2" t="str">
        <f ca="1">IFERROR(__xludf.DUMMYFUNCTION("""COMPUTED_VALUE"""),"Codex Multichain")</f>
        <v>Codex Multichain</v>
      </c>
    </row>
    <row r="2928" spans="1:3" x14ac:dyDescent="0.25">
      <c r="A2928" s="2" t="str">
        <f ca="1">IFERROR(__xludf.DUMMYFUNCTION("""COMPUTED_VALUE"""),"coding-dino")</f>
        <v>coding-dino</v>
      </c>
      <c r="B2928" s="2" t="str">
        <f ca="1">IFERROR(__xludf.DUMMYFUNCTION("""COMPUTED_VALUE"""),"dino")</f>
        <v>dino</v>
      </c>
      <c r="C2928" s="2" t="str">
        <f ca="1">IFERROR(__xludf.DUMMYFUNCTION("""COMPUTED_VALUE"""),"Coding Dino")</f>
        <v>Coding Dino</v>
      </c>
    </row>
    <row r="2929" spans="1:3" x14ac:dyDescent="0.25">
      <c r="A2929" s="2" t="str">
        <f ca="1">IFERROR(__xludf.DUMMYFUNCTION("""COMPUTED_VALUE"""),"codyfight")</f>
        <v>codyfight</v>
      </c>
      <c r="B2929" s="2" t="str">
        <f ca="1">IFERROR(__xludf.DUMMYFUNCTION("""COMPUTED_VALUE"""),"ctok")</f>
        <v>ctok</v>
      </c>
      <c r="C2929" s="2" t="str">
        <f ca="1">IFERROR(__xludf.DUMMYFUNCTION("""COMPUTED_VALUE"""),"Codyfight")</f>
        <v>Codyfight</v>
      </c>
    </row>
    <row r="2930" spans="1:3" x14ac:dyDescent="0.25">
      <c r="A2930" s="2" t="str">
        <f ca="1">IFERROR(__xludf.DUMMYFUNCTION("""COMPUTED_VALUE"""),"coffee")</f>
        <v>coffee</v>
      </c>
      <c r="B2930" s="2" t="str">
        <f ca="1">IFERROR(__xludf.DUMMYFUNCTION("""COMPUTED_VALUE"""),"coffee")</f>
        <v>coffee</v>
      </c>
      <c r="C2930" s="2" t="str">
        <f ca="1">IFERROR(__xludf.DUMMYFUNCTION("""COMPUTED_VALUE"""),"Coffee")</f>
        <v>Coffee</v>
      </c>
    </row>
    <row r="2931" spans="1:3" x14ac:dyDescent="0.25">
      <c r="A2931" s="2" t="str">
        <f ca="1">IFERROR(__xludf.DUMMYFUNCTION("""COMPUTED_VALUE"""),"coffee-club-token")</f>
        <v>coffee-club-token</v>
      </c>
      <c r="B2931" s="2" t="str">
        <f ca="1">IFERROR(__xludf.DUMMYFUNCTION("""COMPUTED_VALUE"""),"coffee")</f>
        <v>coffee</v>
      </c>
      <c r="C2931" s="2" t="str">
        <f ca="1">IFERROR(__xludf.DUMMYFUNCTION("""COMPUTED_VALUE"""),"Coffee Club Token")</f>
        <v>Coffee Club Token</v>
      </c>
    </row>
    <row r="2932" spans="1:3" x14ac:dyDescent="0.25">
      <c r="A2932" s="2" t="str">
        <f ca="1">IFERROR(__xludf.DUMMYFUNCTION("""COMPUTED_VALUE"""),"cofix")</f>
        <v>cofix</v>
      </c>
      <c r="B2932" s="2" t="str">
        <f ca="1">IFERROR(__xludf.DUMMYFUNCTION("""COMPUTED_VALUE"""),"cofi")</f>
        <v>cofi</v>
      </c>
      <c r="C2932" s="2" t="str">
        <f ca="1">IFERROR(__xludf.DUMMYFUNCTION("""COMPUTED_VALUE"""),"CoFiX")</f>
        <v>CoFiX</v>
      </c>
    </row>
    <row r="2933" spans="1:3" x14ac:dyDescent="0.25">
      <c r="A2933" s="2" t="str">
        <f ca="1">IFERROR(__xludf.DUMMYFUNCTION("""COMPUTED_VALUE"""),"cogecoin")</f>
        <v>cogecoin</v>
      </c>
      <c r="B2933" s="2" t="str">
        <f ca="1">IFERROR(__xludf.DUMMYFUNCTION("""COMPUTED_VALUE"""),"coge")</f>
        <v>coge</v>
      </c>
      <c r="C2933" s="2" t="str">
        <f ca="1">IFERROR(__xludf.DUMMYFUNCTION("""COMPUTED_VALUE"""),"Cogecoin")</f>
        <v>Cogecoin</v>
      </c>
    </row>
    <row r="2934" spans="1:3" x14ac:dyDescent="0.25">
      <c r="A2934" s="2" t="str">
        <f ca="1">IFERROR(__xludf.DUMMYFUNCTION("""COMPUTED_VALUE"""),"cogent-sol")</f>
        <v>cogent-sol</v>
      </c>
      <c r="B2934" s="2" t="str">
        <f ca="1">IFERROR(__xludf.DUMMYFUNCTION("""COMPUTED_VALUE"""),"cgntsol")</f>
        <v>cgntsol</v>
      </c>
      <c r="C2934" s="2" t="str">
        <f ca="1">IFERROR(__xludf.DUMMYFUNCTION("""COMPUTED_VALUE"""),"Cogent SOL")</f>
        <v>Cogent SOL</v>
      </c>
    </row>
    <row r="2935" spans="1:3" x14ac:dyDescent="0.25">
      <c r="A2935" s="2" t="str">
        <f ca="1">IFERROR(__xludf.DUMMYFUNCTION("""COMPUTED_VALUE"""),"cogito-protocol")</f>
        <v>cogito-protocol</v>
      </c>
      <c r="B2935" s="2" t="str">
        <f ca="1">IFERROR(__xludf.DUMMYFUNCTION("""COMPUTED_VALUE"""),"cgv")</f>
        <v>cgv</v>
      </c>
      <c r="C2935" s="2" t="str">
        <f ca="1">IFERROR(__xludf.DUMMYFUNCTION("""COMPUTED_VALUE"""),"Cogito Finance")</f>
        <v>Cogito Finance</v>
      </c>
    </row>
    <row r="2936" spans="1:3" x14ac:dyDescent="0.25">
      <c r="A2936" s="2" t="str">
        <f ca="1">IFERROR(__xludf.DUMMYFUNCTION("""COMPUTED_VALUE"""),"coin-2")</f>
        <v>coin-2</v>
      </c>
      <c r="B2936" s="2" t="str">
        <f ca="1">IFERROR(__xludf.DUMMYFUNCTION("""COMPUTED_VALUE"""),"coin")</f>
        <v>coin</v>
      </c>
      <c r="C2936" s="2" t="str">
        <f ca="1">IFERROR(__xludf.DUMMYFUNCTION("""COMPUTED_VALUE"""),"COIN")</f>
        <v>COIN</v>
      </c>
    </row>
    <row r="2937" spans="1:3" x14ac:dyDescent="0.25">
      <c r="A2937" s="2" t="str">
        <f ca="1">IFERROR(__xludf.DUMMYFUNCTION("""COMPUTED_VALUE"""),"coin98")</f>
        <v>coin98</v>
      </c>
      <c r="B2937" s="2" t="str">
        <f ca="1">IFERROR(__xludf.DUMMYFUNCTION("""COMPUTED_VALUE"""),"c98")</f>
        <v>c98</v>
      </c>
      <c r="C2937" s="2" t="str">
        <f ca="1">IFERROR(__xludf.DUMMYFUNCTION("""COMPUTED_VALUE"""),"Coin98")</f>
        <v>Coin98</v>
      </c>
    </row>
    <row r="2938" spans="1:3" x14ac:dyDescent="0.25">
      <c r="A2938" s="2" t="str">
        <f ca="1">IFERROR(__xludf.DUMMYFUNCTION("""COMPUTED_VALUE"""),"coin98-dollar")</f>
        <v>coin98-dollar</v>
      </c>
      <c r="B2938" s="2" t="str">
        <f ca="1">IFERROR(__xludf.DUMMYFUNCTION("""COMPUTED_VALUE"""),"cusd")</f>
        <v>cusd</v>
      </c>
      <c r="C2938" s="2" t="str">
        <f ca="1">IFERROR(__xludf.DUMMYFUNCTION("""COMPUTED_VALUE"""),"Coin98 Dollar")</f>
        <v>Coin98 Dollar</v>
      </c>
    </row>
    <row r="2939" spans="1:3" x14ac:dyDescent="0.25">
      <c r="A2939" s="2" t="str">
        <f ca="1">IFERROR(__xludf.DUMMYFUNCTION("""COMPUTED_VALUE"""),"coinary-token")</f>
        <v>coinary-token</v>
      </c>
      <c r="B2939" s="2" t="str">
        <f ca="1">IFERROR(__xludf.DUMMYFUNCTION("""COMPUTED_VALUE"""),"cyt")</f>
        <v>cyt</v>
      </c>
      <c r="C2939" s="2" t="str">
        <f ca="1">IFERROR(__xludf.DUMMYFUNCTION("""COMPUTED_VALUE"""),"Coinary")</f>
        <v>Coinary</v>
      </c>
    </row>
    <row r="2940" spans="1:3" x14ac:dyDescent="0.25">
      <c r="A2940" s="2" t="str">
        <f ca="1">IFERROR(__xludf.DUMMYFUNCTION("""COMPUTED_VALUE"""),"coinback")</f>
        <v>coinback</v>
      </c>
      <c r="B2940" s="2" t="str">
        <f ca="1">IFERROR(__xludf.DUMMYFUNCTION("""COMPUTED_VALUE"""),"cbk")</f>
        <v>cbk</v>
      </c>
      <c r="C2940" s="2" t="str">
        <f ca="1">IFERROR(__xludf.DUMMYFUNCTION("""COMPUTED_VALUE"""),"Coinback")</f>
        <v>Coinback</v>
      </c>
    </row>
    <row r="2941" spans="1:3" x14ac:dyDescent="0.25">
      <c r="A2941" s="2" t="str">
        <f ca="1">IFERROR(__xludf.DUMMYFUNCTION("""COMPUTED_VALUE"""),"coinbarpay")</f>
        <v>coinbarpay</v>
      </c>
      <c r="B2941" s="2" t="str">
        <f ca="1">IFERROR(__xludf.DUMMYFUNCTION("""COMPUTED_VALUE"""),"cbpay")</f>
        <v>cbpay</v>
      </c>
      <c r="C2941" s="2" t="str">
        <f ca="1">IFERROR(__xludf.DUMMYFUNCTION("""COMPUTED_VALUE"""),"CoinbarPay")</f>
        <v>CoinbarPay</v>
      </c>
    </row>
    <row r="2942" spans="1:3" x14ac:dyDescent="0.25">
      <c r="A2942" s="2" t="str">
        <f ca="1">IFERROR(__xludf.DUMMYFUNCTION("""COMPUTED_VALUE"""),"coinbase-tokenized-stock-defichain")</f>
        <v>coinbase-tokenized-stock-defichain</v>
      </c>
      <c r="B2942" s="2" t="str">
        <f ca="1">IFERROR(__xludf.DUMMYFUNCTION("""COMPUTED_VALUE"""),"dcoin")</f>
        <v>dcoin</v>
      </c>
      <c r="C2942" s="2" t="str">
        <f ca="1">IFERROR(__xludf.DUMMYFUNCTION("""COMPUTED_VALUE"""),"Coinbase Tokenized Stock Defichain")</f>
        <v>Coinbase Tokenized Stock Defichain</v>
      </c>
    </row>
    <row r="2943" spans="1:3" x14ac:dyDescent="0.25">
      <c r="A2943" s="2" t="str">
        <f ca="1">IFERROR(__xludf.DUMMYFUNCTION("""COMPUTED_VALUE"""),"coinbase-wrapped-btc")</f>
        <v>coinbase-wrapped-btc</v>
      </c>
      <c r="B2943" s="2" t="str">
        <f ca="1">IFERROR(__xludf.DUMMYFUNCTION("""COMPUTED_VALUE"""),"cbbtc")</f>
        <v>cbbtc</v>
      </c>
      <c r="C2943" s="2" t="str">
        <f ca="1">IFERROR(__xludf.DUMMYFUNCTION("""COMPUTED_VALUE"""),"Coinbase Wrapped BTC")</f>
        <v>Coinbase Wrapped BTC</v>
      </c>
    </row>
    <row r="2944" spans="1:3" x14ac:dyDescent="0.25">
      <c r="A2944" s="2" t="str">
        <f ca="1">IFERROR(__xludf.DUMMYFUNCTION("""COMPUTED_VALUE"""),"coinbase-wrapped-staked-eth")</f>
        <v>coinbase-wrapped-staked-eth</v>
      </c>
      <c r="B2944" s="2" t="str">
        <f ca="1">IFERROR(__xludf.DUMMYFUNCTION("""COMPUTED_VALUE"""),"cbeth")</f>
        <v>cbeth</v>
      </c>
      <c r="C2944" s="2" t="str">
        <f ca="1">IFERROR(__xludf.DUMMYFUNCTION("""COMPUTED_VALUE"""),"Coinbase Wrapped Staked ETH")</f>
        <v>Coinbase Wrapped Staked ETH</v>
      </c>
    </row>
    <row r="2945" spans="1:3" x14ac:dyDescent="0.25">
      <c r="A2945" s="2" t="str">
        <f ca="1">IFERROR(__xludf.DUMMYFUNCTION("""COMPUTED_VALUE"""),"coinbet-finance")</f>
        <v>coinbet-finance</v>
      </c>
      <c r="B2945" s="2" t="str">
        <f ca="1">IFERROR(__xludf.DUMMYFUNCTION("""COMPUTED_VALUE"""),"cfi")</f>
        <v>cfi</v>
      </c>
      <c r="C2945" s="2" t="str">
        <f ca="1">IFERROR(__xludf.DUMMYFUNCTION("""COMPUTED_VALUE"""),"Coinbet Finance")</f>
        <v>Coinbet Finance</v>
      </c>
    </row>
    <row r="2946" spans="1:3" x14ac:dyDescent="0.25">
      <c r="A2946" s="2" t="str">
        <f ca="1">IFERROR(__xludf.DUMMYFUNCTION("""COMPUTED_VALUE"""),"coinbidex")</f>
        <v>coinbidex</v>
      </c>
      <c r="B2946" s="2" t="str">
        <f ca="1">IFERROR(__xludf.DUMMYFUNCTION("""COMPUTED_VALUE"""),"cbe")</f>
        <v>cbe</v>
      </c>
      <c r="C2946" s="2" t="str">
        <f ca="1">IFERROR(__xludf.DUMMYFUNCTION("""COMPUTED_VALUE"""),"Coinbidex")</f>
        <v>Coinbidex</v>
      </c>
    </row>
    <row r="2947" spans="1:3" x14ac:dyDescent="0.25">
      <c r="A2947" s="2" t="str">
        <f ca="1">IFERROR(__xludf.DUMMYFUNCTION("""COMPUTED_VALUE"""),"coinbot")</f>
        <v>coinbot</v>
      </c>
      <c r="B2947" s="2" t="str">
        <f ca="1">IFERROR(__xludf.DUMMYFUNCTION("""COMPUTED_VALUE"""),"coinbt")</f>
        <v>coinbt</v>
      </c>
      <c r="C2947" s="2" t="str">
        <f ca="1">IFERROR(__xludf.DUMMYFUNCTION("""COMPUTED_VALUE"""),"CoinBot")</f>
        <v>CoinBot</v>
      </c>
    </row>
    <row r="2948" spans="1:3" x14ac:dyDescent="0.25">
      <c r="A2948" s="2" t="str">
        <f ca="1">IFERROR(__xludf.DUMMYFUNCTION("""COMPUTED_VALUE"""),"coinbuck")</f>
        <v>coinbuck</v>
      </c>
      <c r="B2948" s="2" t="str">
        <f ca="1">IFERROR(__xludf.DUMMYFUNCTION("""COMPUTED_VALUE"""),"buck")</f>
        <v>buck</v>
      </c>
      <c r="C2948" s="2" t="str">
        <f ca="1">IFERROR(__xludf.DUMMYFUNCTION("""COMPUTED_VALUE"""),"CoinBuck")</f>
        <v>CoinBuck</v>
      </c>
    </row>
    <row r="2949" spans="1:3" x14ac:dyDescent="0.25">
      <c r="A2949" s="2" t="str">
        <f ca="1">IFERROR(__xludf.DUMMYFUNCTION("""COMPUTED_VALUE"""),"coin-capsule")</f>
        <v>coin-capsule</v>
      </c>
      <c r="B2949" s="2" t="str">
        <f ca="1">IFERROR(__xludf.DUMMYFUNCTION("""COMPUTED_VALUE"""),"caps")</f>
        <v>caps</v>
      </c>
      <c r="C2949" s="2" t="str">
        <f ca="1">IFERROR(__xludf.DUMMYFUNCTION("""COMPUTED_VALUE"""),"Ternoa")</f>
        <v>Ternoa</v>
      </c>
    </row>
    <row r="2950" spans="1:3" x14ac:dyDescent="0.25">
      <c r="A2950" s="2" t="str">
        <f ca="1">IFERROR(__xludf.DUMMYFUNCTION("""COMPUTED_VALUE"""),"coinclaim")</f>
        <v>coinclaim</v>
      </c>
      <c r="B2950" s="2" t="str">
        <f ca="1">IFERROR(__xludf.DUMMYFUNCTION("""COMPUTED_VALUE"""),"clm")</f>
        <v>clm</v>
      </c>
      <c r="C2950" s="2" t="str">
        <f ca="1">IFERROR(__xludf.DUMMYFUNCTION("""COMPUTED_VALUE"""),"CoinClaim")</f>
        <v>CoinClaim</v>
      </c>
    </row>
    <row r="2951" spans="1:3" x14ac:dyDescent="0.25">
      <c r="A2951" s="2" t="str">
        <f ca="1">IFERROR(__xludf.DUMMYFUNCTION("""COMPUTED_VALUE"""),"coincollect")</f>
        <v>coincollect</v>
      </c>
      <c r="B2951" s="2" t="str">
        <f ca="1">IFERROR(__xludf.DUMMYFUNCTION("""COMPUTED_VALUE"""),"collect")</f>
        <v>collect</v>
      </c>
      <c r="C2951" s="2" t="str">
        <f ca="1">IFERROR(__xludf.DUMMYFUNCTION("""COMPUTED_VALUE"""),"CoinCollect")</f>
        <v>CoinCollect</v>
      </c>
    </row>
    <row r="2952" spans="1:3" x14ac:dyDescent="0.25">
      <c r="A2952" s="2" t="str">
        <f ca="1">IFERROR(__xludf.DUMMYFUNCTION("""COMPUTED_VALUE"""),"coindom")</f>
        <v>coindom</v>
      </c>
      <c r="B2952" s="2" t="str">
        <f ca="1">IFERROR(__xludf.DUMMYFUNCTION("""COMPUTED_VALUE"""),"scc")</f>
        <v>scc</v>
      </c>
      <c r="C2952" s="2" t="str">
        <f ca="1">IFERROR(__xludf.DUMMYFUNCTION("""COMPUTED_VALUE"""),"Stem Cell Coin")</f>
        <v>Stem Cell Coin</v>
      </c>
    </row>
    <row r="2953" spans="1:3" x14ac:dyDescent="0.25">
      <c r="A2953" s="2" t="str">
        <f ca="1">IFERROR(__xludf.DUMMYFUNCTION("""COMPUTED_VALUE"""),"coinecta")</f>
        <v>coinecta</v>
      </c>
      <c r="B2953" s="2" t="str">
        <f ca="1">IFERROR(__xludf.DUMMYFUNCTION("""COMPUTED_VALUE"""),"cnct")</f>
        <v>cnct</v>
      </c>
      <c r="C2953" s="2" t="str">
        <f ca="1">IFERROR(__xludf.DUMMYFUNCTION("""COMPUTED_VALUE"""),"Coinecta")</f>
        <v>Coinecta</v>
      </c>
    </row>
    <row r="2954" spans="1:3" x14ac:dyDescent="0.25">
      <c r="A2954" s="2" t="str">
        <f ca="1">IFERROR(__xludf.DUMMYFUNCTION("""COMPUTED_VALUE"""),"coin-edelweis")</f>
        <v>coin-edelweis</v>
      </c>
      <c r="B2954" s="2" t="str">
        <f ca="1">IFERROR(__xludf.DUMMYFUNCTION("""COMPUTED_VALUE"""),"edel")</f>
        <v>edel</v>
      </c>
      <c r="C2954" s="2" t="str">
        <f ca="1">IFERROR(__xludf.DUMMYFUNCTION("""COMPUTED_VALUE"""),"Edelweis Coin")</f>
        <v>Edelweis Coin</v>
      </c>
    </row>
    <row r="2955" spans="1:3" x14ac:dyDescent="0.25">
      <c r="A2955" s="2" t="str">
        <f ca="1">IFERROR(__xludf.DUMMYFUNCTION("""COMPUTED_VALUE"""),"coinex-token")</f>
        <v>coinex-token</v>
      </c>
      <c r="B2955" s="2" t="str">
        <f ca="1">IFERROR(__xludf.DUMMYFUNCTION("""COMPUTED_VALUE"""),"cet")</f>
        <v>cet</v>
      </c>
      <c r="C2955" s="2" t="str">
        <f ca="1">IFERROR(__xludf.DUMMYFUNCTION("""COMPUTED_VALUE"""),"CoinEx")</f>
        <v>CoinEx</v>
      </c>
    </row>
    <row r="2956" spans="1:3" x14ac:dyDescent="0.25">
      <c r="A2956" s="2" t="str">
        <f ca="1">IFERROR(__xludf.DUMMYFUNCTION("""COMPUTED_VALUE"""),"coinfi")</f>
        <v>coinfi</v>
      </c>
      <c r="B2956" s="2" t="str">
        <f ca="1">IFERROR(__xludf.DUMMYFUNCTION("""COMPUTED_VALUE"""),"cofi")</f>
        <v>cofi</v>
      </c>
      <c r="C2956" s="2" t="str">
        <f ca="1">IFERROR(__xludf.DUMMYFUNCTION("""COMPUTED_VALUE"""),"CoinFi")</f>
        <v>CoinFi</v>
      </c>
    </row>
    <row r="2957" spans="1:3" x14ac:dyDescent="0.25">
      <c r="A2957" s="2" t="str">
        <f ca="1">IFERROR(__xludf.DUMMYFUNCTION("""COMPUTED_VALUE"""),"coinforge")</f>
        <v>coinforge</v>
      </c>
      <c r="B2957" s="2" t="str">
        <f ca="1">IFERROR(__xludf.DUMMYFUNCTION("""COMPUTED_VALUE"""),"cnfrg")</f>
        <v>cnfrg</v>
      </c>
      <c r="C2957" s="2" t="str">
        <f ca="1">IFERROR(__xludf.DUMMYFUNCTION("""COMPUTED_VALUE"""),"CoinForge")</f>
        <v>CoinForge</v>
      </c>
    </row>
    <row r="2958" spans="1:3" x14ac:dyDescent="0.25">
      <c r="A2958" s="2" t="str">
        <f ca="1">IFERROR(__xludf.DUMMYFUNCTION("""COMPUTED_VALUE"""),"coinhound")</f>
        <v>coinhound</v>
      </c>
      <c r="B2958" s="2" t="str">
        <f ca="1">IFERROR(__xludf.DUMMYFUNCTION("""COMPUTED_VALUE"""),"cnd")</f>
        <v>cnd</v>
      </c>
      <c r="C2958" s="2" t="str">
        <f ca="1">IFERROR(__xludf.DUMMYFUNCTION("""COMPUTED_VALUE"""),"Coinhound")</f>
        <v>Coinhound</v>
      </c>
    </row>
    <row r="2959" spans="1:3" x14ac:dyDescent="0.25">
      <c r="A2959" s="2" t="str">
        <f ca="1">IFERROR(__xludf.DUMMYFUNCTION("""COMPUTED_VALUE"""),"coinhub")</f>
        <v>coinhub</v>
      </c>
      <c r="B2959" s="2" t="str">
        <f ca="1">IFERROR(__xludf.DUMMYFUNCTION("""COMPUTED_VALUE"""),"chb")</f>
        <v>chb</v>
      </c>
      <c r="C2959" s="2" t="str">
        <f ca="1">IFERROR(__xludf.DUMMYFUNCTION("""COMPUTED_VALUE"""),"COINHUB")</f>
        <v>COINHUB</v>
      </c>
    </row>
    <row r="2960" spans="1:3" x14ac:dyDescent="0.25">
      <c r="A2960" s="2" t="str">
        <f ca="1">IFERROR(__xludf.DUMMYFUNCTION("""COMPUTED_VALUE"""),"coin-in-meme-world")</f>
        <v>coin-in-meme-world</v>
      </c>
      <c r="B2960" s="2" t="str">
        <f ca="1">IFERROR(__xludf.DUMMYFUNCTION("""COMPUTED_VALUE"""),"comew")</f>
        <v>comew</v>
      </c>
      <c r="C2960" s="2" t="str">
        <f ca="1">IFERROR(__xludf.DUMMYFUNCTION("""COMPUTED_VALUE"""),"Coin In Meme World")</f>
        <v>Coin In Meme World</v>
      </c>
    </row>
    <row r="2961" spans="1:3" x14ac:dyDescent="0.25">
      <c r="A2961" s="2" t="str">
        <f ca="1">IFERROR(__xludf.DUMMYFUNCTION("""COMPUTED_VALUE"""),"coinloan")</f>
        <v>coinloan</v>
      </c>
      <c r="B2961" s="2" t="str">
        <f ca="1">IFERROR(__xludf.DUMMYFUNCTION("""COMPUTED_VALUE"""),"clt")</f>
        <v>clt</v>
      </c>
      <c r="C2961" s="2" t="str">
        <f ca="1">IFERROR(__xludf.DUMMYFUNCTION("""COMPUTED_VALUE"""),"CoinLoan")</f>
        <v>CoinLoan</v>
      </c>
    </row>
    <row r="2962" spans="1:3" x14ac:dyDescent="0.25">
      <c r="A2962" s="2" t="str">
        <f ca="1">IFERROR(__xludf.DUMMYFUNCTION("""COMPUTED_VALUE"""),"coinlocally")</f>
        <v>coinlocally</v>
      </c>
      <c r="B2962" s="2" t="str">
        <f ca="1">IFERROR(__xludf.DUMMYFUNCTION("""COMPUTED_VALUE"""),"clyc")</f>
        <v>clyc</v>
      </c>
      <c r="C2962" s="2" t="str">
        <f ca="1">IFERROR(__xludf.DUMMYFUNCTION("""COMPUTED_VALUE"""),"Coinlocally")</f>
        <v>Coinlocally</v>
      </c>
    </row>
    <row r="2963" spans="1:3" x14ac:dyDescent="0.25">
      <c r="A2963" s="2" t="str">
        <f ca="1">IFERROR(__xludf.DUMMYFUNCTION("""COMPUTED_VALUE"""),"coinmarketprime")</f>
        <v>coinmarketprime</v>
      </c>
      <c r="B2963" s="2" t="str">
        <f ca="1">IFERROR(__xludf.DUMMYFUNCTION("""COMPUTED_VALUE"""),"cmp")</f>
        <v>cmp</v>
      </c>
      <c r="C2963" s="2" t="str">
        <f ca="1">IFERROR(__xludf.DUMMYFUNCTION("""COMPUTED_VALUE"""),"COINMARKETPRIME")</f>
        <v>COINMARKETPRIME</v>
      </c>
    </row>
    <row r="2964" spans="1:3" x14ac:dyDescent="0.25">
      <c r="A2964" s="2" t="str">
        <f ca="1">IFERROR(__xludf.DUMMYFUNCTION("""COMPUTED_VALUE"""),"coinmart-finance")</f>
        <v>coinmart-finance</v>
      </c>
      <c r="B2964" s="2" t="str">
        <f ca="1">IFERROR(__xludf.DUMMYFUNCTION("""COMPUTED_VALUE"""),"cex")</f>
        <v>cex</v>
      </c>
      <c r="C2964" s="2" t="str">
        <f ca="1">IFERROR(__xludf.DUMMYFUNCTION("""COMPUTED_VALUE"""),"Coinmart Finance")</f>
        <v>Coinmart Finance</v>
      </c>
    </row>
    <row r="2965" spans="1:3" x14ac:dyDescent="0.25">
      <c r="A2965" s="2" t="str">
        <f ca="1">IFERROR(__xludf.DUMMYFUNCTION("""COMPUTED_VALUE"""),"coinmerge-os")</f>
        <v>coinmerge-os</v>
      </c>
      <c r="B2965" s="2" t="str">
        <f ca="1">IFERROR(__xludf.DUMMYFUNCTION("""COMPUTED_VALUE"""),"cmos")</f>
        <v>cmos</v>
      </c>
      <c r="C2965" s="2" t="str">
        <f ca="1">IFERROR(__xludf.DUMMYFUNCTION("""COMPUTED_VALUE"""),"CoinMerge OS")</f>
        <v>CoinMerge OS</v>
      </c>
    </row>
    <row r="2966" spans="1:3" x14ac:dyDescent="0.25">
      <c r="A2966" s="2" t="str">
        <f ca="1">IFERROR(__xludf.DUMMYFUNCTION("""COMPUTED_VALUE"""),"coinmetro")</f>
        <v>coinmetro</v>
      </c>
      <c r="B2966" s="2" t="str">
        <f ca="1">IFERROR(__xludf.DUMMYFUNCTION("""COMPUTED_VALUE"""),"xcm")</f>
        <v>xcm</v>
      </c>
      <c r="C2966" s="2" t="str">
        <f ca="1">IFERROR(__xludf.DUMMYFUNCTION("""COMPUTED_VALUE"""),"Coinmetro")</f>
        <v>Coinmetro</v>
      </c>
    </row>
    <row r="2967" spans="1:3" x14ac:dyDescent="0.25">
      <c r="A2967" s="2" t="str">
        <f ca="1">IFERROR(__xludf.DUMMYFUNCTION("""COMPUTED_VALUE"""),"coinnavigator")</f>
        <v>coinnavigator</v>
      </c>
      <c r="B2967" s="2" t="str">
        <f ca="1">IFERROR(__xludf.DUMMYFUNCTION("""COMPUTED_VALUE"""),"cng")</f>
        <v>cng</v>
      </c>
      <c r="C2967" s="2" t="str">
        <f ca="1">IFERROR(__xludf.DUMMYFUNCTION("""COMPUTED_VALUE"""),"CoinNavigator")</f>
        <v>CoinNavigator</v>
      </c>
    </row>
    <row r="2968" spans="1:3" x14ac:dyDescent="0.25">
      <c r="A2968" s="2" t="str">
        <f ca="1">IFERROR(__xludf.DUMMYFUNCTION("""COMPUTED_VALUE"""),"coin-of-the-champions")</f>
        <v>coin-of-the-champions</v>
      </c>
      <c r="B2968" s="2" t="str">
        <f ca="1">IFERROR(__xludf.DUMMYFUNCTION("""COMPUTED_VALUE"""),"coc")</f>
        <v>coc</v>
      </c>
      <c r="C2968" s="2" t="str">
        <f ca="1">IFERROR(__xludf.DUMMYFUNCTION("""COMPUTED_VALUE"""),"Coin of the champions")</f>
        <v>Coin of the champions</v>
      </c>
    </row>
    <row r="2969" spans="1:3" x14ac:dyDescent="0.25">
      <c r="A2969" s="2" t="str">
        <f ca="1">IFERROR(__xludf.DUMMYFUNCTION("""COMPUTED_VALUE"""),"coin-on-base")</f>
        <v>coin-on-base</v>
      </c>
      <c r="B2969" s="2" t="str">
        <f ca="1">IFERROR(__xludf.DUMMYFUNCTION("""COMPUTED_VALUE"""),"coin")</f>
        <v>coin</v>
      </c>
      <c r="C2969" s="2" t="str">
        <f ca="1">IFERROR(__xludf.DUMMYFUNCTION("""COMPUTED_VALUE"""),"Coin on Base")</f>
        <v>Coin on Base</v>
      </c>
    </row>
    <row r="2970" spans="1:3" x14ac:dyDescent="0.25">
      <c r="A2970" s="2" t="str">
        <f ca="1">IFERROR(__xludf.DUMMYFUNCTION("""COMPUTED_VALUE"""),"coinpays")</f>
        <v>coinpays</v>
      </c>
      <c r="B2970" s="2" t="str">
        <f ca="1">IFERROR(__xludf.DUMMYFUNCTION("""COMPUTED_VALUE"""),"cpy")</f>
        <v>cpy</v>
      </c>
      <c r="C2970" s="2" t="str">
        <f ca="1">IFERROR(__xludf.DUMMYFUNCTION("""COMPUTED_VALUE"""),"CoinPays")</f>
        <v>CoinPays</v>
      </c>
    </row>
    <row r="2971" spans="1:3" x14ac:dyDescent="0.25">
      <c r="A2971" s="2" t="str">
        <f ca="1">IFERROR(__xludf.DUMMYFUNCTION("""COMPUTED_VALUE"""),"coinpoker")</f>
        <v>coinpoker</v>
      </c>
      <c r="B2971" s="2" t="str">
        <f ca="1">IFERROR(__xludf.DUMMYFUNCTION("""COMPUTED_VALUE"""),"chp")</f>
        <v>chp</v>
      </c>
      <c r="C2971" s="2" t="str">
        <f ca="1">IFERROR(__xludf.DUMMYFUNCTION("""COMPUTED_VALUE"""),"CoinPoker")</f>
        <v>CoinPoker</v>
      </c>
    </row>
    <row r="2972" spans="1:3" x14ac:dyDescent="0.25">
      <c r="A2972" s="2" t="str">
        <f ca="1">IFERROR(__xludf.DUMMYFUNCTION("""COMPUTED_VALUE"""),"coinracer-reloaded")</f>
        <v>coinracer-reloaded</v>
      </c>
      <c r="B2972" s="2" t="str">
        <f ca="1">IFERROR(__xludf.DUMMYFUNCTION("""COMPUTED_VALUE"""),"cracer")</f>
        <v>cracer</v>
      </c>
      <c r="C2972" s="2" t="str">
        <f ca="1">IFERROR(__xludf.DUMMYFUNCTION("""COMPUTED_VALUE"""),"Coinracer Reloaded")</f>
        <v>Coinracer Reloaded</v>
      </c>
    </row>
    <row r="2973" spans="1:3" x14ac:dyDescent="0.25">
      <c r="A2973" s="2" t="str">
        <f ca="1">IFERROR(__xludf.DUMMYFUNCTION("""COMPUTED_VALUE"""),"coinrobot-ai")</f>
        <v>coinrobot-ai</v>
      </c>
      <c r="B2973" s="2" t="str">
        <f ca="1">IFERROR(__xludf.DUMMYFUNCTION("""COMPUTED_VALUE"""),"coinrobot")</f>
        <v>coinrobot</v>
      </c>
      <c r="C2973" s="3" t="str">
        <f ca="1">IFERROR(__xludf.DUMMYFUNCTION("""COMPUTED_VALUE"""),"CoinRobot.AI")</f>
        <v>CoinRobot.AI</v>
      </c>
    </row>
    <row r="2974" spans="1:3" x14ac:dyDescent="0.25">
      <c r="A2974" s="2" t="str">
        <f ca="1">IFERROR(__xludf.DUMMYFUNCTION("""COMPUTED_VALUE"""),"coinsbit-token")</f>
        <v>coinsbit-token</v>
      </c>
      <c r="B2974" s="2" t="str">
        <f ca="1">IFERROR(__xludf.DUMMYFUNCTION("""COMPUTED_VALUE"""),"cnb")</f>
        <v>cnb</v>
      </c>
      <c r="C2974" s="2" t="str">
        <f ca="1">IFERROR(__xludf.DUMMYFUNCTION("""COMPUTED_VALUE"""),"Coinsbit Token")</f>
        <v>Coinsbit Token</v>
      </c>
    </row>
    <row r="2975" spans="1:3" x14ac:dyDescent="0.25">
      <c r="A2975" s="2" t="str">
        <f ca="1">IFERROR(__xludf.DUMMYFUNCTION("""COMPUTED_VALUE"""),"coin-trau")</f>
        <v>coin-trau</v>
      </c>
      <c r="B2975" s="2" t="str">
        <f ca="1">IFERROR(__xludf.DUMMYFUNCTION("""COMPUTED_VALUE"""),"trau")</f>
        <v>trau</v>
      </c>
      <c r="C2975" s="2" t="str">
        <f ca="1">IFERROR(__xludf.DUMMYFUNCTION("""COMPUTED_VALUE"""),"Coin Trau")</f>
        <v>Coin Trau</v>
      </c>
    </row>
    <row r="2976" spans="1:3" x14ac:dyDescent="0.25">
      <c r="A2976" s="2" t="str">
        <f ca="1">IFERROR(__xludf.DUMMYFUNCTION("""COMPUTED_VALUE"""),"coinw")</f>
        <v>coinw</v>
      </c>
      <c r="B2976" s="2" t="str">
        <f ca="1">IFERROR(__xludf.DUMMYFUNCTION("""COMPUTED_VALUE"""),"cwt")</f>
        <v>cwt</v>
      </c>
      <c r="C2976" s="2" t="str">
        <f ca="1">IFERROR(__xludf.DUMMYFUNCTION("""COMPUTED_VALUE"""),"CoinW")</f>
        <v>CoinW</v>
      </c>
    </row>
    <row r="2977" spans="1:3" x14ac:dyDescent="0.25">
      <c r="A2977" s="2" t="str">
        <f ca="1">IFERROR(__xludf.DUMMYFUNCTION("""COMPUTED_VALUE"""),"coinwealth")</f>
        <v>coinwealth</v>
      </c>
      <c r="B2977" s="2" t="str">
        <f ca="1">IFERROR(__xludf.DUMMYFUNCTION("""COMPUTED_VALUE"""),"cnw")</f>
        <v>cnw</v>
      </c>
      <c r="C2977" s="2" t="str">
        <f ca="1">IFERROR(__xludf.DUMMYFUNCTION("""COMPUTED_VALUE"""),"CoinWealth")</f>
        <v>CoinWealth</v>
      </c>
    </row>
    <row r="2978" spans="1:3" x14ac:dyDescent="0.25">
      <c r="A2978" s="2" t="str">
        <f ca="1">IFERROR(__xludf.DUMMYFUNCTION("""COMPUTED_VALUE"""),"coinweb")</f>
        <v>coinweb</v>
      </c>
      <c r="B2978" s="2" t="str">
        <f ca="1">IFERROR(__xludf.DUMMYFUNCTION("""COMPUTED_VALUE"""),"cweb")</f>
        <v>cweb</v>
      </c>
      <c r="C2978" s="2" t="str">
        <f ca="1">IFERROR(__xludf.DUMMYFUNCTION("""COMPUTED_VALUE"""),"Coinweb")</f>
        <v>Coinweb</v>
      </c>
    </row>
    <row r="2979" spans="1:3" x14ac:dyDescent="0.25">
      <c r="A2979" s="2" t="str">
        <f ca="1">IFERROR(__xludf.DUMMYFUNCTION("""COMPUTED_VALUE"""),"coinwind")</f>
        <v>coinwind</v>
      </c>
      <c r="B2979" s="2" t="str">
        <f ca="1">IFERROR(__xludf.DUMMYFUNCTION("""COMPUTED_VALUE"""),"cow")</f>
        <v>cow</v>
      </c>
      <c r="C2979" s="2" t="str">
        <f ca="1">IFERROR(__xludf.DUMMYFUNCTION("""COMPUTED_VALUE"""),"CoinWind")</f>
        <v>CoinWind</v>
      </c>
    </row>
    <row r="2980" spans="1:3" x14ac:dyDescent="0.25">
      <c r="A2980" s="2" t="str">
        <f ca="1">IFERROR(__xludf.DUMMYFUNCTION("""COMPUTED_VALUE"""),"coinxpad")</f>
        <v>coinxpad</v>
      </c>
      <c r="B2980" s="2" t="str">
        <f ca="1">IFERROR(__xludf.DUMMYFUNCTION("""COMPUTED_VALUE"""),"cxpad")</f>
        <v>cxpad</v>
      </c>
      <c r="C2980" s="2" t="str">
        <f ca="1">IFERROR(__xludf.DUMMYFUNCTION("""COMPUTED_VALUE"""),"CoinxPad")</f>
        <v>CoinxPad</v>
      </c>
    </row>
    <row r="2981" spans="1:3" x14ac:dyDescent="0.25">
      <c r="A2981" s="2" t="str">
        <f ca="1">IFERROR(__xludf.DUMMYFUNCTION("""COMPUTED_VALUE"""),"coinye-west")</f>
        <v>coinye-west</v>
      </c>
      <c r="B2981" s="2" t="str">
        <f ca="1">IFERROR(__xludf.DUMMYFUNCTION("""COMPUTED_VALUE"""),"coinye")</f>
        <v>coinye</v>
      </c>
      <c r="C2981" s="2" t="str">
        <f ca="1">IFERROR(__xludf.DUMMYFUNCTION("""COMPUTED_VALUE"""),"Coinye West")</f>
        <v>Coinye West</v>
      </c>
    </row>
    <row r="2982" spans="1:3" x14ac:dyDescent="0.25">
      <c r="A2982" s="2" t="str">
        <f ca="1">IFERROR(__xludf.DUMMYFUNCTION("""COMPUTED_VALUE"""),"coinzix-token")</f>
        <v>coinzix-token</v>
      </c>
      <c r="B2982" s="2" t="str">
        <f ca="1">IFERROR(__xludf.DUMMYFUNCTION("""COMPUTED_VALUE"""),"zix")</f>
        <v>zix</v>
      </c>
      <c r="C2982" s="2" t="str">
        <f ca="1">IFERROR(__xludf.DUMMYFUNCTION("""COMPUTED_VALUE"""),"Coinzix Token")</f>
        <v>Coinzix Token</v>
      </c>
    </row>
    <row r="2983" spans="1:3" x14ac:dyDescent="0.25">
      <c r="A2983" s="2" t="str">
        <f ca="1">IFERROR(__xludf.DUMMYFUNCTION("""COMPUTED_VALUE"""),"coke-pets")</f>
        <v>coke-pets</v>
      </c>
      <c r="B2983" s="2" t="str">
        <f ca="1">IFERROR(__xludf.DUMMYFUNCTION("""COMPUTED_VALUE"""),"ekoc")</f>
        <v>ekoc</v>
      </c>
      <c r="C2983" s="2" t="str">
        <f ca="1">IFERROR(__xludf.DUMMYFUNCTION("""COMPUTED_VALUE"""),"Coke Pets")</f>
        <v>Coke Pets</v>
      </c>
    </row>
    <row r="2984" spans="1:3" x14ac:dyDescent="0.25">
      <c r="A2984" s="2" t="str">
        <f ca="1">IFERROR(__xludf.DUMMYFUNCTION("""COMPUTED_VALUE"""),"cola-token-2")</f>
        <v>cola-token-2</v>
      </c>
      <c r="B2984" s="2" t="str">
        <f ca="1">IFERROR(__xludf.DUMMYFUNCTION("""COMPUTED_VALUE"""),"cola")</f>
        <v>cola</v>
      </c>
      <c r="C2984" s="2" t="str">
        <f ca="1">IFERROR(__xludf.DUMMYFUNCTION("""COMPUTED_VALUE"""),"Cola Token")</f>
        <v>Cola Token</v>
      </c>
    </row>
    <row r="2985" spans="1:3" x14ac:dyDescent="0.25">
      <c r="A2985" s="2" t="str">
        <f ca="1">IFERROR(__xludf.DUMMYFUNCTION("""COMPUTED_VALUE"""),"colb-usd-stablecolb")</f>
        <v>colb-usd-stablecolb</v>
      </c>
      <c r="B2985" s="2" t="str">
        <f ca="1">IFERROR(__xludf.DUMMYFUNCTION("""COMPUTED_VALUE"""),"scb")</f>
        <v>scb</v>
      </c>
      <c r="C2985" s="2" t="str">
        <f ca="1">IFERROR(__xludf.DUMMYFUNCTION("""COMPUTED_VALUE"""),"USD Stable Colb")</f>
        <v>USD Stable Colb</v>
      </c>
    </row>
    <row r="2986" spans="1:3" x14ac:dyDescent="0.25">
      <c r="A2986" s="2" t="str">
        <f ca="1">IFERROR(__xludf.DUMMYFUNCTION("""COMPUTED_VALUE"""),"coldstack")</f>
        <v>coldstack</v>
      </c>
      <c r="B2986" s="2" t="str">
        <f ca="1">IFERROR(__xludf.DUMMYFUNCTION("""COMPUTED_VALUE"""),"cls")</f>
        <v>cls</v>
      </c>
      <c r="C2986" s="2" t="str">
        <f ca="1">IFERROR(__xludf.DUMMYFUNCTION("""COMPUTED_VALUE"""),"Coldstack")</f>
        <v>Coldstack</v>
      </c>
    </row>
    <row r="2987" spans="1:3" x14ac:dyDescent="0.25">
      <c r="A2987" s="2" t="str">
        <f ca="1">IFERROR(__xludf.DUMMYFUNCTION("""COMPUTED_VALUE"""),"colizeum")</f>
        <v>colizeum</v>
      </c>
      <c r="B2987" s="2" t="str">
        <f ca="1">IFERROR(__xludf.DUMMYFUNCTION("""COMPUTED_VALUE"""),"zeum")</f>
        <v>zeum</v>
      </c>
      <c r="C2987" s="2" t="str">
        <f ca="1">IFERROR(__xludf.DUMMYFUNCTION("""COMPUTED_VALUE"""),"Colizeum")</f>
        <v>Colizeum</v>
      </c>
    </row>
    <row r="2988" spans="1:3" x14ac:dyDescent="0.25">
      <c r="A2988" s="2" t="str">
        <f ca="1">IFERROR(__xludf.DUMMYFUNCTION("""COMPUTED_VALUE"""),"collab-land")</f>
        <v>collab-land</v>
      </c>
      <c r="B2988" s="2" t="str">
        <f ca="1">IFERROR(__xludf.DUMMYFUNCTION("""COMPUTED_VALUE"""),"collab")</f>
        <v>collab</v>
      </c>
      <c r="C2988" s="2" t="str">
        <f ca="1">IFERROR(__xludf.DUMMYFUNCTION("""COMPUTED_VALUE"""),"Collab.Land")</f>
        <v>Collab.Land</v>
      </c>
    </row>
    <row r="2989" spans="1:3" x14ac:dyDescent="0.25">
      <c r="A2989" s="2" t="str">
        <f ca="1">IFERROR(__xludf.DUMMYFUNCTION("""COMPUTED_VALUE"""),"collateralized-debt-token")</f>
        <v>collateralized-debt-token</v>
      </c>
      <c r="B2989" s="2" t="str">
        <f ca="1">IFERROR(__xludf.DUMMYFUNCTION("""COMPUTED_VALUE"""),"cdt")</f>
        <v>cdt</v>
      </c>
      <c r="C2989" s="2" t="str">
        <f ca="1">IFERROR(__xludf.DUMMYFUNCTION("""COMPUTED_VALUE"""),"Collateralized Debt Token")</f>
        <v>Collateralized Debt Token</v>
      </c>
    </row>
    <row r="2990" spans="1:3" x14ac:dyDescent="0.25">
      <c r="A2990" s="2" t="str">
        <f ca="1">IFERROR(__xludf.DUMMYFUNCTION("""COMPUTED_VALUE"""),"collateral-network")</f>
        <v>collateral-network</v>
      </c>
      <c r="B2990" s="2" t="str">
        <f ca="1">IFERROR(__xludf.DUMMYFUNCTION("""COMPUTED_VALUE"""),"colt")</f>
        <v>colt</v>
      </c>
      <c r="C2990" s="2" t="str">
        <f ca="1">IFERROR(__xludf.DUMMYFUNCTION("""COMPUTED_VALUE"""),"Collateral Network")</f>
        <v>Collateral Network</v>
      </c>
    </row>
    <row r="2991" spans="1:3" x14ac:dyDescent="0.25">
      <c r="A2991" s="2" t="str">
        <f ca="1">IFERROR(__xludf.DUMMYFUNCTION("""COMPUTED_VALUE"""),"colle-ai")</f>
        <v>colle-ai</v>
      </c>
      <c r="B2991" s="2" t="str">
        <f ca="1">IFERROR(__xludf.DUMMYFUNCTION("""COMPUTED_VALUE"""),"colle")</f>
        <v>colle</v>
      </c>
      <c r="C2991" s="2" t="str">
        <f ca="1">IFERROR(__xludf.DUMMYFUNCTION("""COMPUTED_VALUE"""),"Colle AI")</f>
        <v>Colle AI</v>
      </c>
    </row>
    <row r="2992" spans="1:3" x14ac:dyDescent="0.25">
      <c r="A2992" s="2" t="str">
        <f ca="1">IFERROR(__xludf.DUMMYFUNCTION("""COMPUTED_VALUE"""),"collector-coin")</f>
        <v>collector-coin</v>
      </c>
      <c r="B2992" s="2" t="str">
        <f ca="1">IFERROR(__xludf.DUMMYFUNCTION("""COMPUTED_VALUE"""),"ags")</f>
        <v>ags</v>
      </c>
      <c r="C2992" s="2" t="str">
        <f ca="1">IFERROR(__xludf.DUMMYFUNCTION("""COMPUTED_VALUE"""),"Collector Coin")</f>
        <v>Collector Coin</v>
      </c>
    </row>
    <row r="2993" spans="1:3" x14ac:dyDescent="0.25">
      <c r="A2993" s="2" t="str">
        <f ca="1">IFERROR(__xludf.DUMMYFUNCTION("""COMPUTED_VALUE"""),"colon")</f>
        <v>colon</v>
      </c>
      <c r="B2993" s="2" t="str">
        <f ca="1">IFERROR(__xludf.DUMMYFUNCTION("""COMPUTED_VALUE"""),"colon")</f>
        <v>colon</v>
      </c>
      <c r="C2993" s="2" t="str">
        <f ca="1">IFERROR(__xludf.DUMMYFUNCTION("""COMPUTED_VALUE"""),"Colon")</f>
        <v>Colon</v>
      </c>
    </row>
    <row r="2994" spans="1:3" x14ac:dyDescent="0.25">
      <c r="A2994" s="2" t="str">
        <f ca="1">IFERROR(__xludf.DUMMYFUNCTION("""COMPUTED_VALUE"""),"colonizemars")</f>
        <v>colonizemars</v>
      </c>
      <c r="B2994" s="2" t="str">
        <f ca="1">IFERROR(__xludf.DUMMYFUNCTION("""COMPUTED_VALUE"""),"gtm")</f>
        <v>gtm</v>
      </c>
      <c r="C2994" s="2" t="str">
        <f ca="1">IFERROR(__xludf.DUMMYFUNCTION("""COMPUTED_VALUE"""),"ColonizeMars")</f>
        <v>ColonizeMars</v>
      </c>
    </row>
    <row r="2995" spans="1:3" x14ac:dyDescent="0.25">
      <c r="A2995" s="2" t="str">
        <f ca="1">IFERROR(__xludf.DUMMYFUNCTION("""COMPUTED_VALUE"""),"colony")</f>
        <v>colony</v>
      </c>
      <c r="B2995" s="2" t="str">
        <f ca="1">IFERROR(__xludf.DUMMYFUNCTION("""COMPUTED_VALUE"""),"cly")</f>
        <v>cly</v>
      </c>
      <c r="C2995" s="2" t="str">
        <f ca="1">IFERROR(__xludf.DUMMYFUNCTION("""COMPUTED_VALUE"""),"Colony")</f>
        <v>Colony</v>
      </c>
    </row>
    <row r="2996" spans="1:3" x14ac:dyDescent="0.25">
      <c r="A2996" s="2" t="str">
        <f ca="1">IFERROR(__xludf.DUMMYFUNCTION("""COMPUTED_VALUE"""),"colony-avalanche-index")</f>
        <v>colony-avalanche-index</v>
      </c>
      <c r="B2996" s="2" t="str">
        <f ca="1">IFERROR(__xludf.DUMMYFUNCTION("""COMPUTED_VALUE"""),"cai")</f>
        <v>cai</v>
      </c>
      <c r="C2996" s="2" t="str">
        <f ca="1">IFERROR(__xludf.DUMMYFUNCTION("""COMPUTED_VALUE"""),"Colony Avalanche Index")</f>
        <v>Colony Avalanche Index</v>
      </c>
    </row>
    <row r="2997" spans="1:3" x14ac:dyDescent="0.25">
      <c r="A2997" s="2" t="str">
        <f ca="1">IFERROR(__xludf.DUMMYFUNCTION("""COMPUTED_VALUE"""),"colony-network-token")</f>
        <v>colony-network-token</v>
      </c>
      <c r="B2997" s="2" t="str">
        <f ca="1">IFERROR(__xludf.DUMMYFUNCTION("""COMPUTED_VALUE"""),"clny")</f>
        <v>clny</v>
      </c>
      <c r="C2997" s="2" t="str">
        <f ca="1">IFERROR(__xludf.DUMMYFUNCTION("""COMPUTED_VALUE"""),"Colony Network")</f>
        <v>Colony Network</v>
      </c>
    </row>
    <row r="2998" spans="1:3" x14ac:dyDescent="0.25">
      <c r="A2998" s="2" t="str">
        <f ca="1">IFERROR(__xludf.DUMMYFUNCTION("""COMPUTED_VALUE"""),"coloredbitcoin-arc-20")</f>
        <v>coloredbitcoin-arc-20</v>
      </c>
      <c r="B2998" s="2" t="str">
        <f ca="1">IFERROR(__xludf.DUMMYFUNCTION("""COMPUTED_VALUE"""),"coloredbitcoin (arc20)")</f>
        <v>coloredbitcoin (arc20)</v>
      </c>
      <c r="C2998" s="2" t="str">
        <f ca="1">IFERROR(__xludf.DUMMYFUNCTION("""COMPUTED_VALUE"""),"Coloredbitcoin (ARC-20)")</f>
        <v>Coloredbitcoin (ARC-20)</v>
      </c>
    </row>
    <row r="2999" spans="1:3" x14ac:dyDescent="0.25">
      <c r="A2999" s="2" t="str">
        <f ca="1">IFERROR(__xludf.DUMMYFUNCTION("""COMPUTED_VALUE"""),"colossuscoinxt")</f>
        <v>colossuscoinxt</v>
      </c>
      <c r="B2999" s="2" t="str">
        <f ca="1">IFERROR(__xludf.DUMMYFUNCTION("""COMPUTED_VALUE"""),"colx")</f>
        <v>colx</v>
      </c>
      <c r="C2999" s="2" t="str">
        <f ca="1">IFERROR(__xludf.DUMMYFUNCTION("""COMPUTED_VALUE"""),"ColossusXT")</f>
        <v>ColossusXT</v>
      </c>
    </row>
    <row r="3000" spans="1:3" x14ac:dyDescent="0.25">
      <c r="A3000" s="2" t="str">
        <f ca="1">IFERROR(__xludf.DUMMYFUNCTION("""COMPUTED_VALUE"""),"colr-coin")</f>
        <v>colr-coin</v>
      </c>
      <c r="B3000" s="2" t="str">
        <f ca="1">IFERROR(__xludf.DUMMYFUNCTION("""COMPUTED_VALUE"""),"$colr")</f>
        <v>$colr</v>
      </c>
      <c r="C3000" s="2" t="str">
        <f ca="1">IFERROR(__xludf.DUMMYFUNCTION("""COMPUTED_VALUE"""),"colR Coin")</f>
        <v>colR Coin</v>
      </c>
    </row>
    <row r="3001" spans="1:3" x14ac:dyDescent="0.25">
      <c r="A3001" s="2" t="str">
        <f ca="1">IFERROR(__xludf.DUMMYFUNCTION("""COMPUTED_VALUE"""),"coma-online")</f>
        <v>coma-online</v>
      </c>
      <c r="B3001" s="2" t="str">
        <f ca="1">IFERROR(__xludf.DUMMYFUNCTION("""COMPUTED_VALUE"""),"coma")</f>
        <v>coma</v>
      </c>
      <c r="C3001" s="2" t="str">
        <f ca="1">IFERROR(__xludf.DUMMYFUNCTION("""COMPUTED_VALUE"""),"Coma Online")</f>
        <v>Coma Online</v>
      </c>
    </row>
    <row r="3002" spans="1:3" x14ac:dyDescent="0.25">
      <c r="A3002" s="2" t="str">
        <f ca="1">IFERROR(__xludf.DUMMYFUNCTION("""COMPUTED_VALUE"""),"comdex")</f>
        <v>comdex</v>
      </c>
      <c r="B3002" s="2" t="str">
        <f ca="1">IFERROR(__xludf.DUMMYFUNCTION("""COMPUTED_VALUE"""),"cmdx")</f>
        <v>cmdx</v>
      </c>
      <c r="C3002" s="2" t="str">
        <f ca="1">IFERROR(__xludf.DUMMYFUNCTION("""COMPUTED_VALUE"""),"COMDEX")</f>
        <v>COMDEX</v>
      </c>
    </row>
    <row r="3003" spans="1:3" x14ac:dyDescent="0.25">
      <c r="A3003" s="2" t="str">
        <f ca="1">IFERROR(__xludf.DUMMYFUNCTION("""COMPUTED_VALUE"""),"comet-token")</f>
        <v>comet-token</v>
      </c>
      <c r="B3003" s="2" t="str">
        <f ca="1">IFERROR(__xludf.DUMMYFUNCTION("""COMPUTED_VALUE"""),"comet")</f>
        <v>comet</v>
      </c>
      <c r="C3003" s="2" t="str">
        <f ca="1">IFERROR(__xludf.DUMMYFUNCTION("""COMPUTED_VALUE"""),"Comet Token")</f>
        <v>Comet Token</v>
      </c>
    </row>
    <row r="3004" spans="1:3" x14ac:dyDescent="0.25">
      <c r="A3004" s="2" t="str">
        <f ca="1">IFERROR(__xludf.DUMMYFUNCTION("""COMPUTED_VALUE"""),"common")</f>
        <v>common</v>
      </c>
      <c r="B3004" s="2" t="str">
        <f ca="1">IFERROR(__xludf.DUMMYFUNCTION("""COMPUTED_VALUE"""),"cmn")</f>
        <v>cmn</v>
      </c>
      <c r="C3004" s="2" t="str">
        <f ca="1">IFERROR(__xludf.DUMMYFUNCTION("""COMPUTED_VALUE"""),"Common")</f>
        <v>Common</v>
      </c>
    </row>
    <row r="3005" spans="1:3" x14ac:dyDescent="0.25">
      <c r="A3005" s="2" t="str">
        <f ca="1">IFERROR(__xludf.DUMMYFUNCTION("""COMPUTED_VALUE"""),"common-wealth")</f>
        <v>common-wealth</v>
      </c>
      <c r="B3005" s="2" t="str">
        <f ca="1">IFERROR(__xludf.DUMMYFUNCTION("""COMPUTED_VALUE"""),"wlth")</f>
        <v>wlth</v>
      </c>
      <c r="C3005" s="2" t="str">
        <f ca="1">IFERROR(__xludf.DUMMYFUNCTION("""COMPUTED_VALUE"""),"Common Wealth")</f>
        <v>Common Wealth</v>
      </c>
    </row>
    <row r="3006" spans="1:3" x14ac:dyDescent="0.25">
      <c r="A3006" s="2" t="str">
        <f ca="1">IFERROR(__xludf.DUMMYFUNCTION("""COMPUTED_VALUE"""),"commune-ai")</f>
        <v>commune-ai</v>
      </c>
      <c r="B3006" s="2" t="str">
        <f ca="1">IFERROR(__xludf.DUMMYFUNCTION("""COMPUTED_VALUE"""),"comai")</f>
        <v>comai</v>
      </c>
      <c r="C3006" s="2" t="str">
        <f ca="1">IFERROR(__xludf.DUMMYFUNCTION("""COMPUTED_VALUE"""),"Commune AI")</f>
        <v>Commune AI</v>
      </c>
    </row>
    <row r="3007" spans="1:3" x14ac:dyDescent="0.25">
      <c r="A3007" s="2" t="str">
        <f ca="1">IFERROR(__xludf.DUMMYFUNCTION("""COMPUTED_VALUE"""),"community-business-token")</f>
        <v>community-business-token</v>
      </c>
      <c r="B3007" s="2" t="str">
        <f ca="1">IFERROR(__xludf.DUMMYFUNCTION("""COMPUTED_VALUE"""),"cbt")</f>
        <v>cbt</v>
      </c>
      <c r="C3007" s="2" t="str">
        <f ca="1">IFERROR(__xludf.DUMMYFUNCTION("""COMPUTED_VALUE"""),"Community Business Token")</f>
        <v>Community Business Token</v>
      </c>
    </row>
    <row r="3008" spans="1:3" x14ac:dyDescent="0.25">
      <c r="A3008" s="2" t="str">
        <f ca="1">IFERROR(__xludf.DUMMYFUNCTION("""COMPUTED_VALUE"""),"community-inu")</f>
        <v>community-inu</v>
      </c>
      <c r="B3008" s="2" t="str">
        <f ca="1">IFERROR(__xludf.DUMMYFUNCTION("""COMPUTED_VALUE"""),"cti")</f>
        <v>cti</v>
      </c>
      <c r="C3008" s="2" t="str">
        <f ca="1">IFERROR(__xludf.DUMMYFUNCTION("""COMPUTED_VALUE"""),"Community Inu")</f>
        <v>Community Inu</v>
      </c>
    </row>
    <row r="3009" spans="1:3" x14ac:dyDescent="0.25">
      <c r="A3009" s="2" t="str">
        <f ca="1">IFERROR(__xludf.DUMMYFUNCTION("""COMPUTED_VALUE"""),"community-of-meme")</f>
        <v>community-of-meme</v>
      </c>
      <c r="B3009" s="2" t="str">
        <f ca="1">IFERROR(__xludf.DUMMYFUNCTION("""COMPUTED_VALUE"""),"come")</f>
        <v>come</v>
      </c>
      <c r="C3009" s="2" t="str">
        <f ca="1">IFERROR(__xludf.DUMMYFUNCTION("""COMPUTED_VALUE"""),"Community of Meme")</f>
        <v>Community of Meme</v>
      </c>
    </row>
    <row r="3010" spans="1:3" x14ac:dyDescent="0.25">
      <c r="A3010" s="2" t="str">
        <f ca="1">IFERROR(__xludf.DUMMYFUNCTION("""COMPUTED_VALUE"""),"community-takeover")</f>
        <v>community-takeover</v>
      </c>
      <c r="B3010" s="2" t="str">
        <f ca="1">IFERROR(__xludf.DUMMYFUNCTION("""COMPUTED_VALUE"""),"ct")</f>
        <v>ct</v>
      </c>
      <c r="C3010" s="2" t="str">
        <f ca="1">IFERROR(__xludf.DUMMYFUNCTION("""COMPUTED_VALUE"""),"Community Takeover")</f>
        <v>Community Takeover</v>
      </c>
    </row>
    <row r="3011" spans="1:3" x14ac:dyDescent="0.25">
      <c r="A3011" s="2" t="str">
        <f ca="1">IFERROR(__xludf.DUMMYFUNCTION("""COMPUTED_VALUE"""),"com-ordinals")</f>
        <v>com-ordinals</v>
      </c>
      <c r="B3011" s="2" t="str">
        <f ca="1">IFERROR(__xludf.DUMMYFUNCTION("""COMPUTED_VALUE"""),".com")</f>
        <v>.com</v>
      </c>
      <c r="C3011" s="2" t="str">
        <f ca="1">IFERROR(__xludf.DUMMYFUNCTION("""COMPUTED_VALUE"""),".com (Ordinals)")</f>
        <v>.com (Ordinals)</v>
      </c>
    </row>
    <row r="3012" spans="1:3" x14ac:dyDescent="0.25">
      <c r="A3012" s="2" t="str">
        <f ca="1">IFERROR(__xludf.DUMMYFUNCTION("""COMPUTED_VALUE"""),"companionbot")</f>
        <v>companionbot</v>
      </c>
      <c r="B3012" s="2" t="str">
        <f ca="1">IFERROR(__xludf.DUMMYFUNCTION("""COMPUTED_VALUE"""),"cbot")</f>
        <v>cbot</v>
      </c>
      <c r="C3012" s="2" t="str">
        <f ca="1">IFERROR(__xludf.DUMMYFUNCTION("""COMPUTED_VALUE"""),"CompanionBot")</f>
        <v>CompanionBot</v>
      </c>
    </row>
    <row r="3013" spans="1:3" x14ac:dyDescent="0.25">
      <c r="A3013" s="2" t="str">
        <f ca="1">IFERROR(__xludf.DUMMYFUNCTION("""COMPUTED_VALUE"""),"companion-pet-coin")</f>
        <v>companion-pet-coin</v>
      </c>
      <c r="B3013" s="2" t="str">
        <f ca="1">IFERROR(__xludf.DUMMYFUNCTION("""COMPUTED_VALUE"""),"cpc")</f>
        <v>cpc</v>
      </c>
      <c r="C3013" s="2" t="str">
        <f ca="1">IFERROR(__xludf.DUMMYFUNCTION("""COMPUTED_VALUE"""),"Companion Pet Coin")</f>
        <v>Companion Pet Coin</v>
      </c>
    </row>
    <row r="3014" spans="1:3" x14ac:dyDescent="0.25">
      <c r="A3014" s="2" t="str">
        <f ca="1">IFERROR(__xludf.DUMMYFUNCTION("""COMPUTED_VALUE"""),"compendium-fi")</f>
        <v>compendium-fi</v>
      </c>
      <c r="B3014" s="2" t="str">
        <f ca="1">IFERROR(__xludf.DUMMYFUNCTION("""COMPUTED_VALUE"""),"cmfi")</f>
        <v>cmfi</v>
      </c>
      <c r="C3014" s="2" t="str">
        <f ca="1">IFERROR(__xludf.DUMMYFUNCTION("""COMPUTED_VALUE"""),"Compendium")</f>
        <v>Compendium</v>
      </c>
    </row>
    <row r="3015" spans="1:3" x14ac:dyDescent="0.25">
      <c r="A3015" s="2" t="str">
        <f ca="1">IFERROR(__xludf.DUMMYFUNCTION("""COMPUTED_VALUE"""),"composite")</f>
        <v>composite</v>
      </c>
      <c r="B3015" s="2" t="str">
        <f ca="1">IFERROR(__xludf.DUMMYFUNCTION("""COMPUTED_VALUE"""),"cmst")</f>
        <v>cmst</v>
      </c>
      <c r="C3015" s="2" t="str">
        <f ca="1">IFERROR(__xludf.DUMMYFUNCTION("""COMPUTED_VALUE"""),"Composite")</f>
        <v>Composite</v>
      </c>
    </row>
    <row r="3016" spans="1:3" x14ac:dyDescent="0.25">
      <c r="A3016" s="2" t="str">
        <f ca="1">IFERROR(__xludf.DUMMYFUNCTION("""COMPUTED_VALUE"""),"compound-0x")</f>
        <v>compound-0x</v>
      </c>
      <c r="B3016" s="2" t="str">
        <f ca="1">IFERROR(__xludf.DUMMYFUNCTION("""COMPUTED_VALUE"""),"czrx")</f>
        <v>czrx</v>
      </c>
      <c r="C3016" s="2" t="str">
        <f ca="1">IFERROR(__xludf.DUMMYFUNCTION("""COMPUTED_VALUE"""),"c0x")</f>
        <v>c0x</v>
      </c>
    </row>
    <row r="3017" spans="1:3" x14ac:dyDescent="0.25">
      <c r="A3017" s="2" t="str">
        <f ca="1">IFERROR(__xludf.DUMMYFUNCTION("""COMPUTED_VALUE"""),"compound-basic-attention-token")</f>
        <v>compound-basic-attention-token</v>
      </c>
      <c r="B3017" s="2" t="str">
        <f ca="1">IFERROR(__xludf.DUMMYFUNCTION("""COMPUTED_VALUE"""),"cbat")</f>
        <v>cbat</v>
      </c>
      <c r="C3017" s="2" t="str">
        <f ca="1">IFERROR(__xludf.DUMMYFUNCTION("""COMPUTED_VALUE"""),"cBAT")</f>
        <v>cBAT</v>
      </c>
    </row>
    <row r="3018" spans="1:3" x14ac:dyDescent="0.25">
      <c r="A3018" s="2" t="str">
        <f ca="1">IFERROR(__xludf.DUMMYFUNCTION("""COMPUTED_VALUE"""),"compound-chainlink-token")</f>
        <v>compound-chainlink-token</v>
      </c>
      <c r="B3018" s="2" t="str">
        <f ca="1">IFERROR(__xludf.DUMMYFUNCTION("""COMPUTED_VALUE"""),"clink")</f>
        <v>clink</v>
      </c>
      <c r="C3018" s="2" t="str">
        <f ca="1">IFERROR(__xludf.DUMMYFUNCTION("""COMPUTED_VALUE"""),"cLINK")</f>
        <v>cLINK</v>
      </c>
    </row>
    <row r="3019" spans="1:3" x14ac:dyDescent="0.25">
      <c r="A3019" s="2" t="str">
        <f ca="1">IFERROR(__xludf.DUMMYFUNCTION("""COMPUTED_VALUE"""),"compound-ether")</f>
        <v>compound-ether</v>
      </c>
      <c r="B3019" s="2" t="str">
        <f ca="1">IFERROR(__xludf.DUMMYFUNCTION("""COMPUTED_VALUE"""),"ceth")</f>
        <v>ceth</v>
      </c>
      <c r="C3019" s="2" t="str">
        <f ca="1">IFERROR(__xludf.DUMMYFUNCTION("""COMPUTED_VALUE"""),"cETH")</f>
        <v>cETH</v>
      </c>
    </row>
    <row r="3020" spans="1:3" x14ac:dyDescent="0.25">
      <c r="A3020" s="2" t="str">
        <f ca="1">IFERROR(__xludf.DUMMYFUNCTION("""COMPUTED_VALUE"""),"compound-governance-token")</f>
        <v>compound-governance-token</v>
      </c>
      <c r="B3020" s="2" t="str">
        <f ca="1">IFERROR(__xludf.DUMMYFUNCTION("""COMPUTED_VALUE"""),"comp")</f>
        <v>comp</v>
      </c>
      <c r="C3020" s="2" t="str">
        <f ca="1">IFERROR(__xludf.DUMMYFUNCTION("""COMPUTED_VALUE"""),"Compound")</f>
        <v>Compound</v>
      </c>
    </row>
    <row r="3021" spans="1:3" x14ac:dyDescent="0.25">
      <c r="A3021" s="2" t="str">
        <f ca="1">IFERROR(__xludf.DUMMYFUNCTION("""COMPUTED_VALUE"""),"compound-maker")</f>
        <v>compound-maker</v>
      </c>
      <c r="B3021" s="2" t="str">
        <f ca="1">IFERROR(__xludf.DUMMYFUNCTION("""COMPUTED_VALUE"""),"cmkr")</f>
        <v>cmkr</v>
      </c>
      <c r="C3021" s="2" t="str">
        <f ca="1">IFERROR(__xludf.DUMMYFUNCTION("""COMPUTED_VALUE"""),"cMKR")</f>
        <v>cMKR</v>
      </c>
    </row>
    <row r="3022" spans="1:3" x14ac:dyDescent="0.25">
      <c r="A3022" s="2" t="str">
        <f ca="1">IFERROR(__xludf.DUMMYFUNCTION("""COMPUTED_VALUE"""),"compound-meta")</f>
        <v>compound-meta</v>
      </c>
      <c r="B3022" s="2" t="str">
        <f ca="1">IFERROR(__xludf.DUMMYFUNCTION("""COMPUTED_VALUE"""),"coma")</f>
        <v>coma</v>
      </c>
      <c r="C3022" s="2" t="str">
        <f ca="1">IFERROR(__xludf.DUMMYFUNCTION("""COMPUTED_VALUE"""),"Compound Meta")</f>
        <v>Compound Meta</v>
      </c>
    </row>
    <row r="3023" spans="1:3" x14ac:dyDescent="0.25">
      <c r="A3023" s="2" t="str">
        <f ca="1">IFERROR(__xludf.DUMMYFUNCTION("""COMPUTED_VALUE"""),"compound-sushi")</f>
        <v>compound-sushi</v>
      </c>
      <c r="B3023" s="2" t="str">
        <f ca="1">IFERROR(__xludf.DUMMYFUNCTION("""COMPUTED_VALUE"""),"csushi")</f>
        <v>csushi</v>
      </c>
      <c r="C3023" s="2" t="str">
        <f ca="1">IFERROR(__xludf.DUMMYFUNCTION("""COMPUTED_VALUE"""),"cSUSHI")</f>
        <v>cSUSHI</v>
      </c>
    </row>
    <row r="3024" spans="1:3" x14ac:dyDescent="0.25">
      <c r="A3024" s="2" t="str">
        <f ca="1">IFERROR(__xludf.DUMMYFUNCTION("""COMPUTED_VALUE"""),"compound-uniswap")</f>
        <v>compound-uniswap</v>
      </c>
      <c r="B3024" s="2" t="str">
        <f ca="1">IFERROR(__xludf.DUMMYFUNCTION("""COMPUTED_VALUE"""),"cuni")</f>
        <v>cuni</v>
      </c>
      <c r="C3024" s="2" t="str">
        <f ca="1">IFERROR(__xludf.DUMMYFUNCTION("""COMPUTED_VALUE"""),"cUNI")</f>
        <v>cUNI</v>
      </c>
    </row>
    <row r="3025" spans="1:3" x14ac:dyDescent="0.25">
      <c r="A3025" s="2" t="str">
        <f ca="1">IFERROR(__xludf.DUMMYFUNCTION("""COMPUTED_VALUE"""),"compound-usd-coin")</f>
        <v>compound-usd-coin</v>
      </c>
      <c r="B3025" s="2" t="str">
        <f ca="1">IFERROR(__xludf.DUMMYFUNCTION("""COMPUTED_VALUE"""),"cusdc")</f>
        <v>cusdc</v>
      </c>
      <c r="C3025" s="2" t="str">
        <f ca="1">IFERROR(__xludf.DUMMYFUNCTION("""COMPUTED_VALUE"""),"cUSDC")</f>
        <v>cUSDC</v>
      </c>
    </row>
    <row r="3026" spans="1:3" x14ac:dyDescent="0.25">
      <c r="A3026" s="2" t="str">
        <f ca="1">IFERROR(__xludf.DUMMYFUNCTION("""COMPUTED_VALUE"""),"compound-wrapped-btc")</f>
        <v>compound-wrapped-btc</v>
      </c>
      <c r="B3026" s="2" t="str">
        <f ca="1">IFERROR(__xludf.DUMMYFUNCTION("""COMPUTED_VALUE"""),"cwbtc")</f>
        <v>cwbtc</v>
      </c>
      <c r="C3026" s="2" t="str">
        <f ca="1">IFERROR(__xludf.DUMMYFUNCTION("""COMPUTED_VALUE"""),"cWBTC")</f>
        <v>cWBTC</v>
      </c>
    </row>
    <row r="3027" spans="1:3" x14ac:dyDescent="0.25">
      <c r="A3027" s="2" t="str">
        <f ca="1">IFERROR(__xludf.DUMMYFUNCTION("""COMPUTED_VALUE"""),"compound-yearn-finance")</f>
        <v>compound-yearn-finance</v>
      </c>
      <c r="B3027" s="2" t="str">
        <f ca="1">IFERROR(__xludf.DUMMYFUNCTION("""COMPUTED_VALUE"""),"cyfi")</f>
        <v>cyfi</v>
      </c>
      <c r="C3027" s="2" t="str">
        <f ca="1">IFERROR(__xludf.DUMMYFUNCTION("""COMPUTED_VALUE"""),"cYFI")</f>
        <v>cYFI</v>
      </c>
    </row>
    <row r="3028" spans="1:3" x14ac:dyDescent="0.25">
      <c r="A3028" s="2" t="str">
        <f ca="1">IFERROR(__xludf.DUMMYFUNCTION("""COMPUTED_VALUE"""),"compute-network")</f>
        <v>compute-network</v>
      </c>
      <c r="B3028" s="2" t="str">
        <f ca="1">IFERROR(__xludf.DUMMYFUNCTION("""COMPUTED_VALUE"""),"dcn")</f>
        <v>dcn</v>
      </c>
      <c r="C3028" s="2" t="str">
        <f ca="1">IFERROR(__xludf.DUMMYFUNCTION("""COMPUTED_VALUE"""),"Compute Network")</f>
        <v>Compute Network</v>
      </c>
    </row>
    <row r="3029" spans="1:3" x14ac:dyDescent="0.25">
      <c r="A3029" s="2" t="str">
        <f ca="1">IFERROR(__xludf.DUMMYFUNCTION("""COMPUTED_VALUE"""),"comp-yvault")</f>
        <v>comp-yvault</v>
      </c>
      <c r="B3029" s="2" t="str">
        <f ca="1">IFERROR(__xludf.DUMMYFUNCTION("""COMPUTED_VALUE"""),"yvcomp")</f>
        <v>yvcomp</v>
      </c>
      <c r="C3029" s="2" t="str">
        <f ca="1">IFERROR(__xludf.DUMMYFUNCTION("""COMPUTED_VALUE"""),"COMP yVault")</f>
        <v>COMP yVault</v>
      </c>
    </row>
    <row r="3030" spans="1:3" x14ac:dyDescent="0.25">
      <c r="A3030" s="2" t="str">
        <f ca="1">IFERROR(__xludf.DUMMYFUNCTION("""COMPUTED_VALUE"""),"comsats")</f>
        <v>comsats</v>
      </c>
      <c r="B3030" s="2" t="str">
        <f ca="1">IFERROR(__xludf.DUMMYFUNCTION("""COMPUTED_VALUE"""),"csas")</f>
        <v>csas</v>
      </c>
      <c r="C3030" s="2" t="str">
        <f ca="1">IFERROR(__xludf.DUMMYFUNCTION("""COMPUTED_VALUE"""),"Comsats")</f>
        <v>Comsats</v>
      </c>
    </row>
    <row r="3031" spans="1:3" x14ac:dyDescent="0.25">
      <c r="A3031" s="2" t="str">
        <f ca="1">IFERROR(__xludf.DUMMYFUNCTION("""COMPUTED_VALUE"""),"comtech-gold")</f>
        <v>comtech-gold</v>
      </c>
      <c r="B3031" s="2" t="str">
        <f ca="1">IFERROR(__xludf.DUMMYFUNCTION("""COMPUTED_VALUE"""),"cgo")</f>
        <v>cgo</v>
      </c>
      <c r="C3031" s="2" t="str">
        <f ca="1">IFERROR(__xludf.DUMMYFUNCTION("""COMPUTED_VALUE"""),"Comtech Gold")</f>
        <v>Comtech Gold</v>
      </c>
    </row>
    <row r="3032" spans="1:3" x14ac:dyDescent="0.25">
      <c r="A3032" s="2" t="str">
        <f ca="1">IFERROR(__xludf.DUMMYFUNCTION("""COMPUTED_VALUE"""),"conan")</f>
        <v>conan</v>
      </c>
      <c r="B3032" s="2" t="str">
        <f ca="1">IFERROR(__xludf.DUMMYFUNCTION("""COMPUTED_VALUE"""),"conan")</f>
        <v>conan</v>
      </c>
      <c r="C3032" s="2" t="str">
        <f ca="1">IFERROR(__xludf.DUMMYFUNCTION("""COMPUTED_VALUE"""),"CONAN")</f>
        <v>CONAN</v>
      </c>
    </row>
    <row r="3033" spans="1:3" x14ac:dyDescent="0.25">
      <c r="A3033" s="2" t="str">
        <f ca="1">IFERROR(__xludf.DUMMYFUNCTION("""COMPUTED_VALUE"""),"conan-2")</f>
        <v>conan-2</v>
      </c>
      <c r="B3033" s="2" t="str">
        <f ca="1">IFERROR(__xludf.DUMMYFUNCTION("""COMPUTED_VALUE"""),"conan")</f>
        <v>conan</v>
      </c>
      <c r="C3033" s="2" t="str">
        <f ca="1">IFERROR(__xludf.DUMMYFUNCTION("""COMPUTED_VALUE"""),"Conan")</f>
        <v>Conan</v>
      </c>
    </row>
    <row r="3034" spans="1:3" x14ac:dyDescent="0.25">
      <c r="A3034" s="2" t="str">
        <f ca="1">IFERROR(__xludf.DUMMYFUNCTION("""COMPUTED_VALUE"""),"concave")</f>
        <v>concave</v>
      </c>
      <c r="B3034" s="2" t="str">
        <f ca="1">IFERROR(__xludf.DUMMYFUNCTION("""COMPUTED_VALUE"""),"cnv")</f>
        <v>cnv</v>
      </c>
      <c r="C3034" s="2" t="str">
        <f ca="1">IFERROR(__xludf.DUMMYFUNCTION("""COMPUTED_VALUE"""),"Concave")</f>
        <v>Concave</v>
      </c>
    </row>
    <row r="3035" spans="1:3" x14ac:dyDescent="0.25">
      <c r="A3035" s="2" t="str">
        <f ca="1">IFERROR(__xludf.DUMMYFUNCTION("""COMPUTED_VALUE"""),"conceal")</f>
        <v>conceal</v>
      </c>
      <c r="B3035" s="2" t="str">
        <f ca="1">IFERROR(__xludf.DUMMYFUNCTION("""COMPUTED_VALUE"""),"ccx")</f>
        <v>ccx</v>
      </c>
      <c r="C3035" s="2" t="str">
        <f ca="1">IFERROR(__xludf.DUMMYFUNCTION("""COMPUTED_VALUE"""),"Conceal")</f>
        <v>Conceal</v>
      </c>
    </row>
    <row r="3036" spans="1:3" x14ac:dyDescent="0.25">
      <c r="A3036" s="2" t="str">
        <f ca="1">IFERROR(__xludf.DUMMYFUNCTION("""COMPUTED_VALUE"""),"concentrated-voting-power")</f>
        <v>concentrated-voting-power</v>
      </c>
      <c r="B3036" s="2" t="str">
        <f ca="1">IFERROR(__xludf.DUMMYFUNCTION("""COMPUTED_VALUE"""),"cvp")</f>
        <v>cvp</v>
      </c>
      <c r="C3036" s="2" t="str">
        <f ca="1">IFERROR(__xludf.DUMMYFUNCTION("""COMPUTED_VALUE"""),"PowerPool Concentrated Voting Power")</f>
        <v>PowerPool Concentrated Voting Power</v>
      </c>
    </row>
    <row r="3037" spans="1:3" x14ac:dyDescent="0.25">
      <c r="A3037" s="2" t="str">
        <f ca="1">IFERROR(__xludf.DUMMYFUNCTION("""COMPUTED_VALUE"""),"concentrator")</f>
        <v>concentrator</v>
      </c>
      <c r="B3037" s="2" t="str">
        <f ca="1">IFERROR(__xludf.DUMMYFUNCTION("""COMPUTED_VALUE"""),"ctr")</f>
        <v>ctr</v>
      </c>
      <c r="C3037" s="2" t="str">
        <f ca="1">IFERROR(__xludf.DUMMYFUNCTION("""COMPUTED_VALUE"""),"Concentrator")</f>
        <v>Concentrator</v>
      </c>
    </row>
    <row r="3038" spans="1:3" x14ac:dyDescent="0.25">
      <c r="A3038" s="2" t="str">
        <f ca="1">IFERROR(__xludf.DUMMYFUNCTION("""COMPUTED_VALUE"""),"concertvr")</f>
        <v>concertvr</v>
      </c>
      <c r="B3038" s="2" t="str">
        <f ca="1">IFERROR(__xludf.DUMMYFUNCTION("""COMPUTED_VALUE"""),"cvt")</f>
        <v>cvt</v>
      </c>
      <c r="C3038" s="2" t="str">
        <f ca="1">IFERROR(__xludf.DUMMYFUNCTION("""COMPUTED_VALUE"""),"concertVR")</f>
        <v>concertVR</v>
      </c>
    </row>
    <row r="3039" spans="1:3" x14ac:dyDescent="0.25">
      <c r="A3039" s="2" t="str">
        <f ca="1">IFERROR(__xludf.DUMMYFUNCTION("""COMPUTED_VALUE"""),"concierge-io")</f>
        <v>concierge-io</v>
      </c>
      <c r="B3039" s="2" t="str">
        <f ca="1">IFERROR(__xludf.DUMMYFUNCTION("""COMPUTED_VALUE"""),"ava")</f>
        <v>ava</v>
      </c>
      <c r="C3039" s="2" t="str">
        <f ca="1">IFERROR(__xludf.DUMMYFUNCTION("""COMPUTED_VALUE"""),"AVA")</f>
        <v>AVA</v>
      </c>
    </row>
    <row r="3040" spans="1:3" x14ac:dyDescent="0.25">
      <c r="A3040" s="2" t="str">
        <f ca="1">IFERROR(__xludf.DUMMYFUNCTION("""COMPUTED_VALUE"""),"concordium")</f>
        <v>concordium</v>
      </c>
      <c r="B3040" s="2" t="str">
        <f ca="1">IFERROR(__xludf.DUMMYFUNCTION("""COMPUTED_VALUE"""),"ccd")</f>
        <v>ccd</v>
      </c>
      <c r="C3040" s="2" t="str">
        <f ca="1">IFERROR(__xludf.DUMMYFUNCTION("""COMPUTED_VALUE"""),"Concordium")</f>
        <v>Concordium</v>
      </c>
    </row>
    <row r="3041" spans="1:3" x14ac:dyDescent="0.25">
      <c r="A3041" s="2" t="str">
        <f ca="1">IFERROR(__xludf.DUMMYFUNCTION("""COMPUTED_VALUE"""),"condo")</f>
        <v>condo</v>
      </c>
      <c r="B3041" s="2" t="str">
        <f ca="1">IFERROR(__xludf.DUMMYFUNCTION("""COMPUTED_VALUE"""),"condo")</f>
        <v>condo</v>
      </c>
      <c r="C3041" s="2" t="str">
        <f ca="1">IFERROR(__xludf.DUMMYFUNCTION("""COMPUTED_VALUE"""),"CONDO")</f>
        <v>CONDO</v>
      </c>
    </row>
    <row r="3042" spans="1:3" x14ac:dyDescent="0.25">
      <c r="A3042" s="2" t="str">
        <f ca="1">IFERROR(__xludf.DUMMYFUNCTION("""COMPUTED_VALUE"""),"conet-network")</f>
        <v>conet-network</v>
      </c>
      <c r="B3042" s="2" t="str">
        <f ca="1">IFERROR(__xludf.DUMMYFUNCTION("""COMPUTED_VALUE"""),"cntp")</f>
        <v>cntp</v>
      </c>
      <c r="C3042" s="2" t="str">
        <f ca="1">IFERROR(__xludf.DUMMYFUNCTION("""COMPUTED_VALUE"""),"CoNET Network")</f>
        <v>CoNET Network</v>
      </c>
    </row>
    <row r="3043" spans="1:3" x14ac:dyDescent="0.25">
      <c r="A3043" s="2" t="str">
        <f ca="1">IFERROR(__xludf.DUMMYFUNCTION("""COMPUTED_VALUE"""),"conflux-token")</f>
        <v>conflux-token</v>
      </c>
      <c r="B3043" s="2" t="str">
        <f ca="1">IFERROR(__xludf.DUMMYFUNCTION("""COMPUTED_VALUE"""),"cfx")</f>
        <v>cfx</v>
      </c>
      <c r="C3043" s="2" t="str">
        <f ca="1">IFERROR(__xludf.DUMMYFUNCTION("""COMPUTED_VALUE"""),"Conflux")</f>
        <v>Conflux</v>
      </c>
    </row>
    <row r="3044" spans="1:3" x14ac:dyDescent="0.25">
      <c r="A3044" s="2" t="str">
        <f ca="1">IFERROR(__xludf.DUMMYFUNCTION("""COMPUTED_VALUE"""),"conic-finance")</f>
        <v>conic-finance</v>
      </c>
      <c r="B3044" s="2" t="str">
        <f ca="1">IFERROR(__xludf.DUMMYFUNCTION("""COMPUTED_VALUE"""),"cnc")</f>
        <v>cnc</v>
      </c>
      <c r="C3044" s="2" t="str">
        <f ca="1">IFERROR(__xludf.DUMMYFUNCTION("""COMPUTED_VALUE"""),"Conic")</f>
        <v>Conic</v>
      </c>
    </row>
    <row r="3045" spans="1:3" x14ac:dyDescent="0.25">
      <c r="A3045" s="2" t="str">
        <f ca="1">IFERROR(__xludf.DUMMYFUNCTION("""COMPUTED_VALUE"""),"coniun")</f>
        <v>coniun</v>
      </c>
      <c r="B3045" s="2" t="str">
        <f ca="1">IFERROR(__xludf.DUMMYFUNCTION("""COMPUTED_VALUE"""),"coni")</f>
        <v>coni</v>
      </c>
      <c r="C3045" s="2" t="str">
        <f ca="1">IFERROR(__xludf.DUMMYFUNCTION("""COMPUTED_VALUE"""),"Coniun")</f>
        <v>Coniun</v>
      </c>
    </row>
    <row r="3046" spans="1:3" x14ac:dyDescent="0.25">
      <c r="A3046" s="2" t="str">
        <f ca="1">IFERROR(__xludf.DUMMYFUNCTION("""COMPUTED_VALUE"""),"connect-2")</f>
        <v>connect-2</v>
      </c>
      <c r="B3046" s="2" t="str">
        <f ca="1">IFERROR(__xludf.DUMMYFUNCTION("""COMPUTED_VALUE"""),"cnct")</f>
        <v>cnct</v>
      </c>
      <c r="C3046" s="2" t="str">
        <f ca="1">IFERROR(__xludf.DUMMYFUNCTION("""COMPUTED_VALUE"""),"Connect")</f>
        <v>Connect</v>
      </c>
    </row>
    <row r="3047" spans="1:3" x14ac:dyDescent="0.25">
      <c r="A3047" s="2" t="str">
        <f ca="1">IFERROR(__xludf.DUMMYFUNCTION("""COMPUTED_VALUE"""),"connect-financial")</f>
        <v>connect-financial</v>
      </c>
      <c r="B3047" s="2" t="str">
        <f ca="1">IFERROR(__xludf.DUMMYFUNCTION("""COMPUTED_VALUE"""),"cnfi")</f>
        <v>cnfi</v>
      </c>
      <c r="C3047" s="2" t="str">
        <f ca="1">IFERROR(__xludf.DUMMYFUNCTION("""COMPUTED_VALUE"""),"Connect Financial")</f>
        <v>Connect Financial</v>
      </c>
    </row>
    <row r="3048" spans="1:3" x14ac:dyDescent="0.25">
      <c r="A3048" s="2" t="str">
        <f ca="1">IFERROR(__xludf.DUMMYFUNCTION("""COMPUTED_VALUE"""),"connectome")</f>
        <v>connectome</v>
      </c>
      <c r="B3048" s="2" t="str">
        <f ca="1">IFERROR(__xludf.DUMMYFUNCTION("""COMPUTED_VALUE"""),"cntm")</f>
        <v>cntm</v>
      </c>
      <c r="C3048" s="2" t="str">
        <f ca="1">IFERROR(__xludf.DUMMYFUNCTION("""COMPUTED_VALUE"""),"Connectome")</f>
        <v>Connectome</v>
      </c>
    </row>
    <row r="3049" spans="1:3" x14ac:dyDescent="0.25">
      <c r="A3049" s="2" t="str">
        <f ca="1">IFERROR(__xludf.DUMMYFUNCTION("""COMPUTED_VALUE"""),"connect-token-wct")</f>
        <v>connect-token-wct</v>
      </c>
      <c r="B3049" s="2" t="str">
        <f ca="1">IFERROR(__xludf.DUMMYFUNCTION("""COMPUTED_VALUE"""),"wct")</f>
        <v>wct</v>
      </c>
      <c r="C3049" s="2" t="str">
        <f ca="1">IFERROR(__xludf.DUMMYFUNCTION("""COMPUTED_VALUE"""),"Connect Token")</f>
        <v>Connect Token</v>
      </c>
    </row>
    <row r="3050" spans="1:3" x14ac:dyDescent="0.25">
      <c r="A3050" s="2" t="str">
        <f ca="1">IFERROR(__xludf.DUMMYFUNCTION("""COMPUTED_VALUE"""),"connex")</f>
        <v>connex</v>
      </c>
      <c r="B3050" s="2" t="str">
        <f ca="1">IFERROR(__xludf.DUMMYFUNCTION("""COMPUTED_VALUE"""),"conx")</f>
        <v>conx</v>
      </c>
      <c r="C3050" s="2" t="str">
        <f ca="1">IFERROR(__xludf.DUMMYFUNCTION("""COMPUTED_VALUE"""),"Connex")</f>
        <v>Connex</v>
      </c>
    </row>
    <row r="3051" spans="1:3" x14ac:dyDescent="0.25">
      <c r="A3051" s="2" t="str">
        <f ca="1">IFERROR(__xludf.DUMMYFUNCTION("""COMPUTED_VALUE"""),"connext")</f>
        <v>connext</v>
      </c>
      <c r="B3051" s="2" t="str">
        <f ca="1">IFERROR(__xludf.DUMMYFUNCTION("""COMPUTED_VALUE"""),"next")</f>
        <v>next</v>
      </c>
      <c r="C3051" s="2" t="str">
        <f ca="1">IFERROR(__xludf.DUMMYFUNCTION("""COMPUTED_VALUE"""),"Everclear")</f>
        <v>Everclear</v>
      </c>
    </row>
    <row r="3052" spans="1:3" x14ac:dyDescent="0.25">
      <c r="A3052" s="2" t="str">
        <f ca="1">IFERROR(__xludf.DUMMYFUNCTION("""COMPUTED_VALUE"""),"consciousdao")</f>
        <v>consciousdao</v>
      </c>
      <c r="B3052" s="2" t="str">
        <f ca="1">IFERROR(__xludf.DUMMYFUNCTION("""COMPUTED_VALUE"""),"cvn")</f>
        <v>cvn</v>
      </c>
      <c r="C3052" s="2" t="str">
        <f ca="1">IFERROR(__xludf.DUMMYFUNCTION("""COMPUTED_VALUE"""),"ConsciousDao")</f>
        <v>ConsciousDao</v>
      </c>
    </row>
    <row r="3053" spans="1:3" x14ac:dyDescent="0.25">
      <c r="A3053" s="2" t="str">
        <f ca="1">IFERROR(__xludf.DUMMYFUNCTION("""COMPUTED_VALUE"""),"constellation-labs")</f>
        <v>constellation-labs</v>
      </c>
      <c r="B3053" s="2" t="str">
        <f ca="1">IFERROR(__xludf.DUMMYFUNCTION("""COMPUTED_VALUE"""),"dag")</f>
        <v>dag</v>
      </c>
      <c r="C3053" s="2" t="str">
        <f ca="1">IFERROR(__xludf.DUMMYFUNCTION("""COMPUTED_VALUE"""),"Constellation")</f>
        <v>Constellation</v>
      </c>
    </row>
    <row r="3054" spans="1:3" x14ac:dyDescent="0.25">
      <c r="A3054" s="2" t="str">
        <f ca="1">IFERROR(__xludf.DUMMYFUNCTION("""COMPUTED_VALUE"""),"constitutiondao")</f>
        <v>constitutiondao</v>
      </c>
      <c r="B3054" s="2" t="str">
        <f ca="1">IFERROR(__xludf.DUMMYFUNCTION("""COMPUTED_VALUE"""),"people")</f>
        <v>people</v>
      </c>
      <c r="C3054" s="2" t="str">
        <f ca="1">IFERROR(__xludf.DUMMYFUNCTION("""COMPUTED_VALUE"""),"ConstitutionDAO")</f>
        <v>ConstitutionDAO</v>
      </c>
    </row>
    <row r="3055" spans="1:3" x14ac:dyDescent="0.25">
      <c r="A3055" s="2" t="str">
        <f ca="1">IFERROR(__xludf.DUMMYFUNCTION("""COMPUTED_VALUE"""),"constitutiondao-wormhole")</f>
        <v>constitutiondao-wormhole</v>
      </c>
      <c r="B3055" s="2" t="str">
        <f ca="1">IFERROR(__xludf.DUMMYFUNCTION("""COMPUTED_VALUE"""),"people")</f>
        <v>people</v>
      </c>
      <c r="C3055" s="2" t="str">
        <f ca="1">IFERROR(__xludf.DUMMYFUNCTION("""COMPUTED_VALUE"""),"ConstitutionDAO (Wormhole)")</f>
        <v>ConstitutionDAO (Wormhole)</v>
      </c>
    </row>
    <row r="3056" spans="1:3" x14ac:dyDescent="0.25">
      <c r="A3056" s="2" t="str">
        <f ca="1">IFERROR(__xludf.DUMMYFUNCTION("""COMPUTED_VALUE"""),"contentbox")</f>
        <v>contentbox</v>
      </c>
      <c r="B3056" s="2" t="str">
        <f ca="1">IFERROR(__xludf.DUMMYFUNCTION("""COMPUTED_VALUE"""),"box")</f>
        <v>box</v>
      </c>
      <c r="C3056" s="2" t="str">
        <f ca="1">IFERROR(__xludf.DUMMYFUNCTION("""COMPUTED_VALUE"""),"ContentBox")</f>
        <v>ContentBox</v>
      </c>
    </row>
    <row r="3057" spans="1:3" x14ac:dyDescent="0.25">
      <c r="A3057" s="2" t="str">
        <f ca="1">IFERROR(__xludf.DUMMYFUNCTION("""COMPUTED_VALUE"""),"contentos")</f>
        <v>contentos</v>
      </c>
      <c r="B3057" s="2" t="str">
        <f ca="1">IFERROR(__xludf.DUMMYFUNCTION("""COMPUTED_VALUE"""),"cos")</f>
        <v>cos</v>
      </c>
      <c r="C3057" s="2" t="str">
        <f ca="1">IFERROR(__xludf.DUMMYFUNCTION("""COMPUTED_VALUE"""),"Contentos")</f>
        <v>Contentos</v>
      </c>
    </row>
    <row r="3058" spans="1:3" x14ac:dyDescent="0.25">
      <c r="A3058" s="2" t="str">
        <f ca="1">IFERROR(__xludf.DUMMYFUNCTION("""COMPUTED_VALUE"""),"continuum-finance")</f>
        <v>continuum-finance</v>
      </c>
      <c r="B3058" s="2" t="str">
        <f ca="1">IFERROR(__xludf.DUMMYFUNCTION("""COMPUTED_VALUE"""),"ctn")</f>
        <v>ctn</v>
      </c>
      <c r="C3058" s="2" t="str">
        <f ca="1">IFERROR(__xludf.DUMMYFUNCTION("""COMPUTED_VALUE"""),"Continuum Finance")</f>
        <v>Continuum Finance</v>
      </c>
    </row>
    <row r="3059" spans="1:3" x14ac:dyDescent="0.25">
      <c r="A3059" s="2" t="str">
        <f ca="1">IFERROR(__xludf.DUMMYFUNCTION("""COMPUTED_VALUE"""),"continuum-world")</f>
        <v>continuum-world</v>
      </c>
      <c r="B3059" s="2" t="str">
        <f ca="1">IFERROR(__xludf.DUMMYFUNCTION("""COMPUTED_VALUE"""),"um")</f>
        <v>um</v>
      </c>
      <c r="C3059" s="2" t="str">
        <f ca="1">IFERROR(__xludf.DUMMYFUNCTION("""COMPUTED_VALUE"""),"Continuum World")</f>
        <v>Continuum World</v>
      </c>
    </row>
    <row r="3060" spans="1:3" x14ac:dyDescent="0.25">
      <c r="A3060" s="2" t="str">
        <f ca="1">IFERROR(__xludf.DUMMYFUNCTION("""COMPUTED_VALUE"""),"contracoin")</f>
        <v>contracoin</v>
      </c>
      <c r="B3060" s="2" t="str">
        <f ca="1">IFERROR(__xludf.DUMMYFUNCTION("""COMPUTED_VALUE"""),"ctcn")</f>
        <v>ctcn</v>
      </c>
      <c r="C3060" s="2" t="str">
        <f ca="1">IFERROR(__xludf.DUMMYFUNCTION("""COMPUTED_VALUE"""),"Contracoin")</f>
        <v>Contracoin</v>
      </c>
    </row>
    <row r="3061" spans="1:3" x14ac:dyDescent="0.25">
      <c r="A3061" s="2" t="str">
        <f ca="1">IFERROR(__xludf.DUMMYFUNCTION("""COMPUTED_VALUE"""),"contract-address-meme")</f>
        <v>contract-address-meme</v>
      </c>
      <c r="B3061" s="2" t="str">
        <f ca="1">IFERROR(__xludf.DUMMYFUNCTION("""COMPUTED_VALUE"""),"ca")</f>
        <v>ca</v>
      </c>
      <c r="C3061" s="2" t="str">
        <f ca="1">IFERROR(__xludf.DUMMYFUNCTION("""COMPUTED_VALUE"""),"contract address (Meme)")</f>
        <v>contract address (Meme)</v>
      </c>
    </row>
    <row r="3062" spans="1:3" x14ac:dyDescent="0.25">
      <c r="A3062" s="2" t="str">
        <f ca="1">IFERROR(__xludf.DUMMYFUNCTION("""COMPUTED_VALUE"""),"contract-dev-ai")</f>
        <v>contract-dev-ai</v>
      </c>
      <c r="B3062" s="2" t="str">
        <f ca="1">IFERROR(__xludf.DUMMYFUNCTION("""COMPUTED_VALUE"""),"0xdev")</f>
        <v>0xdev</v>
      </c>
      <c r="C3062" s="2" t="str">
        <f ca="1">IFERROR(__xludf.DUMMYFUNCTION("""COMPUTED_VALUE"""),"DEVAI")</f>
        <v>DEVAI</v>
      </c>
    </row>
    <row r="3063" spans="1:3" x14ac:dyDescent="0.25">
      <c r="A3063" s="2" t="str">
        <f ca="1">IFERROR(__xludf.DUMMYFUNCTION("""COMPUTED_VALUE"""),"contractus")</f>
        <v>contractus</v>
      </c>
      <c r="B3063" s="2" t="str">
        <f ca="1">IFERROR(__xludf.DUMMYFUNCTION("""COMPUTED_VALUE"""),"ctus")</f>
        <v>ctus</v>
      </c>
      <c r="C3063" s="2" t="str">
        <f ca="1">IFERROR(__xludf.DUMMYFUNCTION("""COMPUTED_VALUE"""),"Contractus")</f>
        <v>Contractus</v>
      </c>
    </row>
    <row r="3064" spans="1:3" x14ac:dyDescent="0.25">
      <c r="A3064" s="2" t="str">
        <f ca="1">IFERROR(__xludf.DUMMYFUNCTION("""COMPUTED_VALUE"""),"conun")</f>
        <v>conun</v>
      </c>
      <c r="B3064" s="2" t="str">
        <f ca="1">IFERROR(__xludf.DUMMYFUNCTION("""COMPUTED_VALUE"""),"cycon")</f>
        <v>cycon</v>
      </c>
      <c r="C3064" s="2" t="str">
        <f ca="1">IFERROR(__xludf.DUMMYFUNCTION("""COMPUTED_VALUE"""),"PSJGLOBAL")</f>
        <v>PSJGLOBAL</v>
      </c>
    </row>
    <row r="3065" spans="1:3" x14ac:dyDescent="0.25">
      <c r="A3065" s="2" t="str">
        <f ca="1">IFERROR(__xludf.DUMMYFUNCTION("""COMPUTED_VALUE"""),"converge-bot")</f>
        <v>converge-bot</v>
      </c>
      <c r="B3065" s="2" t="str">
        <f ca="1">IFERROR(__xludf.DUMMYFUNCTION("""COMPUTED_VALUE"""),"converge")</f>
        <v>converge</v>
      </c>
      <c r="C3065" s="2" t="str">
        <f ca="1">IFERROR(__xludf.DUMMYFUNCTION("""COMPUTED_VALUE"""),"Converge Bot")</f>
        <v>Converge Bot</v>
      </c>
    </row>
    <row r="3066" spans="1:3" x14ac:dyDescent="0.25">
      <c r="A3066" s="2" t="str">
        <f ca="1">IFERROR(__xludf.DUMMYFUNCTION("""COMPUTED_VALUE"""),"convergence")</f>
        <v>convergence</v>
      </c>
      <c r="B3066" s="2" t="str">
        <f ca="1">IFERROR(__xludf.DUMMYFUNCTION("""COMPUTED_VALUE"""),"conv")</f>
        <v>conv</v>
      </c>
      <c r="C3066" s="2" t="str">
        <f ca="1">IFERROR(__xludf.DUMMYFUNCTION("""COMPUTED_VALUE"""),"Convergence")</f>
        <v>Convergence</v>
      </c>
    </row>
    <row r="3067" spans="1:3" x14ac:dyDescent="0.25">
      <c r="A3067" s="2" t="str">
        <f ca="1">IFERROR(__xludf.DUMMYFUNCTION("""COMPUTED_VALUE"""),"convergence-finance")</f>
        <v>convergence-finance</v>
      </c>
      <c r="B3067" s="2" t="str">
        <f ca="1">IFERROR(__xludf.DUMMYFUNCTION("""COMPUTED_VALUE"""),"cvg")</f>
        <v>cvg</v>
      </c>
      <c r="C3067" s="2" t="str">
        <f ca="1">IFERROR(__xludf.DUMMYFUNCTION("""COMPUTED_VALUE"""),"Convergence Finance")</f>
        <v>Convergence Finance</v>
      </c>
    </row>
    <row r="3068" spans="1:3" x14ac:dyDescent="0.25">
      <c r="A3068" s="2" t="str">
        <f ca="1">IFERROR(__xludf.DUMMYFUNCTION("""COMPUTED_VALUE"""),"convertible-jpy-token")</f>
        <v>convertible-jpy-token</v>
      </c>
      <c r="B3068" s="2" t="str">
        <f ca="1">IFERROR(__xludf.DUMMYFUNCTION("""COMPUTED_VALUE"""),"cjpy")</f>
        <v>cjpy</v>
      </c>
      <c r="C3068" s="2" t="str">
        <f ca="1">IFERROR(__xludf.DUMMYFUNCTION("""COMPUTED_VALUE"""),"Convertible JPY Token")</f>
        <v>Convertible JPY Token</v>
      </c>
    </row>
    <row r="3069" spans="1:3" x14ac:dyDescent="0.25">
      <c r="A3069" s="2" t="str">
        <f ca="1">IFERROR(__xludf.DUMMYFUNCTION("""COMPUTED_VALUE"""),"convex-crv")</f>
        <v>convex-crv</v>
      </c>
      <c r="B3069" s="2" t="str">
        <f ca="1">IFERROR(__xludf.DUMMYFUNCTION("""COMPUTED_VALUE"""),"cvxcrv")</f>
        <v>cvxcrv</v>
      </c>
      <c r="C3069" s="2" t="str">
        <f ca="1">IFERROR(__xludf.DUMMYFUNCTION("""COMPUTED_VALUE"""),"Convex CRV")</f>
        <v>Convex CRV</v>
      </c>
    </row>
    <row r="3070" spans="1:3" x14ac:dyDescent="0.25">
      <c r="A3070" s="2" t="str">
        <f ca="1">IFERROR(__xludf.DUMMYFUNCTION("""COMPUTED_VALUE"""),"convex-finance")</f>
        <v>convex-finance</v>
      </c>
      <c r="B3070" s="2" t="str">
        <f ca="1">IFERROR(__xludf.DUMMYFUNCTION("""COMPUTED_VALUE"""),"cvx")</f>
        <v>cvx</v>
      </c>
      <c r="C3070" s="2" t="str">
        <f ca="1">IFERROR(__xludf.DUMMYFUNCTION("""COMPUTED_VALUE"""),"Convex Finance")</f>
        <v>Convex Finance</v>
      </c>
    </row>
    <row r="3071" spans="1:3" x14ac:dyDescent="0.25">
      <c r="A3071" s="2" t="str">
        <f ca="1">IFERROR(__xludf.DUMMYFUNCTION("""COMPUTED_VALUE"""),"convex-fpis")</f>
        <v>convex-fpis</v>
      </c>
      <c r="B3071" s="2" t="str">
        <f ca="1">IFERROR(__xludf.DUMMYFUNCTION("""COMPUTED_VALUE"""),"cvxfpis")</f>
        <v>cvxfpis</v>
      </c>
      <c r="C3071" s="2" t="str">
        <f ca="1">IFERROR(__xludf.DUMMYFUNCTION("""COMPUTED_VALUE"""),"Convex FPIS")</f>
        <v>Convex FPIS</v>
      </c>
    </row>
    <row r="3072" spans="1:3" x14ac:dyDescent="0.25">
      <c r="A3072" s="2" t="str">
        <f ca="1">IFERROR(__xludf.DUMMYFUNCTION("""COMPUTED_VALUE"""),"convex-fxn")</f>
        <v>convex-fxn</v>
      </c>
      <c r="B3072" s="2" t="str">
        <f ca="1">IFERROR(__xludf.DUMMYFUNCTION("""COMPUTED_VALUE"""),"cvxfxn")</f>
        <v>cvxfxn</v>
      </c>
      <c r="C3072" s="2" t="str">
        <f ca="1">IFERROR(__xludf.DUMMYFUNCTION("""COMPUTED_VALUE"""),"Convex FXN")</f>
        <v>Convex FXN</v>
      </c>
    </row>
    <row r="3073" spans="1:3" x14ac:dyDescent="0.25">
      <c r="A3073" s="2" t="str">
        <f ca="1">IFERROR(__xludf.DUMMYFUNCTION("""COMPUTED_VALUE"""),"convex-fxs")</f>
        <v>convex-fxs</v>
      </c>
      <c r="B3073" s="2" t="str">
        <f ca="1">IFERROR(__xludf.DUMMYFUNCTION("""COMPUTED_VALUE"""),"cvxfxs")</f>
        <v>cvxfxs</v>
      </c>
      <c r="C3073" s="2" t="str">
        <f ca="1">IFERROR(__xludf.DUMMYFUNCTION("""COMPUTED_VALUE"""),"Convex FXS")</f>
        <v>Convex FXS</v>
      </c>
    </row>
    <row r="3074" spans="1:3" x14ac:dyDescent="0.25">
      <c r="A3074" s="2" t="str">
        <f ca="1">IFERROR(__xludf.DUMMYFUNCTION("""COMPUTED_VALUE"""),"convex-prisma")</f>
        <v>convex-prisma</v>
      </c>
      <c r="B3074" s="2" t="str">
        <f ca="1">IFERROR(__xludf.DUMMYFUNCTION("""COMPUTED_VALUE"""),"cvxprisma")</f>
        <v>cvxprisma</v>
      </c>
      <c r="C3074" s="2" t="str">
        <f ca="1">IFERROR(__xludf.DUMMYFUNCTION("""COMPUTED_VALUE"""),"Convex Prisma")</f>
        <v>Convex Prisma</v>
      </c>
    </row>
    <row r="3075" spans="1:3" x14ac:dyDescent="0.25">
      <c r="A3075" s="2" t="str">
        <f ca="1">IFERROR(__xludf.DUMMYFUNCTION("""COMPUTED_VALUE"""),"conviction")</f>
        <v>conviction</v>
      </c>
      <c r="B3075" s="2" t="str">
        <f ca="1">IFERROR(__xludf.DUMMYFUNCTION("""COMPUTED_VALUE"""),"conviction")</f>
        <v>conviction</v>
      </c>
      <c r="C3075" s="2" t="str">
        <f ca="1">IFERROR(__xludf.DUMMYFUNCTION("""COMPUTED_VALUE"""),"conviction")</f>
        <v>conviction</v>
      </c>
    </row>
    <row r="3076" spans="1:3" x14ac:dyDescent="0.25">
      <c r="A3076" s="2" t="str">
        <f ca="1">IFERROR(__xludf.DUMMYFUNCTION("""COMPUTED_VALUE"""),"cook")</f>
        <v>cook</v>
      </c>
      <c r="B3076" s="2" t="str">
        <f ca="1">IFERROR(__xludf.DUMMYFUNCTION("""COMPUTED_VALUE"""),"cook")</f>
        <v>cook</v>
      </c>
      <c r="C3076" s="2" t="str">
        <f ca="1">IFERROR(__xludf.DUMMYFUNCTION("""COMPUTED_VALUE"""),"Cook")</f>
        <v>Cook</v>
      </c>
    </row>
    <row r="3077" spans="1:3" x14ac:dyDescent="0.25">
      <c r="A3077" s="2" t="str">
        <f ca="1">IFERROR(__xludf.DUMMYFUNCTION("""COMPUTED_VALUE"""),"cook-3")</f>
        <v>cook-3</v>
      </c>
      <c r="B3077" s="2" t="str">
        <f ca="1">IFERROR(__xludf.DUMMYFUNCTION("""COMPUTED_VALUE"""),"cook")</f>
        <v>cook</v>
      </c>
      <c r="C3077" s="2" t="str">
        <f ca="1">IFERROR(__xludf.DUMMYFUNCTION("""COMPUTED_VALUE"""),"Cook")</f>
        <v>Cook</v>
      </c>
    </row>
    <row r="3078" spans="1:3" x14ac:dyDescent="0.25">
      <c r="A3078" s="2" t="str">
        <f ca="1">IFERROR(__xludf.DUMMYFUNCTION("""COMPUTED_VALUE"""),"cook-cat")</f>
        <v>cook-cat</v>
      </c>
      <c r="B3078" s="2" t="str">
        <f ca="1">IFERROR(__xludf.DUMMYFUNCTION("""COMPUTED_VALUE"""),"ccat")</f>
        <v>ccat</v>
      </c>
      <c r="C3078" s="2" t="str">
        <f ca="1">IFERROR(__xludf.DUMMYFUNCTION("""COMPUTED_VALUE"""),"Cook Cat")</f>
        <v>Cook Cat</v>
      </c>
    </row>
    <row r="3079" spans="1:3" x14ac:dyDescent="0.25">
      <c r="A3079" s="2" t="str">
        <f ca="1">IFERROR(__xludf.DUMMYFUNCTION("""COMPUTED_VALUE"""),"cookie")</f>
        <v>cookie</v>
      </c>
      <c r="B3079" s="2" t="str">
        <f ca="1">IFERROR(__xludf.DUMMYFUNCTION("""COMPUTED_VALUE"""),"cookie")</f>
        <v>cookie</v>
      </c>
      <c r="C3079" s="2" t="str">
        <f ca="1">IFERROR(__xludf.DUMMYFUNCTION("""COMPUTED_VALUE"""),"Cookie")</f>
        <v>Cookie</v>
      </c>
    </row>
    <row r="3080" spans="1:3" x14ac:dyDescent="0.25">
      <c r="A3080" s="2" t="str">
        <f ca="1">IFERROR(__xludf.DUMMYFUNCTION("""COMPUTED_VALUE"""),"cookiebase")</f>
        <v>cookiebase</v>
      </c>
      <c r="B3080" s="2" t="str">
        <f ca="1">IFERROR(__xludf.DUMMYFUNCTION("""COMPUTED_VALUE"""),"cookie")</f>
        <v>cookie</v>
      </c>
      <c r="C3080" s="2" t="str">
        <f ca="1">IFERROR(__xludf.DUMMYFUNCTION("""COMPUTED_VALUE"""),"CookieBase")</f>
        <v>CookieBase</v>
      </c>
    </row>
    <row r="3081" spans="1:3" x14ac:dyDescent="0.25">
      <c r="A3081" s="2" t="str">
        <f ca="1">IFERROR(__xludf.DUMMYFUNCTION("""COMPUTED_VALUE"""),"cookie-cat-game")</f>
        <v>cookie-cat-game</v>
      </c>
      <c r="B3081" s="2" t="str">
        <f ca="1">IFERROR(__xludf.DUMMYFUNCTION("""COMPUTED_VALUE"""),"catgame")</f>
        <v>catgame</v>
      </c>
      <c r="C3081" s="2" t="str">
        <f ca="1">IFERROR(__xludf.DUMMYFUNCTION("""COMPUTED_VALUE"""),"Cookie Cat Game")</f>
        <v>Cookie Cat Game</v>
      </c>
    </row>
    <row r="3082" spans="1:3" x14ac:dyDescent="0.25">
      <c r="A3082" s="2" t="str">
        <f ca="1">IFERROR(__xludf.DUMMYFUNCTION("""COMPUTED_VALUE"""),"cookies-protocol")</f>
        <v>cookies-protocol</v>
      </c>
      <c r="B3082" s="2" t="str">
        <f ca="1">IFERROR(__xludf.DUMMYFUNCTION("""COMPUTED_VALUE"""),"cp")</f>
        <v>cp</v>
      </c>
      <c r="C3082" s="2" t="str">
        <f ca="1">IFERROR(__xludf.DUMMYFUNCTION("""COMPUTED_VALUE"""),"Cookies Protocol")</f>
        <v>Cookies Protocol</v>
      </c>
    </row>
    <row r="3083" spans="1:3" x14ac:dyDescent="0.25">
      <c r="A3083" s="2" t="str">
        <f ca="1">IFERROR(__xludf.DUMMYFUNCTION("""COMPUTED_VALUE"""),"cook-the-mempool")</f>
        <v>cook-the-mempool</v>
      </c>
      <c r="B3083" s="2" t="str">
        <f ca="1">IFERROR(__xludf.DUMMYFUNCTION("""COMPUTED_VALUE"""),"♨")</f>
        <v>♨</v>
      </c>
      <c r="C3083" s="2" t="str">
        <f ca="1">IFERROR(__xludf.DUMMYFUNCTION("""COMPUTED_VALUE"""),"COOK•THE•MEMPOOL")</f>
        <v>COOK•THE•MEMPOOL</v>
      </c>
    </row>
    <row r="3084" spans="1:3" x14ac:dyDescent="0.25">
      <c r="A3084" s="2" t="str">
        <f ca="1">IFERROR(__xludf.DUMMYFUNCTION("""COMPUTED_VALUE"""),"cool")</f>
        <v>cool</v>
      </c>
      <c r="B3084" s="2" t="str">
        <f ca="1">IFERROR(__xludf.DUMMYFUNCTION("""COMPUTED_VALUE"""),"cool")</f>
        <v>cool</v>
      </c>
      <c r="C3084" s="2" t="str">
        <f ca="1">IFERROR(__xludf.DUMMYFUNCTION("""COMPUTED_VALUE"""),"Cool")</f>
        <v>Cool</v>
      </c>
    </row>
    <row r="3085" spans="1:3" x14ac:dyDescent="0.25">
      <c r="A3085" s="2" t="str">
        <f ca="1">IFERROR(__xludf.DUMMYFUNCTION("""COMPUTED_VALUE"""),"coolcoin")</f>
        <v>coolcoin</v>
      </c>
      <c r="B3085" s="2" t="str">
        <f ca="1">IFERROR(__xludf.DUMMYFUNCTION("""COMPUTED_VALUE"""),"cool")</f>
        <v>cool</v>
      </c>
      <c r="C3085" s="2" t="str">
        <f ca="1">IFERROR(__xludf.DUMMYFUNCTION("""COMPUTED_VALUE"""),"CoolCoin")</f>
        <v>CoolCoin</v>
      </c>
    </row>
    <row r="3086" spans="1:3" x14ac:dyDescent="0.25">
      <c r="A3086" s="2" t="str">
        <f ca="1">IFERROR(__xludf.DUMMYFUNCTION("""COMPUTED_VALUE"""),"coomer")</f>
        <v>coomer</v>
      </c>
      <c r="B3086" s="2" t="str">
        <f ca="1">IFERROR(__xludf.DUMMYFUNCTION("""COMPUTED_VALUE"""),"coomer")</f>
        <v>coomer</v>
      </c>
      <c r="C3086" s="2" t="str">
        <f ca="1">IFERROR(__xludf.DUMMYFUNCTION("""COMPUTED_VALUE"""),"COOMER")</f>
        <v>COOMER</v>
      </c>
    </row>
    <row r="3087" spans="1:3" x14ac:dyDescent="0.25">
      <c r="A3087" s="2" t="str">
        <f ca="1">IFERROR(__xludf.DUMMYFUNCTION("""COMPUTED_VALUE"""),"coop-coin")</f>
        <v>coop-coin</v>
      </c>
      <c r="B3087" s="2" t="str">
        <f ca="1">IFERROR(__xludf.DUMMYFUNCTION("""COMPUTED_VALUE"""),"coop")</f>
        <v>coop</v>
      </c>
      <c r="C3087" s="2" t="str">
        <f ca="1">IFERROR(__xludf.DUMMYFUNCTION("""COMPUTED_VALUE"""),"Coop Coin")</f>
        <v>Coop Coin</v>
      </c>
    </row>
    <row r="3088" spans="1:3" x14ac:dyDescent="0.25">
      <c r="A3088" s="2" t="str">
        <f ca="1">IFERROR(__xludf.DUMMYFUNCTION("""COMPUTED_VALUE"""),"cope")</f>
        <v>cope</v>
      </c>
      <c r="B3088" s="2" t="str">
        <f ca="1">IFERROR(__xludf.DUMMYFUNCTION("""COMPUTED_VALUE"""),"cope")</f>
        <v>cope</v>
      </c>
      <c r="C3088" s="2" t="str">
        <f ca="1">IFERROR(__xludf.DUMMYFUNCTION("""COMPUTED_VALUE"""),"Cope")</f>
        <v>Cope</v>
      </c>
    </row>
    <row r="3089" spans="1:3" x14ac:dyDescent="0.25">
      <c r="A3089" s="2" t="str">
        <f ca="1">IFERROR(__xludf.DUMMYFUNCTION("""COMPUTED_VALUE"""),"cope-2")</f>
        <v>cope-2</v>
      </c>
      <c r="B3089" s="2" t="str">
        <f ca="1">IFERROR(__xludf.DUMMYFUNCTION("""COMPUTED_VALUE"""),"cope")</f>
        <v>cope</v>
      </c>
      <c r="C3089" s="2" t="str">
        <f ca="1">IFERROR(__xludf.DUMMYFUNCTION("""COMPUTED_VALUE"""),"Cope")</f>
        <v>Cope</v>
      </c>
    </row>
    <row r="3090" spans="1:3" x14ac:dyDescent="0.25">
      <c r="A3090" s="2" t="str">
        <f ca="1">IFERROR(__xludf.DUMMYFUNCTION("""COMPUTED_VALUE"""),"cope-based")</f>
        <v>cope-based</v>
      </c>
      <c r="B3090" s="2" t="str">
        <f ca="1">IFERROR(__xludf.DUMMYFUNCTION("""COMPUTED_VALUE"""),"cope")</f>
        <v>cope</v>
      </c>
      <c r="C3090" s="2" t="str">
        <f ca="1">IFERROR(__xludf.DUMMYFUNCTION("""COMPUTED_VALUE"""),"Cope")</f>
        <v>Cope</v>
      </c>
    </row>
    <row r="3091" spans="1:3" x14ac:dyDescent="0.25">
      <c r="A3091" s="2" t="str">
        <f ca="1">IFERROR(__xludf.DUMMYFUNCTION("""COMPUTED_VALUE"""),"cope-coin")</f>
        <v>cope-coin</v>
      </c>
      <c r="B3091" s="2" t="str">
        <f ca="1">IFERROR(__xludf.DUMMYFUNCTION("""COMPUTED_VALUE"""),"cope")</f>
        <v>cope</v>
      </c>
      <c r="C3091" s="2" t="str">
        <f ca="1">IFERROR(__xludf.DUMMYFUNCTION("""COMPUTED_VALUE"""),"Cope Coin")</f>
        <v>Cope Coin</v>
      </c>
    </row>
    <row r="3092" spans="1:3" x14ac:dyDescent="0.25">
      <c r="A3092" s="2" t="str">
        <f ca="1">IFERROR(__xludf.DUMMYFUNCTION("""COMPUTED_VALUE"""),"cope-token")</f>
        <v>cope-token</v>
      </c>
      <c r="B3092" s="2" t="str">
        <f ca="1">IFERROR(__xludf.DUMMYFUNCTION("""COMPUTED_VALUE"""),"cope")</f>
        <v>cope</v>
      </c>
      <c r="C3092" s="2" t="str">
        <f ca="1">IFERROR(__xludf.DUMMYFUNCTION("""COMPUTED_VALUE"""),"Cope Token")</f>
        <v>Cope Token</v>
      </c>
    </row>
    <row r="3093" spans="1:3" x14ac:dyDescent="0.25">
      <c r="A3093" s="2" t="str">
        <f ca="1">IFERROR(__xludf.DUMMYFUNCTION("""COMPUTED_VALUE"""),"copiosa")</f>
        <v>copiosa</v>
      </c>
      <c r="B3093" s="2" t="str">
        <f ca="1">IFERROR(__xludf.DUMMYFUNCTION("""COMPUTED_VALUE"""),"cop")</f>
        <v>cop</v>
      </c>
      <c r="C3093" s="2" t="str">
        <f ca="1">IFERROR(__xludf.DUMMYFUNCTION("""COMPUTED_VALUE"""),"Copiosa")</f>
        <v>Copiosa</v>
      </c>
    </row>
    <row r="3094" spans="1:3" x14ac:dyDescent="0.25">
      <c r="A3094" s="2" t="str">
        <f ca="1">IFERROR(__xludf.DUMMYFUNCTION("""COMPUTED_VALUE"""),"copxtoken")</f>
        <v>copxtoken</v>
      </c>
      <c r="B3094" s="2" t="str">
        <f ca="1">IFERROR(__xludf.DUMMYFUNCTION("""COMPUTED_VALUE"""),"copx")</f>
        <v>copx</v>
      </c>
      <c r="C3094" s="2" t="str">
        <f ca="1">IFERROR(__xludf.DUMMYFUNCTION("""COMPUTED_VALUE"""),"CopXToken")</f>
        <v>CopXToken</v>
      </c>
    </row>
    <row r="3095" spans="1:3" x14ac:dyDescent="0.25">
      <c r="A3095" s="2" t="str">
        <f ca="1">IFERROR(__xludf.DUMMYFUNCTION("""COMPUTED_VALUE"""),"copycat-dao")</f>
        <v>copycat-dao</v>
      </c>
      <c r="B3095" s="2" t="str">
        <f ca="1">IFERROR(__xludf.DUMMYFUNCTION("""COMPUTED_VALUE"""),"ccd")</f>
        <v>ccd</v>
      </c>
      <c r="C3095" s="2" t="str">
        <f ca="1">IFERROR(__xludf.DUMMYFUNCTION("""COMPUTED_VALUE"""),"Copycat DAO")</f>
        <v>Copycat DAO</v>
      </c>
    </row>
    <row r="3096" spans="1:3" x14ac:dyDescent="0.25">
      <c r="A3096" s="2" t="str">
        <f ca="1">IFERROR(__xludf.DUMMYFUNCTION("""COMPUTED_VALUE"""),"copycat-finance")</f>
        <v>copycat-finance</v>
      </c>
      <c r="B3096" s="2" t="str">
        <f ca="1">IFERROR(__xludf.DUMMYFUNCTION("""COMPUTED_VALUE"""),"copycat")</f>
        <v>copycat</v>
      </c>
      <c r="C3096" s="2" t="str">
        <f ca="1">IFERROR(__xludf.DUMMYFUNCTION("""COMPUTED_VALUE"""),"Copycat Finance")</f>
        <v>Copycat Finance</v>
      </c>
    </row>
    <row r="3097" spans="1:3" x14ac:dyDescent="0.25">
      <c r="A3097" s="2" t="str">
        <f ca="1">IFERROR(__xludf.DUMMYFUNCTION("""COMPUTED_VALUE"""),"coq-inu")</f>
        <v>coq-inu</v>
      </c>
      <c r="B3097" s="2" t="str">
        <f ca="1">IFERROR(__xludf.DUMMYFUNCTION("""COMPUTED_VALUE"""),"coq")</f>
        <v>coq</v>
      </c>
      <c r="C3097" s="2" t="str">
        <f ca="1">IFERROR(__xludf.DUMMYFUNCTION("""COMPUTED_VALUE"""),"Coq Inu")</f>
        <v>Coq Inu</v>
      </c>
    </row>
    <row r="3098" spans="1:3" x14ac:dyDescent="0.25">
      <c r="A3098" s="2" t="str">
        <f ca="1">IFERROR(__xludf.DUMMYFUNCTION("""COMPUTED_VALUE"""),"coral-swap")</f>
        <v>coral-swap</v>
      </c>
      <c r="B3098" s="2" t="str">
        <f ca="1">IFERROR(__xludf.DUMMYFUNCTION("""COMPUTED_VALUE"""),"coral")</f>
        <v>coral</v>
      </c>
      <c r="C3098" s="2" t="str">
        <f ca="1">IFERROR(__xludf.DUMMYFUNCTION("""COMPUTED_VALUE"""),"Coral Swap")</f>
        <v>Coral Swap</v>
      </c>
    </row>
    <row r="3099" spans="1:3" x14ac:dyDescent="0.25">
      <c r="A3099" s="2" t="str">
        <f ca="1">IFERROR(__xludf.DUMMYFUNCTION("""COMPUTED_VALUE"""),"core")</f>
        <v>core</v>
      </c>
      <c r="B3099" s="2" t="str">
        <f ca="1">IFERROR(__xludf.DUMMYFUNCTION("""COMPUTED_VALUE"""),"cmcx")</f>
        <v>cmcx</v>
      </c>
      <c r="C3099" s="2" t="str">
        <f ca="1">IFERROR(__xludf.DUMMYFUNCTION("""COMPUTED_VALUE"""),"CORE MultiChain")</f>
        <v>CORE MultiChain</v>
      </c>
    </row>
    <row r="3100" spans="1:3" x14ac:dyDescent="0.25">
      <c r="A3100" s="2" t="str">
        <f ca="1">IFERROR(__xludf.DUMMYFUNCTION("""COMPUTED_VALUE"""),"coreai")</f>
        <v>coreai</v>
      </c>
      <c r="B3100" s="2" t="str">
        <f ca="1">IFERROR(__xludf.DUMMYFUNCTION("""COMPUTED_VALUE"""),"core")</f>
        <v>core</v>
      </c>
      <c r="C3100" s="2" t="str">
        <f ca="1">IFERROR(__xludf.DUMMYFUNCTION("""COMPUTED_VALUE"""),"CoreAI")</f>
        <v>CoreAI</v>
      </c>
    </row>
    <row r="3101" spans="1:3" x14ac:dyDescent="0.25">
      <c r="A3101" s="2" t="str">
        <f ca="1">IFERROR(__xludf.DUMMYFUNCTION("""COMPUTED_VALUE"""),"core-blockchain")</f>
        <v>core-blockchain</v>
      </c>
      <c r="B3101" s="2" t="str">
        <f ca="1">IFERROR(__xludf.DUMMYFUNCTION("""COMPUTED_VALUE"""),"xcb")</f>
        <v>xcb</v>
      </c>
      <c r="C3101" s="2" t="str">
        <f ca="1">IFERROR(__xludf.DUMMYFUNCTION("""COMPUTED_VALUE"""),"Core Blockchain")</f>
        <v>Core Blockchain</v>
      </c>
    </row>
    <row r="3102" spans="1:3" x14ac:dyDescent="0.25">
      <c r="A3102" s="2" t="str">
        <f ca="1">IFERROR(__xludf.DUMMYFUNCTION("""COMPUTED_VALUE"""),"coreconnect")</f>
        <v>coreconnect</v>
      </c>
      <c r="B3102" s="2" t="str">
        <f ca="1">IFERROR(__xludf.DUMMYFUNCTION("""COMPUTED_VALUE"""),"core")</f>
        <v>core</v>
      </c>
      <c r="C3102" s="2" t="str">
        <f ca="1">IFERROR(__xludf.DUMMYFUNCTION("""COMPUTED_VALUE"""),"CoreConnect")</f>
        <v>CoreConnect</v>
      </c>
    </row>
    <row r="3103" spans="1:3" x14ac:dyDescent="0.25">
      <c r="A3103" s="2" t="str">
        <f ca="1">IFERROR(__xludf.DUMMYFUNCTION("""COMPUTED_VALUE"""),"coredao")</f>
        <v>coredao</v>
      </c>
      <c r="B3103" s="2" t="str">
        <f ca="1">IFERROR(__xludf.DUMMYFUNCTION("""COMPUTED_VALUE"""),"coredao")</f>
        <v>coredao</v>
      </c>
      <c r="C3103" s="2" t="str">
        <f ca="1">IFERROR(__xludf.DUMMYFUNCTION("""COMPUTED_VALUE"""),"coreDAO")</f>
        <v>coreDAO</v>
      </c>
    </row>
    <row r="3104" spans="1:3" x14ac:dyDescent="0.25">
      <c r="A3104" s="2" t="str">
        <f ca="1">IFERROR(__xludf.DUMMYFUNCTION("""COMPUTED_VALUE"""),"coredaoorg")</f>
        <v>coredaoorg</v>
      </c>
      <c r="B3104" s="2" t="str">
        <f ca="1">IFERROR(__xludf.DUMMYFUNCTION("""COMPUTED_VALUE"""),"core")</f>
        <v>core</v>
      </c>
      <c r="C3104" s="2" t="str">
        <f ca="1">IFERROR(__xludf.DUMMYFUNCTION("""COMPUTED_VALUE"""),"Core")</f>
        <v>Core</v>
      </c>
    </row>
    <row r="3105" spans="1:3" x14ac:dyDescent="0.25">
      <c r="A3105" s="2" t="str">
        <f ca="1">IFERROR(__xludf.DUMMYFUNCTION("""COMPUTED_VALUE"""),"coredao-staked-core")</f>
        <v>coredao-staked-core</v>
      </c>
      <c r="B3105" s="2" t="str">
        <f ca="1">IFERROR(__xludf.DUMMYFUNCTION("""COMPUTED_VALUE"""),"stcore")</f>
        <v>stcore</v>
      </c>
      <c r="C3105" s="2" t="str">
        <f ca="1">IFERROR(__xludf.DUMMYFUNCTION("""COMPUTED_VALUE"""),"CoreDAO Staked CORE")</f>
        <v>CoreDAO Staked CORE</v>
      </c>
    </row>
    <row r="3106" spans="1:3" x14ac:dyDescent="0.25">
      <c r="A3106" s="2" t="str">
        <f ca="1">IFERROR(__xludf.DUMMYFUNCTION("""COMPUTED_VALUE"""),"coredaoswap")</f>
        <v>coredaoswap</v>
      </c>
      <c r="B3106" s="2" t="str">
        <f ca="1">IFERROR(__xludf.DUMMYFUNCTION("""COMPUTED_VALUE"""),"cdao")</f>
        <v>cdao</v>
      </c>
      <c r="C3106" s="2" t="str">
        <f ca="1">IFERROR(__xludf.DUMMYFUNCTION("""COMPUTED_VALUE"""),"CoreDaoSwap")</f>
        <v>CoreDaoSwap</v>
      </c>
    </row>
    <row r="3107" spans="1:3" x14ac:dyDescent="0.25">
      <c r="A3107" s="2" t="str">
        <f ca="1">IFERROR(__xludf.DUMMYFUNCTION("""COMPUTED_VALUE"""),"core-id")</f>
        <v>core-id</v>
      </c>
      <c r="B3107" s="2" t="str">
        <f ca="1">IFERROR(__xludf.DUMMYFUNCTION("""COMPUTED_VALUE"""),"cid")</f>
        <v>cid</v>
      </c>
      <c r="C3107" s="2" t="str">
        <f ca="1">IFERROR(__xludf.DUMMYFUNCTION("""COMPUTED_VALUE"""),"CORE ID")</f>
        <v>CORE ID</v>
      </c>
    </row>
    <row r="3108" spans="1:3" x14ac:dyDescent="0.25">
      <c r="A3108" s="2" t="str">
        <f ca="1">IFERROR(__xludf.DUMMYFUNCTION("""COMPUTED_VALUE"""),"core-keeper")</f>
        <v>core-keeper</v>
      </c>
      <c r="B3108" s="2" t="str">
        <f ca="1">IFERROR(__xludf.DUMMYFUNCTION("""COMPUTED_VALUE"""),"coke")</f>
        <v>coke</v>
      </c>
      <c r="C3108" s="2" t="str">
        <f ca="1">IFERROR(__xludf.DUMMYFUNCTION("""COMPUTED_VALUE"""),"Core Keeper")</f>
        <v>Core Keeper</v>
      </c>
    </row>
    <row r="3109" spans="1:3" x14ac:dyDescent="0.25">
      <c r="A3109" s="2" t="str">
        <f ca="1">IFERROR(__xludf.DUMMYFUNCTION("""COMPUTED_VALUE"""),"core-markets")</f>
        <v>core-markets</v>
      </c>
      <c r="B3109" s="2" t="str">
        <f ca="1">IFERROR(__xludf.DUMMYFUNCTION("""COMPUTED_VALUE"""),"core")</f>
        <v>core</v>
      </c>
      <c r="C3109" s="2" t="str">
        <f ca="1">IFERROR(__xludf.DUMMYFUNCTION("""COMPUTED_VALUE"""),"Core Markets")</f>
        <v>Core Markets</v>
      </c>
    </row>
    <row r="3110" spans="1:3" x14ac:dyDescent="0.25">
      <c r="A3110" s="2" t="str">
        <f ca="1">IFERROR(__xludf.DUMMYFUNCTION("""COMPUTED_VALUE"""),"core-ordinals")</f>
        <v>core-ordinals</v>
      </c>
      <c r="B3110" s="2" t="str">
        <f ca="1">IFERROR(__xludf.DUMMYFUNCTION("""COMPUTED_VALUE"""),"core")</f>
        <v>core</v>
      </c>
      <c r="C3110" s="2" t="str">
        <f ca="1">IFERROR(__xludf.DUMMYFUNCTION("""COMPUTED_VALUE"""),"CORE (Ordinals)")</f>
        <v>CORE (Ordinals)</v>
      </c>
    </row>
    <row r="3111" spans="1:3" x14ac:dyDescent="0.25">
      <c r="A3111" s="2" t="str">
        <f ca="1">IFERROR(__xludf.DUMMYFUNCTION("""COMPUTED_VALUE"""),"core-stake-token")</f>
        <v>core-stake-token</v>
      </c>
      <c r="B3111" s="2" t="str">
        <f ca="1">IFERROR(__xludf.DUMMYFUNCTION("""COMPUTED_VALUE"""),"cst")</f>
        <v>cst</v>
      </c>
      <c r="C3111" s="2" t="str">
        <f ca="1">IFERROR(__xludf.DUMMYFUNCTION("""COMPUTED_VALUE"""),"Core Stake Token")</f>
        <v>Core Stake Token</v>
      </c>
    </row>
    <row r="3112" spans="1:3" x14ac:dyDescent="0.25">
      <c r="A3112" s="2" t="str">
        <f ca="1">IFERROR(__xludf.DUMMYFUNCTION("""COMPUTED_VALUE"""),"corestarter")</f>
        <v>corestarter</v>
      </c>
      <c r="B3112" s="2" t="str">
        <f ca="1">IFERROR(__xludf.DUMMYFUNCTION("""COMPUTED_VALUE"""),"cstr")</f>
        <v>cstr</v>
      </c>
      <c r="C3112" s="2" t="str">
        <f ca="1">IFERROR(__xludf.DUMMYFUNCTION("""COMPUTED_VALUE"""),"CoreStarter")</f>
        <v>CoreStarter</v>
      </c>
    </row>
    <row r="3113" spans="1:3" x14ac:dyDescent="0.25">
      <c r="A3113" s="2" t="str">
        <f ca="1">IFERROR(__xludf.DUMMYFUNCTION("""COMPUTED_VALUE"""),"coreto")</f>
        <v>coreto</v>
      </c>
      <c r="B3113" s="2" t="str">
        <f ca="1">IFERROR(__xludf.DUMMYFUNCTION("""COMPUTED_VALUE"""),"cor")</f>
        <v>cor</v>
      </c>
      <c r="C3113" s="2" t="str">
        <f ca="1">IFERROR(__xludf.DUMMYFUNCTION("""COMPUTED_VALUE"""),"Coreto")</f>
        <v>Coreto</v>
      </c>
    </row>
    <row r="3114" spans="1:3" x14ac:dyDescent="0.25">
      <c r="A3114" s="2" t="str">
        <f ca="1">IFERROR(__xludf.DUMMYFUNCTION("""COMPUTED_VALUE"""),"core-token-2")</f>
        <v>core-token-2</v>
      </c>
      <c r="B3114" s="2" t="str">
        <f ca="1">IFERROR(__xludf.DUMMYFUNCTION("""COMPUTED_VALUE"""),"ctn")</f>
        <v>ctn</v>
      </c>
      <c r="C3114" s="2" t="str">
        <f ca="1">IFERROR(__xludf.DUMMYFUNCTION("""COMPUTED_VALUE"""),"Core Token")</f>
        <v>Core Token</v>
      </c>
    </row>
    <row r="3115" spans="1:3" x14ac:dyDescent="0.25">
      <c r="A3115" s="2" t="str">
        <f ca="1">IFERROR(__xludf.DUMMYFUNCTION("""COMPUTED_VALUE"""),"coreum")</f>
        <v>coreum</v>
      </c>
      <c r="B3115" s="2" t="str">
        <f ca="1">IFERROR(__xludf.DUMMYFUNCTION("""COMPUTED_VALUE"""),"coreum")</f>
        <v>coreum</v>
      </c>
      <c r="C3115" s="2" t="str">
        <f ca="1">IFERROR(__xludf.DUMMYFUNCTION("""COMPUTED_VALUE"""),"Coreum")</f>
        <v>Coreum</v>
      </c>
    </row>
    <row r="3116" spans="1:3" x14ac:dyDescent="0.25">
      <c r="A3116" s="2" t="str">
        <f ca="1">IFERROR(__xludf.DUMMYFUNCTION("""COMPUTED_VALUE"""),"corgi")</f>
        <v>corgi</v>
      </c>
      <c r="B3116" s="2" t="str">
        <f ca="1">IFERROR(__xludf.DUMMYFUNCTION("""COMPUTED_VALUE"""),"corgi")</f>
        <v>corgi</v>
      </c>
      <c r="C3116" s="2" t="str">
        <f ca="1">IFERROR(__xludf.DUMMYFUNCTION("""COMPUTED_VALUE"""),"Corgi")</f>
        <v>Corgi</v>
      </c>
    </row>
    <row r="3117" spans="1:3" x14ac:dyDescent="0.25">
      <c r="A3117" s="2" t="str">
        <f ca="1">IFERROR(__xludf.DUMMYFUNCTION("""COMPUTED_VALUE"""),"corgiai")</f>
        <v>corgiai</v>
      </c>
      <c r="B3117" s="2" t="str">
        <f ca="1">IFERROR(__xludf.DUMMYFUNCTION("""COMPUTED_VALUE"""),"corgiai")</f>
        <v>corgiai</v>
      </c>
      <c r="C3117" s="2" t="str">
        <f ca="1">IFERROR(__xludf.DUMMYFUNCTION("""COMPUTED_VALUE"""),"CorgiAI")</f>
        <v>CorgiAI</v>
      </c>
    </row>
    <row r="3118" spans="1:3" x14ac:dyDescent="0.25">
      <c r="A3118" s="2" t="str">
        <f ca="1">IFERROR(__xludf.DUMMYFUNCTION("""COMPUTED_VALUE"""),"corgicoin")</f>
        <v>corgicoin</v>
      </c>
      <c r="B3118" s="2" t="str">
        <f ca="1">IFERROR(__xludf.DUMMYFUNCTION("""COMPUTED_VALUE"""),"corgi")</f>
        <v>corgi</v>
      </c>
      <c r="C3118" s="2" t="str">
        <f ca="1">IFERROR(__xludf.DUMMYFUNCTION("""COMPUTED_VALUE"""),"CorgiCoin")</f>
        <v>CorgiCoin</v>
      </c>
    </row>
    <row r="3119" spans="1:3" x14ac:dyDescent="0.25">
      <c r="A3119" s="2" t="str">
        <f ca="1">IFERROR(__xludf.DUMMYFUNCTION("""COMPUTED_VALUE"""),"corgidoge")</f>
        <v>corgidoge</v>
      </c>
      <c r="B3119" s="2" t="str">
        <f ca="1">IFERROR(__xludf.DUMMYFUNCTION("""COMPUTED_VALUE"""),"corgi")</f>
        <v>corgi</v>
      </c>
      <c r="C3119" s="2" t="str">
        <f ca="1">IFERROR(__xludf.DUMMYFUNCTION("""COMPUTED_VALUE"""),"Corgidoge")</f>
        <v>Corgidoge</v>
      </c>
    </row>
    <row r="3120" spans="1:3" x14ac:dyDescent="0.25">
      <c r="A3120" s="2" t="str">
        <f ca="1">IFERROR(__xludf.DUMMYFUNCTION("""COMPUTED_VALUE"""),"corionx")</f>
        <v>corionx</v>
      </c>
      <c r="B3120" s="2" t="str">
        <f ca="1">IFERROR(__xludf.DUMMYFUNCTION("""COMPUTED_VALUE"""),"corx")</f>
        <v>corx</v>
      </c>
      <c r="C3120" s="2" t="str">
        <f ca="1">IFERROR(__xludf.DUMMYFUNCTION("""COMPUTED_VALUE"""),"CorionX")</f>
        <v>CorionX</v>
      </c>
    </row>
    <row r="3121" spans="1:3" x14ac:dyDescent="0.25">
      <c r="A3121" s="2" t="str">
        <f ca="1">IFERROR(__xludf.DUMMYFUNCTION("""COMPUTED_VALUE"""),"corite")</f>
        <v>corite</v>
      </c>
      <c r="B3121" s="2" t="str">
        <f ca="1">IFERROR(__xludf.DUMMYFUNCTION("""COMPUTED_VALUE"""),"co")</f>
        <v>co</v>
      </c>
      <c r="C3121" s="2" t="str">
        <f ca="1">IFERROR(__xludf.DUMMYFUNCTION("""COMPUTED_VALUE"""),"Corite")</f>
        <v>Corite</v>
      </c>
    </row>
    <row r="3122" spans="1:3" x14ac:dyDescent="0.25">
      <c r="A3122" s="2" t="str">
        <f ca="1">IFERROR(__xludf.DUMMYFUNCTION("""COMPUTED_VALUE"""),"coritiba-f-c-fan-token")</f>
        <v>coritiba-f-c-fan-token</v>
      </c>
      <c r="B3122" s="2" t="str">
        <f ca="1">IFERROR(__xludf.DUMMYFUNCTION("""COMPUTED_VALUE"""),"crtb")</f>
        <v>crtb</v>
      </c>
      <c r="C3122" s="2" t="str">
        <f ca="1">IFERROR(__xludf.DUMMYFUNCTION("""COMPUTED_VALUE"""),"Coritiba F.C. Fan Token")</f>
        <v>Coritiba F.C. Fan Token</v>
      </c>
    </row>
    <row r="3123" spans="1:3" x14ac:dyDescent="0.25">
      <c r="A3123" s="2" t="str">
        <f ca="1">IFERROR(__xludf.DUMMYFUNCTION("""COMPUTED_VALUE"""),"corn")</f>
        <v>corn</v>
      </c>
      <c r="B3123" s="2" t="str">
        <f ca="1">IFERROR(__xludf.DUMMYFUNCTION("""COMPUTED_VALUE"""),"corn")</f>
        <v>corn</v>
      </c>
      <c r="C3123" s="2" t="str">
        <f ca="1">IFERROR(__xludf.DUMMYFUNCTION("""COMPUTED_VALUE"""),"CORN")</f>
        <v>CORN</v>
      </c>
    </row>
    <row r="3124" spans="1:3" x14ac:dyDescent="0.25">
      <c r="A3124" s="2" t="str">
        <f ca="1">IFERROR(__xludf.DUMMYFUNCTION("""COMPUTED_VALUE"""),"cornatto")</f>
        <v>cornatto</v>
      </c>
      <c r="B3124" s="2" t="str">
        <f ca="1">IFERROR(__xludf.DUMMYFUNCTION("""COMPUTED_VALUE"""),"cnc")</f>
        <v>cnc</v>
      </c>
      <c r="C3124" s="2" t="str">
        <f ca="1">IFERROR(__xludf.DUMMYFUNCTION("""COMPUTED_VALUE"""),"Cornatto")</f>
        <v>Cornatto</v>
      </c>
    </row>
    <row r="3125" spans="1:3" x14ac:dyDescent="0.25">
      <c r="A3125" s="2" t="str">
        <f ca="1">IFERROR(__xludf.DUMMYFUNCTION("""COMPUTED_VALUE"""),"corn-dog")</f>
        <v>corn-dog</v>
      </c>
      <c r="B3125" s="2" t="str">
        <f ca="1">IFERROR(__xludf.DUMMYFUNCTION("""COMPUTED_VALUE"""),"cdog")</f>
        <v>cdog</v>
      </c>
      <c r="C3125" s="2" t="str">
        <f ca="1">IFERROR(__xludf.DUMMYFUNCTION("""COMPUTED_VALUE"""),"CORN DOG")</f>
        <v>CORN DOG</v>
      </c>
    </row>
    <row r="3126" spans="1:3" x14ac:dyDescent="0.25">
      <c r="A3126" s="2" t="str">
        <f ca="1">IFERROR(__xludf.DUMMYFUNCTION("""COMPUTED_VALUE"""),"cornermarket")</f>
        <v>cornermarket</v>
      </c>
      <c r="B3126" s="2" t="str">
        <f ca="1">IFERROR(__xludf.DUMMYFUNCTION("""COMPUTED_VALUE"""),"cmt")</f>
        <v>cmt</v>
      </c>
      <c r="C3126" s="2" t="str">
        <f ca="1">IFERROR(__xludf.DUMMYFUNCTION("""COMPUTED_VALUE"""),"CornerMarket")</f>
        <v>CornerMarket</v>
      </c>
    </row>
    <row r="3127" spans="1:3" x14ac:dyDescent="0.25">
      <c r="A3127" s="2" t="str">
        <f ca="1">IFERROR(__xludf.DUMMYFUNCTION("""COMPUTED_VALUE"""),"corn-ordinals")</f>
        <v>corn-ordinals</v>
      </c>
      <c r="B3127" s="2" t="str">
        <f ca="1">IFERROR(__xludf.DUMMYFUNCTION("""COMPUTED_VALUE"""),"corn")</f>
        <v>corn</v>
      </c>
      <c r="C3127" s="2" t="str">
        <f ca="1">IFERROR(__xludf.DUMMYFUNCTION("""COMPUTED_VALUE"""),"Corn (Ordinals)")</f>
        <v>Corn (Ordinals)</v>
      </c>
    </row>
    <row r="3128" spans="1:3" x14ac:dyDescent="0.25">
      <c r="A3128" s="2" t="str">
        <f ca="1">IFERROR(__xludf.DUMMYFUNCTION("""COMPUTED_VALUE"""),"cornucopias")</f>
        <v>cornucopias</v>
      </c>
      <c r="B3128" s="2" t="str">
        <f ca="1">IFERROR(__xludf.DUMMYFUNCTION("""COMPUTED_VALUE"""),"copi")</f>
        <v>copi</v>
      </c>
      <c r="C3128" s="2" t="str">
        <f ca="1">IFERROR(__xludf.DUMMYFUNCTION("""COMPUTED_VALUE"""),"Cornucopias")</f>
        <v>Cornucopias</v>
      </c>
    </row>
    <row r="3129" spans="1:3" x14ac:dyDescent="0.25">
      <c r="A3129" s="2" t="str">
        <f ca="1">IFERROR(__xludf.DUMMYFUNCTION("""COMPUTED_VALUE"""),"corridor-finance")</f>
        <v>corridor-finance</v>
      </c>
      <c r="B3129" s="2" t="str">
        <f ca="1">IFERROR(__xludf.DUMMYFUNCTION("""COMPUTED_VALUE"""),"oooi")</f>
        <v>oooi</v>
      </c>
      <c r="C3129" s="2" t="str">
        <f ca="1">IFERROR(__xludf.DUMMYFUNCTION("""COMPUTED_VALUE"""),"Corridor Finance")</f>
        <v>Corridor Finance</v>
      </c>
    </row>
    <row r="3130" spans="1:3" x14ac:dyDescent="0.25">
      <c r="A3130" s="2" t="str">
        <f ca="1">IFERROR(__xludf.DUMMYFUNCTION("""COMPUTED_VALUE"""),"cortensor")</f>
        <v>cortensor</v>
      </c>
      <c r="B3130" s="2" t="str">
        <f ca="1">IFERROR(__xludf.DUMMYFUNCTION("""COMPUTED_VALUE"""),"cor")</f>
        <v>cor</v>
      </c>
      <c r="C3130" s="2" t="str">
        <f ca="1">IFERROR(__xludf.DUMMYFUNCTION("""COMPUTED_VALUE"""),"Cortensor")</f>
        <v>Cortensor</v>
      </c>
    </row>
    <row r="3131" spans="1:3" x14ac:dyDescent="0.25">
      <c r="A3131" s="2" t="str">
        <f ca="1">IFERROR(__xludf.DUMMYFUNCTION("""COMPUTED_VALUE"""),"cortex")</f>
        <v>cortex</v>
      </c>
      <c r="B3131" s="2" t="str">
        <f ca="1">IFERROR(__xludf.DUMMYFUNCTION("""COMPUTED_VALUE"""),"ctxc")</f>
        <v>ctxc</v>
      </c>
      <c r="C3131" s="2" t="str">
        <f ca="1">IFERROR(__xludf.DUMMYFUNCTION("""COMPUTED_VALUE"""),"Cortex")</f>
        <v>Cortex</v>
      </c>
    </row>
    <row r="3132" spans="1:3" x14ac:dyDescent="0.25">
      <c r="A3132" s="2" t="str">
        <f ca="1">IFERROR(__xludf.DUMMYFUNCTION("""COMPUTED_VALUE"""),"cortexlpu")</f>
        <v>cortexlpu</v>
      </c>
      <c r="B3132" s="2" t="str">
        <f ca="1">IFERROR(__xludf.DUMMYFUNCTION("""COMPUTED_VALUE"""),"lpu")</f>
        <v>lpu</v>
      </c>
      <c r="C3132" s="2" t="str">
        <f ca="1">IFERROR(__xludf.DUMMYFUNCTION("""COMPUTED_VALUE"""),"CortexLPU")</f>
        <v>CortexLPU</v>
      </c>
    </row>
    <row r="3133" spans="1:3" x14ac:dyDescent="0.25">
      <c r="A3133" s="2" t="str">
        <f ca="1">IFERROR(__xludf.DUMMYFUNCTION("""COMPUTED_VALUE"""),"cosanta")</f>
        <v>cosanta</v>
      </c>
      <c r="B3133" s="2" t="str">
        <f ca="1">IFERROR(__xludf.DUMMYFUNCTION("""COMPUTED_VALUE"""),"cosa")</f>
        <v>cosa</v>
      </c>
      <c r="C3133" s="2" t="str">
        <f ca="1">IFERROR(__xludf.DUMMYFUNCTION("""COMPUTED_VALUE"""),"Cosanta")</f>
        <v>Cosanta</v>
      </c>
    </row>
    <row r="3134" spans="1:3" x14ac:dyDescent="0.25">
      <c r="A3134" s="2" t="str">
        <f ca="1">IFERROR(__xludf.DUMMYFUNCTION("""COMPUTED_VALUE"""),"coshi-inu")</f>
        <v>coshi-inu</v>
      </c>
      <c r="B3134" s="2" t="str">
        <f ca="1">IFERROR(__xludf.DUMMYFUNCTION("""COMPUTED_VALUE"""),"coshi")</f>
        <v>coshi</v>
      </c>
      <c r="C3134" s="2" t="str">
        <f ca="1">IFERROR(__xludf.DUMMYFUNCTION("""COMPUTED_VALUE"""),"CoShi Inu")</f>
        <v>CoShi Inu</v>
      </c>
    </row>
    <row r="3135" spans="1:3" x14ac:dyDescent="0.25">
      <c r="A3135" s="2" t="str">
        <f ca="1">IFERROR(__xludf.DUMMYFUNCTION("""COMPUTED_VALUE"""),"cosmic-champs")</f>
        <v>cosmic-champs</v>
      </c>
      <c r="B3135" s="2" t="str">
        <f ca="1">IFERROR(__xludf.DUMMYFUNCTION("""COMPUTED_VALUE"""),"cosg")</f>
        <v>cosg</v>
      </c>
      <c r="C3135" s="2" t="str">
        <f ca="1">IFERROR(__xludf.DUMMYFUNCTION("""COMPUTED_VALUE"""),"Cosmic Champs")</f>
        <v>Cosmic Champs</v>
      </c>
    </row>
    <row r="3136" spans="1:3" x14ac:dyDescent="0.25">
      <c r="A3136" s="2" t="str">
        <f ca="1">IFERROR(__xludf.DUMMYFUNCTION("""COMPUTED_VALUE"""),"cosmic-fomo")</f>
        <v>cosmic-fomo</v>
      </c>
      <c r="B3136" s="2" t="str">
        <f ca="1">IFERROR(__xludf.DUMMYFUNCTION("""COMPUTED_VALUE"""),"cosmic")</f>
        <v>cosmic</v>
      </c>
      <c r="C3136" s="2" t="str">
        <f ca="1">IFERROR(__xludf.DUMMYFUNCTION("""COMPUTED_VALUE"""),"Cosmic FOMO")</f>
        <v>Cosmic FOMO</v>
      </c>
    </row>
    <row r="3137" spans="1:3" x14ac:dyDescent="0.25">
      <c r="A3137" s="2" t="str">
        <f ca="1">IFERROR(__xludf.DUMMYFUNCTION("""COMPUTED_VALUE"""),"cosmic-force-token-v2")</f>
        <v>cosmic-force-token-v2</v>
      </c>
      <c r="B3137" s="2" t="str">
        <f ca="1">IFERROR(__xludf.DUMMYFUNCTION("""COMPUTED_VALUE"""),"cfx")</f>
        <v>cfx</v>
      </c>
      <c r="C3137" s="2" t="str">
        <f ca="1">IFERROR(__xludf.DUMMYFUNCTION("""COMPUTED_VALUE"""),"Cosmic Force Token v2")</f>
        <v>Cosmic Force Token v2</v>
      </c>
    </row>
    <row r="3138" spans="1:3" x14ac:dyDescent="0.25">
      <c r="A3138" s="2" t="str">
        <f ca="1">IFERROR(__xludf.DUMMYFUNCTION("""COMPUTED_VALUE"""),"cosmic-network")</f>
        <v>cosmic-network</v>
      </c>
      <c r="B3138" s="2" t="str">
        <f ca="1">IFERROR(__xludf.DUMMYFUNCTION("""COMPUTED_VALUE"""),"cosmic")</f>
        <v>cosmic</v>
      </c>
      <c r="C3138" s="2" t="str">
        <f ca="1">IFERROR(__xludf.DUMMYFUNCTION("""COMPUTED_VALUE"""),"Cosmic Network")</f>
        <v>Cosmic Network</v>
      </c>
    </row>
    <row r="3139" spans="1:3" x14ac:dyDescent="0.25">
      <c r="A3139" s="2" t="str">
        <f ca="1">IFERROR(__xludf.DUMMYFUNCTION("""COMPUTED_VALUE"""),"cosmic-on-base")</f>
        <v>cosmic-on-base</v>
      </c>
      <c r="B3139" s="2" t="str">
        <f ca="1">IFERROR(__xludf.DUMMYFUNCTION("""COMPUTED_VALUE"""),"$cosmic")</f>
        <v>$cosmic</v>
      </c>
      <c r="C3139" s="2" t="str">
        <f ca="1">IFERROR(__xludf.DUMMYFUNCTION("""COMPUTED_VALUE"""),"COSMIC on Base")</f>
        <v>COSMIC on Base</v>
      </c>
    </row>
    <row r="3140" spans="1:3" x14ac:dyDescent="0.25">
      <c r="A3140" s="2" t="str">
        <f ca="1">IFERROR(__xludf.DUMMYFUNCTION("""COMPUTED_VALUE"""),"cosmicswap")</f>
        <v>cosmicswap</v>
      </c>
      <c r="B3140" s="2" t="str">
        <f ca="1">IFERROR(__xludf.DUMMYFUNCTION("""COMPUTED_VALUE"""),"cosmic")</f>
        <v>cosmic</v>
      </c>
      <c r="C3140" s="2" t="str">
        <f ca="1">IFERROR(__xludf.DUMMYFUNCTION("""COMPUTED_VALUE"""),"CosmicSwap")</f>
        <v>CosmicSwap</v>
      </c>
    </row>
    <row r="3141" spans="1:3" x14ac:dyDescent="0.25">
      <c r="A3141" s="2" t="str">
        <f ca="1">IFERROR(__xludf.DUMMYFUNCTION("""COMPUTED_VALUE"""),"cosmic-universe-magic-token")</f>
        <v>cosmic-universe-magic-token</v>
      </c>
      <c r="B3141" s="2" t="str">
        <f ca="1">IFERROR(__xludf.DUMMYFUNCTION("""COMPUTED_VALUE"""),"magick")</f>
        <v>magick</v>
      </c>
      <c r="C3141" s="2" t="str">
        <f ca="1">IFERROR(__xludf.DUMMYFUNCTION("""COMPUTED_VALUE"""),"Cosmic Universe Magick")</f>
        <v>Cosmic Universe Magick</v>
      </c>
    </row>
    <row r="3142" spans="1:3" x14ac:dyDescent="0.25">
      <c r="A3142" s="2" t="str">
        <f ca="1">IFERROR(__xludf.DUMMYFUNCTION("""COMPUTED_VALUE"""),"cosmos")</f>
        <v>cosmos</v>
      </c>
      <c r="B3142" s="2" t="str">
        <f ca="1">IFERROR(__xludf.DUMMYFUNCTION("""COMPUTED_VALUE"""),"atom")</f>
        <v>atom</v>
      </c>
      <c r="C3142" s="2" t="str">
        <f ca="1">IFERROR(__xludf.DUMMYFUNCTION("""COMPUTED_VALUE"""),"Cosmos Hub")</f>
        <v>Cosmos Hub</v>
      </c>
    </row>
    <row r="3143" spans="1:3" x14ac:dyDescent="0.25">
      <c r="A3143" s="2" t="str">
        <f ca="1">IFERROR(__xludf.DUMMYFUNCTION("""COMPUTED_VALUE"""),"cosplay-token-2")</f>
        <v>cosplay-token-2</v>
      </c>
      <c r="B3143" s="2" t="str">
        <f ca="1">IFERROR(__xludf.DUMMYFUNCTION("""COMPUTED_VALUE"""),"cot")</f>
        <v>cot</v>
      </c>
      <c r="C3143" s="2" t="str">
        <f ca="1">IFERROR(__xludf.DUMMYFUNCTION("""COMPUTED_VALUE"""),"Cosplay Token")</f>
        <v>Cosplay Token</v>
      </c>
    </row>
    <row r="3144" spans="1:3" x14ac:dyDescent="0.25">
      <c r="A3144" s="2" t="str">
        <f ca="1">IFERROR(__xludf.DUMMYFUNCTION("""COMPUTED_VALUE"""),"coss-2")</f>
        <v>coss-2</v>
      </c>
      <c r="B3144" s="2" t="str">
        <f ca="1">IFERROR(__xludf.DUMMYFUNCTION("""COMPUTED_VALUE"""),"coss")</f>
        <v>coss</v>
      </c>
      <c r="C3144" s="2" t="str">
        <f ca="1">IFERROR(__xludf.DUMMYFUNCTION("""COMPUTED_VALUE"""),"Coss")</f>
        <v>Coss</v>
      </c>
    </row>
    <row r="3145" spans="1:3" x14ac:dyDescent="0.25">
      <c r="A3145" s="2" t="str">
        <f ca="1">IFERROR(__xludf.DUMMYFUNCTION("""COMPUTED_VALUE"""),"costco-hot-dog")</f>
        <v>costco-hot-dog</v>
      </c>
      <c r="B3145" s="2" t="str">
        <f ca="1">IFERROR(__xludf.DUMMYFUNCTION("""COMPUTED_VALUE"""),"cost")</f>
        <v>cost</v>
      </c>
      <c r="C3145" s="2" t="str">
        <f ca="1">IFERROR(__xludf.DUMMYFUNCTION("""COMPUTED_VALUE"""),"Cost Hot Dog")</f>
        <v>Cost Hot Dog</v>
      </c>
    </row>
    <row r="3146" spans="1:3" x14ac:dyDescent="0.25">
      <c r="A3146" s="2" t="str">
        <f ca="1">IFERROR(__xludf.DUMMYFUNCTION("""COMPUTED_VALUE"""),"coti")</f>
        <v>coti</v>
      </c>
      <c r="B3146" s="2" t="str">
        <f ca="1">IFERROR(__xludf.DUMMYFUNCTION("""COMPUTED_VALUE"""),"coti")</f>
        <v>coti</v>
      </c>
      <c r="C3146" s="2" t="str">
        <f ca="1">IFERROR(__xludf.DUMMYFUNCTION("""COMPUTED_VALUE"""),"COTI")</f>
        <v>COTI</v>
      </c>
    </row>
    <row r="3147" spans="1:3" x14ac:dyDescent="0.25">
      <c r="A3147" s="2" t="str">
        <f ca="1">IFERROR(__xludf.DUMMYFUNCTION("""COMPUTED_VALUE"""),"coti-governance-token")</f>
        <v>coti-governance-token</v>
      </c>
      <c r="B3147" s="2" t="str">
        <f ca="1">IFERROR(__xludf.DUMMYFUNCTION("""COMPUTED_VALUE"""),"gcoti")</f>
        <v>gcoti</v>
      </c>
      <c r="C3147" s="2" t="str">
        <f ca="1">IFERROR(__xludf.DUMMYFUNCTION("""COMPUTED_VALUE"""),"COTI Governance Token")</f>
        <v>COTI Governance Token</v>
      </c>
    </row>
    <row r="3148" spans="1:3" x14ac:dyDescent="0.25">
      <c r="A3148" s="2" t="str">
        <f ca="1">IFERROR(__xludf.DUMMYFUNCTION("""COMPUTED_VALUE"""),"cotrader")</f>
        <v>cotrader</v>
      </c>
      <c r="B3148" s="2" t="str">
        <f ca="1">IFERROR(__xludf.DUMMYFUNCTION("""COMPUTED_VALUE"""),"cot")</f>
        <v>cot</v>
      </c>
      <c r="C3148" s="2" t="str">
        <f ca="1">IFERROR(__xludf.DUMMYFUNCTION("""COMPUTED_VALUE"""),"CoTrader")</f>
        <v>CoTrader</v>
      </c>
    </row>
    <row r="3149" spans="1:3" x14ac:dyDescent="0.25">
      <c r="A3149" s="2" t="str">
        <f ca="1">IFERROR(__xludf.DUMMYFUNCTION("""COMPUTED_VALUE"""),"cougar-token")</f>
        <v>cougar-token</v>
      </c>
      <c r="B3149" s="2" t="str">
        <f ca="1">IFERROR(__xludf.DUMMYFUNCTION("""COMPUTED_VALUE"""),"cgs")</f>
        <v>cgs</v>
      </c>
      <c r="C3149" s="2" t="str">
        <f ca="1">IFERROR(__xludf.DUMMYFUNCTION("""COMPUTED_VALUE"""),"CougarSwap")</f>
        <v>CougarSwap</v>
      </c>
    </row>
    <row r="3150" spans="1:3" x14ac:dyDescent="0.25">
      <c r="A3150" s="2" t="str">
        <f ca="1">IFERROR(__xludf.DUMMYFUNCTION("""COMPUTED_VALUE"""),"coughing-cat")</f>
        <v>coughing-cat</v>
      </c>
      <c r="B3150" s="2" t="str">
        <f ca="1">IFERROR(__xludf.DUMMYFUNCTION("""COMPUTED_VALUE"""),"cct")</f>
        <v>cct</v>
      </c>
      <c r="C3150" s="2" t="str">
        <f ca="1">IFERROR(__xludf.DUMMYFUNCTION("""COMPUTED_VALUE"""),"Coughing Cat")</f>
        <v>Coughing Cat</v>
      </c>
    </row>
    <row r="3151" spans="1:3" x14ac:dyDescent="0.25">
      <c r="A3151" s="2" t="str">
        <f ca="1">IFERROR(__xludf.DUMMYFUNCTION("""COMPUTED_VALUE"""),"could-be-the-move")</f>
        <v>could-be-the-move</v>
      </c>
      <c r="B3151" s="2" t="str">
        <f ca="1">IFERROR(__xludf.DUMMYFUNCTION("""COMPUTED_VALUE"""),"cbtm")</f>
        <v>cbtm</v>
      </c>
      <c r="C3151" s="2" t="str">
        <f ca="1">IFERROR(__xludf.DUMMYFUNCTION("""COMPUTED_VALUE"""),"Could Be The Move")</f>
        <v>Could Be The Move</v>
      </c>
    </row>
    <row r="3152" spans="1:3" x14ac:dyDescent="0.25">
      <c r="A3152" s="2" t="str">
        <f ca="1">IFERROR(__xludf.DUMMYFUNCTION("""COMPUTED_VALUE"""),"counosx")</f>
        <v>counosx</v>
      </c>
      <c r="B3152" s="2" t="str">
        <f ca="1">IFERROR(__xludf.DUMMYFUNCTION("""COMPUTED_VALUE"""),"ccxx")</f>
        <v>ccxx</v>
      </c>
      <c r="C3152" s="2" t="str">
        <f ca="1">IFERROR(__xludf.DUMMYFUNCTION("""COMPUTED_VALUE"""),"CounosX")</f>
        <v>CounosX</v>
      </c>
    </row>
    <row r="3153" spans="1:3" x14ac:dyDescent="0.25">
      <c r="A3153" s="2" t="str">
        <f ca="1">IFERROR(__xludf.DUMMYFUNCTION("""COMPUTED_VALUE"""),"counterfire-economic-coin")</f>
        <v>counterfire-economic-coin</v>
      </c>
      <c r="B3153" s="2" t="str">
        <f ca="1">IFERROR(__xludf.DUMMYFUNCTION("""COMPUTED_VALUE"""),"cec")</f>
        <v>cec</v>
      </c>
      <c r="C3153" s="2" t="str">
        <f ca="1">IFERROR(__xludf.DUMMYFUNCTION("""COMPUTED_VALUE"""),"Counterfire Economic Coin")</f>
        <v>Counterfire Economic Coin</v>
      </c>
    </row>
    <row r="3154" spans="1:3" x14ac:dyDescent="0.25">
      <c r="A3154" s="2" t="str">
        <f ca="1">IFERROR(__xludf.DUMMYFUNCTION("""COMPUTED_VALUE"""),"counterparty")</f>
        <v>counterparty</v>
      </c>
      <c r="B3154" s="2" t="str">
        <f ca="1">IFERROR(__xludf.DUMMYFUNCTION("""COMPUTED_VALUE"""),"xcp")</f>
        <v>xcp</v>
      </c>
      <c r="C3154" s="2" t="str">
        <f ca="1">IFERROR(__xludf.DUMMYFUNCTION("""COMPUTED_VALUE"""),"Counterparty")</f>
        <v>Counterparty</v>
      </c>
    </row>
    <row r="3155" spans="1:3" x14ac:dyDescent="0.25">
      <c r="A3155" s="2" t="str">
        <f ca="1">IFERROR(__xludf.DUMMYFUNCTION("""COMPUTED_VALUE"""),"couponbay")</f>
        <v>couponbay</v>
      </c>
      <c r="B3155" s="2" t="str">
        <f ca="1">IFERROR(__xludf.DUMMYFUNCTION("""COMPUTED_VALUE"""),"cup")</f>
        <v>cup</v>
      </c>
      <c r="C3155" s="2" t="str">
        <f ca="1">IFERROR(__xludf.DUMMYFUNCTION("""COMPUTED_VALUE"""),"CouponBay")</f>
        <v>CouponBay</v>
      </c>
    </row>
    <row r="3156" spans="1:3" x14ac:dyDescent="0.25">
      <c r="A3156" s="2" t="str">
        <f ca="1">IFERROR(__xludf.DUMMYFUNCTION("""COMPUTED_VALUE"""),"covalent")</f>
        <v>covalent</v>
      </c>
      <c r="B3156" s="2" t="str">
        <f ca="1">IFERROR(__xludf.DUMMYFUNCTION("""COMPUTED_VALUE"""),"cqt")</f>
        <v>cqt</v>
      </c>
      <c r="C3156" s="2" t="str">
        <f ca="1">IFERROR(__xludf.DUMMYFUNCTION("""COMPUTED_VALUE"""),"Covalent Query Token")</f>
        <v>Covalent Query Token</v>
      </c>
    </row>
    <row r="3157" spans="1:3" x14ac:dyDescent="0.25">
      <c r="A3157" s="2" t="str">
        <f ca="1">IFERROR(__xludf.DUMMYFUNCTION("""COMPUTED_VALUE"""),"covalent-x-token")</f>
        <v>covalent-x-token</v>
      </c>
      <c r="B3157" s="2" t="str">
        <f ca="1">IFERROR(__xludf.DUMMYFUNCTION("""COMPUTED_VALUE"""),"cxt")</f>
        <v>cxt</v>
      </c>
      <c r="C3157" s="2" t="str">
        <f ca="1">IFERROR(__xludf.DUMMYFUNCTION("""COMPUTED_VALUE"""),"Covalent X Token")</f>
        <v>Covalent X Token</v>
      </c>
    </row>
    <row r="3158" spans="1:3" x14ac:dyDescent="0.25">
      <c r="A3158" s="2" t="str">
        <f ca="1">IFERROR(__xludf.DUMMYFUNCTION("""COMPUTED_VALUE"""),"cove-dao")</f>
        <v>cove-dao</v>
      </c>
      <c r="B3158" s="2" t="str">
        <f ca="1">IFERROR(__xludf.DUMMYFUNCTION("""COMPUTED_VALUE"""),"cove")</f>
        <v>cove</v>
      </c>
      <c r="C3158" s="2" t="str">
        <f ca="1">IFERROR(__xludf.DUMMYFUNCTION("""COMPUTED_VALUE"""),"Cove DAO")</f>
        <v>Cove DAO</v>
      </c>
    </row>
    <row r="3159" spans="1:3" x14ac:dyDescent="0.25">
      <c r="A3159" s="2" t="str">
        <f ca="1">IFERROR(__xludf.DUMMYFUNCTION("""COMPUTED_VALUE"""),"covenant-child")</f>
        <v>covenant-child</v>
      </c>
      <c r="B3159" s="2" t="str">
        <f ca="1">IFERROR(__xludf.DUMMYFUNCTION("""COMPUTED_VALUE"""),"covn")</f>
        <v>covn</v>
      </c>
      <c r="C3159" s="2" t="str">
        <f ca="1">IFERROR(__xludf.DUMMYFUNCTION("""COMPUTED_VALUE"""),"Covenant")</f>
        <v>Covenant</v>
      </c>
    </row>
    <row r="3160" spans="1:3" x14ac:dyDescent="0.25">
      <c r="A3160" s="2" t="str">
        <f ca="1">IFERROR(__xludf.DUMMYFUNCTION("""COMPUTED_VALUE"""),"covesting")</f>
        <v>covesting</v>
      </c>
      <c r="B3160" s="2" t="str">
        <f ca="1">IFERROR(__xludf.DUMMYFUNCTION("""COMPUTED_VALUE"""),"cov")</f>
        <v>cov</v>
      </c>
      <c r="C3160" s="2" t="str">
        <f ca="1">IFERROR(__xludf.DUMMYFUNCTION("""COMPUTED_VALUE"""),"Covesting")</f>
        <v>Covesting</v>
      </c>
    </row>
    <row r="3161" spans="1:3" x14ac:dyDescent="0.25">
      <c r="A3161" s="2" t="str">
        <f ca="1">IFERROR(__xludf.DUMMYFUNCTION("""COMPUTED_VALUE"""),"cove-yfi")</f>
        <v>cove-yfi</v>
      </c>
      <c r="B3161" s="2" t="str">
        <f ca="1">IFERROR(__xludf.DUMMYFUNCTION("""COMPUTED_VALUE"""),"coveyfi")</f>
        <v>coveyfi</v>
      </c>
      <c r="C3161" s="2" t="str">
        <f ca="1">IFERROR(__xludf.DUMMYFUNCTION("""COMPUTED_VALUE"""),"Cove YFI")</f>
        <v>Cove YFI</v>
      </c>
    </row>
    <row r="3162" spans="1:3" x14ac:dyDescent="0.25">
      <c r="A3162" s="2" t="str">
        <f ca="1">IFERROR(__xludf.DUMMYFUNCTION("""COMPUTED_VALUE"""),"cow")</f>
        <v>cow</v>
      </c>
      <c r="B3162" s="2" t="str">
        <f ca="1">IFERROR(__xludf.DUMMYFUNCTION("""COMPUTED_VALUE"""),"cow")</f>
        <v>cow</v>
      </c>
      <c r="C3162" s="2" t="str">
        <f ca="1">IFERROR(__xludf.DUMMYFUNCTION("""COMPUTED_VALUE"""),"Cow")</f>
        <v>Cow</v>
      </c>
    </row>
    <row r="3163" spans="1:3" x14ac:dyDescent="0.25">
      <c r="A3163" s="2" t="str">
        <f ca="1">IFERROR(__xludf.DUMMYFUNCTION("""COMPUTED_VALUE"""),"cow-protocol")</f>
        <v>cow-protocol</v>
      </c>
      <c r="B3163" s="2" t="str">
        <f ca="1">IFERROR(__xludf.DUMMYFUNCTION("""COMPUTED_VALUE"""),"cow")</f>
        <v>cow</v>
      </c>
      <c r="C3163" s="2" t="str">
        <f ca="1">IFERROR(__xludf.DUMMYFUNCTION("""COMPUTED_VALUE"""),"CoW Protocol")</f>
        <v>CoW Protocol</v>
      </c>
    </row>
    <row r="3164" spans="1:3" x14ac:dyDescent="0.25">
      <c r="A3164" s="2" t="str">
        <f ca="1">IFERROR(__xludf.DUMMYFUNCTION("""COMPUTED_VALUE"""),"cowrie")</f>
        <v>cowrie</v>
      </c>
      <c r="B3164" s="2" t="str">
        <f ca="1">IFERROR(__xludf.DUMMYFUNCTION("""COMPUTED_VALUE"""),"cowrie")</f>
        <v>cowrie</v>
      </c>
      <c r="C3164" s="2" t="str">
        <f ca="1">IFERROR(__xludf.DUMMYFUNCTION("""COMPUTED_VALUE"""),"Cowrie")</f>
        <v>Cowrie</v>
      </c>
    </row>
    <row r="3165" spans="1:3" x14ac:dyDescent="0.25">
      <c r="A3165" s="2" t="str">
        <f ca="1">IFERROR(__xludf.DUMMYFUNCTION("""COMPUTED_VALUE"""),"cozy-pepe")</f>
        <v>cozy-pepe</v>
      </c>
      <c r="B3165" s="2" t="str">
        <f ca="1">IFERROR(__xludf.DUMMYFUNCTION("""COMPUTED_VALUE"""),"cozy")</f>
        <v>cozy</v>
      </c>
      <c r="C3165" s="2" t="str">
        <f ca="1">IFERROR(__xludf.DUMMYFUNCTION("""COMPUTED_VALUE"""),"Cozy Pepe")</f>
        <v>Cozy Pepe</v>
      </c>
    </row>
    <row r="3166" spans="1:3" x14ac:dyDescent="0.25">
      <c r="A3166" s="2" t="str">
        <f ca="1">IFERROR(__xludf.DUMMYFUNCTION("""COMPUTED_VALUE"""),"cpiggy-bank-token")</f>
        <v>cpiggy-bank-token</v>
      </c>
      <c r="B3166" s="2" t="str">
        <f ca="1">IFERROR(__xludf.DUMMYFUNCTION("""COMPUTED_VALUE"""),"cpiggy")</f>
        <v>cpiggy</v>
      </c>
      <c r="C3166" s="2" t="str">
        <f ca="1">IFERROR(__xludf.DUMMYFUNCTION("""COMPUTED_VALUE"""),"cPIGGY Bank Token")</f>
        <v>cPIGGY Bank Token</v>
      </c>
    </row>
    <row r="3167" spans="1:3" x14ac:dyDescent="0.25">
      <c r="A3167" s="2" t="str">
        <f ca="1">IFERROR(__xludf.DUMMYFUNCTION("""COMPUTED_VALUE"""),"cpucoin")</f>
        <v>cpucoin</v>
      </c>
      <c r="B3167" s="2" t="str">
        <f ca="1">IFERROR(__xludf.DUMMYFUNCTION("""COMPUTED_VALUE"""),"cpu")</f>
        <v>cpu</v>
      </c>
      <c r="C3167" s="2" t="str">
        <f ca="1">IFERROR(__xludf.DUMMYFUNCTION("""COMPUTED_VALUE"""),"CPUcoin")</f>
        <v>CPUcoin</v>
      </c>
    </row>
    <row r="3168" spans="1:3" x14ac:dyDescent="0.25">
      <c r="A3168" s="2" t="str">
        <f ca="1">IFERROR(__xludf.DUMMYFUNCTION("""COMPUTED_VALUE"""),"crabada")</f>
        <v>crabada</v>
      </c>
      <c r="B3168" s="2" t="str">
        <f ca="1">IFERROR(__xludf.DUMMYFUNCTION("""COMPUTED_VALUE"""),"cra")</f>
        <v>cra</v>
      </c>
      <c r="C3168" s="2" t="str">
        <f ca="1">IFERROR(__xludf.DUMMYFUNCTION("""COMPUTED_VALUE"""),"Crabada")</f>
        <v>Crabada</v>
      </c>
    </row>
    <row r="3169" spans="1:3" x14ac:dyDescent="0.25">
      <c r="A3169" s="2" t="str">
        <f ca="1">IFERROR(__xludf.DUMMYFUNCTION("""COMPUTED_VALUE"""),"crabbie")</f>
        <v>crabbie</v>
      </c>
      <c r="B3169" s="2" t="str">
        <f ca="1">IFERROR(__xludf.DUMMYFUNCTION("""COMPUTED_VALUE"""),"crab")</f>
        <v>crab</v>
      </c>
      <c r="C3169" s="2" t="str">
        <f ca="1">IFERROR(__xludf.DUMMYFUNCTION("""COMPUTED_VALUE"""),"Crabbie")</f>
        <v>Crabbie</v>
      </c>
    </row>
    <row r="3170" spans="1:3" x14ac:dyDescent="0.25">
      <c r="A3170" s="2" t="str">
        <f ca="1">IFERROR(__xludf.DUMMYFUNCTION("""COMPUTED_VALUE"""),"crabby")</f>
        <v>crabby</v>
      </c>
      <c r="B3170" s="2" t="str">
        <f ca="1">IFERROR(__xludf.DUMMYFUNCTION("""COMPUTED_VALUE"""),"crab")</f>
        <v>crab</v>
      </c>
      <c r="C3170" s="2" t="str">
        <f ca="1">IFERROR(__xludf.DUMMYFUNCTION("""COMPUTED_VALUE"""),"CRABBY")</f>
        <v>CRABBY</v>
      </c>
    </row>
    <row r="3171" spans="1:3" x14ac:dyDescent="0.25">
      <c r="A3171" s="2" t="str">
        <f ca="1">IFERROR(__xludf.DUMMYFUNCTION("""COMPUTED_VALUE"""),"crafting-finance")</f>
        <v>crafting-finance</v>
      </c>
      <c r="B3171" s="2" t="str">
        <f ca="1">IFERROR(__xludf.DUMMYFUNCTION("""COMPUTED_VALUE"""),"crf")</f>
        <v>crf</v>
      </c>
      <c r="C3171" s="2" t="str">
        <f ca="1">IFERROR(__xludf.DUMMYFUNCTION("""COMPUTED_VALUE"""),"Crafting Finance")</f>
        <v>Crafting Finance</v>
      </c>
    </row>
    <row r="3172" spans="1:3" x14ac:dyDescent="0.25">
      <c r="A3172" s="2" t="str">
        <f ca="1">IFERROR(__xludf.DUMMYFUNCTION("""COMPUTED_VALUE"""),"craft-network")</f>
        <v>craft-network</v>
      </c>
      <c r="B3172" s="2" t="str">
        <f ca="1">IFERROR(__xludf.DUMMYFUNCTION("""COMPUTED_VALUE"""),"cft")</f>
        <v>cft</v>
      </c>
      <c r="C3172" s="2" t="str">
        <f ca="1">IFERROR(__xludf.DUMMYFUNCTION("""COMPUTED_VALUE"""),"Craft network")</f>
        <v>Craft network</v>
      </c>
    </row>
    <row r="3173" spans="1:3" x14ac:dyDescent="0.25">
      <c r="A3173" s="2" t="str">
        <f ca="1">IFERROR(__xludf.DUMMYFUNCTION("""COMPUTED_VALUE"""),"cramer-coin")</f>
        <v>cramer-coin</v>
      </c>
      <c r="B3173" s="2" t="str">
        <f ca="1">IFERROR(__xludf.DUMMYFUNCTION("""COMPUTED_VALUE"""),"$cramer")</f>
        <v>$cramer</v>
      </c>
      <c r="C3173" s="2" t="str">
        <f ca="1">IFERROR(__xludf.DUMMYFUNCTION("""COMPUTED_VALUE"""),"Cramer Coin")</f>
        <v>Cramer Coin</v>
      </c>
    </row>
    <row r="3174" spans="1:3" x14ac:dyDescent="0.25">
      <c r="A3174" s="2" t="str">
        <f ca="1">IFERROR(__xludf.DUMMYFUNCTION("""COMPUTED_VALUE"""),"crappybird")</f>
        <v>crappybird</v>
      </c>
      <c r="B3174" s="2" t="str">
        <f ca="1">IFERROR(__xludf.DUMMYFUNCTION("""COMPUTED_VALUE"""),"crappy")</f>
        <v>crappy</v>
      </c>
      <c r="C3174" s="2" t="str">
        <f ca="1">IFERROR(__xludf.DUMMYFUNCTION("""COMPUTED_VALUE"""),"CrappyBird")</f>
        <v>CrappyBird</v>
      </c>
    </row>
    <row r="3175" spans="1:3" x14ac:dyDescent="0.25">
      <c r="A3175" s="2" t="str">
        <f ca="1">IFERROR(__xludf.DUMMYFUNCTION("""COMPUTED_VALUE"""),"crappy-bird")</f>
        <v>crappy-bird</v>
      </c>
      <c r="B3175" s="2" t="str">
        <f ca="1">IFERROR(__xludf.DUMMYFUNCTION("""COMPUTED_VALUE"""),"crappy")</f>
        <v>crappy</v>
      </c>
      <c r="C3175" s="2" t="str">
        <f ca="1">IFERROR(__xludf.DUMMYFUNCTION("""COMPUTED_VALUE"""),"Crappy Bird")</f>
        <v>Crappy Bird</v>
      </c>
    </row>
    <row r="3176" spans="1:3" x14ac:dyDescent="0.25">
      <c r="A3176" s="2" t="str">
        <f ca="1">IFERROR(__xludf.DUMMYFUNCTION("""COMPUTED_VALUE"""),"crash")</f>
        <v>crash</v>
      </c>
      <c r="B3176" s="2" t="str">
        <f ca="1">IFERROR(__xludf.DUMMYFUNCTION("""COMPUTED_VALUE"""),"crash")</f>
        <v>crash</v>
      </c>
      <c r="C3176" s="2" t="str">
        <f ca="1">IFERROR(__xludf.DUMMYFUNCTION("""COMPUTED_VALUE"""),"Crash")</f>
        <v>Crash</v>
      </c>
    </row>
    <row r="3177" spans="1:3" x14ac:dyDescent="0.25">
      <c r="A3177" s="2" t="str">
        <f ca="1">IFERROR(__xludf.DUMMYFUNCTION("""COMPUTED_VALUE"""),"crash-on-base")</f>
        <v>crash-on-base</v>
      </c>
      <c r="B3177" s="2" t="str">
        <f ca="1">IFERROR(__xludf.DUMMYFUNCTION("""COMPUTED_VALUE"""),"crash")</f>
        <v>crash</v>
      </c>
      <c r="C3177" s="2" t="str">
        <f ca="1">IFERROR(__xludf.DUMMYFUNCTION("""COMPUTED_VALUE"""),"Crash On Base")</f>
        <v>Crash On Base</v>
      </c>
    </row>
    <row r="3178" spans="1:3" x14ac:dyDescent="0.25">
      <c r="A3178" s="2" t="str">
        <f ca="1">IFERROR(__xludf.DUMMYFUNCTION("""COMPUTED_VALUE"""),"cratos")</f>
        <v>cratos</v>
      </c>
      <c r="B3178" s="2" t="str">
        <f ca="1">IFERROR(__xludf.DUMMYFUNCTION("""COMPUTED_VALUE"""),"crts")</f>
        <v>crts</v>
      </c>
      <c r="C3178" s="2" t="str">
        <f ca="1">IFERROR(__xludf.DUMMYFUNCTION("""COMPUTED_VALUE"""),"Cratos")</f>
        <v>Cratos</v>
      </c>
    </row>
    <row r="3179" spans="1:3" x14ac:dyDescent="0.25">
      <c r="A3179" s="2" t="str">
        <f ca="1">IFERROR(__xludf.DUMMYFUNCTION("""COMPUTED_VALUE"""),"crazybunny")</f>
        <v>crazybunny</v>
      </c>
      <c r="B3179" s="2" t="str">
        <f ca="1">IFERROR(__xludf.DUMMYFUNCTION("""COMPUTED_VALUE"""),"crazybunny")</f>
        <v>crazybunny</v>
      </c>
      <c r="C3179" s="2" t="str">
        <f ca="1">IFERROR(__xludf.DUMMYFUNCTION("""COMPUTED_VALUE"""),"CrazyBunny")</f>
        <v>CrazyBunny</v>
      </c>
    </row>
    <row r="3180" spans="1:3" x14ac:dyDescent="0.25">
      <c r="A3180" s="2" t="str">
        <f ca="1">IFERROR(__xludf.DUMMYFUNCTION("""COMPUTED_VALUE"""),"crazy-bunny")</f>
        <v>crazy-bunny</v>
      </c>
      <c r="B3180" s="2" t="str">
        <f ca="1">IFERROR(__xludf.DUMMYFUNCTION("""COMPUTED_VALUE"""),"crazybunny")</f>
        <v>crazybunny</v>
      </c>
      <c r="C3180" s="2" t="str">
        <f ca="1">IFERROR(__xludf.DUMMYFUNCTION("""COMPUTED_VALUE"""),"Crazy Bunny")</f>
        <v>Crazy Bunny</v>
      </c>
    </row>
    <row r="3181" spans="1:3" x14ac:dyDescent="0.25">
      <c r="A3181" s="2" t="str">
        <f ca="1">IFERROR(__xludf.DUMMYFUNCTION("""COMPUTED_VALUE"""),"crazy-bunny-equity-token")</f>
        <v>crazy-bunny-equity-token</v>
      </c>
      <c r="B3181" s="2" t="str">
        <f ca="1">IFERROR(__xludf.DUMMYFUNCTION("""COMPUTED_VALUE"""),"cbunny")</f>
        <v>cbunny</v>
      </c>
      <c r="C3181" s="2" t="str">
        <f ca="1">IFERROR(__xludf.DUMMYFUNCTION("""COMPUTED_VALUE"""),"Crazy Bunny Equity")</f>
        <v>Crazy Bunny Equity</v>
      </c>
    </row>
    <row r="3182" spans="1:3" x14ac:dyDescent="0.25">
      <c r="A3182" s="2" t="str">
        <f ca="1">IFERROR(__xludf.DUMMYFUNCTION("""COMPUTED_VALUE"""),"crazy-frog")</f>
        <v>crazy-frog</v>
      </c>
      <c r="B3182" s="2" t="str">
        <f ca="1">IFERROR(__xludf.DUMMYFUNCTION("""COMPUTED_VALUE"""),"crazy")</f>
        <v>crazy</v>
      </c>
      <c r="C3182" s="2" t="str">
        <f ca="1">IFERROR(__xludf.DUMMYFUNCTION("""COMPUTED_VALUE"""),"Crazy Frog Coin")</f>
        <v>Crazy Frog Coin</v>
      </c>
    </row>
    <row r="3183" spans="1:3" x14ac:dyDescent="0.25">
      <c r="A3183" s="2" t="str">
        <f ca="1">IFERROR(__xludf.DUMMYFUNCTION("""COMPUTED_VALUE"""),"crazy-frog-on-base")</f>
        <v>crazy-frog-on-base</v>
      </c>
      <c r="B3183" s="2" t="str">
        <f ca="1">IFERROR(__xludf.DUMMYFUNCTION("""COMPUTED_VALUE"""),"frog")</f>
        <v>frog</v>
      </c>
      <c r="C3183" s="2" t="str">
        <f ca="1">IFERROR(__xludf.DUMMYFUNCTION("""COMPUTED_VALUE"""),"CRAZY FROG")</f>
        <v>CRAZY FROG</v>
      </c>
    </row>
    <row r="3184" spans="1:3" x14ac:dyDescent="0.25">
      <c r="A3184" s="2" t="str">
        <f ca="1">IFERROR(__xludf.DUMMYFUNCTION("""COMPUTED_VALUE"""),"crazy-monkey")</f>
        <v>crazy-monkey</v>
      </c>
      <c r="B3184" s="2" t="str">
        <f ca="1">IFERROR(__xludf.DUMMYFUNCTION("""COMPUTED_VALUE"""),"cmonk")</f>
        <v>cmonk</v>
      </c>
      <c r="C3184" s="2" t="str">
        <f ca="1">IFERROR(__xludf.DUMMYFUNCTION("""COMPUTED_VALUE"""),"Crazy Monkey")</f>
        <v>Crazy Monkey</v>
      </c>
    </row>
    <row r="3185" spans="1:3" x14ac:dyDescent="0.25">
      <c r="A3185" s="2" t="str">
        <f ca="1">IFERROR(__xludf.DUMMYFUNCTION("""COMPUTED_VALUE"""),"crazypepe-2")</f>
        <v>crazypepe-2</v>
      </c>
      <c r="B3185" s="2" t="str">
        <f ca="1">IFERROR(__xludf.DUMMYFUNCTION("""COMPUTED_VALUE"""),"crazypepe")</f>
        <v>crazypepe</v>
      </c>
      <c r="C3185" s="2" t="str">
        <f ca="1">IFERROR(__xludf.DUMMYFUNCTION("""COMPUTED_VALUE"""),"CrazyPepe")</f>
        <v>CrazyPepe</v>
      </c>
    </row>
    <row r="3186" spans="1:3" x14ac:dyDescent="0.25">
      <c r="A3186" s="2" t="str">
        <f ca="1">IFERROR(__xludf.DUMMYFUNCTION("""COMPUTED_VALUE"""),"crazyrabbit")</f>
        <v>crazyrabbit</v>
      </c>
      <c r="B3186" s="2" t="str">
        <f ca="1">IFERROR(__xludf.DUMMYFUNCTION("""COMPUTED_VALUE"""),"crc")</f>
        <v>crc</v>
      </c>
      <c r="C3186" s="2" t="str">
        <f ca="1">IFERROR(__xludf.DUMMYFUNCTION("""COMPUTED_VALUE"""),"CrazyRabbit")</f>
        <v>CrazyRabbit</v>
      </c>
    </row>
    <row r="3187" spans="1:3" x14ac:dyDescent="0.25">
      <c r="A3187" s="2" t="str">
        <f ca="1">IFERROR(__xludf.DUMMYFUNCTION("""COMPUTED_VALUE"""),"crazy-tiger")</f>
        <v>crazy-tiger</v>
      </c>
      <c r="B3187" s="2" t="str">
        <f ca="1">IFERROR(__xludf.DUMMYFUNCTION("""COMPUTED_VALUE"""),"crazytiger")</f>
        <v>crazytiger</v>
      </c>
      <c r="C3187" s="2" t="str">
        <f ca="1">IFERROR(__xludf.DUMMYFUNCTION("""COMPUTED_VALUE"""),"Crazy Tiger")</f>
        <v>Crazy Tiger</v>
      </c>
    </row>
    <row r="3188" spans="1:3" x14ac:dyDescent="0.25">
      <c r="A3188" s="2" t="str">
        <f ca="1">IFERROR(__xludf.DUMMYFUNCTION("""COMPUTED_VALUE"""),"crds")</f>
        <v>crds</v>
      </c>
      <c r="B3188" s="2" t="str">
        <f ca="1">IFERROR(__xludf.DUMMYFUNCTION("""COMPUTED_VALUE"""),"crds")</f>
        <v>crds</v>
      </c>
      <c r="C3188" s="2" t="str">
        <f ca="1">IFERROR(__xludf.DUMMYFUNCTION("""COMPUTED_VALUE"""),"Cradles")</f>
        <v>Cradles</v>
      </c>
    </row>
    <row r="3189" spans="1:3" x14ac:dyDescent="0.25">
      <c r="A3189" s="2" t="str">
        <f ca="1">IFERROR(__xludf.DUMMYFUNCTION("""COMPUTED_VALUE"""),"cream")</f>
        <v>cream</v>
      </c>
      <c r="B3189" s="2" t="str">
        <f ca="1">IFERROR(__xludf.DUMMYFUNCTION("""COMPUTED_VALUE"""),"crm")</f>
        <v>crm</v>
      </c>
      <c r="C3189" s="2" t="str">
        <f ca="1">IFERROR(__xludf.DUMMYFUNCTION("""COMPUTED_VALUE"""),"Creamcoin")</f>
        <v>Creamcoin</v>
      </c>
    </row>
    <row r="3190" spans="1:3" x14ac:dyDescent="0.25">
      <c r="A3190" s="2" t="str">
        <f ca="1">IFERROR(__xludf.DUMMYFUNCTION("""COMPUTED_VALUE"""),"cream-2")</f>
        <v>cream-2</v>
      </c>
      <c r="B3190" s="2" t="str">
        <f ca="1">IFERROR(__xludf.DUMMYFUNCTION("""COMPUTED_VALUE"""),"cream")</f>
        <v>cream</v>
      </c>
      <c r="C3190" s="2" t="str">
        <f ca="1">IFERROR(__xludf.DUMMYFUNCTION("""COMPUTED_VALUE"""),"Cream")</f>
        <v>Cream</v>
      </c>
    </row>
    <row r="3191" spans="1:3" x14ac:dyDescent="0.25">
      <c r="A3191" s="2" t="str">
        <f ca="1">IFERROR(__xludf.DUMMYFUNCTION("""COMPUTED_VALUE"""),"creamy")</f>
        <v>creamy</v>
      </c>
      <c r="B3191" s="2" t="str">
        <f ca="1">IFERROR(__xludf.DUMMYFUNCTION("""COMPUTED_VALUE"""),"creamy")</f>
        <v>creamy</v>
      </c>
      <c r="C3191" s="2" t="str">
        <f ca="1">IFERROR(__xludf.DUMMYFUNCTION("""COMPUTED_VALUE"""),"Creamy")</f>
        <v>Creamy</v>
      </c>
    </row>
    <row r="3192" spans="1:3" x14ac:dyDescent="0.25">
      <c r="A3192" s="2" t="str">
        <f ca="1">IFERROR(__xludf.DUMMYFUNCTION("""COMPUTED_VALUE"""),"create-ai")</f>
        <v>create-ai</v>
      </c>
      <c r="B3192" s="2" t="str">
        <f ca="1">IFERROR(__xludf.DUMMYFUNCTION("""COMPUTED_VALUE"""),"create")</f>
        <v>create</v>
      </c>
      <c r="C3192" s="2" t="str">
        <f ca="1">IFERROR(__xludf.DUMMYFUNCTION("""COMPUTED_VALUE"""),"Create AI")</f>
        <v>Create AI</v>
      </c>
    </row>
    <row r="3193" spans="1:3" x14ac:dyDescent="0.25">
      <c r="A3193" s="2" t="str">
        <f ca="1">IFERROR(__xludf.DUMMYFUNCTION("""COMPUTED_VALUE"""),"creaticles")</f>
        <v>creaticles</v>
      </c>
      <c r="B3193" s="2" t="str">
        <f ca="1">IFERROR(__xludf.DUMMYFUNCTION("""COMPUTED_VALUE"""),"cre8")</f>
        <v>cre8</v>
      </c>
      <c r="C3193" s="2" t="str">
        <f ca="1">IFERROR(__xludf.DUMMYFUNCTION("""COMPUTED_VALUE"""),"Creaticles")</f>
        <v>Creaticles</v>
      </c>
    </row>
    <row r="3194" spans="1:3" x14ac:dyDescent="0.25">
      <c r="A3194" s="2" t="str">
        <f ca="1">IFERROR(__xludf.DUMMYFUNCTION("""COMPUTED_VALUE"""),"creat-or")</f>
        <v>creat-or</v>
      </c>
      <c r="B3194" s="2" t="str">
        <f ca="1">IFERROR(__xludf.DUMMYFUNCTION("""COMPUTED_VALUE"""),"cret")</f>
        <v>cret</v>
      </c>
      <c r="C3194" s="2" t="str">
        <f ca="1">IFERROR(__xludf.DUMMYFUNCTION("""COMPUTED_VALUE"""),"CREAT'OR")</f>
        <v>CREAT'OR</v>
      </c>
    </row>
    <row r="3195" spans="1:3" x14ac:dyDescent="0.25">
      <c r="A3195" s="2" t="str">
        <f ca="1">IFERROR(__xludf.DUMMYFUNCTION("""COMPUTED_VALUE"""),"creator-platform")</f>
        <v>creator-platform</v>
      </c>
      <c r="B3195" s="2" t="str">
        <f ca="1">IFERROR(__xludf.DUMMYFUNCTION("""COMPUTED_VALUE"""),"ctr")</f>
        <v>ctr</v>
      </c>
      <c r="C3195" s="2" t="str">
        <f ca="1">IFERROR(__xludf.DUMMYFUNCTION("""COMPUTED_VALUE"""),"Creator Platform")</f>
        <v>Creator Platform</v>
      </c>
    </row>
    <row r="3196" spans="1:3" x14ac:dyDescent="0.25">
      <c r="A3196" s="2" t="str">
        <f ca="1">IFERROR(__xludf.DUMMYFUNCTION("""COMPUTED_VALUE"""),"crebit-2")</f>
        <v>crebit-2</v>
      </c>
      <c r="B3196" s="2" t="str">
        <f ca="1">IFERROR(__xludf.DUMMYFUNCTION("""COMPUTED_VALUE"""),"cbab")</f>
        <v>cbab</v>
      </c>
      <c r="C3196" s="2" t="str">
        <f ca="1">IFERROR(__xludf.DUMMYFUNCTION("""COMPUTED_VALUE"""),"CreBit")</f>
        <v>CreBit</v>
      </c>
    </row>
    <row r="3197" spans="1:3" x14ac:dyDescent="0.25">
      <c r="A3197" s="2" t="str">
        <f ca="1">IFERROR(__xludf.DUMMYFUNCTION("""COMPUTED_VALUE"""),"credbull")</f>
        <v>credbull</v>
      </c>
      <c r="B3197" s="2" t="str">
        <f ca="1">IFERROR(__xludf.DUMMYFUNCTION("""COMPUTED_VALUE"""),"$cbl")</f>
        <v>$cbl</v>
      </c>
      <c r="C3197" s="2" t="str">
        <f ca="1">IFERROR(__xludf.DUMMYFUNCTION("""COMPUTED_VALUE"""),"Credbull")</f>
        <v>Credbull</v>
      </c>
    </row>
    <row r="3198" spans="1:3" x14ac:dyDescent="0.25">
      <c r="A3198" s="2" t="str">
        <f ca="1">IFERROR(__xludf.DUMMYFUNCTION("""COMPUTED_VALUE"""),"cred-coin-pay")</f>
        <v>cred-coin-pay</v>
      </c>
      <c r="B3198" s="2" t="str">
        <f ca="1">IFERROR(__xludf.DUMMYFUNCTION("""COMPUTED_VALUE"""),"cred")</f>
        <v>cred</v>
      </c>
      <c r="C3198" s="2" t="str">
        <f ca="1">IFERROR(__xludf.DUMMYFUNCTION("""COMPUTED_VALUE"""),"CRED COIN PAY")</f>
        <v>CRED COIN PAY</v>
      </c>
    </row>
    <row r="3199" spans="1:3" x14ac:dyDescent="0.25">
      <c r="A3199" s="2" t="str">
        <f ca="1">IFERROR(__xludf.DUMMYFUNCTION("""COMPUTED_VALUE"""),"credefi")</f>
        <v>credefi</v>
      </c>
      <c r="B3199" s="2" t="str">
        <f ca="1">IFERROR(__xludf.DUMMYFUNCTION("""COMPUTED_VALUE"""),"credi")</f>
        <v>credi</v>
      </c>
      <c r="C3199" s="2" t="str">
        <f ca="1">IFERROR(__xludf.DUMMYFUNCTION("""COMPUTED_VALUE"""),"Credefi")</f>
        <v>Credefi</v>
      </c>
    </row>
    <row r="3200" spans="1:3" x14ac:dyDescent="0.25">
      <c r="A3200" s="2" t="str">
        <f ca="1">IFERROR(__xludf.DUMMYFUNCTION("""COMPUTED_VALUE"""),"credit-2")</f>
        <v>credit-2</v>
      </c>
      <c r="B3200" s="2" t="str">
        <f ca="1">IFERROR(__xludf.DUMMYFUNCTION("""COMPUTED_VALUE"""),"credit")</f>
        <v>credit</v>
      </c>
      <c r="C3200" s="2" t="str">
        <f ca="1">IFERROR(__xludf.DUMMYFUNCTION("""COMPUTED_VALUE"""),"PROXI DeFi")</f>
        <v>PROXI DeFi</v>
      </c>
    </row>
    <row r="3201" spans="1:3" x14ac:dyDescent="0.25">
      <c r="A3201" s="2" t="str">
        <f ca="1">IFERROR(__xludf.DUMMYFUNCTION("""COMPUTED_VALUE"""),"credit-check-coin")</f>
        <v>credit-check-coin</v>
      </c>
      <c r="B3201" s="2" t="str">
        <f ca="1">IFERROR(__xludf.DUMMYFUNCTION("""COMPUTED_VALUE"""),"ccc")</f>
        <v>ccc</v>
      </c>
      <c r="C3201" s="2" t="str">
        <f ca="1">IFERROR(__xludf.DUMMYFUNCTION("""COMPUTED_VALUE"""),"Credit Check Coin")</f>
        <v>Credit Check Coin</v>
      </c>
    </row>
    <row r="3202" spans="1:3" x14ac:dyDescent="0.25">
      <c r="A3202" s="2" t="str">
        <f ca="1">IFERROR(__xludf.DUMMYFUNCTION("""COMPUTED_VALUE"""),"creditcoin-2")</f>
        <v>creditcoin-2</v>
      </c>
      <c r="B3202" s="2" t="str">
        <f ca="1">IFERROR(__xludf.DUMMYFUNCTION("""COMPUTED_VALUE"""),"ctc")</f>
        <v>ctc</v>
      </c>
      <c r="C3202" s="2" t="str">
        <f ca="1">IFERROR(__xludf.DUMMYFUNCTION("""COMPUTED_VALUE"""),"Creditcoin")</f>
        <v>Creditcoin</v>
      </c>
    </row>
    <row r="3203" spans="1:3" x14ac:dyDescent="0.25">
      <c r="A3203" s="2" t="str">
        <f ca="1">IFERROR(__xludf.DUMMYFUNCTION("""COMPUTED_VALUE"""),"credits")</f>
        <v>credits</v>
      </c>
      <c r="B3203" s="2" t="str">
        <f ca="1">IFERROR(__xludf.DUMMYFUNCTION("""COMPUTED_VALUE"""),"cs")</f>
        <v>cs</v>
      </c>
      <c r="C3203" s="2" t="str">
        <f ca="1">IFERROR(__xludf.DUMMYFUNCTION("""COMPUTED_VALUE"""),"CREDITS")</f>
        <v>CREDITS</v>
      </c>
    </row>
    <row r="3204" spans="1:3" x14ac:dyDescent="0.25">
      <c r="A3204" s="2" t="str">
        <f ca="1">IFERROR(__xludf.DUMMYFUNCTION("""COMPUTED_VALUE"""),"creo-engine")</f>
        <v>creo-engine</v>
      </c>
      <c r="B3204" s="2" t="str">
        <f ca="1">IFERROR(__xludf.DUMMYFUNCTION("""COMPUTED_VALUE"""),"creo")</f>
        <v>creo</v>
      </c>
      <c r="C3204" s="2" t="str">
        <f ca="1">IFERROR(__xludf.DUMMYFUNCTION("""COMPUTED_VALUE"""),"Creo Engine")</f>
        <v>Creo Engine</v>
      </c>
    </row>
    <row r="3205" spans="1:3" x14ac:dyDescent="0.25">
      <c r="A3205" s="2" t="str">
        <f ca="1">IFERROR(__xludf.DUMMYFUNCTION("""COMPUTED_VALUE"""),"crepe")</f>
        <v>crepe</v>
      </c>
      <c r="B3205" s="2" t="str">
        <f ca="1">IFERROR(__xludf.DUMMYFUNCTION("""COMPUTED_VALUE"""),"cre")</f>
        <v>cre</v>
      </c>
      <c r="C3205" s="2" t="str">
        <f ca="1">IFERROR(__xludf.DUMMYFUNCTION("""COMPUTED_VALUE"""),"CREPE")</f>
        <v>CREPE</v>
      </c>
    </row>
    <row r="3206" spans="1:3" x14ac:dyDescent="0.25">
      <c r="A3206" s="2" t="str">
        <f ca="1">IFERROR(__xludf.DUMMYFUNCTION("""COMPUTED_VALUE"""),"crescentswap-moonlight")</f>
        <v>crescentswap-moonlight</v>
      </c>
      <c r="B3206" s="2" t="str">
        <f ca="1">IFERROR(__xludf.DUMMYFUNCTION("""COMPUTED_VALUE"""),"mnlt")</f>
        <v>mnlt</v>
      </c>
      <c r="C3206" s="2" t="str">
        <f ca="1">IFERROR(__xludf.DUMMYFUNCTION("""COMPUTED_VALUE"""),"Crescentswap Moonlight")</f>
        <v>Crescentswap Moonlight</v>
      </c>
    </row>
    <row r="3207" spans="1:3" x14ac:dyDescent="0.25">
      <c r="A3207" s="2" t="str">
        <f ca="1">IFERROR(__xludf.DUMMYFUNCTION("""COMPUTED_VALUE"""),"cresio")</f>
        <v>cresio</v>
      </c>
      <c r="B3207" s="2" t="str">
        <f ca="1">IFERROR(__xludf.DUMMYFUNCTION("""COMPUTED_VALUE"""),"xcre")</f>
        <v>xcre</v>
      </c>
      <c r="C3207" s="2" t="str">
        <f ca="1">IFERROR(__xludf.DUMMYFUNCTION("""COMPUTED_VALUE"""),"Cresio")</f>
        <v>Cresio</v>
      </c>
    </row>
    <row r="3208" spans="1:3" x14ac:dyDescent="0.25">
      <c r="A3208" s="2" t="str">
        <f ca="1">IFERROR(__xludf.DUMMYFUNCTION("""COMPUTED_VALUE"""),"creso")</f>
        <v>creso</v>
      </c>
      <c r="B3208" s="2" t="str">
        <f ca="1">IFERROR(__xludf.DUMMYFUNCTION("""COMPUTED_VALUE"""),"cre")</f>
        <v>cre</v>
      </c>
      <c r="C3208" s="2" t="str">
        <f ca="1">IFERROR(__xludf.DUMMYFUNCTION("""COMPUTED_VALUE"""),"Creso [OLD]")</f>
        <v>Creso [OLD]</v>
      </c>
    </row>
    <row r="3209" spans="1:3" x14ac:dyDescent="0.25">
      <c r="A3209" s="2" t="str">
        <f ca="1">IFERROR(__xludf.DUMMYFUNCTION("""COMPUTED_VALUE"""),"creso-2")</f>
        <v>creso-2</v>
      </c>
      <c r="B3209" s="2" t="str">
        <f ca="1">IFERROR(__xludf.DUMMYFUNCTION("""COMPUTED_VALUE"""),"cre")</f>
        <v>cre</v>
      </c>
      <c r="C3209" s="2" t="str">
        <f ca="1">IFERROR(__xludf.DUMMYFUNCTION("""COMPUTED_VALUE"""),"Creso")</f>
        <v>Creso</v>
      </c>
    </row>
    <row r="3210" spans="1:3" x14ac:dyDescent="0.25">
      <c r="A3210" s="2" t="str">
        <f ca="1">IFERROR(__xludf.DUMMYFUNCTION("""COMPUTED_VALUE"""),"creta-world")</f>
        <v>creta-world</v>
      </c>
      <c r="B3210" s="2" t="str">
        <f ca="1">IFERROR(__xludf.DUMMYFUNCTION("""COMPUTED_VALUE"""),"creta")</f>
        <v>creta</v>
      </c>
      <c r="C3210" s="2" t="str">
        <f ca="1">IFERROR(__xludf.DUMMYFUNCTION("""COMPUTED_VALUE"""),"Creta World")</f>
        <v>Creta World</v>
      </c>
    </row>
    <row r="3211" spans="1:3" x14ac:dyDescent="0.25">
      <c r="A3211" s="2" t="str">
        <f ca="1">IFERROR(__xludf.DUMMYFUNCTION("""COMPUTED_VALUE"""),"cri3x")</f>
        <v>cri3x</v>
      </c>
      <c r="B3211" s="2" t="str">
        <f ca="1">IFERROR(__xludf.DUMMYFUNCTION("""COMPUTED_VALUE"""),"cri3x")</f>
        <v>cri3x</v>
      </c>
      <c r="C3211" s="2" t="str">
        <f ca="1">IFERROR(__xludf.DUMMYFUNCTION("""COMPUTED_VALUE"""),"Cri3x")</f>
        <v>Cri3x</v>
      </c>
    </row>
    <row r="3212" spans="1:3" x14ac:dyDescent="0.25">
      <c r="A3212" s="2" t="str">
        <f ca="1">IFERROR(__xludf.DUMMYFUNCTION("""COMPUTED_VALUE"""),"cricket-foundation")</f>
        <v>cricket-foundation</v>
      </c>
      <c r="B3212" s="2" t="str">
        <f ca="1">IFERROR(__xludf.DUMMYFUNCTION("""COMPUTED_VALUE"""),"cric")</f>
        <v>cric</v>
      </c>
      <c r="C3212" s="2" t="str">
        <f ca="1">IFERROR(__xludf.DUMMYFUNCTION("""COMPUTED_VALUE"""),"Cricket Foundation")</f>
        <v>Cricket Foundation</v>
      </c>
    </row>
    <row r="3213" spans="1:3" x14ac:dyDescent="0.25">
      <c r="A3213" s="2" t="str">
        <f ca="1">IFERROR(__xludf.DUMMYFUNCTION("""COMPUTED_VALUE"""),"cris-hensan")</f>
        <v>cris-hensan</v>
      </c>
      <c r="B3213" s="2" t="str">
        <f ca="1">IFERROR(__xludf.DUMMYFUNCTION("""COMPUTED_VALUE"""),"seat")</f>
        <v>seat</v>
      </c>
      <c r="C3213" s="2" t="str">
        <f ca="1">IFERROR(__xludf.DUMMYFUNCTION("""COMPUTED_VALUE"""),"Cris Hensan")</f>
        <v>Cris Hensan</v>
      </c>
    </row>
    <row r="3214" spans="1:3" x14ac:dyDescent="0.25">
      <c r="A3214" s="2" t="str">
        <f ca="1">IFERROR(__xludf.DUMMYFUNCTION("""COMPUTED_VALUE"""),"croakey")</f>
        <v>croakey</v>
      </c>
      <c r="B3214" s="2" t="str">
        <f ca="1">IFERROR(__xludf.DUMMYFUNCTION("""COMPUTED_VALUE"""),"croak")</f>
        <v>croak</v>
      </c>
      <c r="C3214" s="2" t="str">
        <f ca="1">IFERROR(__xludf.DUMMYFUNCTION("""COMPUTED_VALUE"""),"Croakey")</f>
        <v>Croakey</v>
      </c>
    </row>
    <row r="3215" spans="1:3" x14ac:dyDescent="0.25">
      <c r="A3215" s="2" t="str">
        <f ca="1">IFERROR(__xludf.DUMMYFUNCTION("""COMPUTED_VALUE"""),"croak_on_linea")</f>
        <v>croak_on_linea</v>
      </c>
      <c r="B3215" s="2" t="str">
        <f ca="1">IFERROR(__xludf.DUMMYFUNCTION("""COMPUTED_VALUE"""),"$croak")</f>
        <v>$croak</v>
      </c>
      <c r="C3215" s="2" t="str">
        <f ca="1">IFERROR(__xludf.DUMMYFUNCTION("""COMPUTED_VALUE"""),"Croak")</f>
        <v>Croak</v>
      </c>
    </row>
    <row r="3216" spans="1:3" x14ac:dyDescent="0.25">
      <c r="A3216" s="2" t="str">
        <f ca="1">IFERROR(__xludf.DUMMYFUNCTION("""COMPUTED_VALUE"""),"croatian-ff-fan-token")</f>
        <v>croatian-ff-fan-token</v>
      </c>
      <c r="B3216" s="2" t="str">
        <f ca="1">IFERROR(__xludf.DUMMYFUNCTION("""COMPUTED_VALUE"""),"vatreni")</f>
        <v>vatreni</v>
      </c>
      <c r="C3216" s="2" t="str">
        <f ca="1">IFERROR(__xludf.DUMMYFUNCTION("""COMPUTED_VALUE"""),"Croatian FF Fan Token")</f>
        <v>Croatian FF Fan Token</v>
      </c>
    </row>
    <row r="3217" spans="1:3" x14ac:dyDescent="0.25">
      <c r="A3217" s="2" t="str">
        <f ca="1">IFERROR(__xludf.DUMMYFUNCTION("""COMPUTED_VALUE"""),"crob-mob")</f>
        <v>crob-mob</v>
      </c>
      <c r="B3217" s="2" t="str">
        <f ca="1">IFERROR(__xludf.DUMMYFUNCTION("""COMPUTED_VALUE"""),"crob")</f>
        <v>crob</v>
      </c>
      <c r="C3217" s="2" t="str">
        <f ca="1">IFERROR(__xludf.DUMMYFUNCTION("""COMPUTED_VALUE"""),"Crob Mob")</f>
        <v>Crob Mob</v>
      </c>
    </row>
    <row r="3218" spans="1:3" x14ac:dyDescent="0.25">
      <c r="A3218" s="2" t="str">
        <f ca="1">IFERROR(__xludf.DUMMYFUNCTION("""COMPUTED_VALUE"""),"crocbot")</f>
        <v>crocbot</v>
      </c>
      <c r="B3218" s="2" t="str">
        <f ca="1">IFERROR(__xludf.DUMMYFUNCTION("""COMPUTED_VALUE"""),"croc")</f>
        <v>croc</v>
      </c>
      <c r="C3218" s="2" t="str">
        <f ca="1">IFERROR(__xludf.DUMMYFUNCTION("""COMPUTED_VALUE"""),"CrocBot")</f>
        <v>CrocBot</v>
      </c>
    </row>
    <row r="3219" spans="1:3" x14ac:dyDescent="0.25">
      <c r="A3219" s="2" t="str">
        <f ca="1">IFERROR(__xludf.DUMMYFUNCTION("""COMPUTED_VALUE"""),"croc-cat")</f>
        <v>croc-cat</v>
      </c>
      <c r="B3219" s="2" t="str">
        <f ca="1">IFERROR(__xludf.DUMMYFUNCTION("""COMPUTED_VALUE"""),"croc")</f>
        <v>croc</v>
      </c>
      <c r="C3219" s="2" t="str">
        <f ca="1">IFERROR(__xludf.DUMMYFUNCTION("""COMPUTED_VALUE"""),"croc cat")</f>
        <v>croc cat</v>
      </c>
    </row>
    <row r="3220" spans="1:3" x14ac:dyDescent="0.25">
      <c r="A3220" s="2" t="str">
        <f ca="1">IFERROR(__xludf.DUMMYFUNCTION("""COMPUTED_VALUE"""),"crocdog")</f>
        <v>crocdog</v>
      </c>
      <c r="B3220" s="2" t="str">
        <f ca="1">IFERROR(__xludf.DUMMYFUNCTION("""COMPUTED_VALUE"""),"crocdog")</f>
        <v>crocdog</v>
      </c>
      <c r="C3220" s="2" t="str">
        <f ca="1">IFERROR(__xludf.DUMMYFUNCTION("""COMPUTED_VALUE"""),"Crocdog")</f>
        <v>Crocdog</v>
      </c>
    </row>
    <row r="3221" spans="1:3" x14ac:dyDescent="0.25">
      <c r="A3221" s="2" t="str">
        <f ca="1">IFERROR(__xludf.DUMMYFUNCTION("""COMPUTED_VALUE"""),"crochet-world")</f>
        <v>crochet-world</v>
      </c>
      <c r="B3221" s="2" t="str">
        <f ca="1">IFERROR(__xludf.DUMMYFUNCTION("""COMPUTED_VALUE"""),"crochet")</f>
        <v>crochet</v>
      </c>
      <c r="C3221" s="2" t="str">
        <f ca="1">IFERROR(__xludf.DUMMYFUNCTION("""COMPUTED_VALUE"""),"Crochet World")</f>
        <v>Crochet World</v>
      </c>
    </row>
    <row r="3222" spans="1:3" x14ac:dyDescent="0.25">
      <c r="A3222" s="2" t="str">
        <f ca="1">IFERROR(__xludf.DUMMYFUNCTION("""COMPUTED_VALUE"""),"croco")</f>
        <v>croco</v>
      </c>
      <c r="B3222" s="2" t="str">
        <f ca="1">IFERROR(__xludf.DUMMYFUNCTION("""COMPUTED_VALUE"""),"$croco")</f>
        <v>$croco</v>
      </c>
      <c r="C3222" s="2" t="str">
        <f ca="1">IFERROR(__xludf.DUMMYFUNCTION("""COMPUTED_VALUE"""),"Croco")</f>
        <v>Croco</v>
      </c>
    </row>
    <row r="3223" spans="1:3" x14ac:dyDescent="0.25">
      <c r="A3223" s="2" t="str">
        <f ca="1">IFERROR(__xludf.DUMMYFUNCTION("""COMPUTED_VALUE"""),"crodex")</f>
        <v>crodex</v>
      </c>
      <c r="B3223" s="2" t="str">
        <f ca="1">IFERROR(__xludf.DUMMYFUNCTION("""COMPUTED_VALUE"""),"crx")</f>
        <v>crx</v>
      </c>
      <c r="C3223" s="2" t="str">
        <f ca="1">IFERROR(__xludf.DUMMYFUNCTION("""COMPUTED_VALUE"""),"Crodex")</f>
        <v>Crodex</v>
      </c>
    </row>
    <row r="3224" spans="1:3" x14ac:dyDescent="0.25">
      <c r="A3224" s="2" t="str">
        <f ca="1">IFERROR(__xludf.DUMMYFUNCTION("""COMPUTED_VALUE"""),"crodie")</f>
        <v>crodie</v>
      </c>
      <c r="B3224" s="2" t="str">
        <f ca="1">IFERROR(__xludf.DUMMYFUNCTION("""COMPUTED_VALUE"""),"crodie")</f>
        <v>crodie</v>
      </c>
      <c r="C3224" s="2" t="str">
        <f ca="1">IFERROR(__xludf.DUMMYFUNCTION("""COMPUTED_VALUE"""),"Crodie")</f>
        <v>Crodie</v>
      </c>
    </row>
    <row r="3225" spans="1:3" x14ac:dyDescent="0.25">
      <c r="A3225" s="2" t="str">
        <f ca="1">IFERROR(__xludf.DUMMYFUNCTION("""COMPUTED_VALUE"""),"crofam")</f>
        <v>crofam</v>
      </c>
      <c r="B3225" s="2" t="str">
        <f ca="1">IFERROR(__xludf.DUMMYFUNCTION("""COMPUTED_VALUE"""),"crofam")</f>
        <v>crofam</v>
      </c>
      <c r="C3225" s="2" t="str">
        <f ca="1">IFERROR(__xludf.DUMMYFUNCTION("""COMPUTED_VALUE"""),"CroFam")</f>
        <v>CroFam</v>
      </c>
    </row>
    <row r="3226" spans="1:3" x14ac:dyDescent="0.25">
      <c r="A3226" s="2" t="str">
        <f ca="1">IFERROR(__xludf.DUMMYFUNCTION("""COMPUTED_VALUE"""),"crogecoin")</f>
        <v>crogecoin</v>
      </c>
      <c r="B3226" s="2" t="str">
        <f ca="1">IFERROR(__xludf.DUMMYFUNCTION("""COMPUTED_VALUE"""),"croge")</f>
        <v>croge</v>
      </c>
      <c r="C3226" s="2" t="str">
        <f ca="1">IFERROR(__xludf.DUMMYFUNCTION("""COMPUTED_VALUE"""),"Crogecoin")</f>
        <v>Crogecoin</v>
      </c>
    </row>
    <row r="3227" spans="1:3" x14ac:dyDescent="0.25">
      <c r="A3227" s="2" t="str">
        <f ca="1">IFERROR(__xludf.DUMMYFUNCTION("""COMPUTED_VALUE"""),"croginal-cats")</f>
        <v>croginal-cats</v>
      </c>
      <c r="B3227" s="2" t="str">
        <f ca="1">IFERROR(__xludf.DUMMYFUNCTION("""COMPUTED_VALUE"""),"croginal")</f>
        <v>croginal</v>
      </c>
      <c r="C3227" s="2" t="str">
        <f ca="1">IFERROR(__xludf.DUMMYFUNCTION("""COMPUTED_VALUE"""),"Croginal Cats")</f>
        <v>Croginal Cats</v>
      </c>
    </row>
    <row r="3228" spans="1:3" x14ac:dyDescent="0.25">
      <c r="A3228" s="2" t="str">
        <f ca="1">IFERROR(__xludf.DUMMYFUNCTION("""COMPUTED_VALUE"""),"croissant-games")</f>
        <v>croissant-games</v>
      </c>
      <c r="B3228" s="2" t="str">
        <f ca="1">IFERROR(__xludf.DUMMYFUNCTION("""COMPUTED_VALUE"""),"croissant")</f>
        <v>croissant</v>
      </c>
      <c r="C3228" s="2" t="str">
        <f ca="1">IFERROR(__xludf.DUMMYFUNCTION("""COMPUTED_VALUE"""),"Croissant Games")</f>
        <v>Croissant Games</v>
      </c>
    </row>
    <row r="3229" spans="1:3" x14ac:dyDescent="0.25">
      <c r="A3229" s="2" t="str">
        <f ca="1">IFERROR(__xludf.DUMMYFUNCTION("""COMPUTED_VALUE"""),"croking")</f>
        <v>croking</v>
      </c>
      <c r="B3229" s="2" t="str">
        <f ca="1">IFERROR(__xludf.DUMMYFUNCTION("""COMPUTED_VALUE"""),"crk")</f>
        <v>crk</v>
      </c>
      <c r="C3229" s="2" t="str">
        <f ca="1">IFERROR(__xludf.DUMMYFUNCTION("""COMPUTED_VALUE"""),"Croking")</f>
        <v>Croking</v>
      </c>
    </row>
    <row r="3230" spans="1:3" x14ac:dyDescent="0.25">
      <c r="A3230" s="2" t="str">
        <f ca="1">IFERROR(__xludf.DUMMYFUNCTION("""COMPUTED_VALUE"""),"crolon-mars")</f>
        <v>crolon-mars</v>
      </c>
      <c r="B3230" s="2" t="str">
        <f ca="1">IFERROR(__xludf.DUMMYFUNCTION("""COMPUTED_VALUE"""),"zkclmrs")</f>
        <v>zkclmrs</v>
      </c>
      <c r="C3230" s="2" t="str">
        <f ca="1">IFERROR(__xludf.DUMMYFUNCTION("""COMPUTED_VALUE"""),"zk Crolon Mars")</f>
        <v>zk Crolon Mars</v>
      </c>
    </row>
    <row r="3231" spans="1:3" x14ac:dyDescent="0.25">
      <c r="A3231" s="2" t="str">
        <f ca="1">IFERROR(__xludf.DUMMYFUNCTION("""COMPUTED_VALUE"""),"cronaswap")</f>
        <v>cronaswap</v>
      </c>
      <c r="B3231" s="2" t="str">
        <f ca="1">IFERROR(__xludf.DUMMYFUNCTION("""COMPUTED_VALUE"""),"crona")</f>
        <v>crona</v>
      </c>
      <c r="C3231" s="2" t="str">
        <f ca="1">IFERROR(__xludf.DUMMYFUNCTION("""COMPUTED_VALUE"""),"CronaSwap")</f>
        <v>CronaSwap</v>
      </c>
    </row>
    <row r="3232" spans="1:3" x14ac:dyDescent="0.25">
      <c r="A3232" s="2" t="str">
        <f ca="1">IFERROR(__xludf.DUMMYFUNCTION("""COMPUTED_VALUE"""),"cronk")</f>
        <v>cronk</v>
      </c>
      <c r="B3232" s="2" t="str">
        <f ca="1">IFERROR(__xludf.DUMMYFUNCTION("""COMPUTED_VALUE"""),"cronk")</f>
        <v>cronk</v>
      </c>
      <c r="C3232" s="2" t="str">
        <f ca="1">IFERROR(__xludf.DUMMYFUNCTION("""COMPUTED_VALUE"""),"CRONK")</f>
        <v>CRONK</v>
      </c>
    </row>
    <row r="3233" spans="1:3" x14ac:dyDescent="0.25">
      <c r="A3233" s="2" t="str">
        <f ca="1">IFERROR(__xludf.DUMMYFUNCTION("""COMPUTED_VALUE"""),"crononymous")</f>
        <v>crononymous</v>
      </c>
      <c r="B3233" s="2" t="str">
        <f ca="1">IFERROR(__xludf.DUMMYFUNCTION("""COMPUTED_VALUE"""),"cronon")</f>
        <v>cronon</v>
      </c>
      <c r="C3233" s="2" t="str">
        <f ca="1">IFERROR(__xludf.DUMMYFUNCTION("""COMPUTED_VALUE"""),"Crononymous")</f>
        <v>Crononymous</v>
      </c>
    </row>
    <row r="3234" spans="1:3" x14ac:dyDescent="0.25">
      <c r="A3234" s="2" t="str">
        <f ca="1">IFERROR(__xludf.DUMMYFUNCTION("""COMPUTED_VALUE"""),"cronos-bridged-usdc-cronos")</f>
        <v>cronos-bridged-usdc-cronos</v>
      </c>
      <c r="B3234" s="2" t="str">
        <f ca="1">IFERROR(__xludf.DUMMYFUNCTION("""COMPUTED_VALUE"""),"usdc")</f>
        <v>usdc</v>
      </c>
      <c r="C3234" s="2" t="str">
        <f ca="1">IFERROR(__xludf.DUMMYFUNCTION("""COMPUTED_VALUE"""),"Cronos Bridged USDC (Cronos)")</f>
        <v>Cronos Bridged USDC (Cronos)</v>
      </c>
    </row>
    <row r="3235" spans="1:3" x14ac:dyDescent="0.25">
      <c r="A3235" s="2" t="str">
        <f ca="1">IFERROR(__xludf.DUMMYFUNCTION("""COMPUTED_VALUE"""),"cronos-bridged-usdt-cronos")</f>
        <v>cronos-bridged-usdt-cronos</v>
      </c>
      <c r="B3235" s="2" t="str">
        <f ca="1">IFERROR(__xludf.DUMMYFUNCTION("""COMPUTED_VALUE"""),"usdt")</f>
        <v>usdt</v>
      </c>
      <c r="C3235" s="2" t="str">
        <f ca="1">IFERROR(__xludf.DUMMYFUNCTION("""COMPUTED_VALUE"""),"Cronos Bridged USDT (Cronos)")</f>
        <v>Cronos Bridged USDT (Cronos)</v>
      </c>
    </row>
    <row r="3236" spans="1:3" x14ac:dyDescent="0.25">
      <c r="A3236" s="2" t="str">
        <f ca="1">IFERROR(__xludf.DUMMYFUNCTION("""COMPUTED_VALUE"""),"cronos-bridged-wbtc-cronos")</f>
        <v>cronos-bridged-wbtc-cronos</v>
      </c>
      <c r="B3236" s="2" t="str">
        <f ca="1">IFERROR(__xludf.DUMMYFUNCTION("""COMPUTED_VALUE"""),"wbtc")</f>
        <v>wbtc</v>
      </c>
      <c r="C3236" s="2" t="str">
        <f ca="1">IFERROR(__xludf.DUMMYFUNCTION("""COMPUTED_VALUE"""),"Cronos Bridged WBTC (Cronos)")</f>
        <v>Cronos Bridged WBTC (Cronos)</v>
      </c>
    </row>
    <row r="3237" spans="1:3" x14ac:dyDescent="0.25">
      <c r="A3237" s="2" t="str">
        <f ca="1">IFERROR(__xludf.DUMMYFUNCTION("""COMPUTED_VALUE"""),"cronos-id")</f>
        <v>cronos-id</v>
      </c>
      <c r="B3237" s="2" t="str">
        <f ca="1">IFERROR(__xludf.DUMMYFUNCTION("""COMPUTED_VALUE"""),"croid")</f>
        <v>croid</v>
      </c>
      <c r="C3237" s="2" t="str">
        <f ca="1">IFERROR(__xludf.DUMMYFUNCTION("""COMPUTED_VALUE"""),"Cronos ID")</f>
        <v>Cronos ID</v>
      </c>
    </row>
    <row r="3238" spans="1:3" x14ac:dyDescent="0.25">
      <c r="A3238" s="2" t="str">
        <f ca="1">IFERROR(__xludf.DUMMYFUNCTION("""COMPUTED_VALUE"""),"cronosverse")</f>
        <v>cronosverse</v>
      </c>
      <c r="B3238" s="2" t="str">
        <f ca="1">IFERROR(__xludf.DUMMYFUNCTION("""COMPUTED_VALUE"""),"vrse")</f>
        <v>vrse</v>
      </c>
      <c r="C3238" s="2" t="str">
        <f ca="1">IFERROR(__xludf.DUMMYFUNCTION("""COMPUTED_VALUE"""),"CronosVerse")</f>
        <v>CronosVerse</v>
      </c>
    </row>
    <row r="3239" spans="1:3" x14ac:dyDescent="0.25">
      <c r="A3239" s="2" t="str">
        <f ca="1">IFERROR(__xludf.DUMMYFUNCTION("""COMPUTED_VALUE"""),"cronos-zkevm-bridged-cro-cronos-zkevm")</f>
        <v>cronos-zkevm-bridged-cro-cronos-zkevm</v>
      </c>
      <c r="B3239" s="2" t="str">
        <f ca="1">IFERROR(__xludf.DUMMYFUNCTION("""COMPUTED_VALUE"""),"cro")</f>
        <v>cro</v>
      </c>
      <c r="C3239" s="2" t="str">
        <f ca="1">IFERROR(__xludf.DUMMYFUNCTION("""COMPUTED_VALUE"""),"Cronos zkEVM Bridged CRO (Cronos zkEVM)")</f>
        <v>Cronos zkEVM Bridged CRO (Cronos zkEVM)</v>
      </c>
    </row>
    <row r="3240" spans="1:3" x14ac:dyDescent="0.25">
      <c r="A3240" s="2" t="str">
        <f ca="1">IFERROR(__xludf.DUMMYFUNCTION("""COMPUTED_VALUE"""),"cronos-zkevm-bridged-usdc-cronos-zkevm")</f>
        <v>cronos-zkevm-bridged-usdc-cronos-zkevm</v>
      </c>
      <c r="B3240" s="2" t="str">
        <f ca="1">IFERROR(__xludf.DUMMYFUNCTION("""COMPUTED_VALUE"""),"usdc")</f>
        <v>usdc</v>
      </c>
      <c r="C3240" s="2" t="str">
        <f ca="1">IFERROR(__xludf.DUMMYFUNCTION("""COMPUTED_VALUE"""),"Cronos zkEVM Bridged USDC (Cronos zkEVM)")</f>
        <v>Cronos zkEVM Bridged USDC (Cronos zkEVM)</v>
      </c>
    </row>
    <row r="3241" spans="1:3" x14ac:dyDescent="0.25">
      <c r="A3241" s="2" t="str">
        <f ca="1">IFERROR(__xludf.DUMMYFUNCTION("""COMPUTED_VALUE"""),"cronos-zkevm-bridged-wbtc-cronos-zkevm")</f>
        <v>cronos-zkevm-bridged-wbtc-cronos-zkevm</v>
      </c>
      <c r="B3241" s="2" t="str">
        <f ca="1">IFERROR(__xludf.DUMMYFUNCTION("""COMPUTED_VALUE"""),"wbtc")</f>
        <v>wbtc</v>
      </c>
      <c r="C3241" s="2" t="str">
        <f ca="1">IFERROR(__xludf.DUMMYFUNCTION("""COMPUTED_VALUE"""),"Cronos zkEVM Bridged WBTC (Cronos zkEVM)")</f>
        <v>Cronos zkEVM Bridged WBTC (Cronos zkEVM)</v>
      </c>
    </row>
    <row r="3242" spans="1:3" x14ac:dyDescent="0.25">
      <c r="A3242" s="2" t="str">
        <f ca="1">IFERROR(__xludf.DUMMYFUNCTION("""COMPUTED_VALUE"""),"cronos-zkevm-cro")</f>
        <v>cronos-zkevm-cro</v>
      </c>
      <c r="B3242" s="2" t="str">
        <f ca="1">IFERROR(__xludf.DUMMYFUNCTION("""COMPUTED_VALUE"""),"zkcro")</f>
        <v>zkcro</v>
      </c>
      <c r="C3242" s="2" t="str">
        <f ca="1">IFERROR(__xludf.DUMMYFUNCTION("""COMPUTED_VALUE"""),"Cronos zkEVM CRO")</f>
        <v>Cronos zkEVM CRO</v>
      </c>
    </row>
    <row r="3243" spans="1:3" x14ac:dyDescent="0.25">
      <c r="A3243" s="2" t="str">
        <f ca="1">IFERROR(__xludf.DUMMYFUNCTION("""COMPUTED_VALUE"""),"cronus")</f>
        <v>cronus</v>
      </c>
      <c r="B3243" s="2" t="str">
        <f ca="1">IFERROR(__xludf.DUMMYFUNCTION("""COMPUTED_VALUE"""),"cronus")</f>
        <v>cronus</v>
      </c>
      <c r="C3243" s="2" t="str">
        <f ca="1">IFERROR(__xludf.DUMMYFUNCTION("""COMPUTED_VALUE"""),"CRONUS")</f>
        <v>CRONUS</v>
      </c>
    </row>
    <row r="3244" spans="1:3" x14ac:dyDescent="0.25">
      <c r="A3244" s="2" t="str">
        <f ca="1">IFERROR(__xludf.DUMMYFUNCTION("""COMPUTED_VALUE"""),"cropbytes")</f>
        <v>cropbytes</v>
      </c>
      <c r="B3244" s="2" t="str">
        <f ca="1">IFERROR(__xludf.DUMMYFUNCTION("""COMPUTED_VALUE"""),"cbx")</f>
        <v>cbx</v>
      </c>
      <c r="C3244" s="2" t="str">
        <f ca="1">IFERROR(__xludf.DUMMYFUNCTION("""COMPUTED_VALUE"""),"CropBytes")</f>
        <v>CropBytes</v>
      </c>
    </row>
    <row r="3245" spans="1:3" x14ac:dyDescent="0.25">
      <c r="A3245" s="2" t="str">
        <f ca="1">IFERROR(__xludf.DUMMYFUNCTION("""COMPUTED_VALUE"""),"cropperfinance")</f>
        <v>cropperfinance</v>
      </c>
      <c r="B3245" s="2" t="str">
        <f ca="1">IFERROR(__xludf.DUMMYFUNCTION("""COMPUTED_VALUE"""),"crp")</f>
        <v>crp</v>
      </c>
      <c r="C3245" s="2" t="str">
        <f ca="1">IFERROR(__xludf.DUMMYFUNCTION("""COMPUTED_VALUE"""),"CropperFinance")</f>
        <v>CropperFinance</v>
      </c>
    </row>
    <row r="3246" spans="1:3" x14ac:dyDescent="0.25">
      <c r="A3246" s="2" t="str">
        <f ca="1">IFERROR(__xludf.DUMMYFUNCTION("""COMPUTED_VALUE"""),"cropto-barley-token")</f>
        <v>cropto-barley-token</v>
      </c>
      <c r="B3246" s="2" t="str">
        <f ca="1">IFERROR(__xludf.DUMMYFUNCTION("""COMPUTED_VALUE"""),"crob")</f>
        <v>crob</v>
      </c>
      <c r="C3246" s="2" t="str">
        <f ca="1">IFERROR(__xludf.DUMMYFUNCTION("""COMPUTED_VALUE"""),"Cropto Barley Token")</f>
        <v>Cropto Barley Token</v>
      </c>
    </row>
    <row r="3247" spans="1:3" x14ac:dyDescent="0.25">
      <c r="A3247" s="2" t="str">
        <f ca="1">IFERROR(__xludf.DUMMYFUNCTION("""COMPUTED_VALUE"""),"cropto-corn-token")</f>
        <v>cropto-corn-token</v>
      </c>
      <c r="B3247" s="2" t="str">
        <f ca="1">IFERROR(__xludf.DUMMYFUNCTION("""COMPUTED_VALUE"""),"croc")</f>
        <v>croc</v>
      </c>
      <c r="C3247" s="2" t="str">
        <f ca="1">IFERROR(__xludf.DUMMYFUNCTION("""COMPUTED_VALUE"""),"Cropto Corn Token")</f>
        <v>Cropto Corn Token</v>
      </c>
    </row>
    <row r="3248" spans="1:3" x14ac:dyDescent="0.25">
      <c r="A3248" s="2" t="str">
        <f ca="1">IFERROR(__xludf.DUMMYFUNCTION("""COMPUTED_VALUE"""),"cropto-hazelnut-token")</f>
        <v>cropto-hazelnut-token</v>
      </c>
      <c r="B3248" s="2" t="str">
        <f ca="1">IFERROR(__xludf.DUMMYFUNCTION("""COMPUTED_VALUE"""),"crof")</f>
        <v>crof</v>
      </c>
      <c r="C3248" s="2" t="str">
        <f ca="1">IFERROR(__xludf.DUMMYFUNCTION("""COMPUTED_VALUE"""),"Cropto Hazelnut Token")</f>
        <v>Cropto Hazelnut Token</v>
      </c>
    </row>
    <row r="3249" spans="1:3" x14ac:dyDescent="0.25">
      <c r="A3249" s="2" t="str">
        <f ca="1">IFERROR(__xludf.DUMMYFUNCTION("""COMPUTED_VALUE"""),"cropto-wheat-token")</f>
        <v>cropto-wheat-token</v>
      </c>
      <c r="B3249" s="2" t="str">
        <f ca="1">IFERROR(__xludf.DUMMYFUNCTION("""COMPUTED_VALUE"""),"crow")</f>
        <v>crow</v>
      </c>
      <c r="C3249" s="2" t="str">
        <f ca="1">IFERROR(__xludf.DUMMYFUNCTION("""COMPUTED_VALUE"""),"Cropto Wheat Token")</f>
        <v>Cropto Wheat Token</v>
      </c>
    </row>
    <row r="3250" spans="1:3" x14ac:dyDescent="0.25">
      <c r="A3250" s="2" t="str">
        <f ca="1">IFERROR(__xludf.DUMMYFUNCTION("""COMPUTED_VALUE"""),"cros")</f>
        <v>cros</v>
      </c>
      <c r="B3250" s="2" t="str">
        <f ca="1">IFERROR(__xludf.DUMMYFUNCTION("""COMPUTED_VALUE"""),"cros")</f>
        <v>cros</v>
      </c>
      <c r="C3250" s="2" t="str">
        <f ca="1">IFERROR(__xludf.DUMMYFUNCTION("""COMPUTED_VALUE"""),"Cros")</f>
        <v>Cros</v>
      </c>
    </row>
    <row r="3251" spans="1:3" x14ac:dyDescent="0.25">
      <c r="A3251" s="2" t="str">
        <f ca="1">IFERROR(__xludf.DUMMYFUNCTION("""COMPUTED_VALUE"""),"cross-chain-bridge")</f>
        <v>cross-chain-bridge</v>
      </c>
      <c r="B3251" s="2" t="str">
        <f ca="1">IFERROR(__xludf.DUMMYFUNCTION("""COMPUTED_VALUE"""),"bridge")</f>
        <v>bridge</v>
      </c>
      <c r="C3251" s="2" t="str">
        <f ca="1">IFERROR(__xludf.DUMMYFUNCTION("""COMPUTED_VALUE"""),"Cross-Chain Bridge")</f>
        <v>Cross-Chain Bridge</v>
      </c>
    </row>
    <row r="3252" spans="1:3" x14ac:dyDescent="0.25">
      <c r="A3252" s="2" t="str">
        <f ca="1">IFERROR(__xludf.DUMMYFUNCTION("""COMPUTED_VALUE"""),"cross-chain-degen-dao")</f>
        <v>cross-chain-degen-dao</v>
      </c>
      <c r="B3252" s="2" t="str">
        <f ca="1">IFERROR(__xludf.DUMMYFUNCTION("""COMPUTED_VALUE"""),"degen")</f>
        <v>degen</v>
      </c>
      <c r="C3252" s="2" t="str">
        <f ca="1">IFERROR(__xludf.DUMMYFUNCTION("""COMPUTED_VALUE"""),"Cross Chain Degen DAO")</f>
        <v>Cross Chain Degen DAO</v>
      </c>
    </row>
    <row r="3253" spans="1:3" x14ac:dyDescent="0.25">
      <c r="A3253" s="2" t="str">
        <f ca="1">IFERROR(__xludf.DUMMYFUNCTION("""COMPUTED_VALUE"""),"crosschain-iotx")</f>
        <v>crosschain-iotx</v>
      </c>
      <c r="B3253" s="2" t="str">
        <f ca="1">IFERROR(__xludf.DUMMYFUNCTION("""COMPUTED_VALUE"""),"ciotx")</f>
        <v>ciotx</v>
      </c>
      <c r="C3253" s="2" t="str">
        <f ca="1">IFERROR(__xludf.DUMMYFUNCTION("""COMPUTED_VALUE"""),"Crosschain IOTX")</f>
        <v>Crosschain IOTX</v>
      </c>
    </row>
    <row r="3254" spans="1:3" x14ac:dyDescent="0.25">
      <c r="A3254" s="2" t="str">
        <f ca="1">IFERROR(__xludf.DUMMYFUNCTION("""COMPUTED_VALUE"""),"crosscurve-bridged-eth-fantom")</f>
        <v>crosscurve-bridged-eth-fantom</v>
      </c>
      <c r="B3254" s="2" t="str">
        <f ca="1">IFERROR(__xludf.DUMMYFUNCTION("""COMPUTED_VALUE"""),"xweth")</f>
        <v>xweth</v>
      </c>
      <c r="C3254" s="2" t="str">
        <f ca="1">IFERROR(__xludf.DUMMYFUNCTION("""COMPUTED_VALUE"""),"CrossCurve Bridged ETH (Fantom)")</f>
        <v>CrossCurve Bridged ETH (Fantom)</v>
      </c>
    </row>
    <row r="3255" spans="1:3" x14ac:dyDescent="0.25">
      <c r="A3255" s="2" t="str">
        <f ca="1">IFERROR(__xludf.DUMMYFUNCTION("""COMPUTED_VALUE"""),"crosscurve-stable")</f>
        <v>crosscurve-stable</v>
      </c>
      <c r="B3255" s="2" t="str">
        <f ca="1">IFERROR(__xludf.DUMMYFUNCTION("""COMPUTED_VALUE"""),"xstable")</f>
        <v>xstable</v>
      </c>
      <c r="C3255" s="2" t="str">
        <f ca="1">IFERROR(__xludf.DUMMYFUNCTION("""COMPUTED_VALUE"""),"CrossCurve Stable")</f>
        <v>CrossCurve Stable</v>
      </c>
    </row>
    <row r="3256" spans="1:3" x14ac:dyDescent="0.25">
      <c r="A3256" s="2" t="str">
        <f ca="1">IFERROR(__xludf.DUMMYFUNCTION("""COMPUTED_VALUE"""),"crossdex")</f>
        <v>crossdex</v>
      </c>
      <c r="B3256" s="2" t="str">
        <f ca="1">IFERROR(__xludf.DUMMYFUNCTION("""COMPUTED_VALUE"""),"cdx")</f>
        <v>cdx</v>
      </c>
      <c r="C3256" s="2" t="str">
        <f ca="1">IFERROR(__xludf.DUMMYFUNCTION("""COMPUTED_VALUE"""),"CrossDEX")</f>
        <v>CrossDEX</v>
      </c>
    </row>
    <row r="3257" spans="1:3" x14ac:dyDescent="0.25">
      <c r="A3257" s="2" t="str">
        <f ca="1">IFERROR(__xludf.DUMMYFUNCTION("""COMPUTED_VALUE"""),"crossfi")</f>
        <v>crossfi</v>
      </c>
      <c r="B3257" s="2" t="str">
        <f ca="1">IFERROR(__xludf.DUMMYFUNCTION("""COMPUTED_VALUE"""),"crfi")</f>
        <v>crfi</v>
      </c>
      <c r="C3257" s="2" t="str">
        <f ca="1">IFERROR(__xludf.DUMMYFUNCTION("""COMPUTED_VALUE"""),"CrossFi")</f>
        <v>CrossFi</v>
      </c>
    </row>
    <row r="3258" spans="1:3" x14ac:dyDescent="0.25">
      <c r="A3258" s="2" t="str">
        <f ca="1">IFERROR(__xludf.DUMMYFUNCTION("""COMPUTED_VALUE"""),"crossfi-2")</f>
        <v>crossfi-2</v>
      </c>
      <c r="B3258" s="2" t="str">
        <f ca="1">IFERROR(__xludf.DUMMYFUNCTION("""COMPUTED_VALUE"""),"xfi")</f>
        <v>xfi</v>
      </c>
      <c r="C3258" s="2" t="str">
        <f ca="1">IFERROR(__xludf.DUMMYFUNCTION("""COMPUTED_VALUE"""),"CrossFi")</f>
        <v>CrossFi</v>
      </c>
    </row>
    <row r="3259" spans="1:3" x14ac:dyDescent="0.25">
      <c r="A3259" s="2" t="str">
        <f ca="1">IFERROR(__xludf.DUMMYFUNCTION("""COMPUTED_VALUE"""),"crossswap")</f>
        <v>crossswap</v>
      </c>
      <c r="B3259" s="2" t="str">
        <f ca="1">IFERROR(__xludf.DUMMYFUNCTION("""COMPUTED_VALUE"""),"cswap")</f>
        <v>cswap</v>
      </c>
      <c r="C3259" s="2" t="str">
        <f ca="1">IFERROR(__xludf.DUMMYFUNCTION("""COMPUTED_VALUE"""),"CrossSwap")</f>
        <v>CrossSwap</v>
      </c>
    </row>
    <row r="3260" spans="1:3" x14ac:dyDescent="0.25">
      <c r="A3260" s="2" t="str">
        <f ca="1">IFERROR(__xludf.DUMMYFUNCTION("""COMPUTED_VALUE"""),"cross-the-ages")</f>
        <v>cross-the-ages</v>
      </c>
      <c r="B3260" s="2" t="str">
        <f ca="1">IFERROR(__xludf.DUMMYFUNCTION("""COMPUTED_VALUE"""),"cta")</f>
        <v>cta</v>
      </c>
      <c r="C3260" s="2" t="str">
        <f ca="1">IFERROR(__xludf.DUMMYFUNCTION("""COMPUTED_VALUE"""),"Cross The Ages")</f>
        <v>Cross The Ages</v>
      </c>
    </row>
    <row r="3261" spans="1:3" x14ac:dyDescent="0.25">
      <c r="A3261" s="2" t="str">
        <f ca="1">IFERROR(__xludf.DUMMYFUNCTION("""COMPUTED_VALUE"""),"crosswallet")</f>
        <v>crosswallet</v>
      </c>
      <c r="B3261" s="2" t="str">
        <f ca="1">IFERROR(__xludf.DUMMYFUNCTION("""COMPUTED_VALUE"""),"cwt")</f>
        <v>cwt</v>
      </c>
      <c r="C3261" s="2" t="str">
        <f ca="1">IFERROR(__xludf.DUMMYFUNCTION("""COMPUTED_VALUE"""),"CrossWallet")</f>
        <v>CrossWallet</v>
      </c>
    </row>
    <row r="3262" spans="1:3" x14ac:dyDescent="0.25">
      <c r="A3262" s="2" t="str">
        <f ca="1">IFERROR(__xludf.DUMMYFUNCTION("""COMPUTED_VALUE"""),"crow")</f>
        <v>crow</v>
      </c>
      <c r="B3262" s="2" t="str">
        <f ca="1">IFERROR(__xludf.DUMMYFUNCTION("""COMPUTED_VALUE"""),"crow")</f>
        <v>crow</v>
      </c>
      <c r="C3262" s="2" t="str">
        <f ca="1">IFERROR(__xludf.DUMMYFUNCTION("""COMPUTED_VALUE"""),"Crow")</f>
        <v>Crow</v>
      </c>
    </row>
    <row r="3263" spans="1:3" x14ac:dyDescent="0.25">
      <c r="A3263" s="2" t="str">
        <f ca="1">IFERROR(__xludf.DUMMYFUNCTION("""COMPUTED_VALUE"""),"crowdswap")</f>
        <v>crowdswap</v>
      </c>
      <c r="B3263" s="2" t="str">
        <f ca="1">IFERROR(__xludf.DUMMYFUNCTION("""COMPUTED_VALUE"""),"crowd")</f>
        <v>crowd</v>
      </c>
      <c r="C3263" s="2" t="str">
        <f ca="1">IFERROR(__xludf.DUMMYFUNCTION("""COMPUTED_VALUE"""),"CrowdSwap")</f>
        <v>CrowdSwap</v>
      </c>
    </row>
    <row r="3264" spans="1:3" x14ac:dyDescent="0.25">
      <c r="A3264" s="2" t="str">
        <f ca="1">IFERROR(__xludf.DUMMYFUNCTION("""COMPUTED_VALUE"""),"crown")</f>
        <v>crown</v>
      </c>
      <c r="B3264" s="2" t="str">
        <f ca="1">IFERROR(__xludf.DUMMYFUNCTION("""COMPUTED_VALUE"""),"crw")</f>
        <v>crw</v>
      </c>
      <c r="C3264" s="2" t="str">
        <f ca="1">IFERROR(__xludf.DUMMYFUNCTION("""COMPUTED_VALUE"""),"Crown")</f>
        <v>Crown</v>
      </c>
    </row>
    <row r="3265" spans="1:3" x14ac:dyDescent="0.25">
      <c r="A3265" s="2" t="str">
        <f ca="1">IFERROR(__xludf.DUMMYFUNCTION("""COMPUTED_VALUE"""),"crown-by-third-time-games")</f>
        <v>crown-by-third-time-games</v>
      </c>
      <c r="B3265" s="2" t="str">
        <f ca="1">IFERROR(__xludf.DUMMYFUNCTION("""COMPUTED_VALUE"""),"crown")</f>
        <v>crown</v>
      </c>
      <c r="C3265" s="2" t="str">
        <f ca="1">IFERROR(__xludf.DUMMYFUNCTION("""COMPUTED_VALUE"""),"Crown by Third Time Games")</f>
        <v>Crown by Third Time Games</v>
      </c>
    </row>
    <row r="3266" spans="1:3" x14ac:dyDescent="0.25">
      <c r="A3266" s="2" t="str">
        <f ca="1">IFERROR(__xludf.DUMMYFUNCTION("""COMPUTED_VALUE"""),"crowns")</f>
        <v>crowns</v>
      </c>
      <c r="B3266" s="2" t="str">
        <f ca="1">IFERROR(__xludf.DUMMYFUNCTION("""COMPUTED_VALUE"""),"cws")</f>
        <v>cws</v>
      </c>
      <c r="C3266" s="2" t="str">
        <f ca="1">IFERROR(__xludf.DUMMYFUNCTION("""COMPUTED_VALUE"""),"Seascape Crowns")</f>
        <v>Seascape Crowns</v>
      </c>
    </row>
    <row r="3267" spans="1:3" x14ac:dyDescent="0.25">
      <c r="A3267" s="2" t="str">
        <f ca="1">IFERROR(__xludf.DUMMYFUNCTION("""COMPUTED_VALUE"""),"crown-sovereign")</f>
        <v>crown-sovereign</v>
      </c>
      <c r="B3267" s="2" t="str">
        <f ca="1">IFERROR(__xludf.DUMMYFUNCTION("""COMPUTED_VALUE"""),"csov")</f>
        <v>csov</v>
      </c>
      <c r="C3267" s="2" t="str">
        <f ca="1">IFERROR(__xludf.DUMMYFUNCTION("""COMPUTED_VALUE"""),"Crown Sovereign")</f>
        <v>Crown Sovereign</v>
      </c>
    </row>
    <row r="3268" spans="1:3" x14ac:dyDescent="0.25">
      <c r="A3268" s="2" t="str">
        <f ca="1">IFERROR(__xludf.DUMMYFUNCTION("""COMPUTED_VALUE"""),"crown-token-77469f91-69f6-44dd-b356-152e2c39c0cc")</f>
        <v>crown-token-77469f91-69f6-44dd-b356-152e2c39c0cc</v>
      </c>
      <c r="B3268" s="2" t="str">
        <f ca="1">IFERROR(__xludf.DUMMYFUNCTION("""COMPUTED_VALUE"""),"crown")</f>
        <v>crown</v>
      </c>
      <c r="C3268" s="2" t="str">
        <f ca="1">IFERROR(__xludf.DUMMYFUNCTION("""COMPUTED_VALUE"""),"Crown Token")</f>
        <v>Crown Token</v>
      </c>
    </row>
    <row r="3269" spans="1:3" x14ac:dyDescent="0.25">
      <c r="A3269" s="2" t="str">
        <f ca="1">IFERROR(__xludf.DUMMYFUNCTION("""COMPUTED_VALUE"""),"crowny-token")</f>
        <v>crowny-token</v>
      </c>
      <c r="B3269" s="2" t="str">
        <f ca="1">IFERROR(__xludf.DUMMYFUNCTION("""COMPUTED_VALUE"""),"crwny")</f>
        <v>crwny</v>
      </c>
      <c r="C3269" s="2" t="str">
        <f ca="1">IFERROR(__xludf.DUMMYFUNCTION("""COMPUTED_VALUE"""),"Crowny")</f>
        <v>Crowny</v>
      </c>
    </row>
    <row r="3270" spans="1:3" x14ac:dyDescent="0.25">
      <c r="A3270" s="2" t="str">
        <f ca="1">IFERROR(__xludf.DUMMYFUNCTION("""COMPUTED_VALUE"""),"crow-with-knife")</f>
        <v>crow-with-knife</v>
      </c>
      <c r="B3270" s="2" t="str">
        <f ca="1">IFERROR(__xludf.DUMMYFUNCTION("""COMPUTED_VALUE"""),"caw")</f>
        <v>caw</v>
      </c>
      <c r="C3270" s="2" t="str">
        <f ca="1">IFERROR(__xludf.DUMMYFUNCTION("""COMPUTED_VALUE"""),"crow with knife")</f>
        <v>crow with knife</v>
      </c>
    </row>
    <row r="3271" spans="1:3" x14ac:dyDescent="0.25">
      <c r="A3271" s="2" t="str">
        <f ca="1">IFERROR(__xludf.DUMMYFUNCTION("""COMPUTED_VALUE"""),"crox")</f>
        <v>crox</v>
      </c>
      <c r="B3271" s="2" t="str">
        <f ca="1">IFERROR(__xludf.DUMMYFUNCTION("""COMPUTED_VALUE"""),"crox")</f>
        <v>crox</v>
      </c>
      <c r="C3271" s="2" t="str">
        <f ca="1">IFERROR(__xludf.DUMMYFUNCTION("""COMPUTED_VALUE"""),"Crox")</f>
        <v>Crox</v>
      </c>
    </row>
    <row r="3272" spans="1:3" x14ac:dyDescent="0.25">
      <c r="A3272" s="2" t="str">
        <f ca="1">IFERROR(__xludf.DUMMYFUNCTION("""COMPUTED_VALUE"""),"crt-ai-network")</f>
        <v>crt-ai-network</v>
      </c>
      <c r="B3272" s="2" t="str">
        <f ca="1">IFERROR(__xludf.DUMMYFUNCTION("""COMPUTED_VALUE"""),"crtai")</f>
        <v>crtai</v>
      </c>
      <c r="C3272" s="2" t="str">
        <f ca="1">IFERROR(__xludf.DUMMYFUNCTION("""COMPUTED_VALUE"""),"CRT AI Network")</f>
        <v>CRT AI Network</v>
      </c>
    </row>
    <row r="3273" spans="1:3" x14ac:dyDescent="0.25">
      <c r="A3273" s="2" t="str">
        <f ca="1">IFERROR(__xludf.DUMMYFUNCTION("""COMPUTED_VALUE"""),"crude-oil-brent")</f>
        <v>crude-oil-brent</v>
      </c>
      <c r="B3273" s="2" t="str">
        <f ca="1">IFERROR(__xludf.DUMMYFUNCTION("""COMPUTED_VALUE"""),"oil")</f>
        <v>oil</v>
      </c>
      <c r="C3273" s="2" t="str">
        <f ca="1">IFERROR(__xludf.DUMMYFUNCTION("""COMPUTED_VALUE"""),"Crude Oil Brent")</f>
        <v>Crude Oil Brent</v>
      </c>
    </row>
    <row r="3274" spans="1:3" x14ac:dyDescent="0.25">
      <c r="A3274" s="2" t="str">
        <f ca="1">IFERROR(__xludf.DUMMYFUNCTION("""COMPUTED_VALUE"""),"crunchcat")</f>
        <v>crunchcat</v>
      </c>
      <c r="B3274" s="2" t="str">
        <f ca="1">IFERROR(__xludf.DUMMYFUNCTION("""COMPUTED_VALUE"""),"crunch")</f>
        <v>crunch</v>
      </c>
      <c r="C3274" s="2" t="str">
        <f ca="1">IFERROR(__xludf.DUMMYFUNCTION("""COMPUTED_VALUE"""),"Crunchcat")</f>
        <v>Crunchcat</v>
      </c>
    </row>
    <row r="3275" spans="1:3" x14ac:dyDescent="0.25">
      <c r="A3275" s="2" t="str">
        <f ca="1">IFERROR(__xludf.DUMMYFUNCTION("""COMPUTED_VALUE"""),"crunchy-network")</f>
        <v>crunchy-network</v>
      </c>
      <c r="B3275" s="2" t="str">
        <f ca="1">IFERROR(__xludf.DUMMYFUNCTION("""COMPUTED_VALUE"""),"crnchy")</f>
        <v>crnchy</v>
      </c>
      <c r="C3275" s="2" t="str">
        <f ca="1">IFERROR(__xludf.DUMMYFUNCTION("""COMPUTED_VALUE"""),"Crunchy Network")</f>
        <v>Crunchy Network</v>
      </c>
    </row>
    <row r="3276" spans="1:3" x14ac:dyDescent="0.25">
      <c r="A3276" s="2" t="str">
        <f ca="1">IFERROR(__xludf.DUMMYFUNCTION("""COMPUTED_VALUE"""),"crusaders-of-crypto")</f>
        <v>crusaders-of-crypto</v>
      </c>
      <c r="B3276" s="2" t="str">
        <f ca="1">IFERROR(__xludf.DUMMYFUNCTION("""COMPUTED_VALUE"""),"crusader")</f>
        <v>crusader</v>
      </c>
      <c r="C3276" s="2" t="str">
        <f ca="1">IFERROR(__xludf.DUMMYFUNCTION("""COMPUTED_VALUE"""),"Crusaders of Crypto")</f>
        <v>Crusaders of Crypto</v>
      </c>
    </row>
    <row r="3277" spans="1:3" x14ac:dyDescent="0.25">
      <c r="A3277" s="2" t="str">
        <f ca="1">IFERROR(__xludf.DUMMYFUNCTION("""COMPUTED_VALUE"""),"crust-exchange")</f>
        <v>crust-exchange</v>
      </c>
      <c r="B3277" s="2" t="str">
        <f ca="1">IFERROR(__xludf.DUMMYFUNCTION("""COMPUTED_VALUE"""),"crust")</f>
        <v>crust</v>
      </c>
      <c r="C3277" s="2" t="str">
        <f ca="1">IFERROR(__xludf.DUMMYFUNCTION("""COMPUTED_VALUE"""),"Crust Exchange")</f>
        <v>Crust Exchange</v>
      </c>
    </row>
    <row r="3278" spans="1:3" x14ac:dyDescent="0.25">
      <c r="A3278" s="2" t="str">
        <f ca="1">IFERROR(__xludf.DUMMYFUNCTION("""COMPUTED_VALUE"""),"crust-network")</f>
        <v>crust-network</v>
      </c>
      <c r="B3278" s="2" t="str">
        <f ca="1">IFERROR(__xludf.DUMMYFUNCTION("""COMPUTED_VALUE"""),"cru")</f>
        <v>cru</v>
      </c>
      <c r="C3278" s="2" t="str">
        <f ca="1">IFERROR(__xludf.DUMMYFUNCTION("""COMPUTED_VALUE"""),"Crust Network")</f>
        <v>Crust Network</v>
      </c>
    </row>
    <row r="3279" spans="1:3" x14ac:dyDescent="0.25">
      <c r="A3279" s="2" t="str">
        <f ca="1">IFERROR(__xludf.DUMMYFUNCTION("""COMPUTED_VALUE"""),"crust-storage-market")</f>
        <v>crust-storage-market</v>
      </c>
      <c r="B3279" s="2" t="str">
        <f ca="1">IFERROR(__xludf.DUMMYFUNCTION("""COMPUTED_VALUE"""),"csm")</f>
        <v>csm</v>
      </c>
      <c r="C3279" s="2" t="str">
        <f ca="1">IFERROR(__xludf.DUMMYFUNCTION("""COMPUTED_VALUE"""),"Crust Shadow")</f>
        <v>Crust Shadow</v>
      </c>
    </row>
    <row r="3280" spans="1:3" x14ac:dyDescent="0.25">
      <c r="A3280" s="2" t="str">
        <f ca="1">IFERROR(__xludf.DUMMYFUNCTION("""COMPUTED_VALUE"""),"crux-finance")</f>
        <v>crux-finance</v>
      </c>
      <c r="B3280" s="2" t="str">
        <f ca="1">IFERROR(__xludf.DUMMYFUNCTION("""COMPUTED_VALUE"""),"crux")</f>
        <v>crux</v>
      </c>
      <c r="C3280" s="2" t="str">
        <f ca="1">IFERROR(__xludf.DUMMYFUNCTION("""COMPUTED_VALUE"""),"Crux Finance")</f>
        <v>Crux Finance</v>
      </c>
    </row>
    <row r="3281" spans="1:3" x14ac:dyDescent="0.25">
      <c r="A3281" s="2" t="str">
        <f ca="1">IFERROR(__xludf.DUMMYFUNCTION("""COMPUTED_VALUE"""),"crvusd")</f>
        <v>crvusd</v>
      </c>
      <c r="B3281" s="2" t="str">
        <f ca="1">IFERROR(__xludf.DUMMYFUNCTION("""COMPUTED_VALUE"""),"crvusd")</f>
        <v>crvusd</v>
      </c>
      <c r="C3281" s="2" t="str">
        <f ca="1">IFERROR(__xludf.DUMMYFUNCTION("""COMPUTED_VALUE"""),"crvUSD")</f>
        <v>crvUSD</v>
      </c>
    </row>
    <row r="3282" spans="1:3" x14ac:dyDescent="0.25">
      <c r="A3282" s="2" t="str">
        <f ca="1">IFERROR(__xludf.DUMMYFUNCTION("""COMPUTED_VALUE"""),"crying-cat")</f>
        <v>crying-cat</v>
      </c>
      <c r="B3282" s="2" t="str">
        <f ca="1">IFERROR(__xludf.DUMMYFUNCTION("""COMPUTED_VALUE"""),"crying")</f>
        <v>crying</v>
      </c>
      <c r="C3282" s="2" t="str">
        <f ca="1">IFERROR(__xludf.DUMMYFUNCTION("""COMPUTED_VALUE"""),"Crying Cat")</f>
        <v>Crying Cat</v>
      </c>
    </row>
    <row r="3283" spans="1:3" x14ac:dyDescent="0.25">
      <c r="A3283" s="2" t="str">
        <f ca="1">IFERROR(__xludf.DUMMYFUNCTION("""COMPUTED_VALUE"""),"cryn")</f>
        <v>cryn</v>
      </c>
      <c r="B3283" s="2" t="str">
        <f ca="1">IFERROR(__xludf.DUMMYFUNCTION("""COMPUTED_VALUE"""),"cryn")</f>
        <v>cryn</v>
      </c>
      <c r="C3283" s="2" t="str">
        <f ca="1">IFERROR(__xludf.DUMMYFUNCTION("""COMPUTED_VALUE"""),"CRYN")</f>
        <v>CRYN</v>
      </c>
    </row>
    <row r="3284" spans="1:3" x14ac:dyDescent="0.25">
      <c r="A3284" s="2" t="str">
        <f ca="1">IFERROR(__xludf.DUMMYFUNCTION("""COMPUTED_VALUE"""),"cryodao")</f>
        <v>cryodao</v>
      </c>
      <c r="B3284" s="2" t="str">
        <f ca="1">IFERROR(__xludf.DUMMYFUNCTION("""COMPUTED_VALUE"""),"cryo")</f>
        <v>cryo</v>
      </c>
      <c r="C3284" s="2" t="str">
        <f ca="1">IFERROR(__xludf.DUMMYFUNCTION("""COMPUTED_VALUE"""),"CryoDAO")</f>
        <v>CryoDAO</v>
      </c>
    </row>
    <row r="3285" spans="1:3" x14ac:dyDescent="0.25">
      <c r="A3285" s="2" t="str">
        <f ca="1">IFERROR(__xludf.DUMMYFUNCTION("""COMPUTED_VALUE"""),"cryowar-token")</f>
        <v>cryowar-token</v>
      </c>
      <c r="B3285" s="2" t="str">
        <f ca="1">IFERROR(__xludf.DUMMYFUNCTION("""COMPUTED_VALUE"""),"cwar")</f>
        <v>cwar</v>
      </c>
      <c r="C3285" s="2" t="str">
        <f ca="1">IFERROR(__xludf.DUMMYFUNCTION("""COMPUTED_VALUE"""),"Cryowar")</f>
        <v>Cryowar</v>
      </c>
    </row>
    <row r="3286" spans="1:3" x14ac:dyDescent="0.25">
      <c r="A3286" s="2" t="str">
        <f ca="1">IFERROR(__xludf.DUMMYFUNCTION("""COMPUTED_VALUE"""),"crypsi-coin")</f>
        <v>crypsi-coin</v>
      </c>
      <c r="B3286" s="2" t="str">
        <f ca="1">IFERROR(__xludf.DUMMYFUNCTION("""COMPUTED_VALUE"""),"crypsi")</f>
        <v>crypsi</v>
      </c>
      <c r="C3286" s="2" t="str">
        <f ca="1">IFERROR(__xludf.DUMMYFUNCTION("""COMPUTED_VALUE"""),"Crypsi Coin")</f>
        <v>Crypsi Coin</v>
      </c>
    </row>
    <row r="3287" spans="1:3" x14ac:dyDescent="0.25">
      <c r="A3287" s="2" t="str">
        <f ca="1">IFERROR(__xludf.DUMMYFUNCTION("""COMPUTED_VALUE"""),"crypsure")</f>
        <v>crypsure</v>
      </c>
      <c r="B3287" s="2" t="str">
        <f ca="1">IFERROR(__xludf.DUMMYFUNCTION("""COMPUTED_VALUE"""),"crs")</f>
        <v>crs</v>
      </c>
      <c r="C3287" s="2" t="str">
        <f ca="1">IFERROR(__xludf.DUMMYFUNCTION("""COMPUTED_VALUE"""),"CrypSure")</f>
        <v>CrypSure</v>
      </c>
    </row>
    <row r="3288" spans="1:3" x14ac:dyDescent="0.25">
      <c r="A3288" s="2" t="str">
        <f ca="1">IFERROR(__xludf.DUMMYFUNCTION("""COMPUTED_VALUE"""),"cryptaur")</f>
        <v>cryptaur</v>
      </c>
      <c r="B3288" s="2" t="str">
        <f ca="1">IFERROR(__xludf.DUMMYFUNCTION("""COMPUTED_VALUE"""),"cpt")</f>
        <v>cpt</v>
      </c>
      <c r="C3288" s="2" t="str">
        <f ca="1">IFERROR(__xludf.DUMMYFUNCTION("""COMPUTED_VALUE"""),"Cryptaur")</f>
        <v>Cryptaur</v>
      </c>
    </row>
    <row r="3289" spans="1:3" x14ac:dyDescent="0.25">
      <c r="A3289" s="2" t="str">
        <f ca="1">IFERROR(__xludf.DUMMYFUNCTION("""COMPUTED_VALUE"""),"crypterium")</f>
        <v>crypterium</v>
      </c>
      <c r="B3289" s="2" t="str">
        <f ca="1">IFERROR(__xludf.DUMMYFUNCTION("""COMPUTED_VALUE"""),"crpt")</f>
        <v>crpt</v>
      </c>
      <c r="C3289" s="2" t="str">
        <f ca="1">IFERROR(__xludf.DUMMYFUNCTION("""COMPUTED_VALUE"""),"Crypterium")</f>
        <v>Crypterium</v>
      </c>
    </row>
    <row r="3290" spans="1:3" x14ac:dyDescent="0.25">
      <c r="A3290" s="2" t="str">
        <f ca="1">IFERROR(__xludf.DUMMYFUNCTION("""COMPUTED_VALUE"""),"cryptex-finance")</f>
        <v>cryptex-finance</v>
      </c>
      <c r="B3290" s="2" t="str">
        <f ca="1">IFERROR(__xludf.DUMMYFUNCTION("""COMPUTED_VALUE"""),"ctx")</f>
        <v>ctx</v>
      </c>
      <c r="C3290" s="2" t="str">
        <f ca="1">IFERROR(__xludf.DUMMYFUNCTION("""COMPUTED_VALUE"""),"Cryptex Finance")</f>
        <v>Cryptex Finance</v>
      </c>
    </row>
    <row r="3291" spans="1:3" x14ac:dyDescent="0.25">
      <c r="A3291" s="2" t="str">
        <f ca="1">IFERROR(__xludf.DUMMYFUNCTION("""COMPUTED_VALUE"""),"cryptify")</f>
        <v>cryptify</v>
      </c>
      <c r="B3291" s="2" t="str">
        <f ca="1">IFERROR(__xludf.DUMMYFUNCTION("""COMPUTED_VALUE"""),"crypt")</f>
        <v>crypt</v>
      </c>
      <c r="C3291" s="2" t="str">
        <f ca="1">IFERROR(__xludf.DUMMYFUNCTION("""COMPUTED_VALUE"""),"Cryptify")</f>
        <v>Cryptify</v>
      </c>
    </row>
    <row r="3292" spans="1:3" x14ac:dyDescent="0.25">
      <c r="A3292" s="2" t="str">
        <f ca="1">IFERROR(__xludf.DUMMYFUNCTION("""COMPUTED_VALUE"""),"cryptify-ai")</f>
        <v>cryptify-ai</v>
      </c>
      <c r="B3292" s="2" t="str">
        <f ca="1">IFERROR(__xludf.DUMMYFUNCTION("""COMPUTED_VALUE"""),"crai")</f>
        <v>crai</v>
      </c>
      <c r="C3292" s="2" t="str">
        <f ca="1">IFERROR(__xludf.DUMMYFUNCTION("""COMPUTED_VALUE"""),"Cryptify AI")</f>
        <v>Cryptify AI</v>
      </c>
    </row>
    <row r="3293" spans="1:3" x14ac:dyDescent="0.25">
      <c r="A3293" s="2" t="str">
        <f ca="1">IFERROR(__xludf.DUMMYFUNCTION("""COMPUTED_VALUE"""),"cryptiq-web3")</f>
        <v>cryptiq-web3</v>
      </c>
      <c r="B3293" s="2" t="str">
        <f ca="1">IFERROR(__xludf.DUMMYFUNCTION("""COMPUTED_VALUE"""),"cryptiq")</f>
        <v>cryptiq</v>
      </c>
      <c r="C3293" s="2" t="str">
        <f ca="1">IFERROR(__xludf.DUMMYFUNCTION("""COMPUTED_VALUE"""),"Cryptiq browser")</f>
        <v>Cryptiq browser</v>
      </c>
    </row>
    <row r="3294" spans="1:3" x14ac:dyDescent="0.25">
      <c r="A3294" s="2" t="str">
        <f ca="1">IFERROR(__xludf.DUMMYFUNCTION("""COMPUTED_VALUE"""),"crypto-2-debit")</f>
        <v>crypto-2-debit</v>
      </c>
      <c r="B3294" s="2" t="str">
        <f ca="1">IFERROR(__xludf.DUMMYFUNCTION("""COMPUTED_VALUE"""),"c2d")</f>
        <v>c2d</v>
      </c>
      <c r="C3294" s="2" t="str">
        <f ca="1">IFERROR(__xludf.DUMMYFUNCTION("""COMPUTED_VALUE"""),"Crypto 2 Debit")</f>
        <v>Crypto 2 Debit</v>
      </c>
    </row>
    <row r="3295" spans="1:3" x14ac:dyDescent="0.25">
      <c r="A3295" s="2" t="str">
        <f ca="1">IFERROR(__xludf.DUMMYFUNCTION("""COMPUTED_VALUE"""),"cryptoai")</f>
        <v>cryptoai</v>
      </c>
      <c r="B3295" s="2" t="str">
        <f ca="1">IFERROR(__xludf.DUMMYFUNCTION("""COMPUTED_VALUE"""),"cai")</f>
        <v>cai</v>
      </c>
      <c r="C3295" s="2" t="str">
        <f ca="1">IFERROR(__xludf.DUMMYFUNCTION("""COMPUTED_VALUE"""),"CryptoAI")</f>
        <v>CryptoAI</v>
      </c>
    </row>
    <row r="3296" spans="1:3" x14ac:dyDescent="0.25">
      <c r="A3296" s="2" t="str">
        <f ca="1">IFERROR(__xludf.DUMMYFUNCTION("""COMPUTED_VALUE"""),"crypto-ai-robo")</f>
        <v>crypto-ai-robo</v>
      </c>
      <c r="B3296" s="2" t="str">
        <f ca="1">IFERROR(__xludf.DUMMYFUNCTION("""COMPUTED_VALUE"""),"cair")</f>
        <v>cair</v>
      </c>
      <c r="C3296" s="2" t="str">
        <f ca="1">IFERROR(__xludf.DUMMYFUNCTION("""COMPUTED_VALUE"""),"Crypto-AI-Robo")</f>
        <v>Crypto-AI-Robo</v>
      </c>
    </row>
    <row r="3297" spans="1:3" x14ac:dyDescent="0.25">
      <c r="A3297" s="2" t="str">
        <f ca="1">IFERROR(__xludf.DUMMYFUNCTION("""COMPUTED_VALUE"""),"cryptoart-ai")</f>
        <v>cryptoart-ai</v>
      </c>
      <c r="B3297" s="2" t="str">
        <f ca="1">IFERROR(__xludf.DUMMYFUNCTION("""COMPUTED_VALUE"""),"cart")</f>
        <v>cart</v>
      </c>
      <c r="C3297" s="3" t="str">
        <f ca="1">IFERROR(__xludf.DUMMYFUNCTION("""COMPUTED_VALUE"""),"CryptoArt.Ai")</f>
        <v>CryptoArt.Ai</v>
      </c>
    </row>
    <row r="3298" spans="1:3" x14ac:dyDescent="0.25">
      <c r="A3298" s="2" t="str">
        <f ca="1">IFERROR(__xludf.DUMMYFUNCTION("""COMPUTED_VALUE"""),"crypto-asset-governance-alliance")</f>
        <v>crypto-asset-governance-alliance</v>
      </c>
      <c r="B3298" s="2" t="str">
        <f ca="1">IFERROR(__xludf.DUMMYFUNCTION("""COMPUTED_VALUE"""),"caga")</f>
        <v>caga</v>
      </c>
      <c r="C3298" s="2" t="str">
        <f ca="1">IFERROR(__xludf.DUMMYFUNCTION("""COMPUTED_VALUE"""),"Crypto Asset Governance Alliance")</f>
        <v>Crypto Asset Governance Alliance</v>
      </c>
    </row>
    <row r="3299" spans="1:3" x14ac:dyDescent="0.25">
      <c r="A3299" s="2" t="str">
        <f ca="1">IFERROR(__xludf.DUMMYFUNCTION("""COMPUTED_VALUE"""),"crypto-bet")</f>
        <v>crypto-bet</v>
      </c>
      <c r="B3299" s="2" t="str">
        <f ca="1">IFERROR(__xludf.DUMMYFUNCTION("""COMPUTED_VALUE"""),"$cbet")</f>
        <v>$cbet</v>
      </c>
      <c r="C3299" s="2" t="str">
        <f ca="1">IFERROR(__xludf.DUMMYFUNCTION("""COMPUTED_VALUE"""),"CosaBet")</f>
        <v>CosaBet</v>
      </c>
    </row>
    <row r="3300" spans="1:3" x14ac:dyDescent="0.25">
      <c r="A3300" s="2" t="str">
        <f ca="1">IFERROR(__xludf.DUMMYFUNCTION("""COMPUTED_VALUE"""),"crypto-birds")</f>
        <v>crypto-birds</v>
      </c>
      <c r="B3300" s="2" t="str">
        <f ca="1">IFERROR(__xludf.DUMMYFUNCTION("""COMPUTED_VALUE"""),"xcb")</f>
        <v>xcb</v>
      </c>
      <c r="C3300" s="2" t="str">
        <f ca="1">IFERROR(__xludf.DUMMYFUNCTION("""COMPUTED_VALUE"""),"Crypto Birds")</f>
        <v>Crypto Birds</v>
      </c>
    </row>
    <row r="3301" spans="1:3" x14ac:dyDescent="0.25">
      <c r="A3301" s="2" t="str">
        <f ca="1">IFERROR(__xludf.DUMMYFUNCTION("""COMPUTED_VALUE"""),"cryptoblades")</f>
        <v>cryptoblades</v>
      </c>
      <c r="B3301" s="2" t="str">
        <f ca="1">IFERROR(__xludf.DUMMYFUNCTION("""COMPUTED_VALUE"""),"skill")</f>
        <v>skill</v>
      </c>
      <c r="C3301" s="2" t="str">
        <f ca="1">IFERROR(__xludf.DUMMYFUNCTION("""COMPUTED_VALUE"""),"CryptoBlades")</f>
        <v>CryptoBlades</v>
      </c>
    </row>
    <row r="3302" spans="1:3" x14ac:dyDescent="0.25">
      <c r="A3302" s="2" t="str">
        <f ca="1">IFERROR(__xludf.DUMMYFUNCTION("""COMPUTED_VALUE"""),"cryptoblades-kingdoms")</f>
        <v>cryptoblades-kingdoms</v>
      </c>
      <c r="B3302" s="2" t="str">
        <f ca="1">IFERROR(__xludf.DUMMYFUNCTION("""COMPUTED_VALUE"""),"king")</f>
        <v>king</v>
      </c>
      <c r="C3302" s="2" t="str">
        <f ca="1">IFERROR(__xludf.DUMMYFUNCTION("""COMPUTED_VALUE"""),"CryptoBlades Kingdoms")</f>
        <v>CryptoBlades Kingdoms</v>
      </c>
    </row>
    <row r="3303" spans="1:3" x14ac:dyDescent="0.25">
      <c r="A3303" s="2" t="str">
        <f ca="1">IFERROR(__xludf.DUMMYFUNCTION("""COMPUTED_VALUE"""),"cryptoboomcoin-official")</f>
        <v>cryptoboomcoin-official</v>
      </c>
      <c r="B3303" s="2" t="str">
        <f ca="1">IFERROR(__xludf.DUMMYFUNCTION("""COMPUTED_VALUE"""),"cbc")</f>
        <v>cbc</v>
      </c>
      <c r="C3303" s="2" t="str">
        <f ca="1">IFERROR(__xludf.DUMMYFUNCTION("""COMPUTED_VALUE"""),"CryptoBoomCoin Official")</f>
        <v>CryptoBoomCoin Official</v>
      </c>
    </row>
    <row r="3304" spans="1:3" x14ac:dyDescent="0.25">
      <c r="A3304" s="2" t="str">
        <f ca="1">IFERROR(__xludf.DUMMYFUNCTION("""COMPUTED_VALUE"""),"crypto-bros")</f>
        <v>crypto-bros</v>
      </c>
      <c r="B3304" s="2" t="str">
        <f ca="1">IFERROR(__xludf.DUMMYFUNCTION("""COMPUTED_VALUE"""),"bros")</f>
        <v>bros</v>
      </c>
      <c r="C3304" s="2" t="str">
        <f ca="1">IFERROR(__xludf.DUMMYFUNCTION("""COMPUTED_VALUE"""),"Crypto Bros")</f>
        <v>Crypto Bros</v>
      </c>
    </row>
    <row r="3305" spans="1:3" x14ac:dyDescent="0.25">
      <c r="A3305" s="2" t="str">
        <f ca="1">IFERROR(__xludf.DUMMYFUNCTION("""COMPUTED_VALUE"""),"crypto-burger")</f>
        <v>crypto-burger</v>
      </c>
      <c r="B3305" s="2" t="str">
        <f ca="1">IFERROR(__xludf.DUMMYFUNCTION("""COMPUTED_VALUE"""),"burger")</f>
        <v>burger</v>
      </c>
      <c r="C3305" s="2" t="str">
        <f ca="1">IFERROR(__xludf.DUMMYFUNCTION("""COMPUTED_VALUE"""),"Crypto Burger")</f>
        <v>Crypto Burger</v>
      </c>
    </row>
    <row r="3306" spans="1:3" x14ac:dyDescent="0.25">
      <c r="A3306" s="2" t="str">
        <f ca="1">IFERROR(__xludf.DUMMYFUNCTION("""COMPUTED_VALUE"""),"crypto-carbon-energy-2")</f>
        <v>crypto-carbon-energy-2</v>
      </c>
      <c r="B3306" s="2" t="str">
        <f ca="1">IFERROR(__xludf.DUMMYFUNCTION("""COMPUTED_VALUE"""),"cyce")</f>
        <v>cyce</v>
      </c>
      <c r="C3306" s="2" t="str">
        <f ca="1">IFERROR(__xludf.DUMMYFUNCTION("""COMPUTED_VALUE"""),"Crypto Carbon Energy")</f>
        <v>Crypto Carbon Energy</v>
      </c>
    </row>
    <row r="3307" spans="1:3" x14ac:dyDescent="0.25">
      <c r="A3307" s="2" t="str">
        <f ca="1">IFERROR(__xludf.DUMMYFUNCTION("""COMPUTED_VALUE"""),"cryptocart")</f>
        <v>cryptocart</v>
      </c>
      <c r="B3307" s="2" t="str">
        <f ca="1">IFERROR(__xludf.DUMMYFUNCTION("""COMPUTED_VALUE"""),"ccv2")</f>
        <v>ccv2</v>
      </c>
      <c r="C3307" s="2" t="str">
        <f ca="1">IFERROR(__xludf.DUMMYFUNCTION("""COMPUTED_VALUE"""),"CryptoCart V2")</f>
        <v>CryptoCart V2</v>
      </c>
    </row>
    <row r="3308" spans="1:3" x14ac:dyDescent="0.25">
      <c r="A3308" s="2" t="str">
        <f ca="1">IFERROR(__xludf.DUMMYFUNCTION("""COMPUTED_VALUE"""),"crypto-chests")</f>
        <v>crypto-chests</v>
      </c>
      <c r="B3308" s="2" t="str">
        <f ca="1">IFERROR(__xludf.DUMMYFUNCTION("""COMPUTED_VALUE"""),"cht")</f>
        <v>cht</v>
      </c>
      <c r="C3308" s="2" t="str">
        <f ca="1">IFERROR(__xludf.DUMMYFUNCTION("""COMPUTED_VALUE"""),"Crypto Chests")</f>
        <v>Crypto Chests</v>
      </c>
    </row>
    <row r="3309" spans="1:3" x14ac:dyDescent="0.25">
      <c r="A3309" s="2" t="str">
        <f ca="1">IFERROR(__xludf.DUMMYFUNCTION("""COMPUTED_VALUE"""),"crypto-clouds")</f>
        <v>crypto-clouds</v>
      </c>
      <c r="B3309" s="2" t="str">
        <f ca="1">IFERROR(__xludf.DUMMYFUNCTION("""COMPUTED_VALUE"""),"cloud")</f>
        <v>cloud</v>
      </c>
      <c r="C3309" s="2" t="str">
        <f ca="1">IFERROR(__xludf.DUMMYFUNCTION("""COMPUTED_VALUE"""),"CRYPTO CLOUDS")</f>
        <v>CRYPTO CLOUDS</v>
      </c>
    </row>
    <row r="3310" spans="1:3" x14ac:dyDescent="0.25">
      <c r="A3310" s="2" t="str">
        <f ca="1">IFERROR(__xludf.DUMMYFUNCTION("""COMPUTED_VALUE"""),"crypto-clubs-app")</f>
        <v>crypto-clubs-app</v>
      </c>
      <c r="B3310" s="2" t="str">
        <f ca="1">IFERROR(__xludf.DUMMYFUNCTION("""COMPUTED_VALUE"""),"cc")</f>
        <v>cc</v>
      </c>
      <c r="C3310" s="2" t="str">
        <f ca="1">IFERROR(__xludf.DUMMYFUNCTION("""COMPUTED_VALUE"""),"Crypto Clubs App [OLD]")</f>
        <v>Crypto Clubs App [OLD]</v>
      </c>
    </row>
    <row r="3311" spans="1:3" x14ac:dyDescent="0.25">
      <c r="A3311" s="2" t="str">
        <f ca="1">IFERROR(__xludf.DUMMYFUNCTION("""COMPUTED_VALUE"""),"crypto-clubs-app-2")</f>
        <v>crypto-clubs-app-2</v>
      </c>
      <c r="B3311" s="2" t="str">
        <f ca="1">IFERROR(__xludf.DUMMYFUNCTION("""COMPUTED_VALUE"""),"cc")</f>
        <v>cc</v>
      </c>
      <c r="C3311" s="2" t="str">
        <f ca="1">IFERROR(__xludf.DUMMYFUNCTION("""COMPUTED_VALUE"""),"Crypto Clubs App")</f>
        <v>Crypto Clubs App</v>
      </c>
    </row>
    <row r="3312" spans="1:3" x14ac:dyDescent="0.25">
      <c r="A3312" s="2" t="str">
        <f ca="1">IFERROR(__xludf.DUMMYFUNCTION("""COMPUTED_VALUE"""),"cryptocoinhash")</f>
        <v>cryptocoinhash</v>
      </c>
      <c r="B3312" s="2" t="str">
        <f ca="1">IFERROR(__xludf.DUMMYFUNCTION("""COMPUTED_VALUE"""),"cch")</f>
        <v>cch</v>
      </c>
      <c r="C3312" s="2" t="str">
        <f ca="1">IFERROR(__xludf.DUMMYFUNCTION("""COMPUTED_VALUE"""),"CryptoCoinHash")</f>
        <v>CryptoCoinHash</v>
      </c>
    </row>
    <row r="3313" spans="1:3" x14ac:dyDescent="0.25">
      <c r="A3313" s="2" t="str">
        <f ca="1">IFERROR(__xludf.DUMMYFUNCTION("""COMPUTED_VALUE"""),"crypto-com-bridged-dai-cronos")</f>
        <v>crypto-com-bridged-dai-cronos</v>
      </c>
      <c r="B3313" s="2" t="str">
        <f ca="1">IFERROR(__xludf.DUMMYFUNCTION("""COMPUTED_VALUE"""),"dai")</f>
        <v>dai</v>
      </c>
      <c r="C3313" s="2" t="str">
        <f ca="1">IFERROR(__xludf.DUMMYFUNCTION("""COMPUTED_VALUE"""),"Crypto.com Bridged DAI (Cronos)")</f>
        <v>Crypto.com Bridged DAI (Cronos)</v>
      </c>
    </row>
    <row r="3314" spans="1:3" x14ac:dyDescent="0.25">
      <c r="A3314" s="2" t="str">
        <f ca="1">IFERROR(__xludf.DUMMYFUNCTION("""COMPUTED_VALUE"""),"crypto-com-chain")</f>
        <v>crypto-com-chain</v>
      </c>
      <c r="B3314" s="2" t="str">
        <f ca="1">IFERROR(__xludf.DUMMYFUNCTION("""COMPUTED_VALUE"""),"cro")</f>
        <v>cro</v>
      </c>
      <c r="C3314" s="2" t="str">
        <f ca="1">IFERROR(__xludf.DUMMYFUNCTION("""COMPUTED_VALUE"""),"Cronos")</f>
        <v>Cronos</v>
      </c>
    </row>
    <row r="3315" spans="1:3" x14ac:dyDescent="0.25">
      <c r="A3315" s="2" t="str">
        <f ca="1">IFERROR(__xludf.DUMMYFUNCTION("""COMPUTED_VALUE"""),"crypto-com-staked-eth")</f>
        <v>crypto-com-staked-eth</v>
      </c>
      <c r="B3315" s="2" t="str">
        <f ca="1">IFERROR(__xludf.DUMMYFUNCTION("""COMPUTED_VALUE"""),"cdceth")</f>
        <v>cdceth</v>
      </c>
      <c r="C3315" s="2" t="str">
        <f ca="1">IFERROR(__xludf.DUMMYFUNCTION("""COMPUTED_VALUE"""),"Crypto.com Staked ETH")</f>
        <v>Crypto.com Staked ETH</v>
      </c>
    </row>
    <row r="3316" spans="1:3" x14ac:dyDescent="0.25">
      <c r="A3316" s="2" t="str">
        <f ca="1">IFERROR(__xludf.DUMMYFUNCTION("""COMPUTED_VALUE"""),"cryptodeliverycoin")</f>
        <v>cryptodeliverycoin</v>
      </c>
      <c r="B3316" s="2" t="str">
        <f ca="1">IFERROR(__xludf.DUMMYFUNCTION("""COMPUTED_VALUE"""),"dcoin")</f>
        <v>dcoin</v>
      </c>
      <c r="C3316" s="2" t="str">
        <f ca="1">IFERROR(__xludf.DUMMYFUNCTION("""COMPUTED_VALUE"""),"CryptoDeliveryCoin")</f>
        <v>CryptoDeliveryCoin</v>
      </c>
    </row>
    <row r="3317" spans="1:3" x14ac:dyDescent="0.25">
      <c r="A3317" s="2" t="str">
        <f ca="1">IFERROR(__xludf.DUMMYFUNCTION("""COMPUTED_VALUE"""),"crypto-emergency")</f>
        <v>crypto-emergency</v>
      </c>
      <c r="B3317" s="2" t="str">
        <f ca="1">IFERROR(__xludf.DUMMYFUNCTION("""COMPUTED_VALUE"""),"cem")</f>
        <v>cem</v>
      </c>
      <c r="C3317" s="2" t="str">
        <f ca="1">IFERROR(__xludf.DUMMYFUNCTION("""COMPUTED_VALUE"""),"Crypto Emergency")</f>
        <v>Crypto Emergency</v>
      </c>
    </row>
    <row r="3318" spans="1:3" x14ac:dyDescent="0.25">
      <c r="A3318" s="2" t="str">
        <f ca="1">IFERROR(__xludf.DUMMYFUNCTION("""COMPUTED_VALUE"""),"cryptoexpress")</f>
        <v>cryptoexpress</v>
      </c>
      <c r="B3318" s="2" t="str">
        <f ca="1">IFERROR(__xludf.DUMMYFUNCTION("""COMPUTED_VALUE"""),"xpress")</f>
        <v>xpress</v>
      </c>
      <c r="C3318" s="2" t="str">
        <f ca="1">IFERROR(__xludf.DUMMYFUNCTION("""COMPUTED_VALUE"""),"CryptoXpress")</f>
        <v>CryptoXpress</v>
      </c>
    </row>
    <row r="3319" spans="1:3" x14ac:dyDescent="0.25">
      <c r="A3319" s="2" t="str">
        <f ca="1">IFERROR(__xludf.DUMMYFUNCTION("""COMPUTED_VALUE"""),"cryptoforce")</f>
        <v>cryptoforce</v>
      </c>
      <c r="B3319" s="2" t="str">
        <f ca="1">IFERROR(__xludf.DUMMYFUNCTION("""COMPUTED_VALUE"""),"cof")</f>
        <v>cof</v>
      </c>
      <c r="C3319" s="2" t="str">
        <f ca="1">IFERROR(__xludf.DUMMYFUNCTION("""COMPUTED_VALUE"""),"Cryptoforce")</f>
        <v>Cryptoforce</v>
      </c>
    </row>
    <row r="3320" spans="1:3" x14ac:dyDescent="0.25">
      <c r="A3320" s="2" t="str">
        <f ca="1">IFERROR(__xludf.DUMMYFUNCTION("""COMPUTED_VALUE"""),"cryptofranc")</f>
        <v>cryptofranc</v>
      </c>
      <c r="B3320" s="2" t="str">
        <f ca="1">IFERROR(__xludf.DUMMYFUNCTION("""COMPUTED_VALUE"""),"xchf")</f>
        <v>xchf</v>
      </c>
      <c r="C3320" s="2" t="str">
        <f ca="1">IFERROR(__xludf.DUMMYFUNCTION("""COMPUTED_VALUE"""),"CryptoFranc")</f>
        <v>CryptoFranc</v>
      </c>
    </row>
    <row r="3321" spans="1:3" x14ac:dyDescent="0.25">
      <c r="A3321" s="2" t="str">
        <f ca="1">IFERROR(__xludf.DUMMYFUNCTION("""COMPUTED_VALUE"""),"crypto-global-united")</f>
        <v>crypto-global-united</v>
      </c>
      <c r="B3321" s="2" t="str">
        <f ca="1">IFERROR(__xludf.DUMMYFUNCTION("""COMPUTED_VALUE"""),"cgu")</f>
        <v>cgu</v>
      </c>
      <c r="C3321" s="2" t="str">
        <f ca="1">IFERROR(__xludf.DUMMYFUNCTION("""COMPUTED_VALUE"""),"Crypto Global United")</f>
        <v>Crypto Global United</v>
      </c>
    </row>
    <row r="3322" spans="1:3" x14ac:dyDescent="0.25">
      <c r="A3322" s="2" t="str">
        <f ca="1">IFERROR(__xludf.DUMMYFUNCTION("""COMPUTED_VALUE"""),"cryptogpt")</f>
        <v>cryptogpt</v>
      </c>
      <c r="B3322" s="2" t="str">
        <f ca="1">IFERROR(__xludf.DUMMYFUNCTION("""COMPUTED_VALUE"""),"crgpt")</f>
        <v>crgpt</v>
      </c>
      <c r="C3322" s="2" t="str">
        <f ca="1">IFERROR(__xludf.DUMMYFUNCTION("""COMPUTED_VALUE"""),"CryptoGPT")</f>
        <v>CryptoGPT</v>
      </c>
    </row>
    <row r="3323" spans="1:3" x14ac:dyDescent="0.25">
      <c r="A3323" s="2" t="str">
        <f ca="1">IFERROR(__xludf.DUMMYFUNCTION("""COMPUTED_VALUE"""),"cryptogpt-token")</f>
        <v>cryptogpt-token</v>
      </c>
      <c r="B3323" s="2" t="str">
        <f ca="1">IFERROR(__xludf.DUMMYFUNCTION("""COMPUTED_VALUE"""),"lai")</f>
        <v>lai</v>
      </c>
      <c r="C3323" s="2" t="str">
        <f ca="1">IFERROR(__xludf.DUMMYFUNCTION("""COMPUTED_VALUE"""),"LayerAI")</f>
        <v>LayerAI</v>
      </c>
    </row>
    <row r="3324" spans="1:3" x14ac:dyDescent="0.25">
      <c r="A3324" s="2" t="str">
        <f ca="1">IFERROR(__xludf.DUMMYFUNCTION("""COMPUTED_VALUE"""),"crypto-holding-frank-token")</f>
        <v>crypto-holding-frank-token</v>
      </c>
      <c r="B3324" s="2" t="str">
        <f ca="1">IFERROR(__xludf.DUMMYFUNCTION("""COMPUTED_VALUE"""),"chft")</f>
        <v>chft</v>
      </c>
      <c r="C3324" s="2" t="str">
        <f ca="1">IFERROR(__xludf.DUMMYFUNCTION("""COMPUTED_VALUE"""),"Crypto Holding Frank")</f>
        <v>Crypto Holding Frank</v>
      </c>
    </row>
    <row r="3325" spans="1:3" x14ac:dyDescent="0.25">
      <c r="A3325" s="2" t="str">
        <f ca="1">IFERROR(__xludf.DUMMYFUNCTION("""COMPUTED_VALUE"""),"crypto-hub")</f>
        <v>crypto-hub</v>
      </c>
      <c r="B3325" s="2" t="str">
        <f ca="1">IFERROR(__xludf.DUMMYFUNCTION("""COMPUTED_VALUE"""),"hub")</f>
        <v>hub</v>
      </c>
      <c r="C3325" s="2" t="str">
        <f ca="1">IFERROR(__xludf.DUMMYFUNCTION("""COMPUTED_VALUE"""),"Crypto Hub")</f>
        <v>Crypto Hub</v>
      </c>
    </row>
    <row r="3326" spans="1:3" x14ac:dyDescent="0.25">
      <c r="A3326" s="2" t="str">
        <f ca="1">IFERROR(__xludf.DUMMYFUNCTION("""COMPUTED_VALUE"""),"crypto-hunters-coin")</f>
        <v>crypto-hunters-coin</v>
      </c>
      <c r="B3326" s="2" t="str">
        <f ca="1">IFERROR(__xludf.DUMMYFUNCTION("""COMPUTED_VALUE"""),"crh")</f>
        <v>crh</v>
      </c>
      <c r="C3326" s="2" t="str">
        <f ca="1">IFERROR(__xludf.DUMMYFUNCTION("""COMPUTED_VALUE"""),"Crypto Hunters Coin")</f>
        <v>Crypto Hunters Coin</v>
      </c>
    </row>
    <row r="3327" spans="1:3" x14ac:dyDescent="0.25">
      <c r="A3327" s="2" t="str">
        <f ca="1">IFERROR(__xludf.DUMMYFUNCTION("""COMPUTED_VALUE"""),"crypto-index-pool")</f>
        <v>crypto-index-pool</v>
      </c>
      <c r="B3327" s="2" t="str">
        <f ca="1">IFERROR(__xludf.DUMMYFUNCTION("""COMPUTED_VALUE"""),"cip")</f>
        <v>cip</v>
      </c>
      <c r="C3327" s="2" t="str">
        <f ca="1">IFERROR(__xludf.DUMMYFUNCTION("""COMPUTED_VALUE"""),"Crypto Index Pool")</f>
        <v>Crypto Index Pool</v>
      </c>
    </row>
    <row r="3328" spans="1:3" x14ac:dyDescent="0.25">
      <c r="A3328" s="2" t="str">
        <f ca="1">IFERROR(__xludf.DUMMYFUNCTION("""COMPUTED_VALUE"""),"crypto-island")</f>
        <v>crypto-island</v>
      </c>
      <c r="B3328" s="2" t="str">
        <f ca="1">IFERROR(__xludf.DUMMYFUNCTION("""COMPUTED_VALUE"""),"cisla")</f>
        <v>cisla</v>
      </c>
      <c r="C3328" s="2" t="str">
        <f ca="1">IFERROR(__xludf.DUMMYFUNCTION("""COMPUTED_VALUE"""),"Crypto Island")</f>
        <v>Crypto Island</v>
      </c>
    </row>
    <row r="3329" spans="1:3" x14ac:dyDescent="0.25">
      <c r="A3329" s="2" t="str">
        <f ca="1">IFERROR(__xludf.DUMMYFUNCTION("""COMPUTED_VALUE"""),"crypto-journey")</f>
        <v>crypto-journey</v>
      </c>
      <c r="B3329" s="2" t="str">
        <f ca="1">IFERROR(__xludf.DUMMYFUNCTION("""COMPUTED_VALUE"""),"daddy")</f>
        <v>daddy</v>
      </c>
      <c r="C3329" s="2" t="str">
        <f ca="1">IFERROR(__xludf.DUMMYFUNCTION("""COMPUTED_VALUE"""),"Crypto Journey")</f>
        <v>Crypto Journey</v>
      </c>
    </row>
    <row r="3330" spans="1:3" x14ac:dyDescent="0.25">
      <c r="A3330" s="2" t="str">
        <f ca="1">IFERROR(__xludf.DUMMYFUNCTION("""COMPUTED_VALUE"""),"crypto-kit")</f>
        <v>crypto-kit</v>
      </c>
      <c r="B3330" s="2" t="str">
        <f ca="1">IFERROR(__xludf.DUMMYFUNCTION("""COMPUTED_VALUE"""),"kit")</f>
        <v>kit</v>
      </c>
      <c r="C3330" s="2" t="str">
        <f ca="1">IFERROR(__xludf.DUMMYFUNCTION("""COMPUTED_VALUE"""),"Crypto KIT")</f>
        <v>Crypto KIT</v>
      </c>
    </row>
    <row r="3331" spans="1:3" x14ac:dyDescent="0.25">
      <c r="A3331" s="2" t="str">
        <f ca="1">IFERROR(__xludf.DUMMYFUNCTION("""COMPUTED_VALUE"""),"cryptokki")</f>
        <v>cryptokki</v>
      </c>
      <c r="B3331" s="2" t="str">
        <f ca="1">IFERROR(__xludf.DUMMYFUNCTION("""COMPUTED_VALUE"""),"tokki")</f>
        <v>tokki</v>
      </c>
      <c r="C3331" s="2" t="str">
        <f ca="1">IFERROR(__xludf.DUMMYFUNCTION("""COMPUTED_VALUE"""),"CRYPTOKKI")</f>
        <v>CRYPTOKKI</v>
      </c>
    </row>
    <row r="3332" spans="1:3" x14ac:dyDescent="0.25">
      <c r="A3332" s="2" t="str">
        <f ca="1">IFERROR(__xludf.DUMMYFUNCTION("""COMPUTED_VALUE"""),"cryptoku")</f>
        <v>cryptoku</v>
      </c>
      <c r="B3332" s="2" t="str">
        <f ca="1">IFERROR(__xludf.DUMMYFUNCTION("""COMPUTED_VALUE"""),"cku")</f>
        <v>cku</v>
      </c>
      <c r="C3332" s="2" t="str">
        <f ca="1">IFERROR(__xludf.DUMMYFUNCTION("""COMPUTED_VALUE"""),"Cryptoku")</f>
        <v>Cryptoku</v>
      </c>
    </row>
    <row r="3333" spans="1:3" x14ac:dyDescent="0.25">
      <c r="A3333" s="2" t="str">
        <f ca="1">IFERROR(__xludf.DUMMYFUNCTION("""COMPUTED_VALUE"""),"cryptomeda")</f>
        <v>cryptomeda</v>
      </c>
      <c r="B3333" s="2" t="str">
        <f ca="1">IFERROR(__xludf.DUMMYFUNCTION("""COMPUTED_VALUE"""),"tech")</f>
        <v>tech</v>
      </c>
      <c r="C3333" s="2" t="str">
        <f ca="1">IFERROR(__xludf.DUMMYFUNCTION("""COMPUTED_VALUE"""),"Cryptomeda")</f>
        <v>Cryptomeda</v>
      </c>
    </row>
    <row r="3334" spans="1:3" x14ac:dyDescent="0.25">
      <c r="A3334" s="2" t="str">
        <f ca="1">IFERROR(__xludf.DUMMYFUNCTION("""COMPUTED_VALUE"""),"cryptomines-eternal")</f>
        <v>cryptomines-eternal</v>
      </c>
      <c r="B3334" s="2" t="str">
        <f ca="1">IFERROR(__xludf.DUMMYFUNCTION("""COMPUTED_VALUE"""),"eternal")</f>
        <v>eternal</v>
      </c>
      <c r="C3334" s="2" t="str">
        <f ca="1">IFERROR(__xludf.DUMMYFUNCTION("""COMPUTED_VALUE"""),"CryptoMines Eternal")</f>
        <v>CryptoMines Eternal</v>
      </c>
    </row>
    <row r="3335" spans="1:3" x14ac:dyDescent="0.25">
      <c r="A3335" s="2" t="str">
        <f ca="1">IFERROR(__xludf.DUMMYFUNCTION("""COMPUTED_VALUE"""),"cryptomines-reborn")</f>
        <v>cryptomines-reborn</v>
      </c>
      <c r="B3335" s="2" t="str">
        <f ca="1">IFERROR(__xludf.DUMMYFUNCTION("""COMPUTED_VALUE"""),"crux")</f>
        <v>crux</v>
      </c>
      <c r="C3335" s="2" t="str">
        <f ca="1">IFERROR(__xludf.DUMMYFUNCTION("""COMPUTED_VALUE"""),"CryptoMines Reborn")</f>
        <v>CryptoMines Reborn</v>
      </c>
    </row>
    <row r="3336" spans="1:3" x14ac:dyDescent="0.25">
      <c r="A3336" s="2" t="str">
        <f ca="1">IFERROR(__xludf.DUMMYFUNCTION("""COMPUTED_VALUE"""),"crypton-ai")</f>
        <v>crypton-ai</v>
      </c>
      <c r="B3336" s="2" t="str">
        <f ca="1">IFERROR(__xludf.DUMMYFUNCTION("""COMPUTED_VALUE"""),"$crypton")</f>
        <v>$crypton</v>
      </c>
      <c r="C3336" s="2" t="str">
        <f ca="1">IFERROR(__xludf.DUMMYFUNCTION("""COMPUTED_VALUE"""),"Crypton Ai")</f>
        <v>Crypton Ai</v>
      </c>
    </row>
    <row r="3337" spans="1:3" x14ac:dyDescent="0.25">
      <c r="A3337" s="2" t="str">
        <f ca="1">IFERROR(__xludf.DUMMYFUNCTION("""COMPUTED_VALUE"""),"crypto-network")</f>
        <v>crypto-network</v>
      </c>
      <c r="B3337" s="2" t="str">
        <f ca="1">IFERROR(__xludf.DUMMYFUNCTION("""COMPUTED_VALUE"""),"cnw")</f>
        <v>cnw</v>
      </c>
      <c r="C3337" s="2" t="str">
        <f ca="1">IFERROR(__xludf.DUMMYFUNCTION("""COMPUTED_VALUE"""),"Crypto Network")</f>
        <v>Crypto Network</v>
      </c>
    </row>
    <row r="3338" spans="1:3" x14ac:dyDescent="0.25">
      <c r="A3338" s="2" t="str">
        <f ca="1">IFERROR(__xludf.DUMMYFUNCTION("""COMPUTED_VALUE"""),"cryptoneur-network-foundation")</f>
        <v>cryptoneur-network-foundation</v>
      </c>
      <c r="B3338" s="2" t="str">
        <f ca="1">IFERROR(__xludf.DUMMYFUNCTION("""COMPUTED_VALUE"""),"cnf")</f>
        <v>cnf</v>
      </c>
      <c r="C3338" s="2" t="str">
        <f ca="1">IFERROR(__xludf.DUMMYFUNCTION("""COMPUTED_VALUE"""),"CryptoNeur Network foundation")</f>
        <v>CryptoNeur Network foundation</v>
      </c>
    </row>
    <row r="3339" spans="1:3" x14ac:dyDescent="0.25">
      <c r="A3339" s="2" t="str">
        <f ca="1">IFERROR(__xludf.DUMMYFUNCTION("""COMPUTED_VALUE"""),"cryptoperformance-coin")</f>
        <v>cryptoperformance-coin</v>
      </c>
      <c r="B3339" s="2" t="str">
        <f ca="1">IFERROR(__xludf.DUMMYFUNCTION("""COMPUTED_VALUE"""),"cpc")</f>
        <v>cpc</v>
      </c>
      <c r="C3339" s="2" t="str">
        <f ca="1">IFERROR(__xludf.DUMMYFUNCTION("""COMPUTED_VALUE"""),"CryptoPerformance Coin")</f>
        <v>CryptoPerformance Coin</v>
      </c>
    </row>
    <row r="3340" spans="1:3" x14ac:dyDescent="0.25">
      <c r="A3340" s="2" t="str">
        <f ca="1">IFERROR(__xludf.DUMMYFUNCTION("""COMPUTED_VALUE"""),"crypto-perx")</f>
        <v>crypto-perx</v>
      </c>
      <c r="B3340" s="2" t="str">
        <f ca="1">IFERROR(__xludf.DUMMYFUNCTION("""COMPUTED_VALUE"""),"cprx")</f>
        <v>cprx</v>
      </c>
      <c r="C3340" s="2" t="str">
        <f ca="1">IFERROR(__xludf.DUMMYFUNCTION("""COMPUTED_VALUE"""),"Crypto Perx")</f>
        <v>Crypto Perx</v>
      </c>
    </row>
    <row r="3341" spans="1:3" x14ac:dyDescent="0.25">
      <c r="A3341" s="2" t="str">
        <f ca="1">IFERROR(__xludf.DUMMYFUNCTION("""COMPUTED_VALUE"""),"cryptopia")</f>
        <v>cryptopia</v>
      </c>
      <c r="B3341" s="2" t="str">
        <f ca="1">IFERROR(__xludf.DUMMYFUNCTION("""COMPUTED_VALUE"""),"$tos")</f>
        <v>$tos</v>
      </c>
      <c r="C3341" s="2" t="str">
        <f ca="1">IFERROR(__xludf.DUMMYFUNCTION("""COMPUTED_VALUE"""),"Cryptopia")</f>
        <v>Cryptopia</v>
      </c>
    </row>
    <row r="3342" spans="1:3" x14ac:dyDescent="0.25">
      <c r="A3342" s="2" t="str">
        <f ca="1">IFERROR(__xludf.DUMMYFUNCTION("""COMPUTED_VALUE"""),"cryptopia-world")</f>
        <v>cryptopia-world</v>
      </c>
      <c r="B3342" s="2" t="str">
        <f ca="1">IFERROR(__xludf.DUMMYFUNCTION("""COMPUTED_VALUE"""),"bcpi")</f>
        <v>bcpi</v>
      </c>
      <c r="C3342" s="2" t="str">
        <f ca="1">IFERROR(__xludf.DUMMYFUNCTION("""COMPUTED_VALUE"""),"Cryptopia")</f>
        <v>Cryptopia</v>
      </c>
    </row>
    <row r="3343" spans="1:3" x14ac:dyDescent="0.25">
      <c r="A3343" s="2" t="str">
        <f ca="1">IFERROR(__xludf.DUMMYFUNCTION("""COMPUTED_VALUE"""),"cryptopolis")</f>
        <v>cryptopolis</v>
      </c>
      <c r="B3343" s="2" t="str">
        <f ca="1">IFERROR(__xludf.DUMMYFUNCTION("""COMPUTED_VALUE"""),"cpo")</f>
        <v>cpo</v>
      </c>
      <c r="C3343" s="2" t="str">
        <f ca="1">IFERROR(__xludf.DUMMYFUNCTION("""COMPUTED_VALUE"""),"Cryptopolis")</f>
        <v>Cryptopolis</v>
      </c>
    </row>
    <row r="3344" spans="1:3" x14ac:dyDescent="0.25">
      <c r="A3344" s="2" t="str">
        <f ca="1">IFERROR(__xludf.DUMMYFUNCTION("""COMPUTED_VALUE"""),"cryptopunk-7171-hoodie")</f>
        <v>cryptopunk-7171-hoodie</v>
      </c>
      <c r="B3344" s="2" t="str">
        <f ca="1">IFERROR(__xludf.DUMMYFUNCTION("""COMPUTED_VALUE"""),"hoodie")</f>
        <v>hoodie</v>
      </c>
      <c r="C3344" s="2" t="str">
        <f ca="1">IFERROR(__xludf.DUMMYFUNCTION("""COMPUTED_VALUE"""),"CryptoPunk #7171")</f>
        <v>CryptoPunk #7171</v>
      </c>
    </row>
    <row r="3345" spans="1:3" x14ac:dyDescent="0.25">
      <c r="A3345" s="2" t="str">
        <f ca="1">IFERROR(__xludf.DUMMYFUNCTION("""COMPUTED_VALUE"""),"cryptopunks-fraction-toke")</f>
        <v>cryptopunks-fraction-toke</v>
      </c>
      <c r="B3345" s="2" t="str">
        <f ca="1">IFERROR(__xludf.DUMMYFUNCTION("""COMPUTED_VALUE"""),"ipunks")</f>
        <v>ipunks</v>
      </c>
      <c r="C3345" s="2" t="str">
        <f ca="1">IFERROR(__xludf.DUMMYFUNCTION("""COMPUTED_VALUE"""),"CryptoPunks Fraction Token")</f>
        <v>CryptoPunks Fraction Token</v>
      </c>
    </row>
    <row r="3346" spans="1:3" x14ac:dyDescent="0.25">
      <c r="A3346" s="2" t="str">
        <f ca="1">IFERROR(__xludf.DUMMYFUNCTION("""COMPUTED_VALUE"""),"crypto-raiders")</f>
        <v>crypto-raiders</v>
      </c>
      <c r="B3346" s="2" t="str">
        <f ca="1">IFERROR(__xludf.DUMMYFUNCTION("""COMPUTED_VALUE"""),"raider")</f>
        <v>raider</v>
      </c>
      <c r="C3346" s="2" t="str">
        <f ca="1">IFERROR(__xludf.DUMMYFUNCTION("""COMPUTED_VALUE"""),"Crypto Raiders")</f>
        <v>Crypto Raiders</v>
      </c>
    </row>
    <row r="3347" spans="1:3" x14ac:dyDescent="0.25">
      <c r="A3347" s="2" t="str">
        <f ca="1">IFERROR(__xludf.DUMMYFUNCTION("""COMPUTED_VALUE"""),"crypto-real-estate")</f>
        <v>crypto-real-estate</v>
      </c>
      <c r="B3347" s="2" t="str">
        <f ca="1">IFERROR(__xludf.DUMMYFUNCTION("""COMPUTED_VALUE"""),"cre")</f>
        <v>cre</v>
      </c>
      <c r="C3347" s="2" t="str">
        <f ca="1">IFERROR(__xludf.DUMMYFUNCTION("""COMPUTED_VALUE"""),"Crypto Real Estate")</f>
        <v>Crypto Real Estate</v>
      </c>
    </row>
    <row r="3348" spans="1:3" x14ac:dyDescent="0.25">
      <c r="A3348" s="2" t="str">
        <f ca="1">IFERROR(__xludf.DUMMYFUNCTION("""COMPUTED_VALUE"""),"cryptorg-token")</f>
        <v>cryptorg-token</v>
      </c>
      <c r="B3348" s="2" t="str">
        <f ca="1">IFERROR(__xludf.DUMMYFUNCTION("""COMPUTED_VALUE"""),"ctg")</f>
        <v>ctg</v>
      </c>
      <c r="C3348" s="2" t="str">
        <f ca="1">IFERROR(__xludf.DUMMYFUNCTION("""COMPUTED_VALUE"""),"Cryptorg")</f>
        <v>Cryptorg</v>
      </c>
    </row>
    <row r="3349" spans="1:3" x14ac:dyDescent="0.25">
      <c r="A3349" s="2" t="str">
        <f ca="1">IFERROR(__xludf.DUMMYFUNCTION("""COMPUTED_VALUE"""),"crypto-royale")</f>
        <v>crypto-royale</v>
      </c>
      <c r="B3349" s="2" t="str">
        <f ca="1">IFERROR(__xludf.DUMMYFUNCTION("""COMPUTED_VALUE"""),"roy")</f>
        <v>roy</v>
      </c>
      <c r="C3349" s="2" t="str">
        <f ca="1">IFERROR(__xludf.DUMMYFUNCTION("""COMPUTED_VALUE"""),"Crypto Royale")</f>
        <v>Crypto Royale</v>
      </c>
    </row>
    <row r="3350" spans="1:3" x14ac:dyDescent="0.25">
      <c r="A3350" s="2" t="str">
        <f ca="1">IFERROR(__xludf.DUMMYFUNCTION("""COMPUTED_VALUE"""),"cryptosaga")</f>
        <v>cryptosaga</v>
      </c>
      <c r="B3350" s="2" t="str">
        <f ca="1">IFERROR(__xludf.DUMMYFUNCTION("""COMPUTED_VALUE"""),"saga")</f>
        <v>saga</v>
      </c>
      <c r="C3350" s="2" t="str">
        <f ca="1">IFERROR(__xludf.DUMMYFUNCTION("""COMPUTED_VALUE"""),"CryptoSaga")</f>
        <v>CryptoSaga</v>
      </c>
    </row>
    <row r="3351" spans="1:3" x14ac:dyDescent="0.25">
      <c r="A3351" s="2" t="str">
        <f ca="1">IFERROR(__xludf.DUMMYFUNCTION("""COMPUTED_VALUE"""),"crypto-samurai")</f>
        <v>crypto-samurai</v>
      </c>
      <c r="B3351" s="2" t="str">
        <f ca="1">IFERROR(__xludf.DUMMYFUNCTION("""COMPUTED_VALUE"""),"cst")</f>
        <v>cst</v>
      </c>
      <c r="C3351" s="2" t="str">
        <f ca="1">IFERROR(__xludf.DUMMYFUNCTION("""COMPUTED_VALUE"""),"Crypto Samurai")</f>
        <v>Crypto Samurai</v>
      </c>
    </row>
    <row r="3352" spans="1:3" x14ac:dyDescent="0.25">
      <c r="A3352" s="2" t="str">
        <f ca="1">IFERROR(__xludf.DUMMYFUNCTION("""COMPUTED_VALUE"""),"crypto-sdg")</f>
        <v>crypto-sdg</v>
      </c>
      <c r="B3352" s="2" t="str">
        <f ca="1">IFERROR(__xludf.DUMMYFUNCTION("""COMPUTED_VALUE"""),"sdg")</f>
        <v>sdg</v>
      </c>
      <c r="C3352" s="2" t="str">
        <f ca="1">IFERROR(__xludf.DUMMYFUNCTION("""COMPUTED_VALUE"""),"Crypto SDG")</f>
        <v>Crypto SDG</v>
      </c>
    </row>
    <row r="3353" spans="1:3" x14ac:dyDescent="0.25">
      <c r="A3353" s="2" t="str">
        <f ca="1">IFERROR(__xludf.DUMMYFUNCTION("""COMPUTED_VALUE"""),"cryptoshares")</f>
        <v>cryptoshares</v>
      </c>
      <c r="B3353" s="2" t="str">
        <f ca="1">IFERROR(__xludf.DUMMYFUNCTION("""COMPUTED_VALUE"""),"shares")</f>
        <v>shares</v>
      </c>
      <c r="C3353" s="2" t="str">
        <f ca="1">IFERROR(__xludf.DUMMYFUNCTION("""COMPUTED_VALUE"""),"Cryptoshares")</f>
        <v>Cryptoshares</v>
      </c>
    </row>
    <row r="3354" spans="1:3" x14ac:dyDescent="0.25">
      <c r="A3354" s="2" t="str">
        <f ca="1">IFERROR(__xludf.DUMMYFUNCTION("""COMPUTED_VALUE"""),"cryptotanks")</f>
        <v>cryptotanks</v>
      </c>
      <c r="B3354" s="2" t="str">
        <f ca="1">IFERROR(__xludf.DUMMYFUNCTION("""COMPUTED_VALUE"""),"tank")</f>
        <v>tank</v>
      </c>
      <c r="C3354" s="2" t="str">
        <f ca="1">IFERROR(__xludf.DUMMYFUNCTION("""COMPUTED_VALUE"""),"CryptoTanks")</f>
        <v>CryptoTanks</v>
      </c>
    </row>
    <row r="3355" spans="1:3" x14ac:dyDescent="0.25">
      <c r="A3355" s="2" t="str">
        <f ca="1">IFERROR(__xludf.DUMMYFUNCTION("""COMPUTED_VALUE"""),"cryptotem")</f>
        <v>cryptotem</v>
      </c>
      <c r="B3355" s="2" t="str">
        <f ca="1">IFERROR(__xludf.DUMMYFUNCTION("""COMPUTED_VALUE"""),"totem")</f>
        <v>totem</v>
      </c>
      <c r="C3355" s="2" t="str">
        <f ca="1">IFERROR(__xludf.DUMMYFUNCTION("""COMPUTED_VALUE"""),"Cryptotem")</f>
        <v>Cryptotem</v>
      </c>
    </row>
    <row r="3356" spans="1:3" x14ac:dyDescent="0.25">
      <c r="A3356" s="2" t="str">
        <f ca="1">IFERROR(__xludf.DUMMYFUNCTION("""COMPUTED_VALUE"""),"crypto-tex")</f>
        <v>crypto-tex</v>
      </c>
      <c r="B3356" s="2" t="str">
        <f ca="1">IFERROR(__xludf.DUMMYFUNCTION("""COMPUTED_VALUE"""),"ctex")</f>
        <v>ctex</v>
      </c>
      <c r="C3356" s="2" t="str">
        <f ca="1">IFERROR(__xludf.DUMMYFUNCTION("""COMPUTED_VALUE"""),"CRYPTO TEX")</f>
        <v>CRYPTO TEX</v>
      </c>
    </row>
    <row r="3357" spans="1:3" x14ac:dyDescent="0.25">
      <c r="A3357" s="2" t="str">
        <f ca="1">IFERROR(__xludf.DUMMYFUNCTION("""COMPUTED_VALUE"""),"crypto-trading-fund")</f>
        <v>crypto-trading-fund</v>
      </c>
      <c r="B3357" s="2" t="str">
        <f ca="1">IFERROR(__xludf.DUMMYFUNCTION("""COMPUTED_VALUE"""),"ctf")</f>
        <v>ctf</v>
      </c>
      <c r="C3357" s="2" t="str">
        <f ca="1">IFERROR(__xludf.DUMMYFUNCTION("""COMPUTED_VALUE"""),"Crypto Trading Fund")</f>
        <v>Crypto Trading Fund</v>
      </c>
    </row>
    <row r="3358" spans="1:3" x14ac:dyDescent="0.25">
      <c r="A3358" s="2" t="str">
        <f ca="1">IFERROR(__xludf.DUMMYFUNCTION("""COMPUTED_VALUE"""),"cryptotwitter")</f>
        <v>cryptotwitter</v>
      </c>
      <c r="B3358" s="2" t="str">
        <f ca="1">IFERROR(__xludf.DUMMYFUNCTION("""COMPUTED_VALUE"""),"ct")</f>
        <v>ct</v>
      </c>
      <c r="C3358" s="2" t="str">
        <f ca="1">IFERROR(__xludf.DUMMYFUNCTION("""COMPUTED_VALUE"""),"CryptoTwitter")</f>
        <v>CryptoTwitter</v>
      </c>
    </row>
    <row r="3359" spans="1:3" x14ac:dyDescent="0.25">
      <c r="A3359" s="2" t="str">
        <f ca="1">IFERROR(__xludf.DUMMYFUNCTION("""COMPUTED_VALUE"""),"cryptotycoon")</f>
        <v>cryptotycoon</v>
      </c>
      <c r="B3359" s="2" t="str">
        <f ca="1">IFERROR(__xludf.DUMMYFUNCTION("""COMPUTED_VALUE"""),"ctt")</f>
        <v>ctt</v>
      </c>
      <c r="C3359" s="2" t="str">
        <f ca="1">IFERROR(__xludf.DUMMYFUNCTION("""COMPUTED_VALUE"""),"CryptoTycoon")</f>
        <v>CryptoTycoon</v>
      </c>
    </row>
    <row r="3360" spans="1:3" x14ac:dyDescent="0.25">
      <c r="A3360" s="2" t="str">
        <f ca="1">IFERROR(__xludf.DUMMYFUNCTION("""COMPUTED_VALUE"""),"crypto-unicorns")</f>
        <v>crypto-unicorns</v>
      </c>
      <c r="B3360" s="2" t="str">
        <f ca="1">IFERROR(__xludf.DUMMYFUNCTION("""COMPUTED_VALUE"""),"cu")</f>
        <v>cu</v>
      </c>
      <c r="C3360" s="2" t="str">
        <f ca="1">IFERROR(__xludf.DUMMYFUNCTION("""COMPUTED_VALUE"""),"Crypto Unicorns")</f>
        <v>Crypto Unicorns</v>
      </c>
    </row>
    <row r="3361" spans="1:3" x14ac:dyDescent="0.25">
      <c r="A3361" s="2" t="str">
        <f ca="1">IFERROR(__xludf.DUMMYFUNCTION("""COMPUTED_VALUE"""),"cryptounity")</f>
        <v>cryptounity</v>
      </c>
      <c r="B3361" s="2" t="str">
        <f ca="1">IFERROR(__xludf.DUMMYFUNCTION("""COMPUTED_VALUE"""),"cut")</f>
        <v>cut</v>
      </c>
      <c r="C3361" s="2" t="str">
        <f ca="1">IFERROR(__xludf.DUMMYFUNCTION("""COMPUTED_VALUE"""),"CryptoUnity")</f>
        <v>CryptoUnity</v>
      </c>
    </row>
    <row r="3362" spans="1:3" x14ac:dyDescent="0.25">
      <c r="A3362" s="2" t="str">
        <f ca="1">IFERROR(__xludf.DUMMYFUNCTION("""COMPUTED_VALUE"""),"crypto-valleys-yield-token")</f>
        <v>crypto-valleys-yield-token</v>
      </c>
      <c r="B3362" s="2" t="str">
        <f ca="1">IFERROR(__xludf.DUMMYFUNCTION("""COMPUTED_VALUE"""),"yield")</f>
        <v>yield</v>
      </c>
      <c r="C3362" s="2" t="str">
        <f ca="1">IFERROR(__xludf.DUMMYFUNCTION("""COMPUTED_VALUE"""),"Crypto Valleys YIELD Token")</f>
        <v>Crypto Valleys YIELD Token</v>
      </c>
    </row>
    <row r="3363" spans="1:3" x14ac:dyDescent="0.25">
      <c r="A3363" s="2" t="str">
        <f ca="1">IFERROR(__xludf.DUMMYFUNCTION("""COMPUTED_VALUE"""),"crypto-village-accelerator-cvag")</f>
        <v>crypto-village-accelerator-cvag</v>
      </c>
      <c r="B3363" s="2" t="str">
        <f ca="1">IFERROR(__xludf.DUMMYFUNCTION("""COMPUTED_VALUE"""),"cvag")</f>
        <v>cvag</v>
      </c>
      <c r="C3363" s="2" t="str">
        <f ca="1">IFERROR(__xludf.DUMMYFUNCTION("""COMPUTED_VALUE"""),"Crypto Village Accelerator CVAG")</f>
        <v>Crypto Village Accelerator CVAG</v>
      </c>
    </row>
    <row r="3364" spans="1:3" x14ac:dyDescent="0.25">
      <c r="A3364" s="2" t="str">
        <f ca="1">IFERROR(__xludf.DUMMYFUNCTION("""COMPUTED_VALUE"""),"crypto-whale")</f>
        <v>crypto-whale</v>
      </c>
      <c r="B3364" s="2" t="str">
        <f ca="1">IFERROR(__xludf.DUMMYFUNCTION("""COMPUTED_VALUE"""),"whale")</f>
        <v>whale</v>
      </c>
      <c r="C3364" s="2" t="str">
        <f ca="1">IFERROR(__xludf.DUMMYFUNCTION("""COMPUTED_VALUE"""),"Crypto Whale")</f>
        <v>Crypto Whale</v>
      </c>
    </row>
    <row r="3365" spans="1:3" x14ac:dyDescent="0.25">
      <c r="A3365" s="2" t="str">
        <f ca="1">IFERROR(__xludf.DUMMYFUNCTION("""COMPUTED_VALUE"""),"cryptozoo")</f>
        <v>cryptozoo</v>
      </c>
      <c r="B3365" s="2" t="str">
        <f ca="1">IFERROR(__xludf.DUMMYFUNCTION("""COMPUTED_VALUE"""),"zoo")</f>
        <v>zoo</v>
      </c>
      <c r="C3365" s="2" t="str">
        <f ca="1">IFERROR(__xludf.DUMMYFUNCTION("""COMPUTED_VALUE"""),"CryptoZoo")</f>
        <v>CryptoZoo</v>
      </c>
    </row>
    <row r="3366" spans="1:3" x14ac:dyDescent="0.25">
      <c r="A3366" s="2" t="str">
        <f ca="1">IFERROR(__xludf.DUMMYFUNCTION("""COMPUTED_VALUE"""),"cryptozoon")</f>
        <v>cryptozoon</v>
      </c>
      <c r="B3366" s="2" t="str">
        <f ca="1">IFERROR(__xludf.DUMMYFUNCTION("""COMPUTED_VALUE"""),"zoon")</f>
        <v>zoon</v>
      </c>
      <c r="C3366" s="2" t="str">
        <f ca="1">IFERROR(__xludf.DUMMYFUNCTION("""COMPUTED_VALUE"""),"CryptoZoon")</f>
        <v>CryptoZoon</v>
      </c>
    </row>
    <row r="3367" spans="1:3" x14ac:dyDescent="0.25">
      <c r="A3367" s="2" t="str">
        <f ca="1">IFERROR(__xludf.DUMMYFUNCTION("""COMPUTED_VALUE"""),"cryptyk")</f>
        <v>cryptyk</v>
      </c>
      <c r="B3367" s="2" t="str">
        <f ca="1">IFERROR(__xludf.DUMMYFUNCTION("""COMPUTED_VALUE"""),"ctk")</f>
        <v>ctk</v>
      </c>
      <c r="C3367" s="2" t="str">
        <f ca="1">IFERROR(__xludf.DUMMYFUNCTION("""COMPUTED_VALUE"""),"Cryptyk")</f>
        <v>Cryptyk</v>
      </c>
    </row>
    <row r="3368" spans="1:3" x14ac:dyDescent="0.25">
      <c r="A3368" s="2" t="str">
        <f ca="1">IFERROR(__xludf.DUMMYFUNCTION("""COMPUTED_VALUE"""),"crystal-erc404")</f>
        <v>crystal-erc404</v>
      </c>
      <c r="B3368" s="2" t="str">
        <f ca="1">IFERROR(__xludf.DUMMYFUNCTION("""COMPUTED_VALUE"""),"crystal")</f>
        <v>crystal</v>
      </c>
      <c r="C3368" s="2" t="str">
        <f ca="1">IFERROR(__xludf.DUMMYFUNCTION("""COMPUTED_VALUE"""),"Crystal")</f>
        <v>Crystal</v>
      </c>
    </row>
    <row r="3369" spans="1:3" x14ac:dyDescent="0.25">
      <c r="A3369" s="2" t="str">
        <f ca="1">IFERROR(__xludf.DUMMYFUNCTION("""COMPUTED_VALUE"""),"crystal-palace-fan-token")</f>
        <v>crystal-palace-fan-token</v>
      </c>
      <c r="B3369" s="2" t="str">
        <f ca="1">IFERROR(__xludf.DUMMYFUNCTION("""COMPUTED_VALUE"""),"cpfc")</f>
        <v>cpfc</v>
      </c>
      <c r="C3369" s="2" t="str">
        <f ca="1">IFERROR(__xludf.DUMMYFUNCTION("""COMPUTED_VALUE"""),"Crystal Palace FC Fan Token")</f>
        <v>Crystal Palace FC Fan Token</v>
      </c>
    </row>
    <row r="3370" spans="1:3" x14ac:dyDescent="0.25">
      <c r="A3370" s="2" t="str">
        <f ca="1">IFERROR(__xludf.DUMMYFUNCTION("""COMPUTED_VALUE"""),"crystl-finance")</f>
        <v>crystl-finance</v>
      </c>
      <c r="B3370" s="2" t="str">
        <f ca="1">IFERROR(__xludf.DUMMYFUNCTION("""COMPUTED_VALUE"""),"crystl")</f>
        <v>crystl</v>
      </c>
      <c r="C3370" s="2" t="str">
        <f ca="1">IFERROR(__xludf.DUMMYFUNCTION("""COMPUTED_VALUE"""),"Crystl Finance")</f>
        <v>Crystl Finance</v>
      </c>
    </row>
    <row r="3371" spans="1:3" x14ac:dyDescent="0.25">
      <c r="A3371" s="2" t="str">
        <f ca="1">IFERROR(__xludf.DUMMYFUNCTION("""COMPUTED_VALUE"""),"csi888")</f>
        <v>csi888</v>
      </c>
      <c r="B3371" s="2" t="str">
        <f ca="1">IFERROR(__xludf.DUMMYFUNCTION("""COMPUTED_VALUE"""),"csi")</f>
        <v>csi</v>
      </c>
      <c r="C3371" s="2" t="str">
        <f ca="1">IFERROR(__xludf.DUMMYFUNCTION("""COMPUTED_VALUE"""),"CSI888")</f>
        <v>CSI888</v>
      </c>
    </row>
    <row r="3372" spans="1:3" x14ac:dyDescent="0.25">
      <c r="A3372" s="2" t="str">
        <f ca="1">IFERROR(__xludf.DUMMYFUNCTION("""COMPUTED_VALUE"""),"csp-dao-network")</f>
        <v>csp-dao-network</v>
      </c>
      <c r="B3372" s="2" t="str">
        <f ca="1">IFERROR(__xludf.DUMMYFUNCTION("""COMPUTED_VALUE"""),"nebo")</f>
        <v>nebo</v>
      </c>
      <c r="C3372" s="2" t="str">
        <f ca="1">IFERROR(__xludf.DUMMYFUNCTION("""COMPUTED_VALUE"""),"Kinetic Kollective")</f>
        <v>Kinetic Kollective</v>
      </c>
    </row>
    <row r="3373" spans="1:3" x14ac:dyDescent="0.25">
      <c r="A3373" s="2" t="str">
        <f ca="1">IFERROR(__xludf.DUMMYFUNCTION("""COMPUTED_VALUE"""),"csr")</f>
        <v>csr</v>
      </c>
      <c r="B3373" s="2" t="str">
        <f ca="1">IFERROR(__xludf.DUMMYFUNCTION("""COMPUTED_VALUE"""),"csr")</f>
        <v>csr</v>
      </c>
      <c r="C3373" s="2" t="str">
        <f ca="1">IFERROR(__xludf.DUMMYFUNCTION("""COMPUTED_VALUE"""),"CSR")</f>
        <v>CSR</v>
      </c>
    </row>
    <row r="3374" spans="1:3" x14ac:dyDescent="0.25">
      <c r="A3374" s="2" t="str">
        <f ca="1">IFERROR(__xludf.DUMMYFUNCTION("""COMPUTED_VALUE"""),"cswap")</f>
        <v>cswap</v>
      </c>
      <c r="B3374" s="2" t="str">
        <f ca="1">IFERROR(__xludf.DUMMYFUNCTION("""COMPUTED_VALUE"""),"cswap")</f>
        <v>cswap</v>
      </c>
      <c r="C3374" s="2" t="str">
        <f ca="1">IFERROR(__xludf.DUMMYFUNCTION("""COMPUTED_VALUE"""),"CSWAP")</f>
        <v>CSWAP</v>
      </c>
    </row>
    <row r="3375" spans="1:3" x14ac:dyDescent="0.25">
      <c r="A3375" s="2" t="str">
        <f ca="1">IFERROR(__xludf.DUMMYFUNCTION("""COMPUTED_VALUE"""),"ctez")</f>
        <v>ctez</v>
      </c>
      <c r="B3375" s="2" t="str">
        <f ca="1">IFERROR(__xludf.DUMMYFUNCTION("""COMPUTED_VALUE"""),"ctez")</f>
        <v>ctez</v>
      </c>
      <c r="C3375" s="2" t="str">
        <f ca="1">IFERROR(__xludf.DUMMYFUNCTION("""COMPUTED_VALUE"""),"Ctez")</f>
        <v>Ctez</v>
      </c>
    </row>
    <row r="3376" spans="1:3" x14ac:dyDescent="0.25">
      <c r="A3376" s="2" t="str">
        <f ca="1">IFERROR(__xludf.DUMMYFUNCTION("""COMPUTED_VALUE"""),"cthulhu-finance")</f>
        <v>cthulhu-finance</v>
      </c>
      <c r="B3376" s="2" t="str">
        <f ca="1">IFERROR(__xludf.DUMMYFUNCTION("""COMPUTED_VALUE"""),"cth")</f>
        <v>cth</v>
      </c>
      <c r="C3376" s="2" t="str">
        <f ca="1">IFERROR(__xludf.DUMMYFUNCTION("""COMPUTED_VALUE"""),"Cthulhu Finance")</f>
        <v>Cthulhu Finance</v>
      </c>
    </row>
    <row r="3377" spans="1:3" x14ac:dyDescent="0.25">
      <c r="A3377" s="2" t="str">
        <f ca="1">IFERROR(__xludf.DUMMYFUNCTION("""COMPUTED_VALUE"""),"ctomorrow-platform")</f>
        <v>ctomorrow-platform</v>
      </c>
      <c r="B3377" s="2" t="str">
        <f ca="1">IFERROR(__xludf.DUMMYFUNCTION("""COMPUTED_VALUE"""),"ctp")</f>
        <v>ctp</v>
      </c>
      <c r="C3377" s="2" t="str">
        <f ca="1">IFERROR(__xludf.DUMMYFUNCTION("""COMPUTED_VALUE"""),"Ctomorrow Platform")</f>
        <v>Ctomorrow Platform</v>
      </c>
    </row>
    <row r="3378" spans="1:3" x14ac:dyDescent="0.25">
      <c r="A3378" s="2" t="str">
        <f ca="1">IFERROR(__xludf.DUMMYFUNCTION("""COMPUTED_VALUE"""),"ctrl")</f>
        <v>ctrl</v>
      </c>
      <c r="B3378" s="2" t="str">
        <f ca="1">IFERROR(__xludf.DUMMYFUNCTION("""COMPUTED_VALUE"""),"ctrl")</f>
        <v>ctrl</v>
      </c>
      <c r="C3378" s="2" t="str">
        <f ca="1">IFERROR(__xludf.DUMMYFUNCTION("""COMPUTED_VALUE"""),"Ctrl")</f>
        <v>Ctrl</v>
      </c>
    </row>
    <row r="3379" spans="1:3" x14ac:dyDescent="0.25">
      <c r="A3379" s="2" t="str">
        <f ca="1">IFERROR(__xludf.DUMMYFUNCTION("""COMPUTED_VALUE"""),"cubechain")</f>
        <v>cubechain</v>
      </c>
      <c r="B3379" s="2" t="str">
        <f ca="1">IFERROR(__xludf.DUMMYFUNCTION("""COMPUTED_VALUE"""),"qub")</f>
        <v>qub</v>
      </c>
      <c r="C3379" s="2" t="str">
        <f ca="1">IFERROR(__xludf.DUMMYFUNCTION("""COMPUTED_VALUE"""),"Cubechain")</f>
        <v>Cubechain</v>
      </c>
    </row>
    <row r="3380" spans="1:3" x14ac:dyDescent="0.25">
      <c r="A3380" s="2" t="str">
        <f ca="1">IFERROR(__xludf.DUMMYFUNCTION("""COMPUTED_VALUE"""),"cuberium")</f>
        <v>cuberium</v>
      </c>
      <c r="B3380" s="2" t="str">
        <f ca="1">IFERROR(__xludf.DUMMYFUNCTION("""COMPUTED_VALUE"""),"iland")</f>
        <v>iland</v>
      </c>
      <c r="C3380" s="2" t="str">
        <f ca="1">IFERROR(__xludf.DUMMYFUNCTION("""COMPUTED_VALUE"""),"Cuberium")</f>
        <v>Cuberium</v>
      </c>
    </row>
    <row r="3381" spans="1:3" x14ac:dyDescent="0.25">
      <c r="A3381" s="2" t="str">
        <f ca="1">IFERROR(__xludf.DUMMYFUNCTION("""COMPUTED_VALUE"""),"cub-finance")</f>
        <v>cub-finance</v>
      </c>
      <c r="B3381" s="2" t="str">
        <f ca="1">IFERROR(__xludf.DUMMYFUNCTION("""COMPUTED_VALUE"""),"cub")</f>
        <v>cub</v>
      </c>
      <c r="C3381" s="2" t="str">
        <f ca="1">IFERROR(__xludf.DUMMYFUNCTION("""COMPUTED_VALUE"""),"Cub Finance")</f>
        <v>Cub Finance</v>
      </c>
    </row>
    <row r="3382" spans="1:3" x14ac:dyDescent="0.25">
      <c r="A3382" s="2" t="str">
        <f ca="1">IFERROR(__xludf.DUMMYFUNCTION("""COMPUTED_VALUE"""),"cubiex-power")</f>
        <v>cubiex-power</v>
      </c>
      <c r="B3382" s="2" t="str">
        <f ca="1">IFERROR(__xludf.DUMMYFUNCTION("""COMPUTED_VALUE"""),"cbix-p")</f>
        <v>cbix-p</v>
      </c>
      <c r="C3382" s="2" t="str">
        <f ca="1">IFERROR(__xludf.DUMMYFUNCTION("""COMPUTED_VALUE"""),"Cubiex Power")</f>
        <v>Cubiex Power</v>
      </c>
    </row>
    <row r="3383" spans="1:3" x14ac:dyDescent="0.25">
      <c r="A3383" s="2" t="str">
        <f ca="1">IFERROR(__xludf.DUMMYFUNCTION("""COMPUTED_VALUE"""),"cubigator")</f>
        <v>cubigator</v>
      </c>
      <c r="B3383" s="2" t="str">
        <f ca="1">IFERROR(__xludf.DUMMYFUNCTION("""COMPUTED_VALUE"""),"cub")</f>
        <v>cub</v>
      </c>
      <c r="C3383" s="2" t="str">
        <f ca="1">IFERROR(__xludf.DUMMYFUNCTION("""COMPUTED_VALUE"""),"Cubigator")</f>
        <v>Cubigator</v>
      </c>
    </row>
    <row r="3384" spans="1:3" x14ac:dyDescent="0.25">
      <c r="A3384" s="2" t="str">
        <f ca="1">IFERROR(__xludf.DUMMYFUNCTION("""COMPUTED_VALUE"""),"cubiswap")</f>
        <v>cubiswap</v>
      </c>
      <c r="B3384" s="2" t="str">
        <f ca="1">IFERROR(__xludf.DUMMYFUNCTION("""COMPUTED_VALUE"""),"cubi")</f>
        <v>cubi</v>
      </c>
      <c r="C3384" s="2" t="str">
        <f ca="1">IFERROR(__xludf.DUMMYFUNCTION("""COMPUTED_VALUE"""),"CUBISWAP")</f>
        <v>CUBISWAP</v>
      </c>
    </row>
    <row r="3385" spans="1:3" x14ac:dyDescent="0.25">
      <c r="A3385" s="2" t="str">
        <f ca="1">IFERROR(__xludf.DUMMYFUNCTION("""COMPUTED_VALUE"""),"cubtoken")</f>
        <v>cubtoken</v>
      </c>
      <c r="B3385" s="2" t="str">
        <f ca="1">IFERROR(__xludf.DUMMYFUNCTION("""COMPUTED_VALUE"""),"cubt")</f>
        <v>cubt</v>
      </c>
      <c r="C3385" s="2" t="str">
        <f ca="1">IFERROR(__xludf.DUMMYFUNCTION("""COMPUTED_VALUE"""),"CubToken")</f>
        <v>CubToken</v>
      </c>
    </row>
    <row r="3386" spans="1:3" x14ac:dyDescent="0.25">
      <c r="A3386" s="2" t="str">
        <f ca="1">IFERROR(__xludf.DUMMYFUNCTION("""COMPUTED_VALUE"""),"cuckadoodledoo")</f>
        <v>cuckadoodledoo</v>
      </c>
      <c r="B3386" s="2" t="str">
        <f ca="1">IFERROR(__xludf.DUMMYFUNCTION("""COMPUTED_VALUE"""),"cuck")</f>
        <v>cuck</v>
      </c>
      <c r="C3386" s="2" t="str">
        <f ca="1">IFERROR(__xludf.DUMMYFUNCTION("""COMPUTED_VALUE"""),"Cuckadoodledoo")</f>
        <v>Cuckadoodledoo</v>
      </c>
    </row>
    <row r="3387" spans="1:3" x14ac:dyDescent="0.25">
      <c r="A3387" s="2" t="str">
        <f ca="1">IFERROR(__xludf.DUMMYFUNCTION("""COMPUTED_VALUE"""),"cudos")</f>
        <v>cudos</v>
      </c>
      <c r="B3387" s="2" t="str">
        <f ca="1">IFERROR(__xludf.DUMMYFUNCTION("""COMPUTED_VALUE"""),"cudos")</f>
        <v>cudos</v>
      </c>
      <c r="C3387" s="2" t="str">
        <f ca="1">IFERROR(__xludf.DUMMYFUNCTION("""COMPUTED_VALUE"""),"Cudos")</f>
        <v>Cudos</v>
      </c>
    </row>
    <row r="3388" spans="1:3" x14ac:dyDescent="0.25">
      <c r="A3388" s="2" t="str">
        <f ca="1">IFERROR(__xludf.DUMMYFUNCTION("""COMPUTED_VALUE"""),"culo")</f>
        <v>culo</v>
      </c>
      <c r="B3388" s="2" t="str">
        <f ca="1">IFERROR(__xludf.DUMMYFUNCTION("""COMPUTED_VALUE"""),"culo")</f>
        <v>culo</v>
      </c>
      <c r="C3388" s="2" t="str">
        <f ca="1">IFERROR(__xludf.DUMMYFUNCTION("""COMPUTED_VALUE"""),"CULO")</f>
        <v>CULO</v>
      </c>
    </row>
    <row r="3389" spans="1:3" x14ac:dyDescent="0.25">
      <c r="A3389" s="2" t="str">
        <f ca="1">IFERROR(__xludf.DUMMYFUNCTION("""COMPUTED_VALUE"""),"cult")</f>
        <v>cult</v>
      </c>
      <c r="B3389" s="2" t="str">
        <f ca="1">IFERROR(__xludf.DUMMYFUNCTION("""COMPUTED_VALUE"""),"cult")</f>
        <v>cult</v>
      </c>
      <c r="C3389" s="2" t="str">
        <f ca="1">IFERROR(__xludf.DUMMYFUNCTION("""COMPUTED_VALUE"""),"CULT")</f>
        <v>CULT</v>
      </c>
    </row>
    <row r="3390" spans="1:3" x14ac:dyDescent="0.25">
      <c r="A3390" s="2" t="str">
        <f ca="1">IFERROR(__xludf.DUMMYFUNCTION("""COMPUTED_VALUE"""),"cult-cat")</f>
        <v>cult-cat</v>
      </c>
      <c r="B3390" s="2" t="str">
        <f ca="1">IFERROR(__xludf.DUMMYFUNCTION("""COMPUTED_VALUE"""),"cult")</f>
        <v>cult</v>
      </c>
      <c r="C3390" s="2" t="str">
        <f ca="1">IFERROR(__xludf.DUMMYFUNCTION("""COMPUTED_VALUE"""),"CULT CAT")</f>
        <v>CULT CAT</v>
      </c>
    </row>
    <row r="3391" spans="1:3" x14ac:dyDescent="0.25">
      <c r="A3391" s="2" t="str">
        <f ca="1">IFERROR(__xludf.DUMMYFUNCTION("""COMPUTED_VALUE"""),"cult-dao")</f>
        <v>cult-dao</v>
      </c>
      <c r="B3391" s="2" t="str">
        <f ca="1">IFERROR(__xludf.DUMMYFUNCTION("""COMPUTED_VALUE"""),"cult")</f>
        <v>cult</v>
      </c>
      <c r="C3391" s="2" t="str">
        <f ca="1">IFERROR(__xludf.DUMMYFUNCTION("""COMPUTED_VALUE"""),"Cult DAO")</f>
        <v>Cult DAO</v>
      </c>
    </row>
    <row r="3392" spans="1:3" x14ac:dyDescent="0.25">
      <c r="A3392" s="2" t="str">
        <f ca="1">IFERROR(__xludf.DUMMYFUNCTION("""COMPUTED_VALUE"""),"culture-of-solana-token")</f>
        <v>culture-of-solana-token</v>
      </c>
      <c r="B3392" s="2" t="str">
        <f ca="1">IFERROR(__xludf.DUMMYFUNCTION("""COMPUTED_VALUE"""),"$cost")</f>
        <v>$cost</v>
      </c>
      <c r="C3392" s="2" t="str">
        <f ca="1">IFERROR(__xludf.DUMMYFUNCTION("""COMPUTED_VALUE"""),"Culture of Solana Token")</f>
        <v>Culture of Solana Token</v>
      </c>
    </row>
    <row r="3393" spans="1:3" x14ac:dyDescent="0.25">
      <c r="A3393" s="2" t="str">
        <f ca="1">IFERROR(__xludf.DUMMYFUNCTION("""COMPUTED_VALUE"""),"cuminu")</f>
        <v>cuminu</v>
      </c>
      <c r="B3393" s="2" t="str">
        <f ca="1">IFERROR(__xludf.DUMMYFUNCTION("""COMPUTED_VALUE"""),"cuminu")</f>
        <v>cuminu</v>
      </c>
      <c r="C3393" s="2" t="str">
        <f ca="1">IFERROR(__xludf.DUMMYFUNCTION("""COMPUTED_VALUE"""),"Cuminu")</f>
        <v>Cuminu</v>
      </c>
    </row>
    <row r="3394" spans="1:3" x14ac:dyDescent="0.25">
      <c r="A3394" s="2" t="str">
        <f ca="1">IFERROR(__xludf.DUMMYFUNCTION("""COMPUTED_VALUE"""),"cumrocket")</f>
        <v>cumrocket</v>
      </c>
      <c r="B3394" s="2" t="str">
        <f ca="1">IFERROR(__xludf.DUMMYFUNCTION("""COMPUTED_VALUE"""),"cummies")</f>
        <v>cummies</v>
      </c>
      <c r="C3394" s="2" t="str">
        <f ca="1">IFERROR(__xludf.DUMMYFUNCTION("""COMPUTED_VALUE"""),"CumRocket")</f>
        <v>CumRocket</v>
      </c>
    </row>
    <row r="3395" spans="1:3" x14ac:dyDescent="0.25">
      <c r="A3395" s="2" t="str">
        <f ca="1">IFERROR(__xludf.DUMMYFUNCTION("""COMPUTED_VALUE"""),"cumulus-encrypted-storage-system")</f>
        <v>cumulus-encrypted-storage-system</v>
      </c>
      <c r="B3395" s="2" t="str">
        <f ca="1">IFERROR(__xludf.DUMMYFUNCTION("""COMPUTED_VALUE"""),"cess")</f>
        <v>cess</v>
      </c>
      <c r="C3395" s="2" t="str">
        <f ca="1">IFERROR(__xludf.DUMMYFUNCTION("""COMPUTED_VALUE"""),"Cumulus Encrypted Storage System")</f>
        <v>Cumulus Encrypted Storage System</v>
      </c>
    </row>
    <row r="3396" spans="1:3" x14ac:dyDescent="0.25">
      <c r="A3396" s="2" t="str">
        <f ca="1">IFERROR(__xludf.DUMMYFUNCTION("""COMPUTED_VALUE"""),"curate")</f>
        <v>curate</v>
      </c>
      <c r="B3396" s="2" t="str">
        <f ca="1">IFERROR(__xludf.DUMMYFUNCTION("""COMPUTED_VALUE"""),"xcur")</f>
        <v>xcur</v>
      </c>
      <c r="C3396" s="2" t="str">
        <f ca="1">IFERROR(__xludf.DUMMYFUNCTION("""COMPUTED_VALUE"""),"Curate")</f>
        <v>Curate</v>
      </c>
    </row>
    <row r="3397" spans="1:3" x14ac:dyDescent="0.25">
      <c r="A3397" s="2" t="str">
        <f ca="1">IFERROR(__xludf.DUMMYFUNCTION("""COMPUTED_VALUE"""),"curecoin")</f>
        <v>curecoin</v>
      </c>
      <c r="B3397" s="2" t="str">
        <f ca="1">IFERROR(__xludf.DUMMYFUNCTION("""COMPUTED_VALUE"""),"cure")</f>
        <v>cure</v>
      </c>
      <c r="C3397" s="2" t="str">
        <f ca="1">IFERROR(__xludf.DUMMYFUNCTION("""COMPUTED_VALUE"""),"Curecoin")</f>
        <v>Curecoin</v>
      </c>
    </row>
    <row r="3398" spans="1:3" x14ac:dyDescent="0.25">
      <c r="A3398" s="2" t="str">
        <f ca="1">IFERROR(__xludf.DUMMYFUNCTION("""COMPUTED_VALUE"""),"curio-gas-token")</f>
        <v>curio-gas-token</v>
      </c>
      <c r="B3398" s="2" t="str">
        <f ca="1">IFERROR(__xludf.DUMMYFUNCTION("""COMPUTED_VALUE"""),"cgt")</f>
        <v>cgt</v>
      </c>
      <c r="C3398" s="2" t="str">
        <f ca="1">IFERROR(__xludf.DUMMYFUNCTION("""COMPUTED_VALUE"""),"Curio Gas Token")</f>
        <v>Curio Gas Token</v>
      </c>
    </row>
    <row r="3399" spans="1:3" x14ac:dyDescent="0.25">
      <c r="A3399" s="2" t="str">
        <f ca="1">IFERROR(__xludf.DUMMYFUNCTION("""COMPUTED_VALUE"""),"curvance")</f>
        <v>curvance</v>
      </c>
      <c r="B3399" s="2" t="str">
        <f ca="1">IFERROR(__xludf.DUMMYFUNCTION("""COMPUTED_VALUE"""),"cve")</f>
        <v>cve</v>
      </c>
      <c r="C3399" s="2" t="str">
        <f ca="1">IFERROR(__xludf.DUMMYFUNCTION("""COMPUTED_VALUE"""),"Curvance")</f>
        <v>Curvance</v>
      </c>
    </row>
    <row r="3400" spans="1:3" x14ac:dyDescent="0.25">
      <c r="A3400" s="2" t="str">
        <f ca="1">IFERROR(__xludf.DUMMYFUNCTION("""COMPUTED_VALUE"""),"curve-dao-token")</f>
        <v>curve-dao-token</v>
      </c>
      <c r="B3400" s="2" t="str">
        <f ca="1">IFERROR(__xludf.DUMMYFUNCTION("""COMPUTED_VALUE"""),"crv")</f>
        <v>crv</v>
      </c>
      <c r="C3400" s="2" t="str">
        <f ca="1">IFERROR(__xludf.DUMMYFUNCTION("""COMPUTED_VALUE"""),"Curve DAO")</f>
        <v>Curve DAO</v>
      </c>
    </row>
    <row r="3401" spans="1:3" x14ac:dyDescent="0.25">
      <c r="A3401" s="2" t="str">
        <f ca="1">IFERROR(__xludf.DUMMYFUNCTION("""COMPUTED_VALUE"""),"curve-fi-amdai-amusdc-amusdt")</f>
        <v>curve-fi-amdai-amusdc-amusdt</v>
      </c>
      <c r="B3401" s="2" t="str">
        <f ca="1">IFERROR(__xludf.DUMMYFUNCTION("""COMPUTED_VALUE"""),"am3crv")</f>
        <v>am3crv</v>
      </c>
      <c r="C3401" s="2" t="str">
        <f ca="1">IFERROR(__xludf.DUMMYFUNCTION("""COMPUTED_VALUE"""),"Curve.fi amDAI/amUSDC/amUSDT")</f>
        <v>Curve.fi amDAI/amUSDC/amUSDT</v>
      </c>
    </row>
    <row r="3402" spans="1:3" x14ac:dyDescent="0.25">
      <c r="A3402" s="2" t="str">
        <f ca="1">IFERROR(__xludf.DUMMYFUNCTION("""COMPUTED_VALUE"""),"curve-fi-frax-usdc")</f>
        <v>curve-fi-frax-usdc</v>
      </c>
      <c r="B3402" s="2" t="str">
        <f ca="1">IFERROR(__xludf.DUMMYFUNCTION("""COMPUTED_VALUE"""),"crvfrax")</f>
        <v>crvfrax</v>
      </c>
      <c r="C3402" s="2" t="str">
        <f ca="1">IFERROR(__xludf.DUMMYFUNCTION("""COMPUTED_VALUE"""),"Curve.fi FRAX/USDC")</f>
        <v>Curve.fi FRAX/USDC</v>
      </c>
    </row>
    <row r="3403" spans="1:3" x14ac:dyDescent="0.25">
      <c r="A3403" s="2" t="str">
        <f ca="1">IFERROR(__xludf.DUMMYFUNCTION("""COMPUTED_VALUE"""),"curve-fi-renbtc-wbtc-sbtc")</f>
        <v>curve-fi-renbtc-wbtc-sbtc</v>
      </c>
      <c r="B3403" s="2" t="str">
        <f ca="1">IFERROR(__xludf.DUMMYFUNCTION("""COMPUTED_VALUE"""),"crvrenwsbtc")</f>
        <v>crvrenwsbtc</v>
      </c>
      <c r="C3403" s="2" t="str">
        <f ca="1">IFERROR(__xludf.DUMMYFUNCTION("""COMPUTED_VALUE"""),"Curve.fi renBTC/wBTC/sBTC")</f>
        <v>Curve.fi renBTC/wBTC/sBTC</v>
      </c>
    </row>
    <row r="3404" spans="1:3" x14ac:dyDescent="0.25">
      <c r="A3404" s="2" t="str">
        <f ca="1">IFERROR(__xludf.DUMMYFUNCTION("""COMPUTED_VALUE"""),"curve-fi-usdc-usdt")</f>
        <v>curve-fi-usdc-usdt</v>
      </c>
      <c r="B3404" s="2" t="str">
        <f ca="1">IFERROR(__xludf.DUMMYFUNCTION("""COMPUTED_VALUE"""),"2crv")</f>
        <v>2crv</v>
      </c>
      <c r="C3404" s="2" t="str">
        <f ca="1">IFERROR(__xludf.DUMMYFUNCTION("""COMPUTED_VALUE"""),"Curve.fi USDC/USDT")</f>
        <v>Curve.fi USDC/USDT</v>
      </c>
    </row>
    <row r="3405" spans="1:3" x14ac:dyDescent="0.25">
      <c r="A3405" s="2" t="str">
        <f ca="1">IFERROR(__xludf.DUMMYFUNCTION("""COMPUTED_VALUE"""),"curve-fi-usd-stablecoin-stargate")</f>
        <v>curve-fi-usd-stablecoin-stargate</v>
      </c>
      <c r="B3405" s="2" t="str">
        <f ca="1">IFERROR(__xludf.DUMMYFUNCTION("""COMPUTED_VALUE"""),"crvusd")</f>
        <v>crvusd</v>
      </c>
      <c r="C3405" s="2" t="str">
        <f ca="1">IFERROR(__xludf.DUMMYFUNCTION("""COMPUTED_VALUE"""),"Bridged Curve.Fi USD Stablecoin (Stargate)")</f>
        <v>Bridged Curve.Fi USD Stablecoin (Stargate)</v>
      </c>
    </row>
    <row r="3406" spans="1:3" x14ac:dyDescent="0.25">
      <c r="A3406" s="2" t="str">
        <f ca="1">IFERROR(__xludf.DUMMYFUNCTION("""COMPUTED_VALUE"""),"curve-inu")</f>
        <v>curve-inu</v>
      </c>
      <c r="B3406" s="2" t="str">
        <f ca="1">IFERROR(__xludf.DUMMYFUNCTION("""COMPUTED_VALUE"""),"crvy")</f>
        <v>crvy</v>
      </c>
      <c r="C3406" s="2" t="str">
        <f ca="1">IFERROR(__xludf.DUMMYFUNCTION("""COMPUTED_VALUE"""),"Curve Inu")</f>
        <v>Curve Inu</v>
      </c>
    </row>
    <row r="3407" spans="1:3" x14ac:dyDescent="0.25">
      <c r="A3407" s="2" t="str">
        <f ca="1">IFERROR(__xludf.DUMMYFUNCTION("""COMPUTED_VALUE"""),"curveswap")</f>
        <v>curveswap</v>
      </c>
      <c r="B3407" s="2" t="str">
        <f ca="1">IFERROR(__xludf.DUMMYFUNCTION("""COMPUTED_VALUE"""),"cvs")</f>
        <v>cvs</v>
      </c>
      <c r="C3407" s="2" t="str">
        <f ca="1">IFERROR(__xludf.DUMMYFUNCTION("""COMPUTED_VALUE"""),"Curveswap")</f>
        <v>Curveswap</v>
      </c>
    </row>
    <row r="3408" spans="1:3" x14ac:dyDescent="0.25">
      <c r="A3408" s="2" t="str">
        <f ca="1">IFERROR(__xludf.DUMMYFUNCTION("""COMPUTED_VALUE"""),"custodiy")</f>
        <v>custodiy</v>
      </c>
      <c r="B3408" s="2" t="str">
        <f ca="1">IFERROR(__xludf.DUMMYFUNCTION("""COMPUTED_VALUE"""),"cty")</f>
        <v>cty</v>
      </c>
      <c r="C3408" s="2" t="str">
        <f ca="1">IFERROR(__xludf.DUMMYFUNCTION("""COMPUTED_VALUE"""),"CUSTODIY")</f>
        <v>CUSTODIY</v>
      </c>
    </row>
    <row r="3409" spans="1:3" x14ac:dyDescent="0.25">
      <c r="A3409" s="2" t="str">
        <f ca="1">IFERROR(__xludf.DUMMYFUNCTION("""COMPUTED_VALUE"""),"cute-cat-token")</f>
        <v>cute-cat-token</v>
      </c>
      <c r="B3409" s="2" t="str">
        <f ca="1">IFERROR(__xludf.DUMMYFUNCTION("""COMPUTED_VALUE"""),"ccc")</f>
        <v>ccc</v>
      </c>
      <c r="C3409" s="2" t="str">
        <f ca="1">IFERROR(__xludf.DUMMYFUNCTION("""COMPUTED_VALUE"""),"Cute Cat Candle")</f>
        <v>Cute Cat Candle</v>
      </c>
    </row>
    <row r="3410" spans="1:3" x14ac:dyDescent="0.25">
      <c r="A3410" s="2" t="str">
        <f ca="1">IFERROR(__xludf.DUMMYFUNCTION("""COMPUTED_VALUE"""),"cute-cthulhu")</f>
        <v>cute-cthulhu</v>
      </c>
      <c r="B3410" s="2" t="str">
        <f ca="1">IFERROR(__xludf.DUMMYFUNCTION("""COMPUTED_VALUE"""),"cthulhu")</f>
        <v>cthulhu</v>
      </c>
      <c r="C3410" s="2" t="str">
        <f ca="1">IFERROR(__xludf.DUMMYFUNCTION("""COMPUTED_VALUE"""),"Cute Cthulhu")</f>
        <v>Cute Cthulhu</v>
      </c>
    </row>
    <row r="3411" spans="1:3" x14ac:dyDescent="0.25">
      <c r="A3411" s="2" t="str">
        <f ca="1">IFERROR(__xludf.DUMMYFUNCTION("""COMPUTED_VALUE"""),"cvault-finance")</f>
        <v>cvault-finance</v>
      </c>
      <c r="B3411" s="2" t="str">
        <f ca="1">IFERROR(__xludf.DUMMYFUNCTION("""COMPUTED_VALUE"""),"core")</f>
        <v>core</v>
      </c>
      <c r="C3411" s="2" t="str">
        <f ca="1">IFERROR(__xludf.DUMMYFUNCTION("""COMPUTED_VALUE"""),"cVault.finance")</f>
        <v>cVault.finance</v>
      </c>
    </row>
    <row r="3412" spans="1:3" x14ac:dyDescent="0.25">
      <c r="A3412" s="2" t="str">
        <f ca="1">IFERROR(__xludf.DUMMYFUNCTION("""COMPUTED_VALUE"""),"cvip")</f>
        <v>cvip</v>
      </c>
      <c r="B3412" s="2" t="str">
        <f ca="1">IFERROR(__xludf.DUMMYFUNCTION("""COMPUTED_VALUE"""),"cvip")</f>
        <v>cvip</v>
      </c>
      <c r="C3412" s="2" t="str">
        <f ca="1">IFERROR(__xludf.DUMMYFUNCTION("""COMPUTED_VALUE"""),"CVIP")</f>
        <v>CVIP</v>
      </c>
    </row>
    <row r="3413" spans="1:3" x14ac:dyDescent="0.25">
      <c r="A3413" s="2" t="str">
        <f ca="1">IFERROR(__xludf.DUMMYFUNCTION("""COMPUTED_VALUE"""),"cv-pad")</f>
        <v>cv-pad</v>
      </c>
      <c r="B3413" s="2" t="str">
        <f ca="1">IFERROR(__xludf.DUMMYFUNCTION("""COMPUTED_VALUE"""),"cvpad")</f>
        <v>cvpad</v>
      </c>
      <c r="C3413" s="2" t="str">
        <f ca="1">IFERROR(__xludf.DUMMYFUNCTION("""COMPUTED_VALUE"""),"CV Pad")</f>
        <v>CV Pad</v>
      </c>
    </row>
    <row r="3414" spans="1:3" x14ac:dyDescent="0.25">
      <c r="A3414" s="2" t="str">
        <f ca="1">IFERROR(__xludf.DUMMYFUNCTION("""COMPUTED_VALUE"""),"cvshots")</f>
        <v>cvshots</v>
      </c>
      <c r="B3414" s="2" t="str">
        <f ca="1">IFERROR(__xludf.DUMMYFUNCTION("""COMPUTED_VALUE"""),"cvshot")</f>
        <v>cvshot</v>
      </c>
      <c r="C3414" s="2" t="str">
        <f ca="1">IFERROR(__xludf.DUMMYFUNCTION("""COMPUTED_VALUE"""),"CVSHOTS")</f>
        <v>CVSHOTS</v>
      </c>
    </row>
    <row r="3415" spans="1:3" x14ac:dyDescent="0.25">
      <c r="A3415" s="2" t="str">
        <f ca="1">IFERROR(__xludf.DUMMYFUNCTION("""COMPUTED_VALUE"""),"cyb3rgam3r420")</f>
        <v>cyb3rgam3r420</v>
      </c>
      <c r="B3415" s="2" t="str">
        <f ca="1">IFERROR(__xludf.DUMMYFUNCTION("""COMPUTED_VALUE"""),"gamer")</f>
        <v>gamer</v>
      </c>
      <c r="C3415" s="2" t="str">
        <f ca="1">IFERROR(__xludf.DUMMYFUNCTION("""COMPUTED_VALUE"""),"cyb3rgam3r420")</f>
        <v>cyb3rgam3r420</v>
      </c>
    </row>
    <row r="3416" spans="1:3" x14ac:dyDescent="0.25">
      <c r="A3416" s="2" t="str">
        <f ca="1">IFERROR(__xludf.DUMMYFUNCTION("""COMPUTED_VALUE"""),"cyber-arena")</f>
        <v>cyber-arena</v>
      </c>
      <c r="B3416" s="2" t="str">
        <f ca="1">IFERROR(__xludf.DUMMYFUNCTION("""COMPUTED_VALUE"""),"cat")</f>
        <v>cat</v>
      </c>
      <c r="C3416" s="2" t="str">
        <f ca="1">IFERROR(__xludf.DUMMYFUNCTION("""COMPUTED_VALUE"""),"Cyber Arena")</f>
        <v>Cyber Arena</v>
      </c>
    </row>
    <row r="3417" spans="1:3" x14ac:dyDescent="0.25">
      <c r="A3417" s="2" t="str">
        <f ca="1">IFERROR(__xludf.DUMMYFUNCTION("""COMPUTED_VALUE"""),"cyberblast-token")</f>
        <v>cyberblast-token</v>
      </c>
      <c r="B3417" s="2" t="str">
        <f ca="1">IFERROR(__xludf.DUMMYFUNCTION("""COMPUTED_VALUE"""),"cbr")</f>
        <v>cbr</v>
      </c>
      <c r="C3417" s="2" t="str">
        <f ca="1">IFERROR(__xludf.DUMMYFUNCTION("""COMPUTED_VALUE"""),"Cyberblast Token")</f>
        <v>Cyberblast Token</v>
      </c>
    </row>
    <row r="3418" spans="1:3" x14ac:dyDescent="0.25">
      <c r="A3418" s="2" t="str">
        <f ca="1">IFERROR(__xludf.DUMMYFUNCTION("""COMPUTED_VALUE"""),"cyberconnect")</f>
        <v>cyberconnect</v>
      </c>
      <c r="B3418" s="2" t="str">
        <f ca="1">IFERROR(__xludf.DUMMYFUNCTION("""COMPUTED_VALUE"""),"cyber")</f>
        <v>cyber</v>
      </c>
      <c r="C3418" s="2" t="str">
        <f ca="1">IFERROR(__xludf.DUMMYFUNCTION("""COMPUTED_VALUE"""),"CYBER")</f>
        <v>CYBER</v>
      </c>
    </row>
    <row r="3419" spans="1:3" x14ac:dyDescent="0.25">
      <c r="A3419" s="2" t="str">
        <f ca="1">IFERROR(__xludf.DUMMYFUNCTION("""COMPUTED_VALUE"""),"cyberdex")</f>
        <v>cyberdex</v>
      </c>
      <c r="B3419" s="2" t="str">
        <f ca="1">IFERROR(__xludf.DUMMYFUNCTION("""COMPUTED_VALUE"""),"cydx")</f>
        <v>cydx</v>
      </c>
      <c r="C3419" s="2" t="str">
        <f ca="1">IFERROR(__xludf.DUMMYFUNCTION("""COMPUTED_VALUE"""),"CyberDEX")</f>
        <v>CyberDEX</v>
      </c>
    </row>
    <row r="3420" spans="1:3" x14ac:dyDescent="0.25">
      <c r="A3420" s="2" t="str">
        <f ca="1">IFERROR(__xludf.DUMMYFUNCTION("""COMPUTED_VALUE"""),"cyber-dog")</f>
        <v>cyber-dog</v>
      </c>
      <c r="B3420" s="2" t="str">
        <f ca="1">IFERROR(__xludf.DUMMYFUNCTION("""COMPUTED_VALUE"""),"cdog")</f>
        <v>cdog</v>
      </c>
      <c r="C3420" s="2" t="str">
        <f ca="1">IFERROR(__xludf.DUMMYFUNCTION("""COMPUTED_VALUE"""),"Cyber Dog")</f>
        <v>Cyber Dog</v>
      </c>
    </row>
    <row r="3421" spans="1:3" x14ac:dyDescent="0.25">
      <c r="A3421" s="2" t="str">
        <f ca="1">IFERROR(__xludf.DUMMYFUNCTION("""COMPUTED_VALUE"""),"cyber-doge-2")</f>
        <v>cyber-doge-2</v>
      </c>
      <c r="B3421" s="2" t="str">
        <f ca="1">IFERROR(__xludf.DUMMYFUNCTION("""COMPUTED_VALUE"""),"cdoge")</f>
        <v>cdoge</v>
      </c>
      <c r="C3421" s="2" t="str">
        <f ca="1">IFERROR(__xludf.DUMMYFUNCTION("""COMPUTED_VALUE"""),"Cyber Doge")</f>
        <v>Cyber Doge</v>
      </c>
    </row>
    <row r="3422" spans="1:3" x14ac:dyDescent="0.25">
      <c r="A3422" s="2" t="str">
        <f ca="1">IFERROR(__xludf.DUMMYFUNCTION("""COMPUTED_VALUE"""),"cyberdoge-2")</f>
        <v>cyberdoge-2</v>
      </c>
      <c r="B3422" s="2" t="str">
        <f ca="1">IFERROR(__xludf.DUMMYFUNCTION("""COMPUTED_VALUE"""),"cydoge")</f>
        <v>cydoge</v>
      </c>
      <c r="C3422" s="2" t="str">
        <f ca="1">IFERROR(__xludf.DUMMYFUNCTION("""COMPUTED_VALUE"""),"Cyberdoge")</f>
        <v>Cyberdoge</v>
      </c>
    </row>
    <row r="3423" spans="1:3" x14ac:dyDescent="0.25">
      <c r="A3423" s="2" t="str">
        <f ca="1">IFERROR(__xludf.DUMMYFUNCTION("""COMPUTED_VALUE"""),"cyberdragon-gold")</f>
        <v>cyberdragon-gold</v>
      </c>
      <c r="B3423" s="2" t="str">
        <f ca="1">IFERROR(__xludf.DUMMYFUNCTION("""COMPUTED_VALUE"""),"gold")</f>
        <v>gold</v>
      </c>
      <c r="C3423" s="2" t="str">
        <f ca="1">IFERROR(__xludf.DUMMYFUNCTION("""COMPUTED_VALUE"""),"CyberDragon Gold")</f>
        <v>CyberDragon Gold</v>
      </c>
    </row>
    <row r="3424" spans="1:3" x14ac:dyDescent="0.25">
      <c r="A3424" s="2" t="str">
        <f ca="1">IFERROR(__xludf.DUMMYFUNCTION("""COMPUTED_VALUE"""),"cyberfi")</f>
        <v>cyberfi</v>
      </c>
      <c r="B3424" s="2" t="str">
        <f ca="1">IFERROR(__xludf.DUMMYFUNCTION("""COMPUTED_VALUE"""),"cfi")</f>
        <v>cfi</v>
      </c>
      <c r="C3424" s="2" t="str">
        <f ca="1">IFERROR(__xludf.DUMMYFUNCTION("""COMPUTED_VALUE"""),"CyberFi")</f>
        <v>CyberFi</v>
      </c>
    </row>
    <row r="3425" spans="1:3" x14ac:dyDescent="0.25">
      <c r="A3425" s="2" t="str">
        <f ca="1">IFERROR(__xludf.DUMMYFUNCTION("""COMPUTED_VALUE"""),"cyberfm")</f>
        <v>cyberfm</v>
      </c>
      <c r="B3425" s="2" t="str">
        <f ca="1">IFERROR(__xludf.DUMMYFUNCTION("""COMPUTED_VALUE"""),"cyfm")</f>
        <v>cyfm</v>
      </c>
      <c r="C3425" s="2" t="str">
        <f ca="1">IFERROR(__xludf.DUMMYFUNCTION("""COMPUTED_VALUE"""),"CyberFM")</f>
        <v>CyberFM</v>
      </c>
    </row>
    <row r="3426" spans="1:3" x14ac:dyDescent="0.25">
      <c r="A3426" s="2" t="str">
        <f ca="1">IFERROR(__xludf.DUMMYFUNCTION("""COMPUTED_VALUE"""),"cyberharbor")</f>
        <v>cyberharbor</v>
      </c>
      <c r="B3426" s="2" t="str">
        <f ca="1">IFERROR(__xludf.DUMMYFUNCTION("""COMPUTED_VALUE"""),"cht")</f>
        <v>cht</v>
      </c>
      <c r="C3426" s="2" t="str">
        <f ca="1">IFERROR(__xludf.DUMMYFUNCTION("""COMPUTED_VALUE"""),"CyberHarbor")</f>
        <v>CyberHarbor</v>
      </c>
    </row>
    <row r="3427" spans="1:3" x14ac:dyDescent="0.25">
      <c r="A3427" s="2" t="str">
        <f ca="1">IFERROR(__xludf.DUMMYFUNCTION("""COMPUTED_VALUE"""),"cyberperp")</f>
        <v>cyberperp</v>
      </c>
      <c r="B3427" s="2" t="str">
        <f ca="1">IFERROR(__xludf.DUMMYFUNCTION("""COMPUTED_VALUE"""),"cyb")</f>
        <v>cyb</v>
      </c>
      <c r="C3427" s="2" t="str">
        <f ca="1">IFERROR(__xludf.DUMMYFUNCTION("""COMPUTED_VALUE"""),"Cyberperp")</f>
        <v>Cyberperp</v>
      </c>
    </row>
    <row r="3428" spans="1:3" x14ac:dyDescent="0.25">
      <c r="A3428" s="2" t="str">
        <f ca="1">IFERROR(__xludf.DUMMYFUNCTION("""COMPUTED_VALUE"""),"cyberpixels")</f>
        <v>cyberpixels</v>
      </c>
      <c r="B3428" s="2" t="str">
        <f ca="1">IFERROR(__xludf.DUMMYFUNCTION("""COMPUTED_VALUE"""),"cypx")</f>
        <v>cypx</v>
      </c>
      <c r="C3428" s="2" t="str">
        <f ca="1">IFERROR(__xludf.DUMMYFUNCTION("""COMPUTED_VALUE"""),"CyberPixels")</f>
        <v>CyberPixels</v>
      </c>
    </row>
    <row r="3429" spans="1:3" x14ac:dyDescent="0.25">
      <c r="A3429" s="2" t="str">
        <f ca="1">IFERROR(__xludf.DUMMYFUNCTION("""COMPUTED_VALUE"""),"cyberpunk-city")</f>
        <v>cyberpunk-city</v>
      </c>
      <c r="B3429" s="2" t="str">
        <f ca="1">IFERROR(__xludf.DUMMYFUNCTION("""COMPUTED_VALUE"""),"cyber")</f>
        <v>cyber</v>
      </c>
      <c r="C3429" s="2" t="str">
        <f ca="1">IFERROR(__xludf.DUMMYFUNCTION("""COMPUTED_VALUE"""),"Cyberpunk City")</f>
        <v>Cyberpunk City</v>
      </c>
    </row>
    <row r="3430" spans="1:3" x14ac:dyDescent="0.25">
      <c r="A3430" s="2" t="str">
        <f ca="1">IFERROR(__xludf.DUMMYFUNCTION("""COMPUTED_VALUE"""),"cybertruck")</f>
        <v>cybertruck</v>
      </c>
      <c r="B3430" s="2" t="str">
        <f ca="1">IFERROR(__xludf.DUMMYFUNCTION("""COMPUTED_VALUE"""),"truck")</f>
        <v>truck</v>
      </c>
      <c r="C3430" s="2" t="str">
        <f ca="1">IFERROR(__xludf.DUMMYFUNCTION("""COMPUTED_VALUE"""),"Cybertruck")</f>
        <v>Cybertruck</v>
      </c>
    </row>
    <row r="3431" spans="1:3" x14ac:dyDescent="0.25">
      <c r="A3431" s="2" t="str">
        <f ca="1">IFERROR(__xludf.DUMMYFUNCTION("""COMPUTED_VALUE"""),"cybervein")</f>
        <v>cybervein</v>
      </c>
      <c r="B3431" s="2" t="str">
        <f ca="1">IFERROR(__xludf.DUMMYFUNCTION("""COMPUTED_VALUE"""),"cvt")</f>
        <v>cvt</v>
      </c>
      <c r="C3431" s="2" t="str">
        <f ca="1">IFERROR(__xludf.DUMMYFUNCTION("""COMPUTED_VALUE"""),"CyberVein")</f>
        <v>CyberVein</v>
      </c>
    </row>
    <row r="3432" spans="1:3" x14ac:dyDescent="0.25">
      <c r="A3432" s="2" t="str">
        <f ca="1">IFERROR(__xludf.DUMMYFUNCTION("""COMPUTED_VALUE"""),"cyberyen")</f>
        <v>cyberyen</v>
      </c>
      <c r="B3432" s="2" t="str">
        <f ca="1">IFERROR(__xludf.DUMMYFUNCTION("""COMPUTED_VALUE"""),"cy")</f>
        <v>cy</v>
      </c>
      <c r="C3432" s="2" t="str">
        <f ca="1">IFERROR(__xludf.DUMMYFUNCTION("""COMPUTED_VALUE"""),"Cyberyen")</f>
        <v>Cyberyen</v>
      </c>
    </row>
    <row r="3433" spans="1:3" x14ac:dyDescent="0.25">
      <c r="A3433" s="2" t="str">
        <f ca="1">IFERROR(__xludf.DUMMYFUNCTION("""COMPUTED_VALUE"""),"cybonk")</f>
        <v>cybonk</v>
      </c>
      <c r="B3433" s="2" t="str">
        <f ca="1">IFERROR(__xludf.DUMMYFUNCTION("""COMPUTED_VALUE"""),"cybonk")</f>
        <v>cybonk</v>
      </c>
      <c r="C3433" s="2" t="str">
        <f ca="1">IFERROR(__xludf.DUMMYFUNCTION("""COMPUTED_VALUE"""),"CYBONK")</f>
        <v>CYBONK</v>
      </c>
    </row>
    <row r="3434" spans="1:3" x14ac:dyDescent="0.25">
      <c r="A3434" s="2" t="str">
        <f ca="1">IFERROR(__xludf.DUMMYFUNCTION("""COMPUTED_VALUE"""),"cy-bord-cbrc-20")</f>
        <v>cy-bord-cbrc-20</v>
      </c>
      <c r="B3434" s="2" t="str">
        <f ca="1">IFERROR(__xludf.DUMMYFUNCTION("""COMPUTED_VALUE"""),"bord")</f>
        <v>bord</v>
      </c>
      <c r="C3434" s="2" t="str">
        <f ca="1">IFERROR(__xludf.DUMMYFUNCTION("""COMPUTED_VALUE"""),"Cy[bord] (CBRC-20)")</f>
        <v>Cy[bord] (CBRC-20)</v>
      </c>
    </row>
    <row r="3435" spans="1:3" x14ac:dyDescent="0.25">
      <c r="A3435" s="2" t="str">
        <f ca="1">IFERROR(__xludf.DUMMYFUNCTION("""COMPUTED_VALUE"""),"cybria")</f>
        <v>cybria</v>
      </c>
      <c r="B3435" s="2" t="str">
        <f ca="1">IFERROR(__xludf.DUMMYFUNCTION("""COMPUTED_VALUE"""),"cyba")</f>
        <v>cyba</v>
      </c>
      <c r="C3435" s="2" t="str">
        <f ca="1">IFERROR(__xludf.DUMMYFUNCTION("""COMPUTED_VALUE"""),"Cybria")</f>
        <v>Cybria</v>
      </c>
    </row>
    <row r="3436" spans="1:3" x14ac:dyDescent="0.25">
      <c r="A3436" s="2" t="str">
        <f ca="1">IFERROR(__xludf.DUMMYFUNCTION("""COMPUTED_VALUE"""),"cybro")</f>
        <v>cybro</v>
      </c>
      <c r="B3436" s="2" t="str">
        <f ca="1">IFERROR(__xludf.DUMMYFUNCTION("""COMPUTED_VALUE"""),"cybro")</f>
        <v>cybro</v>
      </c>
      <c r="C3436" s="2" t="str">
        <f ca="1">IFERROR(__xludf.DUMMYFUNCTION("""COMPUTED_VALUE"""),"CYBRO")</f>
        <v>CYBRO</v>
      </c>
    </row>
    <row r="3437" spans="1:3" x14ac:dyDescent="0.25">
      <c r="A3437" s="2" t="str">
        <f ca="1">IFERROR(__xludf.DUMMYFUNCTION("""COMPUTED_VALUE"""),"cyclix-games")</f>
        <v>cyclix-games</v>
      </c>
      <c r="B3437" s="2" t="str">
        <f ca="1">IFERROR(__xludf.DUMMYFUNCTION("""COMPUTED_VALUE"""),"cyg")</f>
        <v>cyg</v>
      </c>
      <c r="C3437" s="2" t="str">
        <f ca="1">IFERROR(__xludf.DUMMYFUNCTION("""COMPUTED_VALUE"""),"Cyclix Games")</f>
        <v>Cyclix Games</v>
      </c>
    </row>
    <row r="3438" spans="1:3" x14ac:dyDescent="0.25">
      <c r="A3438" s="2" t="str">
        <f ca="1">IFERROR(__xludf.DUMMYFUNCTION("""COMPUTED_VALUE"""),"cyclone-protocol")</f>
        <v>cyclone-protocol</v>
      </c>
      <c r="B3438" s="2" t="str">
        <f ca="1">IFERROR(__xludf.DUMMYFUNCTION("""COMPUTED_VALUE"""),"cyc")</f>
        <v>cyc</v>
      </c>
      <c r="C3438" s="2" t="str">
        <f ca="1">IFERROR(__xludf.DUMMYFUNCTION("""COMPUTED_VALUE"""),"Cyclone Protocol")</f>
        <v>Cyclone Protocol</v>
      </c>
    </row>
    <row r="3439" spans="1:3" x14ac:dyDescent="0.25">
      <c r="A3439" s="2" t="str">
        <f ca="1">IFERROR(__xludf.DUMMYFUNCTION("""COMPUTED_VALUE"""),"cyclos")</f>
        <v>cyclos</v>
      </c>
      <c r="B3439" s="2" t="str">
        <f ca="1">IFERROR(__xludf.DUMMYFUNCTION("""COMPUTED_VALUE"""),"cys")</f>
        <v>cys</v>
      </c>
      <c r="C3439" s="2" t="str">
        <f ca="1">IFERROR(__xludf.DUMMYFUNCTION("""COMPUTED_VALUE"""),"Cykura")</f>
        <v>Cykura</v>
      </c>
    </row>
    <row r="3440" spans="1:3" x14ac:dyDescent="0.25">
      <c r="A3440" s="2" t="str">
        <f ca="1">IFERROR(__xludf.DUMMYFUNCTION("""COMPUTED_VALUE"""),"cygnusdao")</f>
        <v>cygnusdao</v>
      </c>
      <c r="B3440" s="2" t="str">
        <f ca="1">IFERROR(__xludf.DUMMYFUNCTION("""COMPUTED_VALUE"""),"cyg")</f>
        <v>cyg</v>
      </c>
      <c r="C3440" s="2" t="str">
        <f ca="1">IFERROR(__xludf.DUMMYFUNCTION("""COMPUTED_VALUE"""),"CygnusDAO")</f>
        <v>CygnusDAO</v>
      </c>
    </row>
    <row r="3441" spans="1:3" x14ac:dyDescent="0.25">
      <c r="A3441" s="2" t="str">
        <f ca="1">IFERROR(__xludf.DUMMYFUNCTION("""COMPUTED_VALUE"""),"cygnus-finance-global-usd")</f>
        <v>cygnus-finance-global-usd</v>
      </c>
      <c r="B3441" s="2" t="str">
        <f ca="1">IFERROR(__xludf.DUMMYFUNCTION("""COMPUTED_VALUE"""),"cgusd")</f>
        <v>cgusd</v>
      </c>
      <c r="C3441" s="2" t="str">
        <f ca="1">IFERROR(__xludf.DUMMYFUNCTION("""COMPUTED_VALUE"""),"Cygnus Finance Global USD")</f>
        <v>Cygnus Finance Global USD</v>
      </c>
    </row>
    <row r="3442" spans="1:3" x14ac:dyDescent="0.25">
      <c r="A3442" s="2" t="str">
        <f ca="1">IFERROR(__xludf.DUMMYFUNCTION("""COMPUTED_VALUE"""),"cypepe")</f>
        <v>cypepe</v>
      </c>
      <c r="B3442" s="2" t="str">
        <f ca="1">IFERROR(__xludf.DUMMYFUNCTION("""COMPUTED_VALUE"""),"cypepe")</f>
        <v>cypepe</v>
      </c>
      <c r="C3442" s="2" t="str">
        <f ca="1">IFERROR(__xludf.DUMMYFUNCTION("""COMPUTED_VALUE"""),"CyPepe")</f>
        <v>CyPepe</v>
      </c>
    </row>
    <row r="3443" spans="1:3" x14ac:dyDescent="0.25">
      <c r="A3443" s="2" t="str">
        <f ca="1">IFERROR(__xludf.DUMMYFUNCTION("""COMPUTED_VALUE"""),"cypher-ai")</f>
        <v>cypher-ai</v>
      </c>
      <c r="B3443" s="2" t="str">
        <f ca="1">IFERROR(__xludf.DUMMYFUNCTION("""COMPUTED_VALUE"""),"cypher")</f>
        <v>cypher</v>
      </c>
      <c r="C3443" s="2" t="str">
        <f ca="1">IFERROR(__xludf.DUMMYFUNCTION("""COMPUTED_VALUE"""),"Cypher AI")</f>
        <v>Cypher AI</v>
      </c>
    </row>
    <row r="3444" spans="1:3" x14ac:dyDescent="0.25">
      <c r="A3444" s="2" t="str">
        <f ca="1">IFERROR(__xludf.DUMMYFUNCTION("""COMPUTED_VALUE"""),"cypherium")</f>
        <v>cypherium</v>
      </c>
      <c r="B3444" s="2" t="str">
        <f ca="1">IFERROR(__xludf.DUMMYFUNCTION("""COMPUTED_VALUE"""),"cph")</f>
        <v>cph</v>
      </c>
      <c r="C3444" s="2" t="str">
        <f ca="1">IFERROR(__xludf.DUMMYFUNCTION("""COMPUTED_VALUE"""),"Cypherium")</f>
        <v>Cypherium</v>
      </c>
    </row>
    <row r="3445" spans="1:3" x14ac:dyDescent="0.25">
      <c r="A3445" s="2" t="str">
        <f ca="1">IFERROR(__xludf.DUMMYFUNCTION("""COMPUTED_VALUE"""),"cypress")</f>
        <v>cypress</v>
      </c>
      <c r="B3445" s="2" t="str">
        <f ca="1">IFERROR(__xludf.DUMMYFUNCTION("""COMPUTED_VALUE"""),"cp")</f>
        <v>cp</v>
      </c>
      <c r="C3445" s="2" t="str">
        <f ca="1">IFERROR(__xludf.DUMMYFUNCTION("""COMPUTED_VALUE"""),"Cypress")</f>
        <v>Cypress</v>
      </c>
    </row>
    <row r="3446" spans="1:3" x14ac:dyDescent="0.25">
      <c r="A3446" s="2" t="str">
        <f ca="1">IFERROR(__xludf.DUMMYFUNCTION("""COMPUTED_VALUE"""),"czolana")</f>
        <v>czolana</v>
      </c>
      <c r="B3446" s="2" t="str">
        <f ca="1">IFERROR(__xludf.DUMMYFUNCTION("""COMPUTED_VALUE"""),"czol")</f>
        <v>czol</v>
      </c>
      <c r="C3446" s="2" t="str">
        <f ca="1">IFERROR(__xludf.DUMMYFUNCTION("""COMPUTED_VALUE"""),"CZOL")</f>
        <v>CZOL</v>
      </c>
    </row>
    <row r="3447" spans="1:3" x14ac:dyDescent="0.25">
      <c r="A3447" s="2" t="str">
        <f ca="1">IFERROR(__xludf.DUMMYFUNCTION("""COMPUTED_VALUE"""),"cz-on-hyperliquid")</f>
        <v>cz-on-hyperliquid</v>
      </c>
      <c r="B3447" s="2" t="str">
        <f ca="1">IFERROR(__xludf.DUMMYFUNCTION("""COMPUTED_VALUE"""),"cz")</f>
        <v>cz</v>
      </c>
      <c r="C3447" s="2" t="str">
        <f ca="1">IFERROR(__xludf.DUMMYFUNCTION("""COMPUTED_VALUE"""),"CZ on Hyperliquid")</f>
        <v>CZ on Hyperliquid</v>
      </c>
    </row>
    <row r="3448" spans="1:3" x14ac:dyDescent="0.25">
      <c r="A3448" s="2" t="str">
        <f ca="1">IFERROR(__xludf.DUMMYFUNCTION("""COMPUTED_VALUE"""),"czpow")</f>
        <v>czpow</v>
      </c>
      <c r="B3448" s="2" t="str">
        <f ca="1">IFERROR(__xludf.DUMMYFUNCTION("""COMPUTED_VALUE"""),"czpw")</f>
        <v>czpw</v>
      </c>
      <c r="C3448" s="2" t="str">
        <f ca="1">IFERROR(__xludf.DUMMYFUNCTION("""COMPUTED_VALUE"""),"CZPOW")</f>
        <v>CZPOW</v>
      </c>
    </row>
    <row r="3449" spans="1:3" x14ac:dyDescent="0.25">
      <c r="A3449" s="2" t="str">
        <f ca="1">IFERROR(__xludf.DUMMYFUNCTION("""COMPUTED_VALUE"""),"d2")</f>
        <v>d2</v>
      </c>
      <c r="B3449" s="2" t="str">
        <f ca="1">IFERROR(__xludf.DUMMYFUNCTION("""COMPUTED_VALUE"""),"d2x")</f>
        <v>d2x</v>
      </c>
      <c r="C3449" s="2" t="str">
        <f ca="1">IFERROR(__xludf.DUMMYFUNCTION("""COMPUTED_VALUE"""),"D2")</f>
        <v>D2</v>
      </c>
    </row>
    <row r="3450" spans="1:3" x14ac:dyDescent="0.25">
      <c r="A3450" s="2" t="str">
        <f ca="1">IFERROR(__xludf.DUMMYFUNCTION("""COMPUTED_VALUE"""),"d2-token")</f>
        <v>d2-token</v>
      </c>
      <c r="B3450" s="2" t="str">
        <f ca="1">IFERROR(__xludf.DUMMYFUNCTION("""COMPUTED_VALUE"""),"d2")</f>
        <v>d2</v>
      </c>
      <c r="C3450" s="2" t="str">
        <f ca="1">IFERROR(__xludf.DUMMYFUNCTION("""COMPUTED_VALUE"""),"D2 Finance")</f>
        <v>D2 Finance</v>
      </c>
    </row>
    <row r="3451" spans="1:3" x14ac:dyDescent="0.25">
      <c r="A3451" s="2" t="str">
        <f ca="1">IFERROR(__xludf.DUMMYFUNCTION("""COMPUTED_VALUE"""),"d3d-social")</f>
        <v>d3d-social</v>
      </c>
      <c r="B3451" s="2" t="str">
        <f ca="1">IFERROR(__xludf.DUMMYFUNCTION("""COMPUTED_VALUE"""),"d3d")</f>
        <v>d3d</v>
      </c>
      <c r="C3451" s="2" t="str">
        <f ca="1">IFERROR(__xludf.DUMMYFUNCTION("""COMPUTED_VALUE"""),"D3D Social")</f>
        <v>D3D Social</v>
      </c>
    </row>
    <row r="3452" spans="1:3" x14ac:dyDescent="0.25">
      <c r="A3452" s="2" t="str">
        <f ca="1">IFERROR(__xludf.DUMMYFUNCTION("""COMPUTED_VALUE"""),"dacat")</f>
        <v>dacat</v>
      </c>
      <c r="B3452" s="2" t="str">
        <f ca="1">IFERROR(__xludf.DUMMYFUNCTION("""COMPUTED_VALUE"""),"dacat")</f>
        <v>dacat</v>
      </c>
      <c r="C3452" s="2" t="str">
        <f ca="1">IFERROR(__xludf.DUMMYFUNCTION("""COMPUTED_VALUE"""),"daCat")</f>
        <v>daCat</v>
      </c>
    </row>
    <row r="3453" spans="1:3" x14ac:dyDescent="0.25">
      <c r="A3453" s="2" t="str">
        <f ca="1">IFERROR(__xludf.DUMMYFUNCTION("""COMPUTED_VALUE"""),"d-acc")</f>
        <v>d-acc</v>
      </c>
      <c r="B3453" s="2" t="str">
        <f ca="1">IFERROR(__xludf.DUMMYFUNCTION("""COMPUTED_VALUE"""),"d/acc")</f>
        <v>d/acc</v>
      </c>
      <c r="C3453" s="2" t="str">
        <f ca="1">IFERROR(__xludf.DUMMYFUNCTION("""COMPUTED_VALUE"""),"d/acc")</f>
        <v>d/acc</v>
      </c>
    </row>
    <row r="3454" spans="1:3" x14ac:dyDescent="0.25">
      <c r="A3454" s="2" t="str">
        <f ca="1">IFERROR(__xludf.DUMMYFUNCTION("""COMPUTED_VALUE"""),"dackieswap")</f>
        <v>dackieswap</v>
      </c>
      <c r="B3454" s="2" t="str">
        <f ca="1">IFERROR(__xludf.DUMMYFUNCTION("""COMPUTED_VALUE"""),"dackie")</f>
        <v>dackie</v>
      </c>
      <c r="C3454" s="2" t="str">
        <f ca="1">IFERROR(__xludf.DUMMYFUNCTION("""COMPUTED_VALUE"""),"DackieSwap")</f>
        <v>DackieSwap</v>
      </c>
    </row>
    <row r="3455" spans="1:3" x14ac:dyDescent="0.25">
      <c r="A3455" s="2" t="str">
        <f ca="1">IFERROR(__xludf.DUMMYFUNCTION("""COMPUTED_VALUE"""),"dackie-usd")</f>
        <v>dackie-usd</v>
      </c>
      <c r="B3455" s="2" t="str">
        <f ca="1">IFERROR(__xludf.DUMMYFUNCTION("""COMPUTED_VALUE"""),"dckusd")</f>
        <v>dckusd</v>
      </c>
      <c r="C3455" s="2" t="str">
        <f ca="1">IFERROR(__xludf.DUMMYFUNCTION("""COMPUTED_VALUE"""),"Dackie USD")</f>
        <v>Dackie USD</v>
      </c>
    </row>
    <row r="3456" spans="1:3" x14ac:dyDescent="0.25">
      <c r="A3456" s="2" t="str">
        <f ca="1">IFERROR(__xludf.DUMMYFUNCTION("""COMPUTED_VALUE"""),"dacxi")</f>
        <v>dacxi</v>
      </c>
      <c r="B3456" s="2" t="str">
        <f ca="1">IFERROR(__xludf.DUMMYFUNCTION("""COMPUTED_VALUE"""),"dacxi")</f>
        <v>dacxi</v>
      </c>
      <c r="C3456" s="2" t="str">
        <f ca="1">IFERROR(__xludf.DUMMYFUNCTION("""COMPUTED_VALUE"""),"Dacxi")</f>
        <v>Dacxi</v>
      </c>
    </row>
    <row r="3457" spans="1:3" x14ac:dyDescent="0.25">
      <c r="A3457" s="2" t="str">
        <f ca="1">IFERROR(__xludf.DUMMYFUNCTION("""COMPUTED_VALUE"""),"dada-2")</f>
        <v>dada-2</v>
      </c>
      <c r="B3457" s="2" t="str">
        <f ca="1">IFERROR(__xludf.DUMMYFUNCTION("""COMPUTED_VALUE"""),"dada")</f>
        <v>dada</v>
      </c>
      <c r="C3457" s="2" t="str">
        <f ca="1">IFERROR(__xludf.DUMMYFUNCTION("""COMPUTED_VALUE"""),"龘龘 DáDá")</f>
        <v>龘龘 DáDá</v>
      </c>
    </row>
    <row r="3458" spans="1:3" x14ac:dyDescent="0.25">
      <c r="A3458" s="2" t="str">
        <f ca="1">IFERROR(__xludf.DUMMYFUNCTION("""COMPUTED_VALUE"""),"dada-3")</f>
        <v>dada-3</v>
      </c>
      <c r="B3458" s="2" t="str">
        <f ca="1">IFERROR(__xludf.DUMMYFUNCTION("""COMPUTED_VALUE"""),"dada")</f>
        <v>dada</v>
      </c>
      <c r="C3458" s="2" t="str">
        <f ca="1">IFERROR(__xludf.DUMMYFUNCTION("""COMPUTED_VALUE"""),"DADA")</f>
        <v>DADA</v>
      </c>
    </row>
    <row r="3459" spans="1:3" x14ac:dyDescent="0.25">
      <c r="A3459" s="2" t="str">
        <f ca="1">IFERROR(__xludf.DUMMYFUNCTION("""COMPUTED_VALUE"""),"daddy-doge")</f>
        <v>daddy-doge</v>
      </c>
      <c r="B3459" s="2" t="str">
        <f ca="1">IFERROR(__xludf.DUMMYFUNCTION("""COMPUTED_VALUE"""),"daddydoge")</f>
        <v>daddydoge</v>
      </c>
      <c r="C3459" s="2" t="str">
        <f ca="1">IFERROR(__xludf.DUMMYFUNCTION("""COMPUTED_VALUE"""),"Daddy Doge")</f>
        <v>Daddy Doge</v>
      </c>
    </row>
    <row r="3460" spans="1:3" x14ac:dyDescent="0.25">
      <c r="A3460" s="2" t="str">
        <f ca="1">IFERROR(__xludf.DUMMYFUNCTION("""COMPUTED_VALUE"""),"daddy-tate")</f>
        <v>daddy-tate</v>
      </c>
      <c r="B3460" s="2" t="str">
        <f ca="1">IFERROR(__xludf.DUMMYFUNCTION("""COMPUTED_VALUE"""),"daddy")</f>
        <v>daddy</v>
      </c>
      <c r="C3460" s="2" t="str">
        <f ca="1">IFERROR(__xludf.DUMMYFUNCTION("""COMPUTED_VALUE"""),"Daddy Tate")</f>
        <v>Daddy Tate</v>
      </c>
    </row>
    <row r="3461" spans="1:3" x14ac:dyDescent="0.25">
      <c r="A3461" s="2" t="str">
        <f ca="1">IFERROR(__xludf.DUMMYFUNCTION("""COMPUTED_VALUE"""),"daex")</f>
        <v>daex</v>
      </c>
      <c r="B3461" s="2" t="str">
        <f ca="1">IFERROR(__xludf.DUMMYFUNCTION("""COMPUTED_VALUE"""),"dax")</f>
        <v>dax</v>
      </c>
      <c r="C3461" s="2" t="str">
        <f ca="1">IFERROR(__xludf.DUMMYFUNCTION("""COMPUTED_VALUE"""),"DAEX")</f>
        <v>DAEX</v>
      </c>
    </row>
    <row r="3462" spans="1:3" x14ac:dyDescent="0.25">
      <c r="A3462" s="2" t="str">
        <f ca="1">IFERROR(__xludf.DUMMYFUNCTION("""COMPUTED_VALUE"""),"dafi-protocol")</f>
        <v>dafi-protocol</v>
      </c>
      <c r="B3462" s="2" t="str">
        <f ca="1">IFERROR(__xludf.DUMMYFUNCTION("""COMPUTED_VALUE"""),"dafi")</f>
        <v>dafi</v>
      </c>
      <c r="C3462" s="2" t="str">
        <f ca="1">IFERROR(__xludf.DUMMYFUNCTION("""COMPUTED_VALUE"""),"Dafi Protocol")</f>
        <v>Dafi Protocol</v>
      </c>
    </row>
    <row r="3463" spans="1:3" x14ac:dyDescent="0.25">
      <c r="A3463" s="2" t="str">
        <f ca="1">IFERROR(__xludf.DUMMYFUNCTION("""COMPUTED_VALUE"""),"dagger")</f>
        <v>dagger</v>
      </c>
      <c r="B3463" s="2" t="str">
        <f ca="1">IFERROR(__xludf.DUMMYFUNCTION("""COMPUTED_VALUE"""),"xdag")</f>
        <v>xdag</v>
      </c>
      <c r="C3463" s="2" t="str">
        <f ca="1">IFERROR(__xludf.DUMMYFUNCTION("""COMPUTED_VALUE"""),"Dagger")</f>
        <v>Dagger</v>
      </c>
    </row>
    <row r="3464" spans="1:3" x14ac:dyDescent="0.25">
      <c r="A3464" s="2" t="str">
        <f ca="1">IFERROR(__xludf.DUMMYFUNCTION("""COMPUTED_VALUE"""),"dai")</f>
        <v>dai</v>
      </c>
      <c r="B3464" s="2" t="str">
        <f ca="1">IFERROR(__xludf.DUMMYFUNCTION("""COMPUTED_VALUE"""),"dai")</f>
        <v>dai</v>
      </c>
      <c r="C3464" s="2" t="str">
        <f ca="1">IFERROR(__xludf.DUMMYFUNCTION("""COMPUTED_VALUE"""),"Dai")</f>
        <v>Dai</v>
      </c>
    </row>
    <row r="3465" spans="1:3" x14ac:dyDescent="0.25">
      <c r="A3465" s="2" t="str">
        <f ca="1">IFERROR(__xludf.DUMMYFUNCTION("""COMPUTED_VALUE"""),"dai-fuse")</f>
        <v>dai-fuse</v>
      </c>
      <c r="B3465" s="2" t="str">
        <f ca="1">IFERROR(__xludf.DUMMYFUNCTION("""COMPUTED_VALUE"""),"dai")</f>
        <v>dai</v>
      </c>
      <c r="C3465" s="2" t="str">
        <f ca="1">IFERROR(__xludf.DUMMYFUNCTION("""COMPUTED_VALUE"""),"Dai (Fuse)")</f>
        <v>Dai (Fuse)</v>
      </c>
    </row>
    <row r="3466" spans="1:3" x14ac:dyDescent="0.25">
      <c r="A3466" s="2" t="str">
        <f ca="1">IFERROR(__xludf.DUMMYFUNCTION("""COMPUTED_VALUE"""),"daii")</f>
        <v>daii</v>
      </c>
      <c r="B3466" s="2" t="str">
        <f ca="1">IFERROR(__xludf.DUMMYFUNCTION("""COMPUTED_VALUE"""),"daii")</f>
        <v>daii</v>
      </c>
      <c r="C3466" s="2" t="str">
        <f ca="1">IFERROR(__xludf.DUMMYFUNCTION("""COMPUTED_VALUE"""),"DAII")</f>
        <v>DAII</v>
      </c>
    </row>
    <row r="3467" spans="1:3" x14ac:dyDescent="0.25">
      <c r="A3467" s="2" t="str">
        <f ca="1">IFERROR(__xludf.DUMMYFUNCTION("""COMPUTED_VALUE"""),"daikodex")</f>
        <v>daikodex</v>
      </c>
      <c r="B3467" s="2" t="str">
        <f ca="1">IFERROR(__xludf.DUMMYFUNCTION("""COMPUTED_VALUE"""),"dkd")</f>
        <v>dkd</v>
      </c>
      <c r="C3467" s="2" t="str">
        <f ca="1">IFERROR(__xludf.DUMMYFUNCTION("""COMPUTED_VALUE"""),"Daikodex")</f>
        <v>Daikodex</v>
      </c>
    </row>
    <row r="3468" spans="1:3" x14ac:dyDescent="0.25">
      <c r="A3468" s="2" t="str">
        <f ca="1">IFERROR(__xludf.DUMMYFUNCTION("""COMPUTED_VALUE"""),"daily-active-users")</f>
        <v>daily-active-users</v>
      </c>
      <c r="B3468" s="2" t="str">
        <f ca="1">IFERROR(__xludf.DUMMYFUNCTION("""COMPUTED_VALUE"""),"dau")</f>
        <v>dau</v>
      </c>
      <c r="C3468" s="2" t="str">
        <f ca="1">IFERROR(__xludf.DUMMYFUNCTION("""COMPUTED_VALUE"""),"Daily Active Users")</f>
        <v>Daily Active Users</v>
      </c>
    </row>
    <row r="3469" spans="1:3" x14ac:dyDescent="0.25">
      <c r="A3469" s="2" t="str">
        <f ca="1">IFERROR(__xludf.DUMMYFUNCTION("""COMPUTED_VALUE"""),"daily-finance")</f>
        <v>daily-finance</v>
      </c>
      <c r="B3469" s="2" t="str">
        <f ca="1">IFERROR(__xludf.DUMMYFUNCTION("""COMPUTED_VALUE"""),"dly")</f>
        <v>dly</v>
      </c>
      <c r="C3469" s="2" t="str">
        <f ca="1">IFERROR(__xludf.DUMMYFUNCTION("""COMPUTED_VALUE"""),"Daily Finance")</f>
        <v>Daily Finance</v>
      </c>
    </row>
    <row r="3470" spans="1:3" x14ac:dyDescent="0.25">
      <c r="A3470" s="2" t="str">
        <f ca="1">IFERROR(__xludf.DUMMYFUNCTION("""COMPUTED_VALUE"""),"dailyfish")</f>
        <v>dailyfish</v>
      </c>
      <c r="B3470" s="2" t="str">
        <f ca="1">IFERROR(__xludf.DUMMYFUNCTION("""COMPUTED_VALUE"""),"dfish")</f>
        <v>dfish</v>
      </c>
      <c r="C3470" s="2" t="str">
        <f ca="1">IFERROR(__xludf.DUMMYFUNCTION("""COMPUTED_VALUE"""),"DailyFish")</f>
        <v>DailyFish</v>
      </c>
    </row>
    <row r="3471" spans="1:3" x14ac:dyDescent="0.25">
      <c r="A3471" s="2" t="str">
        <f ca="1">IFERROR(__xludf.DUMMYFUNCTION("""COMPUTED_VALUE"""),"dai-on-pulsechain")</f>
        <v>dai-on-pulsechain</v>
      </c>
      <c r="B3471" s="2" t="str">
        <f ca="1">IFERROR(__xludf.DUMMYFUNCTION("""COMPUTED_VALUE"""),"dai")</f>
        <v>dai</v>
      </c>
      <c r="C3471" s="2" t="str">
        <f ca="1">IFERROR(__xludf.DUMMYFUNCTION("""COMPUTED_VALUE"""),"DAI on PulseChain")</f>
        <v>DAI on PulseChain</v>
      </c>
    </row>
    <row r="3472" spans="1:3" x14ac:dyDescent="0.25">
      <c r="A3472" s="2" t="str">
        <f ca="1">IFERROR(__xludf.DUMMYFUNCTION("""COMPUTED_VALUE"""),"dai-pulsechain")</f>
        <v>dai-pulsechain</v>
      </c>
      <c r="B3472" s="2" t="str">
        <f ca="1">IFERROR(__xludf.DUMMYFUNCTION("""COMPUTED_VALUE"""),"dai")</f>
        <v>dai</v>
      </c>
      <c r="C3472" s="2" t="str">
        <f ca="1">IFERROR(__xludf.DUMMYFUNCTION("""COMPUTED_VALUE"""),"Bridged DAI (PulseChain)")</f>
        <v>Bridged DAI (PulseChain)</v>
      </c>
    </row>
    <row r="3473" spans="1:3" x14ac:dyDescent="0.25">
      <c r="A3473" s="2" t="str">
        <f ca="1">IFERROR(__xludf.DUMMYFUNCTION("""COMPUTED_VALUE"""),"dai-reflections")</f>
        <v>dai-reflections</v>
      </c>
      <c r="B3473" s="2" t="str">
        <f ca="1">IFERROR(__xludf.DUMMYFUNCTION("""COMPUTED_VALUE"""),"drs")</f>
        <v>drs</v>
      </c>
      <c r="C3473" s="2" t="str">
        <f ca="1">IFERROR(__xludf.DUMMYFUNCTION("""COMPUTED_VALUE"""),"DAI Reflections")</f>
        <v>DAI Reflections</v>
      </c>
    </row>
    <row r="3474" spans="1:3" x14ac:dyDescent="0.25">
      <c r="A3474" s="2" t="str">
        <f ca="1">IFERROR(__xludf.DUMMYFUNCTION("""COMPUTED_VALUE"""),"dalgo")</f>
        <v>dalgo</v>
      </c>
      <c r="B3474" s="2" t="str">
        <f ca="1">IFERROR(__xludf.DUMMYFUNCTION("""COMPUTED_VALUE"""),"dalgo")</f>
        <v>dalgo</v>
      </c>
      <c r="C3474" s="2" t="str">
        <f ca="1">IFERROR(__xludf.DUMMYFUNCTION("""COMPUTED_VALUE"""),"DALGO")</f>
        <v>DALGO</v>
      </c>
    </row>
    <row r="3475" spans="1:3" x14ac:dyDescent="0.25">
      <c r="A3475" s="2" t="str">
        <f ca="1">IFERROR(__xludf.DUMMYFUNCTION("""COMPUTED_VALUE"""),"dall-doginals")</f>
        <v>dall-doginals</v>
      </c>
      <c r="B3475" s="2" t="str">
        <f ca="1">IFERROR(__xludf.DUMMYFUNCTION("""COMPUTED_VALUE"""),"dall")</f>
        <v>dall</v>
      </c>
      <c r="C3475" s="2" t="str">
        <f ca="1">IFERROR(__xludf.DUMMYFUNCTION("""COMPUTED_VALUE"""),"Dall (DRC-20)")</f>
        <v>Dall (DRC-20)</v>
      </c>
    </row>
    <row r="3476" spans="1:3" x14ac:dyDescent="0.25">
      <c r="A3476" s="2" t="str">
        <f ca="1">IFERROR(__xludf.DUMMYFUNCTION("""COMPUTED_VALUE"""),"dalma-inu")</f>
        <v>dalma-inu</v>
      </c>
      <c r="B3476" s="2" t="str">
        <f ca="1">IFERROR(__xludf.DUMMYFUNCTION("""COMPUTED_VALUE"""),"dalma")</f>
        <v>dalma</v>
      </c>
      <c r="C3476" s="2" t="str">
        <f ca="1">IFERROR(__xludf.DUMMYFUNCTION("""COMPUTED_VALUE"""),"Dalma Inu")</f>
        <v>Dalma Inu</v>
      </c>
    </row>
    <row r="3477" spans="1:3" x14ac:dyDescent="0.25">
      <c r="A3477" s="2" t="str">
        <f ca="1">IFERROR(__xludf.DUMMYFUNCTION("""COMPUTED_VALUE"""),"damex-token")</f>
        <v>damex-token</v>
      </c>
      <c r="B3477" s="2" t="str">
        <f ca="1">IFERROR(__xludf.DUMMYFUNCTION("""COMPUTED_VALUE"""),"damex")</f>
        <v>damex</v>
      </c>
      <c r="C3477" s="2" t="str">
        <f ca="1">IFERROR(__xludf.DUMMYFUNCTION("""COMPUTED_VALUE"""),"Damex Token")</f>
        <v>Damex Token</v>
      </c>
    </row>
    <row r="3478" spans="1:3" x14ac:dyDescent="0.25">
      <c r="A3478" s="2" t="str">
        <f ca="1">IFERROR(__xludf.DUMMYFUNCTION("""COMPUTED_VALUE"""),"damoon")</f>
        <v>damoon</v>
      </c>
      <c r="B3478" s="2" t="str">
        <f ca="1">IFERROR(__xludf.DUMMYFUNCTION("""COMPUTED_VALUE"""),"damoon")</f>
        <v>damoon</v>
      </c>
      <c r="C3478" s="2" t="str">
        <f ca="1">IFERROR(__xludf.DUMMYFUNCTION("""COMPUTED_VALUE"""),"Damoon")</f>
        <v>Damoon</v>
      </c>
    </row>
    <row r="3479" spans="1:3" x14ac:dyDescent="0.25">
      <c r="A3479" s="2" t="str">
        <f ca="1">IFERROR(__xludf.DUMMYFUNCTION("""COMPUTED_VALUE"""),"dancing-baby")</f>
        <v>dancing-baby</v>
      </c>
      <c r="B3479" s="2" t="str">
        <f ca="1">IFERROR(__xludf.DUMMYFUNCTION("""COMPUTED_VALUE"""),"baby")</f>
        <v>baby</v>
      </c>
      <c r="C3479" s="2" t="str">
        <f ca="1">IFERROR(__xludf.DUMMYFUNCTION("""COMPUTED_VALUE"""),"Dancing Baby")</f>
        <v>Dancing Baby</v>
      </c>
    </row>
    <row r="3480" spans="1:3" x14ac:dyDescent="0.25">
      <c r="A3480" s="2" t="str">
        <f ca="1">IFERROR(__xludf.DUMMYFUNCTION("""COMPUTED_VALUE"""),"dancing-beans")</f>
        <v>dancing-beans</v>
      </c>
      <c r="B3480" s="2" t="str">
        <f ca="1">IFERROR(__xludf.DUMMYFUNCTION("""COMPUTED_VALUE"""),"beans")</f>
        <v>beans</v>
      </c>
      <c r="C3480" s="2" t="str">
        <f ca="1">IFERROR(__xludf.DUMMYFUNCTION("""COMPUTED_VALUE"""),"Dancing Beans")</f>
        <v>Dancing Beans</v>
      </c>
    </row>
    <row r="3481" spans="1:3" x14ac:dyDescent="0.25">
      <c r="A3481" s="2" t="str">
        <f ca="1">IFERROR(__xludf.DUMMYFUNCTION("""COMPUTED_VALUE"""),"dancing-triangle")</f>
        <v>dancing-triangle</v>
      </c>
      <c r="B3481" s="2" t="str">
        <f ca="1">IFERROR(__xludf.DUMMYFUNCTION("""COMPUTED_VALUE"""),"triangle")</f>
        <v>triangle</v>
      </c>
      <c r="C3481" s="2" t="str">
        <f ca="1">IFERROR(__xludf.DUMMYFUNCTION("""COMPUTED_VALUE"""),"dancing triangle")</f>
        <v>dancing triangle</v>
      </c>
    </row>
    <row r="3482" spans="1:3" x14ac:dyDescent="0.25">
      <c r="A3482" s="2" t="str">
        <f ca="1">IFERROR(__xludf.DUMMYFUNCTION("""COMPUTED_VALUE"""),"danjuan-scroll-cat")</f>
        <v>danjuan-scroll-cat</v>
      </c>
      <c r="B3482" s="2" t="str">
        <f ca="1">IFERROR(__xludf.DUMMYFUNCTION("""COMPUTED_VALUE"""),"cat")</f>
        <v>cat</v>
      </c>
      <c r="C3482" s="2" t="str">
        <f ca="1">IFERROR(__xludf.DUMMYFUNCTION("""COMPUTED_VALUE"""),"Danjuan Scroll Cat")</f>
        <v>Danjuan Scroll Cat</v>
      </c>
    </row>
    <row r="3483" spans="1:3" x14ac:dyDescent="0.25">
      <c r="A3483" s="2" t="str">
        <f ca="1">IFERROR(__xludf.DUMMYFUNCTION("""COMPUTED_VALUE"""),"dank")</f>
        <v>dank</v>
      </c>
      <c r="B3483" s="2" t="str">
        <f ca="1">IFERROR(__xludf.DUMMYFUNCTION("""COMPUTED_VALUE"""),"dank")</f>
        <v>dank</v>
      </c>
      <c r="C3483" s="2" t="str">
        <f ca="1">IFERROR(__xludf.DUMMYFUNCTION("""COMPUTED_VALUE"""),"Dank")</f>
        <v>Dank</v>
      </c>
    </row>
    <row r="3484" spans="1:3" x14ac:dyDescent="0.25">
      <c r="A3484" s="2" t="str">
        <f ca="1">IFERROR(__xludf.DUMMYFUNCTION("""COMPUTED_VALUE"""),"dank-2")</f>
        <v>dank-2</v>
      </c>
      <c r="B3484" s="2" t="str">
        <f ca="1">IFERROR(__xludf.DUMMYFUNCTION("""COMPUTED_VALUE"""),"dank")</f>
        <v>dank</v>
      </c>
      <c r="C3484" s="2" t="str">
        <f ca="1">IFERROR(__xludf.DUMMYFUNCTION("""COMPUTED_VALUE"""),"Dank")</f>
        <v>Dank</v>
      </c>
    </row>
    <row r="3485" spans="1:3" x14ac:dyDescent="0.25">
      <c r="A3485" s="2" t="str">
        <f ca="1">IFERROR(__xludf.DUMMYFUNCTION("""COMPUTED_VALUE"""),"danketsu")</f>
        <v>danketsu</v>
      </c>
      <c r="B3485" s="2" t="str">
        <f ca="1">IFERROR(__xludf.DUMMYFUNCTION("""COMPUTED_VALUE"""),"ninjaz")</f>
        <v>ninjaz</v>
      </c>
      <c r="C3485" s="2" t="str">
        <f ca="1">IFERROR(__xludf.DUMMYFUNCTION("""COMPUTED_VALUE"""),"Danketsu")</f>
        <v>Danketsu</v>
      </c>
    </row>
    <row r="3486" spans="1:3" x14ac:dyDescent="0.25">
      <c r="A3486" s="2" t="str">
        <f ca="1">IFERROR(__xludf.DUMMYFUNCTION("""COMPUTED_VALUE"""),"danzo")</f>
        <v>danzo</v>
      </c>
      <c r="B3486" s="2" t="str">
        <f ca="1">IFERROR(__xludf.DUMMYFUNCTION("""COMPUTED_VALUE"""),"danzo")</f>
        <v>danzo</v>
      </c>
      <c r="C3486" s="2" t="str">
        <f ca="1">IFERROR(__xludf.DUMMYFUNCTION("""COMPUTED_VALUE"""),"Danzo")</f>
        <v>Danzo</v>
      </c>
    </row>
    <row r="3487" spans="1:3" x14ac:dyDescent="0.25">
      <c r="A3487" s="2" t="str">
        <f ca="1">IFERROR(__xludf.DUMMYFUNCTION("""COMPUTED_VALUE"""),"daohaus")</f>
        <v>daohaus</v>
      </c>
      <c r="B3487" s="2" t="str">
        <f ca="1">IFERROR(__xludf.DUMMYFUNCTION("""COMPUTED_VALUE"""),"haus")</f>
        <v>haus</v>
      </c>
      <c r="C3487" s="2" t="str">
        <f ca="1">IFERROR(__xludf.DUMMYFUNCTION("""COMPUTED_VALUE"""),"DAOhaus")</f>
        <v>DAOhaus</v>
      </c>
    </row>
    <row r="3488" spans="1:3" x14ac:dyDescent="0.25">
      <c r="A3488" s="2" t="str">
        <f ca="1">IFERROR(__xludf.DUMMYFUNCTION("""COMPUTED_VALUE"""),"dao-invest")</f>
        <v>dao-invest</v>
      </c>
      <c r="B3488" s="2" t="str">
        <f ca="1">IFERROR(__xludf.DUMMYFUNCTION("""COMPUTED_VALUE"""),"vest")</f>
        <v>vest</v>
      </c>
      <c r="C3488" s="2" t="str">
        <f ca="1">IFERROR(__xludf.DUMMYFUNCTION("""COMPUTED_VALUE"""),"DAO Invest")</f>
        <v>DAO Invest</v>
      </c>
    </row>
    <row r="3489" spans="1:3" x14ac:dyDescent="0.25">
      <c r="A3489" s="2" t="str">
        <f ca="1">IFERROR(__xludf.DUMMYFUNCTION("""COMPUTED_VALUE"""),"daolaunch")</f>
        <v>daolaunch</v>
      </c>
      <c r="B3489" s="2" t="str">
        <f ca="1">IFERROR(__xludf.DUMMYFUNCTION("""COMPUTED_VALUE"""),"dal")</f>
        <v>dal</v>
      </c>
      <c r="C3489" s="2" t="str">
        <f ca="1">IFERROR(__xludf.DUMMYFUNCTION("""COMPUTED_VALUE"""),"DAOLaunch")</f>
        <v>DAOLaunch</v>
      </c>
    </row>
    <row r="3490" spans="1:3" x14ac:dyDescent="0.25">
      <c r="A3490" s="2" t="str">
        <f ca="1">IFERROR(__xludf.DUMMYFUNCTION("""COMPUTED_VALUE"""),"dao-maker")</f>
        <v>dao-maker</v>
      </c>
      <c r="B3490" s="2" t="str">
        <f ca="1">IFERROR(__xludf.DUMMYFUNCTION("""COMPUTED_VALUE"""),"dao")</f>
        <v>dao</v>
      </c>
      <c r="C3490" s="2" t="str">
        <f ca="1">IFERROR(__xludf.DUMMYFUNCTION("""COMPUTED_VALUE"""),"DAO Maker")</f>
        <v>DAO Maker</v>
      </c>
    </row>
    <row r="3491" spans="1:3" x14ac:dyDescent="0.25">
      <c r="A3491" s="2" t="str">
        <f ca="1">IFERROR(__xludf.DUMMYFUNCTION("""COMPUTED_VALUE"""),"daosol")</f>
        <v>daosol</v>
      </c>
      <c r="B3491" s="2" t="str">
        <f ca="1">IFERROR(__xludf.DUMMYFUNCTION("""COMPUTED_VALUE"""),"daosol")</f>
        <v>daosol</v>
      </c>
      <c r="C3491" s="2" t="str">
        <f ca="1">IFERROR(__xludf.DUMMYFUNCTION("""COMPUTED_VALUE"""),"daoSOL")</f>
        <v>daoSOL</v>
      </c>
    </row>
    <row r="3492" spans="1:3" x14ac:dyDescent="0.25">
      <c r="A3492" s="2" t="str">
        <f ca="1">IFERROR(__xludf.DUMMYFUNCTION("""COMPUTED_VALUE"""),"dao-space")</f>
        <v>dao-space</v>
      </c>
      <c r="B3492" s="2" t="str">
        <f ca="1">IFERROR(__xludf.DUMMYFUNCTION("""COMPUTED_VALUE"""),"daop")</f>
        <v>daop</v>
      </c>
      <c r="C3492" s="2" t="str">
        <f ca="1">IFERROR(__xludf.DUMMYFUNCTION("""COMPUTED_VALUE"""),"Dao Space")</f>
        <v>Dao Space</v>
      </c>
    </row>
    <row r="3493" spans="1:3" x14ac:dyDescent="0.25">
      <c r="A3493" s="2" t="str">
        <f ca="1">IFERROR(__xludf.DUMMYFUNCTION("""COMPUTED_VALUE"""),"daosquare")</f>
        <v>daosquare</v>
      </c>
      <c r="B3493" s="2" t="str">
        <f ca="1">IFERROR(__xludf.DUMMYFUNCTION("""COMPUTED_VALUE"""),"rice")</f>
        <v>rice</v>
      </c>
      <c r="C3493" s="2" t="str">
        <f ca="1">IFERROR(__xludf.DUMMYFUNCTION("""COMPUTED_VALUE"""),"DAOSquare")</f>
        <v>DAOSquare</v>
      </c>
    </row>
    <row r="3494" spans="1:3" x14ac:dyDescent="0.25">
      <c r="A3494" s="2" t="str">
        <f ca="1">IFERROR(__xludf.DUMMYFUNCTION("""COMPUTED_VALUE"""),"daoversal")</f>
        <v>daoversal</v>
      </c>
      <c r="B3494" s="2" t="str">
        <f ca="1">IFERROR(__xludf.DUMMYFUNCTION("""COMPUTED_VALUE"""),"daot")</f>
        <v>daot</v>
      </c>
      <c r="C3494" s="2" t="str">
        <f ca="1">IFERROR(__xludf.DUMMYFUNCTION("""COMPUTED_VALUE"""),"Daoversal")</f>
        <v>Daoversal</v>
      </c>
    </row>
    <row r="3495" spans="1:3" x14ac:dyDescent="0.25">
      <c r="A3495" s="2" t="str">
        <f ca="1">IFERROR(__xludf.DUMMYFUNCTION("""COMPUTED_VALUE"""),"dapp")</f>
        <v>dapp</v>
      </c>
      <c r="B3495" s="2" t="str">
        <f ca="1">IFERROR(__xludf.DUMMYFUNCTION("""COMPUTED_VALUE"""),"dapp")</f>
        <v>dapp</v>
      </c>
      <c r="C3495" s="2" t="str">
        <f ca="1">IFERROR(__xludf.DUMMYFUNCTION("""COMPUTED_VALUE"""),"LiquidApps")</f>
        <v>LiquidApps</v>
      </c>
    </row>
    <row r="3496" spans="1:3" x14ac:dyDescent="0.25">
      <c r="A3496" s="2" t="str">
        <f ca="1">IFERROR(__xludf.DUMMYFUNCTION("""COMPUTED_VALUE"""),"dappad")</f>
        <v>dappad</v>
      </c>
      <c r="B3496" s="2" t="str">
        <f ca="1">IFERROR(__xludf.DUMMYFUNCTION("""COMPUTED_VALUE"""),"appa")</f>
        <v>appa</v>
      </c>
      <c r="C3496" s="2" t="str">
        <f ca="1">IFERROR(__xludf.DUMMYFUNCTION("""COMPUTED_VALUE"""),"Dappad")</f>
        <v>Dappad</v>
      </c>
    </row>
    <row r="3497" spans="1:3" x14ac:dyDescent="0.25">
      <c r="A3497" s="2" t="str">
        <f ca="1">IFERROR(__xludf.DUMMYFUNCTION("""COMPUTED_VALUE"""),"dapp-ai")</f>
        <v>dapp-ai</v>
      </c>
      <c r="B3497" s="2" t="str">
        <f ca="1">IFERROR(__xludf.DUMMYFUNCTION("""COMPUTED_VALUE"""),"dap")</f>
        <v>dap</v>
      </c>
      <c r="C3497" s="2" t="str">
        <f ca="1">IFERROR(__xludf.DUMMYFUNCTION("""COMPUTED_VALUE"""),"DApp AI")</f>
        <v>DApp AI</v>
      </c>
    </row>
    <row r="3498" spans="1:3" x14ac:dyDescent="0.25">
      <c r="A3498" s="2" t="str">
        <f ca="1">IFERROR(__xludf.DUMMYFUNCTION("""COMPUTED_VALUE"""),"dappradar")</f>
        <v>dappradar</v>
      </c>
      <c r="B3498" s="2" t="str">
        <f ca="1">IFERROR(__xludf.DUMMYFUNCTION("""COMPUTED_VALUE"""),"radar")</f>
        <v>radar</v>
      </c>
      <c r="C3498" s="2" t="str">
        <f ca="1">IFERROR(__xludf.DUMMYFUNCTION("""COMPUTED_VALUE"""),"DappRadar")</f>
        <v>DappRadar</v>
      </c>
    </row>
    <row r="3499" spans="1:3" x14ac:dyDescent="0.25">
      <c r="A3499" s="2" t="str">
        <f ca="1">IFERROR(__xludf.DUMMYFUNCTION("""COMPUTED_VALUE"""),"dappstore")</f>
        <v>dappstore</v>
      </c>
      <c r="B3499" s="2" t="str">
        <f ca="1">IFERROR(__xludf.DUMMYFUNCTION("""COMPUTED_VALUE"""),"dappx")</f>
        <v>dappx</v>
      </c>
      <c r="C3499" s="2" t="str">
        <f ca="1">IFERROR(__xludf.DUMMYFUNCTION("""COMPUTED_VALUE"""),"dAppstore")</f>
        <v>dAppstore</v>
      </c>
    </row>
    <row r="3500" spans="1:3" x14ac:dyDescent="0.25">
      <c r="A3500" s="2" t="str">
        <f ca="1">IFERROR(__xludf.DUMMYFUNCTION("""COMPUTED_VALUE"""),"dap-the-dapper-dog")</f>
        <v>dap-the-dapper-dog</v>
      </c>
      <c r="B3500" s="2" t="str">
        <f ca="1">IFERROR(__xludf.DUMMYFUNCTION("""COMPUTED_VALUE"""),"dap")</f>
        <v>dap</v>
      </c>
      <c r="C3500" s="2" t="str">
        <f ca="1">IFERROR(__xludf.DUMMYFUNCTION("""COMPUTED_VALUE"""),"Dap, the Dapper Dog!")</f>
        <v>Dap, the Dapper Dog!</v>
      </c>
    </row>
    <row r="3501" spans="1:3" x14ac:dyDescent="0.25">
      <c r="A3501" s="2" t="str">
        <f ca="1">IFERROR(__xludf.DUMMYFUNCTION("""COMPUTED_VALUE"""),"darcmatter-coin")</f>
        <v>darcmatter-coin</v>
      </c>
      <c r="B3501" s="2" t="str">
        <f ca="1">IFERROR(__xludf.DUMMYFUNCTION("""COMPUTED_VALUE"""),"darc")</f>
        <v>darc</v>
      </c>
      <c r="C3501" s="2" t="str">
        <f ca="1">IFERROR(__xludf.DUMMYFUNCTION("""COMPUTED_VALUE"""),"Konstellation")</f>
        <v>Konstellation</v>
      </c>
    </row>
    <row r="3502" spans="1:3" x14ac:dyDescent="0.25">
      <c r="A3502" s="2" t="str">
        <f ca="1">IFERROR(__xludf.DUMMYFUNCTION("""COMPUTED_VALUE"""),"darkcrypto")</f>
        <v>darkcrypto</v>
      </c>
      <c r="B3502" s="2" t="str">
        <f ca="1">IFERROR(__xludf.DUMMYFUNCTION("""COMPUTED_VALUE"""),"dark")</f>
        <v>dark</v>
      </c>
      <c r="C3502" s="2" t="str">
        <f ca="1">IFERROR(__xludf.DUMMYFUNCTION("""COMPUTED_VALUE"""),"DarkCrypto")</f>
        <v>DarkCrypto</v>
      </c>
    </row>
    <row r="3503" spans="1:3" x14ac:dyDescent="0.25">
      <c r="A3503" s="2" t="str">
        <f ca="1">IFERROR(__xludf.DUMMYFUNCTION("""COMPUTED_VALUE"""),"darkcrypto-share")</f>
        <v>darkcrypto-share</v>
      </c>
      <c r="B3503" s="2" t="str">
        <f ca="1">IFERROR(__xludf.DUMMYFUNCTION("""COMPUTED_VALUE"""),"sky")</f>
        <v>sky</v>
      </c>
      <c r="C3503" s="2" t="str">
        <f ca="1">IFERROR(__xludf.DUMMYFUNCTION("""COMPUTED_VALUE"""),"DarkCrypto Share")</f>
        <v>DarkCrypto Share</v>
      </c>
    </row>
    <row r="3504" spans="1:3" x14ac:dyDescent="0.25">
      <c r="A3504" s="2" t="str">
        <f ca="1">IFERROR(__xludf.DUMMYFUNCTION("""COMPUTED_VALUE"""),"dark-energy-crystals")</f>
        <v>dark-energy-crystals</v>
      </c>
      <c r="B3504" s="2" t="str">
        <f ca="1">IFERROR(__xludf.DUMMYFUNCTION("""COMPUTED_VALUE"""),"dec")</f>
        <v>dec</v>
      </c>
      <c r="C3504" s="2" t="str">
        <f ca="1">IFERROR(__xludf.DUMMYFUNCTION("""COMPUTED_VALUE"""),"Dark Energy Crystals")</f>
        <v>Dark Energy Crystals</v>
      </c>
    </row>
    <row r="3505" spans="1:3" x14ac:dyDescent="0.25">
      <c r="A3505" s="2" t="str">
        <f ca="1">IFERROR(__xludf.DUMMYFUNCTION("""COMPUTED_VALUE"""),"dark-frontiers")</f>
        <v>dark-frontiers</v>
      </c>
      <c r="B3505" s="2" t="str">
        <f ca="1">IFERROR(__xludf.DUMMYFUNCTION("""COMPUTED_VALUE"""),"dark")</f>
        <v>dark</v>
      </c>
      <c r="C3505" s="2" t="str">
        <f ca="1">IFERROR(__xludf.DUMMYFUNCTION("""COMPUTED_VALUE"""),"Dark Frontiers")</f>
        <v>Dark Frontiers</v>
      </c>
    </row>
    <row r="3506" spans="1:3" x14ac:dyDescent="0.25">
      <c r="A3506" s="2" t="str">
        <f ca="1">IFERROR(__xludf.DUMMYFUNCTION("""COMPUTED_VALUE"""),"darkknight")</f>
        <v>darkknight</v>
      </c>
      <c r="B3506" s="2" t="str">
        <f ca="1">IFERROR(__xludf.DUMMYFUNCTION("""COMPUTED_VALUE"""),"dknight")</f>
        <v>dknight</v>
      </c>
      <c r="C3506" s="2" t="str">
        <f ca="1">IFERROR(__xludf.DUMMYFUNCTION("""COMPUTED_VALUE"""),"Dark Knight")</f>
        <v>Dark Knight</v>
      </c>
    </row>
    <row r="3507" spans="1:3" x14ac:dyDescent="0.25">
      <c r="A3507" s="2" t="str">
        <f ca="1">IFERROR(__xludf.DUMMYFUNCTION("""COMPUTED_VALUE"""),"dark-maga")</f>
        <v>dark-maga</v>
      </c>
      <c r="B3507" s="2" t="str">
        <f ca="1">IFERROR(__xludf.DUMMYFUNCTION("""COMPUTED_VALUE"""),"dmaga")</f>
        <v>dmaga</v>
      </c>
      <c r="C3507" s="2" t="str">
        <f ca="1">IFERROR(__xludf.DUMMYFUNCTION("""COMPUTED_VALUE"""),"Dark MAGA")</f>
        <v>Dark MAGA</v>
      </c>
    </row>
    <row r="3508" spans="1:3" x14ac:dyDescent="0.25">
      <c r="A3508" s="2" t="str">
        <f ca="1">IFERROR(__xludf.DUMMYFUNCTION("""COMPUTED_VALUE"""),"dark-maga-2")</f>
        <v>dark-maga-2</v>
      </c>
      <c r="B3508" s="2" t="str">
        <f ca="1">IFERROR(__xludf.DUMMYFUNCTION("""COMPUTED_VALUE"""),"dmaga")</f>
        <v>dmaga</v>
      </c>
      <c r="C3508" s="2" t="str">
        <f ca="1">IFERROR(__xludf.DUMMYFUNCTION("""COMPUTED_VALUE"""),"dark maga")</f>
        <v>dark maga</v>
      </c>
    </row>
    <row r="3509" spans="1:3" x14ac:dyDescent="0.25">
      <c r="A3509" s="2" t="str">
        <f ca="1">IFERROR(__xludf.DUMMYFUNCTION("""COMPUTED_VALUE"""),"dark-magic")</f>
        <v>dark-magic</v>
      </c>
      <c r="B3509" s="2" t="str">
        <f ca="1">IFERROR(__xludf.DUMMYFUNCTION("""COMPUTED_VALUE"""),"dmagic")</f>
        <v>dmagic</v>
      </c>
      <c r="C3509" s="2" t="str">
        <f ca="1">IFERROR(__xludf.DUMMYFUNCTION("""COMPUTED_VALUE"""),"Dark Magic")</f>
        <v>Dark Magic</v>
      </c>
    </row>
    <row r="3510" spans="1:3" x14ac:dyDescent="0.25">
      <c r="A3510" s="2" t="str">
        <f ca="1">IFERROR(__xludf.DUMMYFUNCTION("""COMPUTED_VALUE"""),"darkmatter")</f>
        <v>darkmatter</v>
      </c>
      <c r="B3510" s="2" t="str">
        <f ca="1">IFERROR(__xludf.DUMMYFUNCTION("""COMPUTED_VALUE"""),"dmt")</f>
        <v>dmt</v>
      </c>
      <c r="C3510" s="2" t="str">
        <f ca="1">IFERROR(__xludf.DUMMYFUNCTION("""COMPUTED_VALUE"""),"DarkMatter")</f>
        <v>DarkMatter</v>
      </c>
    </row>
    <row r="3511" spans="1:3" x14ac:dyDescent="0.25">
      <c r="A3511" s="2" t="str">
        <f ca="1">IFERROR(__xludf.DUMMYFUNCTION("""COMPUTED_VALUE"""),"dark-matter")</f>
        <v>dark-matter</v>
      </c>
      <c r="B3511" s="2" t="str">
        <f ca="1">IFERROR(__xludf.DUMMYFUNCTION("""COMPUTED_VALUE"""),"dmt")</f>
        <v>dmt</v>
      </c>
      <c r="C3511" s="2" t="str">
        <f ca="1">IFERROR(__xludf.DUMMYFUNCTION("""COMPUTED_VALUE"""),"Dark Matter")</f>
        <v>Dark Matter</v>
      </c>
    </row>
    <row r="3512" spans="1:3" x14ac:dyDescent="0.25">
      <c r="A3512" s="2" t="str">
        <f ca="1">IFERROR(__xludf.DUMMYFUNCTION("""COMPUTED_VALUE"""),"dark-matter-defi")</f>
        <v>dark-matter-defi</v>
      </c>
      <c r="B3512" s="2" t="str">
        <f ca="1">IFERROR(__xludf.DUMMYFUNCTION("""COMPUTED_VALUE"""),"dmd")</f>
        <v>dmd</v>
      </c>
      <c r="C3512" s="2" t="str">
        <f ca="1">IFERROR(__xludf.DUMMYFUNCTION("""COMPUTED_VALUE"""),"Dark Matter Defi")</f>
        <v>Dark Matter Defi</v>
      </c>
    </row>
    <row r="3513" spans="1:3" x14ac:dyDescent="0.25">
      <c r="A3513" s="2" t="str">
        <f ca="1">IFERROR(__xludf.DUMMYFUNCTION("""COMPUTED_VALUE"""),"dark-protocol")</f>
        <v>dark-protocol</v>
      </c>
      <c r="B3513" s="2" t="str">
        <f ca="1">IFERROR(__xludf.DUMMYFUNCTION("""COMPUTED_VALUE"""),"dark")</f>
        <v>dark</v>
      </c>
      <c r="C3513" s="2" t="str">
        <f ca="1">IFERROR(__xludf.DUMMYFUNCTION("""COMPUTED_VALUE"""),"Dark Protocol")</f>
        <v>Dark Protocol</v>
      </c>
    </row>
    <row r="3514" spans="1:3" x14ac:dyDescent="0.25">
      <c r="A3514" s="2" t="str">
        <f ca="1">IFERROR(__xludf.DUMMYFUNCTION("""COMPUTED_VALUE"""),"darkshield")</f>
        <v>darkshield</v>
      </c>
      <c r="B3514" s="2" t="str">
        <f ca="1">IFERROR(__xludf.DUMMYFUNCTION("""COMPUTED_VALUE"""),"dks")</f>
        <v>dks</v>
      </c>
      <c r="C3514" s="2" t="str">
        <f ca="1">IFERROR(__xludf.DUMMYFUNCTION("""COMPUTED_VALUE"""),"DarkShield")</f>
        <v>DarkShield</v>
      </c>
    </row>
    <row r="3515" spans="1:3" x14ac:dyDescent="0.25">
      <c r="A3515" s="2" t="str">
        <f ca="1">IFERROR(__xludf.DUMMYFUNCTION("""COMPUTED_VALUE"""),"dark-wolf")</f>
        <v>dark-wolf</v>
      </c>
      <c r="B3515" s="2" t="str">
        <f ca="1">IFERROR(__xludf.DUMMYFUNCTION("""COMPUTED_VALUE"""),"dwolf")</f>
        <v>dwolf</v>
      </c>
      <c r="C3515" s="2" t="str">
        <f ca="1">IFERROR(__xludf.DUMMYFUNCTION("""COMPUTED_VALUE"""),"Dark Wolf")</f>
        <v>Dark Wolf</v>
      </c>
    </row>
    <row r="3516" spans="1:3" x14ac:dyDescent="0.25">
      <c r="A3516" s="2" t="str">
        <f ca="1">IFERROR(__xludf.DUMMYFUNCTION("""COMPUTED_VALUE"""),"daruma")</f>
        <v>daruma</v>
      </c>
      <c r="B3516" s="2" t="str">
        <f ca="1">IFERROR(__xludf.DUMMYFUNCTION("""COMPUTED_VALUE"""),"daruma")</f>
        <v>daruma</v>
      </c>
      <c r="C3516" s="2" t="str">
        <f ca="1">IFERROR(__xludf.DUMMYFUNCTION("""COMPUTED_VALUE"""),"Daruma")</f>
        <v>Daruma</v>
      </c>
    </row>
    <row r="3517" spans="1:3" x14ac:dyDescent="0.25">
      <c r="A3517" s="2" t="str">
        <f ca="1">IFERROR(__xludf.DUMMYFUNCTION("""COMPUTED_VALUE"""),"darwinia-commitment-token")</f>
        <v>darwinia-commitment-token</v>
      </c>
      <c r="B3517" s="2" t="str">
        <f ca="1">IFERROR(__xludf.DUMMYFUNCTION("""COMPUTED_VALUE"""),"kton")</f>
        <v>kton</v>
      </c>
      <c r="C3517" s="2" t="str">
        <f ca="1">IFERROR(__xludf.DUMMYFUNCTION("""COMPUTED_VALUE"""),"Darwinia Commitment")</f>
        <v>Darwinia Commitment</v>
      </c>
    </row>
    <row r="3518" spans="1:3" x14ac:dyDescent="0.25">
      <c r="A3518" s="2" t="str">
        <f ca="1">IFERROR(__xludf.DUMMYFUNCTION("""COMPUTED_VALUE"""),"darwinia-network-native-token")</f>
        <v>darwinia-network-native-token</v>
      </c>
      <c r="B3518" s="2" t="str">
        <f ca="1">IFERROR(__xludf.DUMMYFUNCTION("""COMPUTED_VALUE"""),"ring")</f>
        <v>ring</v>
      </c>
      <c r="C3518" s="2" t="str">
        <f ca="1">IFERROR(__xludf.DUMMYFUNCTION("""COMPUTED_VALUE"""),"Darwinia Network")</f>
        <v>Darwinia Network</v>
      </c>
    </row>
    <row r="3519" spans="1:3" x14ac:dyDescent="0.25">
      <c r="A3519" s="2" t="str">
        <f ca="1">IFERROR(__xludf.DUMMYFUNCTION("""COMPUTED_VALUE"""),"dash")</f>
        <v>dash</v>
      </c>
      <c r="B3519" s="2" t="str">
        <f ca="1">IFERROR(__xludf.DUMMYFUNCTION("""COMPUTED_VALUE"""),"dash")</f>
        <v>dash</v>
      </c>
      <c r="C3519" s="2" t="str">
        <f ca="1">IFERROR(__xludf.DUMMYFUNCTION("""COMPUTED_VALUE"""),"Dash")</f>
        <v>Dash</v>
      </c>
    </row>
    <row r="3520" spans="1:3" x14ac:dyDescent="0.25">
      <c r="A3520" s="2" t="str">
        <f ca="1">IFERROR(__xludf.DUMMYFUNCTION("""COMPUTED_VALUE"""),"dash-2")</f>
        <v>dash-2</v>
      </c>
      <c r="B3520" s="2" t="str">
        <f ca="1">IFERROR(__xludf.DUMMYFUNCTION("""COMPUTED_VALUE"""),"dash")</f>
        <v>dash</v>
      </c>
      <c r="C3520" s="2" t="str">
        <f ca="1">IFERROR(__xludf.DUMMYFUNCTION("""COMPUTED_VALUE"""),"DASH")</f>
        <v>DASH</v>
      </c>
    </row>
    <row r="3521" spans="1:3" x14ac:dyDescent="0.25">
      <c r="A3521" s="2" t="str">
        <f ca="1">IFERROR(__xludf.DUMMYFUNCTION("""COMPUTED_VALUE"""),"dash-2-trade")</f>
        <v>dash-2-trade</v>
      </c>
      <c r="B3521" s="2" t="str">
        <f ca="1">IFERROR(__xludf.DUMMYFUNCTION("""COMPUTED_VALUE"""),"d2t")</f>
        <v>d2t</v>
      </c>
      <c r="C3521" s="2" t="str">
        <f ca="1">IFERROR(__xludf.DUMMYFUNCTION("""COMPUTED_VALUE"""),"Dash 2 Trade")</f>
        <v>Dash 2 Trade</v>
      </c>
    </row>
    <row r="3522" spans="1:3" x14ac:dyDescent="0.25">
      <c r="A3522" s="2" t="str">
        <f ca="1">IFERROR(__xludf.DUMMYFUNCTION("""COMPUTED_VALUE"""),"dash-diamond")</f>
        <v>dash-diamond</v>
      </c>
      <c r="B3522" s="2" t="str">
        <f ca="1">IFERROR(__xludf.DUMMYFUNCTION("""COMPUTED_VALUE"""),"dashd")</f>
        <v>dashd</v>
      </c>
      <c r="C3522" s="2" t="str">
        <f ca="1">IFERROR(__xludf.DUMMYFUNCTION("""COMPUTED_VALUE"""),"Dash Diamond")</f>
        <v>Dash Diamond</v>
      </c>
    </row>
    <row r="3523" spans="1:3" x14ac:dyDescent="0.25">
      <c r="A3523" s="2" t="str">
        <f ca="1">IFERROR(__xludf.DUMMYFUNCTION("""COMPUTED_VALUE"""),"dasia")</f>
        <v>dasia</v>
      </c>
      <c r="B3523" s="2" t="str">
        <f ca="1">IFERROR(__xludf.DUMMYFUNCTION("""COMPUTED_VALUE"""),"dasia")</f>
        <v>dasia</v>
      </c>
      <c r="C3523" s="2" t="str">
        <f ca="1">IFERROR(__xludf.DUMMYFUNCTION("""COMPUTED_VALUE"""),"DASIA")</f>
        <v>DASIA</v>
      </c>
    </row>
    <row r="3524" spans="1:3" x14ac:dyDescent="0.25">
      <c r="A3524" s="2" t="str">
        <f ca="1">IFERROR(__xludf.DUMMYFUNCTION("""COMPUTED_VALUE"""),"dastra-network")</f>
        <v>dastra-network</v>
      </c>
      <c r="B3524" s="2" t="str">
        <f ca="1">IFERROR(__xludf.DUMMYFUNCTION("""COMPUTED_VALUE"""),"dan")</f>
        <v>dan</v>
      </c>
      <c r="C3524" s="2" t="str">
        <f ca="1">IFERROR(__xludf.DUMMYFUNCTION("""COMPUTED_VALUE"""),"Dastra Network")</f>
        <v>Dastra Network</v>
      </c>
    </row>
    <row r="3525" spans="1:3" x14ac:dyDescent="0.25">
      <c r="A3525" s="2" t="str">
        <f ca="1">IFERROR(__xludf.DUMMYFUNCTION("""COMPUTED_VALUE"""),"data-bot")</f>
        <v>data-bot</v>
      </c>
      <c r="B3525" s="2" t="str">
        <f ca="1">IFERROR(__xludf.DUMMYFUNCTION("""COMPUTED_VALUE"""),"data")</f>
        <v>data</v>
      </c>
      <c r="C3525" s="2" t="str">
        <f ca="1">IFERROR(__xludf.DUMMYFUNCTION("""COMPUTED_VALUE"""),"DataBot")</f>
        <v>DataBot</v>
      </c>
    </row>
    <row r="3526" spans="1:3" x14ac:dyDescent="0.25">
      <c r="A3526" s="2" t="str">
        <f ca="1">IFERROR(__xludf.DUMMYFUNCTION("""COMPUTED_VALUE"""),"databricks-ai")</f>
        <v>databricks-ai</v>
      </c>
      <c r="B3526" s="2" t="str">
        <f ca="1">IFERROR(__xludf.DUMMYFUNCTION("""COMPUTED_VALUE"""),"dbrx")</f>
        <v>dbrx</v>
      </c>
      <c r="C3526" s="2" t="str">
        <f ca="1">IFERROR(__xludf.DUMMYFUNCTION("""COMPUTED_VALUE"""),"Databricks AI")</f>
        <v>Databricks AI</v>
      </c>
    </row>
    <row r="3527" spans="1:3" x14ac:dyDescent="0.25">
      <c r="A3527" s="2" t="str">
        <f ca="1">IFERROR(__xludf.DUMMYFUNCTION("""COMPUTED_VALUE"""),"databroker-dao")</f>
        <v>databroker-dao</v>
      </c>
      <c r="B3527" s="2" t="str">
        <f ca="1">IFERROR(__xludf.DUMMYFUNCTION("""COMPUTED_VALUE"""),"dtx")</f>
        <v>dtx</v>
      </c>
      <c r="C3527" s="2" t="str">
        <f ca="1">IFERROR(__xludf.DUMMYFUNCTION("""COMPUTED_VALUE"""),"DaTa eXchange DTX")</f>
        <v>DaTa eXchange DTX</v>
      </c>
    </row>
    <row r="3528" spans="1:3" x14ac:dyDescent="0.25">
      <c r="A3528" s="2" t="str">
        <f ca="1">IFERROR(__xludf.DUMMYFUNCTION("""COMPUTED_VALUE"""),"datahighway")</f>
        <v>datahighway</v>
      </c>
      <c r="B3528" s="2" t="str">
        <f ca="1">IFERROR(__xludf.DUMMYFUNCTION("""COMPUTED_VALUE"""),"dhx")</f>
        <v>dhx</v>
      </c>
      <c r="C3528" s="2" t="str">
        <f ca="1">IFERROR(__xludf.DUMMYFUNCTION("""COMPUTED_VALUE"""),"DataHighway")</f>
        <v>DataHighway</v>
      </c>
    </row>
    <row r="3529" spans="1:3" x14ac:dyDescent="0.25">
      <c r="A3529" s="2" t="str">
        <f ca="1">IFERROR(__xludf.DUMMYFUNCTION("""COMPUTED_VALUE"""),"data-lake")</f>
        <v>data-lake</v>
      </c>
      <c r="B3529" s="2" t="str">
        <f ca="1">IFERROR(__xludf.DUMMYFUNCTION("""COMPUTED_VALUE"""),"lake")</f>
        <v>lake</v>
      </c>
      <c r="C3529" s="2" t="str">
        <f ca="1">IFERROR(__xludf.DUMMYFUNCTION("""COMPUTED_VALUE"""),"Data Lake")</f>
        <v>Data Lake</v>
      </c>
    </row>
    <row r="3530" spans="1:3" x14ac:dyDescent="0.25">
      <c r="A3530" s="2" t="str">
        <f ca="1">IFERROR(__xludf.DUMMYFUNCTION("""COMPUTED_VALUE"""),"datamall-coin")</f>
        <v>datamall-coin</v>
      </c>
      <c r="B3530" s="2" t="str">
        <f ca="1">IFERROR(__xludf.DUMMYFUNCTION("""COMPUTED_VALUE"""),"dmc")</f>
        <v>dmc</v>
      </c>
      <c r="C3530" s="2" t="str">
        <f ca="1">IFERROR(__xludf.DUMMYFUNCTION("""COMPUTED_VALUE"""),"Datamall Coin")</f>
        <v>Datamall Coin</v>
      </c>
    </row>
    <row r="3531" spans="1:3" x14ac:dyDescent="0.25">
      <c r="A3531" s="2" t="str">
        <f ca="1">IFERROR(__xludf.DUMMYFUNCTION("""COMPUTED_VALUE"""),"datamine")</f>
        <v>datamine</v>
      </c>
      <c r="B3531" s="2" t="str">
        <f ca="1">IFERROR(__xludf.DUMMYFUNCTION("""COMPUTED_VALUE"""),"dam")</f>
        <v>dam</v>
      </c>
      <c r="C3531" s="2" t="str">
        <f ca="1">IFERROR(__xludf.DUMMYFUNCTION("""COMPUTED_VALUE"""),"Datamine")</f>
        <v>Datamine</v>
      </c>
    </row>
    <row r="3532" spans="1:3" x14ac:dyDescent="0.25">
      <c r="A3532" s="2" t="str">
        <f ca="1">IFERROR(__xludf.DUMMYFUNCTION("""COMPUTED_VALUE"""),"data-ownership-protocol")</f>
        <v>data-ownership-protocol</v>
      </c>
      <c r="B3532" s="2" t="str">
        <f ca="1">IFERROR(__xludf.DUMMYFUNCTION("""COMPUTED_VALUE"""),"dop")</f>
        <v>dop</v>
      </c>
      <c r="C3532" s="2" t="str">
        <f ca="1">IFERROR(__xludf.DUMMYFUNCTION("""COMPUTED_VALUE"""),"Data Ownership Protocol")</f>
        <v>Data Ownership Protocol</v>
      </c>
    </row>
    <row r="3533" spans="1:3" x14ac:dyDescent="0.25">
      <c r="A3533" s="2" t="str">
        <f ca="1">IFERROR(__xludf.DUMMYFUNCTION("""COMPUTED_VALUE"""),"data-vital")</f>
        <v>data-vital</v>
      </c>
      <c r="B3533" s="2" t="str">
        <f ca="1">IFERROR(__xludf.DUMMYFUNCTION("""COMPUTED_VALUE"""),"dav")</f>
        <v>dav</v>
      </c>
      <c r="C3533" s="2" t="str">
        <f ca="1">IFERROR(__xludf.DUMMYFUNCTION("""COMPUTED_VALUE"""),"Data Vital")</f>
        <v>Data Vital</v>
      </c>
    </row>
    <row r="3534" spans="1:3" x14ac:dyDescent="0.25">
      <c r="A3534" s="2" t="str">
        <f ca="1">IFERROR(__xludf.DUMMYFUNCTION("""COMPUTED_VALUE"""),"dat-boi")</f>
        <v>dat-boi</v>
      </c>
      <c r="B3534" s="2" t="str">
        <f ca="1">IFERROR(__xludf.DUMMYFUNCTION("""COMPUTED_VALUE"""),"waddup")</f>
        <v>waddup</v>
      </c>
      <c r="C3534" s="2" t="str">
        <f ca="1">IFERROR(__xludf.DUMMYFUNCTION("""COMPUTED_VALUE"""),"Dat Boi")</f>
        <v>Dat Boi</v>
      </c>
    </row>
    <row r="3535" spans="1:3" x14ac:dyDescent="0.25">
      <c r="A3535" s="2" t="str">
        <f ca="1">IFERROR(__xludf.DUMMYFUNCTION("""COMPUTED_VALUE"""),"daumenfrosch")</f>
        <v>daumenfrosch</v>
      </c>
      <c r="B3535" s="2" t="str">
        <f ca="1">IFERROR(__xludf.DUMMYFUNCTION("""COMPUTED_VALUE"""),"daumen")</f>
        <v>daumen</v>
      </c>
      <c r="C3535" s="2" t="str">
        <f ca="1">IFERROR(__xludf.DUMMYFUNCTION("""COMPUTED_VALUE"""),"Daumenfrosch")</f>
        <v>Daumenfrosch</v>
      </c>
    </row>
    <row r="3536" spans="1:3" x14ac:dyDescent="0.25">
      <c r="A3536" s="2" t="str">
        <f ca="1">IFERROR(__xludf.DUMMYFUNCTION("""COMPUTED_VALUE"""),"daumenfrosch-2")</f>
        <v>daumenfrosch-2</v>
      </c>
      <c r="B3536" s="2" t="str">
        <f ca="1">IFERROR(__xludf.DUMMYFUNCTION("""COMPUTED_VALUE"""),"daumen")</f>
        <v>daumen</v>
      </c>
      <c r="C3536" s="2" t="str">
        <f ca="1">IFERROR(__xludf.DUMMYFUNCTION("""COMPUTED_VALUE"""),"daumenfrosch")</f>
        <v>daumenfrosch</v>
      </c>
    </row>
    <row r="3537" spans="1:3" x14ac:dyDescent="0.25">
      <c r="A3537" s="2" t="str">
        <f ca="1">IFERROR(__xludf.DUMMYFUNCTION("""COMPUTED_VALUE"""),"dave-coin")</f>
        <v>dave-coin</v>
      </c>
      <c r="B3537" s="2" t="str">
        <f ca="1">IFERROR(__xludf.DUMMYFUNCTION("""COMPUTED_VALUE"""),"$dave")</f>
        <v>$dave</v>
      </c>
      <c r="C3537" s="2" t="str">
        <f ca="1">IFERROR(__xludf.DUMMYFUNCTION("""COMPUTED_VALUE"""),"Dave Coin")</f>
        <v>Dave Coin</v>
      </c>
    </row>
    <row r="3538" spans="1:3" x14ac:dyDescent="0.25">
      <c r="A3538" s="2" t="str">
        <f ca="1">IFERROR(__xludf.DUMMYFUNCTION("""COMPUTED_VALUE"""),"davidcoin")</f>
        <v>davidcoin</v>
      </c>
      <c r="B3538" s="2" t="str">
        <f ca="1">IFERROR(__xludf.DUMMYFUNCTION("""COMPUTED_VALUE"""),"dc")</f>
        <v>dc</v>
      </c>
      <c r="C3538" s="2" t="str">
        <f ca="1">IFERROR(__xludf.DUMMYFUNCTION("""COMPUTED_VALUE"""),"DavidCoin")</f>
        <v>DavidCoin</v>
      </c>
    </row>
    <row r="3539" spans="1:3" x14ac:dyDescent="0.25">
      <c r="A3539" s="2" t="str">
        <f ca="1">IFERROR(__xludf.DUMMYFUNCTION("""COMPUTED_VALUE"""),"davinci")</f>
        <v>davinci</v>
      </c>
      <c r="B3539" s="2" t="str">
        <f ca="1">IFERROR(__xludf.DUMMYFUNCTION("""COMPUTED_VALUE"""),"wtf")</f>
        <v>wtf</v>
      </c>
      <c r="C3539" s="2" t="str">
        <f ca="1">IFERROR(__xludf.DUMMYFUNCTION("""COMPUTED_VALUE"""),"DaVinci")</f>
        <v>DaVinci</v>
      </c>
    </row>
    <row r="3540" spans="1:3" x14ac:dyDescent="0.25">
      <c r="A3540" s="2" t="str">
        <f ca="1">IFERROR(__xludf.DUMMYFUNCTION("""COMPUTED_VALUE"""),"davincigraph")</f>
        <v>davincigraph</v>
      </c>
      <c r="B3540" s="2" t="str">
        <f ca="1">IFERROR(__xludf.DUMMYFUNCTION("""COMPUTED_VALUE"""),"davinci")</f>
        <v>davinci</v>
      </c>
      <c r="C3540" s="2" t="str">
        <f ca="1">IFERROR(__xludf.DUMMYFUNCTION("""COMPUTED_VALUE"""),"Davincigraph")</f>
        <v>Davincigraph</v>
      </c>
    </row>
    <row r="3541" spans="1:3" x14ac:dyDescent="0.25">
      <c r="A3541" s="2" t="str">
        <f ca="1">IFERROR(__xludf.DUMMYFUNCTION("""COMPUTED_VALUE"""),"davinci-jeremie")</f>
        <v>davinci-jeremie</v>
      </c>
      <c r="B3541" s="2" t="str">
        <f ca="1">IFERROR(__xludf.DUMMYFUNCTION("""COMPUTED_VALUE"""),"dvinci")</f>
        <v>dvinci</v>
      </c>
      <c r="C3541" s="2" t="str">
        <f ca="1">IFERROR(__xludf.DUMMYFUNCTION("""COMPUTED_VALUE"""),"Davinci Jeremie")</f>
        <v>Davinci Jeremie</v>
      </c>
    </row>
    <row r="3542" spans="1:3" x14ac:dyDescent="0.25">
      <c r="A3542" s="2" t="str">
        <f ca="1">IFERROR(__xludf.DUMMYFUNCTION("""COMPUTED_VALUE"""),"davis-cup-fan-token")</f>
        <v>davis-cup-fan-token</v>
      </c>
      <c r="B3542" s="2" t="str">
        <f ca="1">IFERROR(__xludf.DUMMYFUNCTION("""COMPUTED_VALUE"""),"davis")</f>
        <v>davis</v>
      </c>
      <c r="C3542" s="2" t="str">
        <f ca="1">IFERROR(__xludf.DUMMYFUNCTION("""COMPUTED_VALUE"""),"Davis Cup Fan Token")</f>
        <v>Davis Cup Fan Token</v>
      </c>
    </row>
    <row r="3543" spans="1:3" x14ac:dyDescent="0.25">
      <c r="A3543" s="2" t="str">
        <f ca="1">IFERROR(__xludf.DUMMYFUNCTION("""COMPUTED_VALUE"""),"davos-protocol")</f>
        <v>davos-protocol</v>
      </c>
      <c r="B3543" s="2" t="str">
        <f ca="1">IFERROR(__xludf.DUMMYFUNCTION("""COMPUTED_VALUE"""),"dusd")</f>
        <v>dusd</v>
      </c>
      <c r="C3543" s="2" t="str">
        <f ca="1">IFERROR(__xludf.DUMMYFUNCTION("""COMPUTED_VALUE"""),"Davos.xyz USD")</f>
        <v>Davos.xyz USD</v>
      </c>
    </row>
    <row r="3544" spans="1:3" x14ac:dyDescent="0.25">
      <c r="A3544" s="2" t="str">
        <f ca="1">IFERROR(__xludf.DUMMYFUNCTION("""COMPUTED_VALUE"""),"davos-protocol-staked-dusd")</f>
        <v>davos-protocol-staked-dusd</v>
      </c>
      <c r="B3544" s="2" t="str">
        <f ca="1">IFERROR(__xludf.DUMMYFUNCTION("""COMPUTED_VALUE"""),"sdusd")</f>
        <v>sdusd</v>
      </c>
      <c r="C3544" s="2" t="str">
        <f ca="1">IFERROR(__xludf.DUMMYFUNCTION("""COMPUTED_VALUE"""),"Davos Protocol Staked DUSD")</f>
        <v>Davos Protocol Staked DUSD</v>
      </c>
    </row>
    <row r="3545" spans="1:3" x14ac:dyDescent="0.25">
      <c r="A3545" s="2" t="str">
        <f ca="1">IFERROR(__xludf.DUMMYFUNCTION("""COMPUTED_VALUE"""),"daw-currency-2")</f>
        <v>daw-currency-2</v>
      </c>
      <c r="B3545" s="2" t="str">
        <f ca="1">IFERROR(__xludf.DUMMYFUNCTION("""COMPUTED_VALUE"""),"daw")</f>
        <v>daw</v>
      </c>
      <c r="C3545" s="2" t="str">
        <f ca="1">IFERROR(__xludf.DUMMYFUNCTION("""COMPUTED_VALUE"""),"Daw Currency")</f>
        <v>Daw Currency</v>
      </c>
    </row>
    <row r="3546" spans="1:3" x14ac:dyDescent="0.25">
      <c r="A3546" s="2" t="str">
        <f ca="1">IFERROR(__xludf.DUMMYFUNCTION("""COMPUTED_VALUE"""),"dawg")</f>
        <v>dawg</v>
      </c>
      <c r="B3546" s="2" t="str">
        <f ca="1">IFERROR(__xludf.DUMMYFUNCTION("""COMPUTED_VALUE"""),"dawg")</f>
        <v>dawg</v>
      </c>
      <c r="C3546" s="2" t="str">
        <f ca="1">IFERROR(__xludf.DUMMYFUNCTION("""COMPUTED_VALUE"""),"DAWG")</f>
        <v>DAWG</v>
      </c>
    </row>
    <row r="3547" spans="1:3" x14ac:dyDescent="0.25">
      <c r="A3547" s="2" t="str">
        <f ca="1">IFERROR(__xludf.DUMMYFUNCTION("""COMPUTED_VALUE"""),"dawg-coin")</f>
        <v>dawg-coin</v>
      </c>
      <c r="B3547" s="2" t="str">
        <f ca="1">IFERROR(__xludf.DUMMYFUNCTION("""COMPUTED_VALUE"""),"dawg")</f>
        <v>dawg</v>
      </c>
      <c r="C3547" s="2" t="str">
        <f ca="1">IFERROR(__xludf.DUMMYFUNCTION("""COMPUTED_VALUE"""),"Dawg Coin")</f>
        <v>Dawg Coin</v>
      </c>
    </row>
    <row r="3548" spans="1:3" x14ac:dyDescent="0.25">
      <c r="A3548" s="2" t="str">
        <f ca="1">IFERROR(__xludf.DUMMYFUNCTION("""COMPUTED_VALUE"""),"dawkoin")</f>
        <v>dawkoin</v>
      </c>
      <c r="B3548" s="2" t="str">
        <f ca="1">IFERROR(__xludf.DUMMYFUNCTION("""COMPUTED_VALUE"""),"daw")</f>
        <v>daw</v>
      </c>
      <c r="C3548" s="2" t="str">
        <f ca="1">IFERROR(__xludf.DUMMYFUNCTION("""COMPUTED_VALUE"""),"Dawkoins")</f>
        <v>Dawkoins</v>
      </c>
    </row>
    <row r="3549" spans="1:3" x14ac:dyDescent="0.25">
      <c r="A3549" s="2" t="str">
        <f ca="1">IFERROR(__xludf.DUMMYFUNCTION("""COMPUTED_VALUE"""),"dawn-protocol")</f>
        <v>dawn-protocol</v>
      </c>
      <c r="B3549" s="2" t="str">
        <f ca="1">IFERROR(__xludf.DUMMYFUNCTION("""COMPUTED_VALUE"""),"dawn")</f>
        <v>dawn</v>
      </c>
      <c r="C3549" s="2" t="str">
        <f ca="1">IFERROR(__xludf.DUMMYFUNCTION("""COMPUTED_VALUE"""),"Dawn Protocol")</f>
        <v>Dawn Protocol</v>
      </c>
    </row>
    <row r="3550" spans="1:3" x14ac:dyDescent="0.25">
      <c r="A3550" s="2" t="str">
        <f ca="1">IFERROR(__xludf.DUMMYFUNCTION("""COMPUTED_VALUE"""),"day-by-day")</f>
        <v>day-by-day</v>
      </c>
      <c r="B3550" s="2" t="str">
        <f ca="1">IFERROR(__xludf.DUMMYFUNCTION("""COMPUTED_VALUE"""),"dbd")</f>
        <v>dbd</v>
      </c>
      <c r="C3550" s="2" t="str">
        <f ca="1">IFERROR(__xludf.DUMMYFUNCTION("""COMPUTED_VALUE"""),"Day By Day")</f>
        <v>Day By Day</v>
      </c>
    </row>
    <row r="3551" spans="1:3" x14ac:dyDescent="0.25">
      <c r="A3551" s="2" t="str">
        <f ca="1">IFERROR(__xludf.DUMMYFUNCTION("""COMPUTED_VALUE"""),"daylight-protocol")</f>
        <v>daylight-protocol</v>
      </c>
      <c r="B3551" s="2" t="str">
        <f ca="1">IFERROR(__xludf.DUMMYFUNCTION("""COMPUTED_VALUE"""),"dayl")</f>
        <v>dayl</v>
      </c>
      <c r="C3551" s="2" t="str">
        <f ca="1">IFERROR(__xludf.DUMMYFUNCTION("""COMPUTED_VALUE"""),"Daylight Protocol")</f>
        <v>Daylight Protocol</v>
      </c>
    </row>
    <row r="3552" spans="1:3" x14ac:dyDescent="0.25">
      <c r="A3552" s="2" t="str">
        <f ca="1">IFERROR(__xludf.DUMMYFUNCTION("""COMPUTED_VALUE"""),"day-of-defeat")</f>
        <v>day-of-defeat</v>
      </c>
      <c r="B3552" s="2" t="str">
        <f ca="1">IFERROR(__xludf.DUMMYFUNCTION("""COMPUTED_VALUE"""),"dod")</f>
        <v>dod</v>
      </c>
      <c r="C3552" s="2" t="str">
        <f ca="1">IFERROR(__xludf.DUMMYFUNCTION("""COMPUTED_VALUE"""),"Day of Defeat 2.0")</f>
        <v>Day of Defeat 2.0</v>
      </c>
    </row>
    <row r="3553" spans="1:3" x14ac:dyDescent="0.25">
      <c r="A3553" s="2" t="str">
        <f ca="1">IFERROR(__xludf.DUMMYFUNCTION("""COMPUTED_VALUE"""),"day-of-defeat-mini-100x")</f>
        <v>day-of-defeat-mini-100x</v>
      </c>
      <c r="B3553" s="2" t="str">
        <f ca="1">IFERROR(__xludf.DUMMYFUNCTION("""COMPUTED_VALUE"""),"dod100")</f>
        <v>dod100</v>
      </c>
      <c r="C3553" s="2" t="str">
        <f ca="1">IFERROR(__xludf.DUMMYFUNCTION("""COMPUTED_VALUE"""),"Day of Defeat Mini 100x")</f>
        <v>Day of Defeat Mini 100x</v>
      </c>
    </row>
    <row r="3554" spans="1:3" x14ac:dyDescent="0.25">
      <c r="A3554" s="2" t="str">
        <f ca="1">IFERROR(__xludf.DUMMYFUNCTION("""COMPUTED_VALUE"""),"daytona-finance")</f>
        <v>daytona-finance</v>
      </c>
      <c r="B3554" s="2" t="str">
        <f ca="1">IFERROR(__xludf.DUMMYFUNCTION("""COMPUTED_VALUE"""),"toni")</f>
        <v>toni</v>
      </c>
      <c r="C3554" s="2" t="str">
        <f ca="1">IFERROR(__xludf.DUMMYFUNCTION("""COMPUTED_VALUE"""),"Daytona Finance")</f>
        <v>Daytona Finance</v>
      </c>
    </row>
    <row r="3555" spans="1:3" x14ac:dyDescent="0.25">
      <c r="A3555" s="2" t="str">
        <f ca="1">IFERROR(__xludf.DUMMYFUNCTION("""COMPUTED_VALUE"""),"d-buybot")</f>
        <v>d-buybot</v>
      </c>
      <c r="B3555" s="2" t="str">
        <f ca="1">IFERROR(__xludf.DUMMYFUNCTION("""COMPUTED_VALUE"""),"dbuy")</f>
        <v>dbuy</v>
      </c>
      <c r="C3555" s="2" t="str">
        <f ca="1">IFERROR(__xludf.DUMMYFUNCTION("""COMPUTED_VALUE"""),"D.BuyBot")</f>
        <v>D.BuyBot</v>
      </c>
    </row>
    <row r="3556" spans="1:3" x14ac:dyDescent="0.25">
      <c r="A3556" s="2" t="str">
        <f ca="1">IFERROR(__xludf.DUMMYFUNCTION("""COMPUTED_VALUE"""),"dbx-2")</f>
        <v>dbx-2</v>
      </c>
      <c r="B3556" s="2" t="str">
        <f ca="1">IFERROR(__xludf.DUMMYFUNCTION("""COMPUTED_VALUE"""),"dbx")</f>
        <v>dbx</v>
      </c>
      <c r="C3556" s="2" t="str">
        <f ca="1">IFERROR(__xludf.DUMMYFUNCTION("""COMPUTED_VALUE"""),"DBX")</f>
        <v>DBX</v>
      </c>
    </row>
    <row r="3557" spans="1:3" x14ac:dyDescent="0.25">
      <c r="A3557" s="2" t="str">
        <f ca="1">IFERROR(__xludf.DUMMYFUNCTION("""COMPUTED_VALUE"""),"dbxen")</f>
        <v>dbxen</v>
      </c>
      <c r="B3557" s="2" t="str">
        <f ca="1">IFERROR(__xludf.DUMMYFUNCTION("""COMPUTED_VALUE"""),"dxn")</f>
        <v>dxn</v>
      </c>
      <c r="C3557" s="2" t="str">
        <f ca="1">IFERROR(__xludf.DUMMYFUNCTION("""COMPUTED_VALUE"""),"DBXen")</f>
        <v>DBXen</v>
      </c>
    </row>
    <row r="3558" spans="1:3" x14ac:dyDescent="0.25">
      <c r="A3558" s="2" t="str">
        <f ca="1">IFERROR(__xludf.DUMMYFUNCTION("""COMPUTED_VALUE"""),"dcntrl-network")</f>
        <v>dcntrl-network</v>
      </c>
      <c r="B3558" s="2" t="str">
        <f ca="1">IFERROR(__xludf.DUMMYFUNCTION("""COMPUTED_VALUE"""),"dcnx")</f>
        <v>dcnx</v>
      </c>
      <c r="C3558" s="2" t="str">
        <f ca="1">IFERROR(__xludf.DUMMYFUNCTION("""COMPUTED_VALUE"""),"DCNTRL Network")</f>
        <v>DCNTRL Network</v>
      </c>
    </row>
    <row r="3559" spans="1:3" x14ac:dyDescent="0.25">
      <c r="A3559" s="2" t="str">
        <f ca="1">IFERROR(__xludf.DUMMYFUNCTION("""COMPUTED_VALUE"""),"dcomm")</f>
        <v>dcomm</v>
      </c>
      <c r="B3559" s="2" t="str">
        <f ca="1">IFERROR(__xludf.DUMMYFUNCTION("""COMPUTED_VALUE"""),"dcm")</f>
        <v>dcm</v>
      </c>
      <c r="C3559" s="2" t="str">
        <f ca="1">IFERROR(__xludf.DUMMYFUNCTION("""COMPUTED_VALUE"""),"DComm")</f>
        <v>DComm</v>
      </c>
    </row>
    <row r="3560" spans="1:3" x14ac:dyDescent="0.25">
      <c r="A3560" s="2" t="str">
        <f ca="1">IFERROR(__xludf.DUMMYFUNCTION("""COMPUTED_VALUE"""),"d-community")</f>
        <v>d-community</v>
      </c>
      <c r="B3560" s="2" t="str">
        <f ca="1">IFERROR(__xludf.DUMMYFUNCTION("""COMPUTED_VALUE"""),"dili")</f>
        <v>dili</v>
      </c>
      <c r="C3560" s="2" t="str">
        <f ca="1">IFERROR(__xludf.DUMMYFUNCTION("""COMPUTED_VALUE"""),"D Community")</f>
        <v>D Community</v>
      </c>
    </row>
    <row r="3561" spans="1:3" x14ac:dyDescent="0.25">
      <c r="A3561" s="2" t="str">
        <f ca="1">IFERROR(__xludf.DUMMYFUNCTION("""COMPUTED_VALUE"""),"dcomy")</f>
        <v>dcomy</v>
      </c>
      <c r="B3561" s="2" t="str">
        <f ca="1">IFERROR(__xludf.DUMMYFUNCTION("""COMPUTED_VALUE"""),"dco")</f>
        <v>dco</v>
      </c>
      <c r="C3561" s="2" t="str">
        <f ca="1">IFERROR(__xludf.DUMMYFUNCTION("""COMPUTED_VALUE"""),"DCOMY")</f>
        <v>DCOMY</v>
      </c>
    </row>
    <row r="3562" spans="1:3" x14ac:dyDescent="0.25">
      <c r="A3562" s="2" t="str">
        <f ca="1">IFERROR(__xludf.DUMMYFUNCTION("""COMPUTED_VALUE"""),"d-drops")</f>
        <v>d-drops</v>
      </c>
      <c r="B3562" s="2" t="str">
        <f ca="1">IFERROR(__xludf.DUMMYFUNCTION("""COMPUTED_VALUE"""),"dop")</f>
        <v>dop</v>
      </c>
      <c r="C3562" s="2" t="str">
        <f ca="1">IFERROR(__xludf.DUMMYFUNCTION("""COMPUTED_VALUE"""),"D-Drops")</f>
        <v>D-Drops</v>
      </c>
    </row>
    <row r="3563" spans="1:3" x14ac:dyDescent="0.25">
      <c r="A3563" s="2" t="str">
        <f ca="1">IFERROR(__xludf.DUMMYFUNCTION("""COMPUTED_VALUE"""),"deadpxlz")</f>
        <v>deadpxlz</v>
      </c>
      <c r="B3563" s="2" t="str">
        <f ca="1">IFERROR(__xludf.DUMMYFUNCTION("""COMPUTED_VALUE"""),"ding")</f>
        <v>ding</v>
      </c>
      <c r="C3563" s="2" t="str">
        <f ca="1">IFERROR(__xludf.DUMMYFUNCTION("""COMPUTED_VALUE"""),"DEADPXLZ")</f>
        <v>DEADPXLZ</v>
      </c>
    </row>
    <row r="3564" spans="1:3" x14ac:dyDescent="0.25">
      <c r="A3564" s="2" t="str">
        <f ca="1">IFERROR(__xludf.DUMMYFUNCTION("""COMPUTED_VALUE"""),"dean-s-list")</f>
        <v>dean-s-list</v>
      </c>
      <c r="B3564" s="2" t="str">
        <f ca="1">IFERROR(__xludf.DUMMYFUNCTION("""COMPUTED_VALUE"""),"dean")</f>
        <v>dean</v>
      </c>
      <c r="C3564" s="2" t="str">
        <f ca="1">IFERROR(__xludf.DUMMYFUNCTION("""COMPUTED_VALUE"""),"Dean's List")</f>
        <v>Dean's List</v>
      </c>
    </row>
    <row r="3565" spans="1:3" x14ac:dyDescent="0.25">
      <c r="A3565" s="2" t="str">
        <f ca="1">IFERROR(__xludf.DUMMYFUNCTION("""COMPUTED_VALUE"""),"deapcoin")</f>
        <v>deapcoin</v>
      </c>
      <c r="B3565" s="2" t="str">
        <f ca="1">IFERROR(__xludf.DUMMYFUNCTION("""COMPUTED_VALUE"""),"dep")</f>
        <v>dep</v>
      </c>
      <c r="C3565" s="2" t="str">
        <f ca="1">IFERROR(__xludf.DUMMYFUNCTION("""COMPUTED_VALUE"""),"DEAPCOIN")</f>
        <v>DEAPCOIN</v>
      </c>
    </row>
    <row r="3566" spans="1:3" x14ac:dyDescent="0.25">
      <c r="A3566" s="2" t="str">
        <f ca="1">IFERROR(__xludf.DUMMYFUNCTION("""COMPUTED_VALUE"""),"deathroad")</f>
        <v>deathroad</v>
      </c>
      <c r="B3566" s="2" t="str">
        <f ca="1">IFERROR(__xludf.DUMMYFUNCTION("""COMPUTED_VALUE"""),"drace")</f>
        <v>drace</v>
      </c>
      <c r="C3566" s="2" t="str">
        <f ca="1">IFERROR(__xludf.DUMMYFUNCTION("""COMPUTED_VALUE"""),"DeathRoad")</f>
        <v>DeathRoad</v>
      </c>
    </row>
    <row r="3567" spans="1:3" x14ac:dyDescent="0.25">
      <c r="A3567" s="2" t="str">
        <f ca="1">IFERROR(__xludf.DUMMYFUNCTION("""COMPUTED_VALUE"""),"death-token")</f>
        <v>death-token</v>
      </c>
      <c r="B3567" s="2" t="str">
        <f ca="1">IFERROR(__xludf.DUMMYFUNCTION("""COMPUTED_VALUE"""),"death")</f>
        <v>death</v>
      </c>
      <c r="C3567" s="2" t="str">
        <f ca="1">IFERROR(__xludf.DUMMYFUNCTION("""COMPUTED_VALUE"""),"Death")</f>
        <v>Death</v>
      </c>
    </row>
    <row r="3568" spans="1:3" x14ac:dyDescent="0.25">
      <c r="A3568" s="2" t="str">
        <f ca="1">IFERROR(__xludf.DUMMYFUNCTION("""COMPUTED_VALUE"""),"debio-network")</f>
        <v>debio-network</v>
      </c>
      <c r="B3568" s="2" t="str">
        <f ca="1">IFERROR(__xludf.DUMMYFUNCTION("""COMPUTED_VALUE"""),"dbio")</f>
        <v>dbio</v>
      </c>
      <c r="C3568" s="2" t="str">
        <f ca="1">IFERROR(__xludf.DUMMYFUNCTION("""COMPUTED_VALUE"""),"DeBio Network")</f>
        <v>DeBio Network</v>
      </c>
    </row>
    <row r="3569" spans="1:3" x14ac:dyDescent="0.25">
      <c r="A3569" s="2" t="str">
        <f ca="1">IFERROR(__xludf.DUMMYFUNCTION("""COMPUTED_VALUE"""),"debox")</f>
        <v>debox</v>
      </c>
      <c r="B3569" s="2" t="str">
        <f ca="1">IFERROR(__xludf.DUMMYFUNCTION("""COMPUTED_VALUE"""),"box")</f>
        <v>box</v>
      </c>
      <c r="C3569" s="2" t="str">
        <f ca="1">IFERROR(__xludf.DUMMYFUNCTION("""COMPUTED_VALUE"""),"DeBox")</f>
        <v>DeBox</v>
      </c>
    </row>
    <row r="3570" spans="1:3" x14ac:dyDescent="0.25">
      <c r="A3570" s="2" t="str">
        <f ca="1">IFERROR(__xludf.DUMMYFUNCTION("""COMPUTED_VALUE"""),"debridge")</f>
        <v>debridge</v>
      </c>
      <c r="B3570" s="2" t="str">
        <f ca="1">IFERROR(__xludf.DUMMYFUNCTION("""COMPUTED_VALUE"""),"dbr")</f>
        <v>dbr</v>
      </c>
      <c r="C3570" s="2" t="str">
        <f ca="1">IFERROR(__xludf.DUMMYFUNCTION("""COMPUTED_VALUE"""),"deBridge")</f>
        <v>deBridge</v>
      </c>
    </row>
    <row r="3571" spans="1:3" x14ac:dyDescent="0.25">
      <c r="A3571" s="2" t="str">
        <f ca="1">IFERROR(__xludf.DUMMYFUNCTION("""COMPUTED_VALUE"""),"decanect")</f>
        <v>decanect</v>
      </c>
      <c r="B3571" s="2" t="str">
        <f ca="1">IFERROR(__xludf.DUMMYFUNCTION("""COMPUTED_VALUE"""),"dcnt")</f>
        <v>dcnt</v>
      </c>
      <c r="C3571" s="2" t="str">
        <f ca="1">IFERROR(__xludf.DUMMYFUNCTION("""COMPUTED_VALUE"""),"Decanect")</f>
        <v>Decanect</v>
      </c>
    </row>
    <row r="3572" spans="1:3" x14ac:dyDescent="0.25">
      <c r="A3572" s="2" t="str">
        <f ca="1">IFERROR(__xludf.DUMMYFUNCTION("""COMPUTED_VALUE"""),"de-capital")</f>
        <v>de-capital</v>
      </c>
      <c r="B3572" s="2" t="str">
        <f ca="1">IFERROR(__xludf.DUMMYFUNCTION("""COMPUTED_VALUE"""),"dct")</f>
        <v>dct</v>
      </c>
      <c r="C3572" s="2" t="str">
        <f ca="1">IFERROR(__xludf.DUMMYFUNCTION("""COMPUTED_VALUE"""),"De Capital")</f>
        <v>De Capital</v>
      </c>
    </row>
    <row r="3573" spans="1:3" x14ac:dyDescent="0.25">
      <c r="A3573" s="2" t="str">
        <f ca="1">IFERROR(__xludf.DUMMYFUNCTION("""COMPUTED_VALUE"""),"decats")</f>
        <v>decats</v>
      </c>
      <c r="B3573" s="2" t="str">
        <f ca="1">IFERROR(__xludf.DUMMYFUNCTION("""COMPUTED_VALUE"""),"decats")</f>
        <v>decats</v>
      </c>
      <c r="C3573" s="2" t="str">
        <f ca="1">IFERROR(__xludf.DUMMYFUNCTION("""COMPUTED_VALUE"""),"DeCats")</f>
        <v>DeCats</v>
      </c>
    </row>
    <row r="3574" spans="1:3" x14ac:dyDescent="0.25">
      <c r="A3574" s="2" t="str">
        <f ca="1">IFERROR(__xludf.DUMMYFUNCTION("""COMPUTED_VALUE"""),"decentr")</f>
        <v>decentr</v>
      </c>
      <c r="B3574" s="2" t="str">
        <f ca="1">IFERROR(__xludf.DUMMYFUNCTION("""COMPUTED_VALUE"""),"dec")</f>
        <v>dec</v>
      </c>
      <c r="C3574" s="2" t="str">
        <f ca="1">IFERROR(__xludf.DUMMYFUNCTION("""COMPUTED_VALUE"""),"Decentr")</f>
        <v>Decentr</v>
      </c>
    </row>
    <row r="3575" spans="1:3" x14ac:dyDescent="0.25">
      <c r="A3575" s="2" t="str">
        <f ca="1">IFERROR(__xludf.DUMMYFUNCTION("""COMPUTED_VALUE"""),"decentrabnb")</f>
        <v>decentrabnb</v>
      </c>
      <c r="B3575" s="2" t="str">
        <f ca="1">IFERROR(__xludf.DUMMYFUNCTION("""COMPUTED_VALUE"""),"dbnb")</f>
        <v>dbnb</v>
      </c>
      <c r="C3575" s="2" t="str">
        <f ca="1">IFERROR(__xludf.DUMMYFUNCTION("""COMPUTED_VALUE"""),"DecentraBNB")</f>
        <v>DecentraBNB</v>
      </c>
    </row>
    <row r="3576" spans="1:3" x14ac:dyDescent="0.25">
      <c r="A3576" s="2" t="str">
        <f ca="1">IFERROR(__xludf.DUMMYFUNCTION("""COMPUTED_VALUE"""),"decentracard")</f>
        <v>decentracard</v>
      </c>
      <c r="B3576" s="2" t="str">
        <f ca="1">IFERROR(__xludf.DUMMYFUNCTION("""COMPUTED_VALUE"""),"dcard")</f>
        <v>dcard</v>
      </c>
      <c r="C3576" s="2" t="str">
        <f ca="1">IFERROR(__xludf.DUMMYFUNCTION("""COMPUTED_VALUE"""),"DECENTRACARD")</f>
        <v>DECENTRACARD</v>
      </c>
    </row>
    <row r="3577" spans="1:3" x14ac:dyDescent="0.25">
      <c r="A3577" s="2" t="str">
        <f ca="1">IFERROR(__xludf.DUMMYFUNCTION("""COMPUTED_VALUE"""),"decentracloud")</f>
        <v>decentracloud</v>
      </c>
      <c r="B3577" s="2" t="str">
        <f ca="1">IFERROR(__xludf.DUMMYFUNCTION("""COMPUTED_VALUE"""),"dcloud")</f>
        <v>dcloud</v>
      </c>
      <c r="C3577" s="2" t="str">
        <f ca="1">IFERROR(__xludf.DUMMYFUNCTION("""COMPUTED_VALUE"""),"DecentraCloud")</f>
        <v>DecentraCloud</v>
      </c>
    </row>
    <row r="3578" spans="1:3" x14ac:dyDescent="0.25">
      <c r="A3578" s="2" t="str">
        <f ca="1">IFERROR(__xludf.DUMMYFUNCTION("""COMPUTED_VALUE"""),"decentra-ecosystem")</f>
        <v>decentra-ecosystem</v>
      </c>
      <c r="B3578" s="2" t="str">
        <f ca="1">IFERROR(__xludf.DUMMYFUNCTION("""COMPUTED_VALUE"""),"dce")</f>
        <v>dce</v>
      </c>
      <c r="C3578" s="2" t="str">
        <f ca="1">IFERROR(__xludf.DUMMYFUNCTION("""COMPUTED_VALUE"""),"Decentra Ecosystem")</f>
        <v>Decentra Ecosystem</v>
      </c>
    </row>
    <row r="3579" spans="1:3" x14ac:dyDescent="0.25">
      <c r="A3579" s="2" t="str">
        <f ca="1">IFERROR(__xludf.DUMMYFUNCTION("""COMPUTED_VALUE"""),"decentraland")</f>
        <v>decentraland</v>
      </c>
      <c r="B3579" s="2" t="str">
        <f ca="1">IFERROR(__xludf.DUMMYFUNCTION("""COMPUTED_VALUE"""),"mana")</f>
        <v>mana</v>
      </c>
      <c r="C3579" s="2" t="str">
        <f ca="1">IFERROR(__xludf.DUMMYFUNCTION("""COMPUTED_VALUE"""),"Decentraland")</f>
        <v>Decentraland</v>
      </c>
    </row>
    <row r="3580" spans="1:3" x14ac:dyDescent="0.25">
      <c r="A3580" s="2" t="str">
        <f ca="1">IFERROR(__xludf.DUMMYFUNCTION("""COMPUTED_VALUE"""),"decentraland-wormhole")</f>
        <v>decentraland-wormhole</v>
      </c>
      <c r="B3580" s="2" t="str">
        <f ca="1">IFERROR(__xludf.DUMMYFUNCTION("""COMPUTED_VALUE"""),"mana")</f>
        <v>mana</v>
      </c>
      <c r="C3580" s="2" t="str">
        <f ca="1">IFERROR(__xludf.DUMMYFUNCTION("""COMPUTED_VALUE"""),"Decentraland (Wormhole)")</f>
        <v>Decentraland (Wormhole)</v>
      </c>
    </row>
    <row r="3581" spans="1:3" x14ac:dyDescent="0.25">
      <c r="A3581" s="2" t="str">
        <f ca="1">IFERROR(__xludf.DUMMYFUNCTION("""COMPUTED_VALUE"""),"decentral-games")</f>
        <v>decentral-games</v>
      </c>
      <c r="B3581" s="2" t="str">
        <f ca="1">IFERROR(__xludf.DUMMYFUNCTION("""COMPUTED_VALUE"""),"dg")</f>
        <v>dg</v>
      </c>
      <c r="C3581" s="2" t="str">
        <f ca="1">IFERROR(__xludf.DUMMYFUNCTION("""COMPUTED_VALUE"""),"Decentral Games")</f>
        <v>Decentral Games</v>
      </c>
    </row>
    <row r="3582" spans="1:3" x14ac:dyDescent="0.25">
      <c r="A3582" s="2" t="str">
        <f ca="1">IFERROR(__xludf.DUMMYFUNCTION("""COMPUTED_VALUE"""),"decentral-games-ice")</f>
        <v>decentral-games-ice</v>
      </c>
      <c r="B3582" s="2" t="str">
        <f ca="1">IFERROR(__xludf.DUMMYFUNCTION("""COMPUTED_VALUE"""),"ice")</f>
        <v>ice</v>
      </c>
      <c r="C3582" s="2" t="str">
        <f ca="1">IFERROR(__xludf.DUMMYFUNCTION("""COMPUTED_VALUE"""),"Decentral Games ICE")</f>
        <v>Decentral Games ICE</v>
      </c>
    </row>
    <row r="3583" spans="1:3" x14ac:dyDescent="0.25">
      <c r="A3583" s="2" t="str">
        <f ca="1">IFERROR(__xludf.DUMMYFUNCTION("""COMPUTED_VALUE"""),"decentral-games-old")</f>
        <v>decentral-games-old</v>
      </c>
      <c r="B3583" s="2" t="str">
        <f ca="1">IFERROR(__xludf.DUMMYFUNCTION("""COMPUTED_VALUE"""),"dg")</f>
        <v>dg</v>
      </c>
      <c r="C3583" s="2" t="str">
        <f ca="1">IFERROR(__xludf.DUMMYFUNCTION("""COMPUTED_VALUE"""),"Decentral Games (Old)")</f>
        <v>Decentral Games (Old)</v>
      </c>
    </row>
    <row r="3584" spans="1:3" x14ac:dyDescent="0.25">
      <c r="A3584" s="2" t="str">
        <f ca="1">IFERROR(__xludf.DUMMYFUNCTION("""COMPUTED_VALUE"""),"decentralized-advertising")</f>
        <v>decentralized-advertising</v>
      </c>
      <c r="B3584" s="2" t="str">
        <f ca="1">IFERROR(__xludf.DUMMYFUNCTION("""COMPUTED_VALUE"""),"dad")</f>
        <v>dad</v>
      </c>
      <c r="C3584" s="2" t="str">
        <f ca="1">IFERROR(__xludf.DUMMYFUNCTION("""COMPUTED_VALUE"""),"DAD")</f>
        <v>DAD</v>
      </c>
    </row>
    <row r="3585" spans="1:3" x14ac:dyDescent="0.25">
      <c r="A3585" s="2" t="str">
        <f ca="1">IFERROR(__xludf.DUMMYFUNCTION("""COMPUTED_VALUE"""),"decentralized-cloud-infra")</f>
        <v>decentralized-cloud-infra</v>
      </c>
      <c r="B3585" s="2" t="str">
        <f ca="1">IFERROR(__xludf.DUMMYFUNCTION("""COMPUTED_VALUE"""),"dci")</f>
        <v>dci</v>
      </c>
      <c r="C3585" s="2" t="str">
        <f ca="1">IFERROR(__xludf.DUMMYFUNCTION("""COMPUTED_VALUE"""),"Decentralized Cloud Infra")</f>
        <v>Decentralized Cloud Infra</v>
      </c>
    </row>
    <row r="3586" spans="1:3" x14ac:dyDescent="0.25">
      <c r="A3586" s="2" t="str">
        <f ca="1">IFERROR(__xludf.DUMMYFUNCTION("""COMPUTED_VALUE"""),"decentralized-community-investment-protocol")</f>
        <v>decentralized-community-investment-protocol</v>
      </c>
      <c r="B3586" s="2" t="str">
        <f ca="1">IFERROR(__xludf.DUMMYFUNCTION("""COMPUTED_VALUE"""),"dcip")</f>
        <v>dcip</v>
      </c>
      <c r="C3586" s="2" t="str">
        <f ca="1">IFERROR(__xludf.DUMMYFUNCTION("""COMPUTED_VALUE"""),"Decentralized Community Investment Protocol")</f>
        <v>Decentralized Community Investment Protocol</v>
      </c>
    </row>
    <row r="3587" spans="1:3" x14ac:dyDescent="0.25">
      <c r="A3587" s="2" t="str">
        <f ca="1">IFERROR(__xludf.DUMMYFUNCTION("""COMPUTED_VALUE"""),"decentralized-etf")</f>
        <v>decentralized-etf</v>
      </c>
      <c r="B3587" s="2" t="str">
        <f ca="1">IFERROR(__xludf.DUMMYFUNCTION("""COMPUTED_VALUE"""),"detf")</f>
        <v>detf</v>
      </c>
      <c r="C3587" s="2" t="str">
        <f ca="1">IFERROR(__xludf.DUMMYFUNCTION("""COMPUTED_VALUE"""),"Decentralized ETF")</f>
        <v>Decentralized ETF</v>
      </c>
    </row>
    <row r="3588" spans="1:3" x14ac:dyDescent="0.25">
      <c r="A3588" s="2" t="str">
        <f ca="1">IFERROR(__xludf.DUMMYFUNCTION("""COMPUTED_VALUE"""),"decentralized-mining-exchange")</f>
        <v>decentralized-mining-exchange</v>
      </c>
      <c r="B3588" s="2" t="str">
        <f ca="1">IFERROR(__xludf.DUMMYFUNCTION("""COMPUTED_VALUE"""),"dmc")</f>
        <v>dmc</v>
      </c>
      <c r="C3588" s="2" t="str">
        <f ca="1">IFERROR(__xludf.DUMMYFUNCTION("""COMPUTED_VALUE"""),"Decentralized Mining Exchange")</f>
        <v>Decentralized Mining Exchange</v>
      </c>
    </row>
    <row r="3589" spans="1:3" x14ac:dyDescent="0.25">
      <c r="A3589" s="2" t="str">
        <f ca="1">IFERROR(__xludf.DUMMYFUNCTION("""COMPUTED_VALUE"""),"decentralized-music-chain")</f>
        <v>decentralized-music-chain</v>
      </c>
      <c r="B3589" s="2" t="str">
        <f ca="1">IFERROR(__xludf.DUMMYFUNCTION("""COMPUTED_VALUE"""),"dmcc")</f>
        <v>dmcc</v>
      </c>
      <c r="C3589" s="2" t="str">
        <f ca="1">IFERROR(__xludf.DUMMYFUNCTION("""COMPUTED_VALUE"""),"Decentralized Music Chain")</f>
        <v>Decentralized Music Chain</v>
      </c>
    </row>
    <row r="3590" spans="1:3" x14ac:dyDescent="0.25">
      <c r="A3590" s="2" t="str">
        <f ca="1">IFERROR(__xludf.DUMMYFUNCTION("""COMPUTED_VALUE"""),"decentralized-runes")</f>
        <v>decentralized-runes</v>
      </c>
      <c r="B3590" s="2" t="str">
        <f ca="1">IFERROR(__xludf.DUMMYFUNCTION("""COMPUTED_VALUE"""),"dec")</f>
        <v>dec</v>
      </c>
      <c r="C3590" s="2" t="str">
        <f ca="1">IFERROR(__xludf.DUMMYFUNCTION("""COMPUTED_VALUE"""),"DECENTRALIZED (Runes)")</f>
        <v>DECENTRALIZED (Runes)</v>
      </c>
    </row>
    <row r="3591" spans="1:3" x14ac:dyDescent="0.25">
      <c r="A3591" s="2" t="str">
        <f ca="1">IFERROR(__xludf.DUMMYFUNCTION("""COMPUTED_VALUE"""),"decentralized-universal-basic-income")</f>
        <v>decentralized-universal-basic-income</v>
      </c>
      <c r="B3591" s="2" t="str">
        <f ca="1">IFERROR(__xludf.DUMMYFUNCTION("""COMPUTED_VALUE"""),"dubi")</f>
        <v>dubi</v>
      </c>
      <c r="C3591" s="2" t="str">
        <f ca="1">IFERROR(__xludf.DUMMYFUNCTION("""COMPUTED_VALUE"""),"Decentralized Universal Basic Income")</f>
        <v>Decentralized Universal Basic Income</v>
      </c>
    </row>
    <row r="3592" spans="1:3" x14ac:dyDescent="0.25">
      <c r="A3592" s="2" t="str">
        <f ca="1">IFERROR(__xludf.DUMMYFUNCTION("""COMPUTED_VALUE"""),"decentralized-usd")</f>
        <v>decentralized-usd</v>
      </c>
      <c r="B3592" s="2" t="str">
        <f ca="1">IFERROR(__xludf.DUMMYFUNCTION("""COMPUTED_VALUE"""),"dusd")</f>
        <v>dusd</v>
      </c>
      <c r="C3592" s="2" t="str">
        <f ca="1">IFERROR(__xludf.DUMMYFUNCTION("""COMPUTED_VALUE"""),"Decentralized USD")</f>
        <v>Decentralized USD</v>
      </c>
    </row>
    <row r="3593" spans="1:3" x14ac:dyDescent="0.25">
      <c r="A3593" s="2" t="str">
        <f ca="1">IFERROR(__xludf.DUMMYFUNCTION("""COMPUTED_VALUE"""),"decentralized-vulnerability-platform")</f>
        <v>decentralized-vulnerability-platform</v>
      </c>
      <c r="B3593" s="2" t="str">
        <f ca="1">IFERROR(__xludf.DUMMYFUNCTION("""COMPUTED_VALUE"""),"dvp")</f>
        <v>dvp</v>
      </c>
      <c r="C3593" s="2" t="str">
        <f ca="1">IFERROR(__xludf.DUMMYFUNCTION("""COMPUTED_VALUE"""),"Decentralized Vulnerability Platform")</f>
        <v>Decentralized Vulnerability Platform</v>
      </c>
    </row>
    <row r="3594" spans="1:3" x14ac:dyDescent="0.25">
      <c r="A3594" s="2" t="str">
        <f ca="1">IFERROR(__xludf.DUMMYFUNCTION("""COMPUTED_VALUE"""),"decentramind")</f>
        <v>decentramind</v>
      </c>
      <c r="B3594" s="2" t="str">
        <f ca="1">IFERROR(__xludf.DUMMYFUNCTION("""COMPUTED_VALUE"""),"dmind")</f>
        <v>dmind</v>
      </c>
      <c r="C3594" s="2" t="str">
        <f ca="1">IFERROR(__xludf.DUMMYFUNCTION("""COMPUTED_VALUE"""),"DecentraMind")</f>
        <v>DecentraMind</v>
      </c>
    </row>
    <row r="3595" spans="1:3" x14ac:dyDescent="0.25">
      <c r="A3595" s="2" t="str">
        <f ca="1">IFERROR(__xludf.DUMMYFUNCTION("""COMPUTED_VALUE"""),"decentrashop")</f>
        <v>decentrashop</v>
      </c>
      <c r="B3595" s="2" t="str">
        <f ca="1">IFERROR(__xludf.DUMMYFUNCTION("""COMPUTED_VALUE"""),"dxs")</f>
        <v>dxs</v>
      </c>
      <c r="C3595" s="2" t="str">
        <f ca="1">IFERROR(__xludf.DUMMYFUNCTION("""COMPUTED_VALUE"""),"Decentrashop")</f>
        <v>Decentrashop</v>
      </c>
    </row>
    <row r="3596" spans="1:3" x14ac:dyDescent="0.25">
      <c r="A3596" s="2" t="str">
        <f ca="1">IFERROR(__xludf.DUMMYFUNCTION("""COMPUTED_VALUE"""),"decentraweb")</f>
        <v>decentraweb</v>
      </c>
      <c r="B3596" s="2" t="str">
        <f ca="1">IFERROR(__xludf.DUMMYFUNCTION("""COMPUTED_VALUE"""),"dweb")</f>
        <v>dweb</v>
      </c>
      <c r="C3596" s="2" t="str">
        <f ca="1">IFERROR(__xludf.DUMMYFUNCTION("""COMPUTED_VALUE"""),"DecentraWeb")</f>
        <v>DecentraWeb</v>
      </c>
    </row>
    <row r="3597" spans="1:3" x14ac:dyDescent="0.25">
      <c r="A3597" s="2" t="str">
        <f ca="1">IFERROR(__xludf.DUMMYFUNCTION("""COMPUTED_VALUE"""),"decentrawood")</f>
        <v>decentrawood</v>
      </c>
      <c r="B3597" s="2" t="str">
        <f ca="1">IFERROR(__xludf.DUMMYFUNCTION("""COMPUTED_VALUE"""),"deod")</f>
        <v>deod</v>
      </c>
      <c r="C3597" s="2" t="str">
        <f ca="1">IFERROR(__xludf.DUMMYFUNCTION("""COMPUTED_VALUE"""),"Decentrawood")</f>
        <v>Decentrawood</v>
      </c>
    </row>
    <row r="3598" spans="1:3" x14ac:dyDescent="0.25">
      <c r="A3598" s="2" t="str">
        <f ca="1">IFERROR(__xludf.DUMMYFUNCTION("""COMPUTED_VALUE"""),"decetralized-minting-atomicals")</f>
        <v>decetralized-minting-atomicals</v>
      </c>
      <c r="B3598" s="2" t="str">
        <f ca="1">IFERROR(__xludf.DUMMYFUNCTION("""COMPUTED_VALUE"""),"dmint")</f>
        <v>dmint</v>
      </c>
      <c r="C3598" s="2" t="str">
        <f ca="1">IFERROR(__xludf.DUMMYFUNCTION("""COMPUTED_VALUE"""),"Decentralized Minting")</f>
        <v>Decentralized Minting</v>
      </c>
    </row>
    <row r="3599" spans="1:3" x14ac:dyDescent="0.25">
      <c r="A3599" s="2" t="str">
        <f ca="1">IFERROR(__xludf.DUMMYFUNCTION("""COMPUTED_VALUE"""),"decetranode")</f>
        <v>decetranode</v>
      </c>
      <c r="B3599" s="2" t="str">
        <f ca="1">IFERROR(__xludf.DUMMYFUNCTION("""COMPUTED_VALUE"""),"dnode")</f>
        <v>dnode</v>
      </c>
      <c r="C3599" s="2" t="str">
        <f ca="1">IFERROR(__xludf.DUMMYFUNCTION("""COMPUTED_VALUE"""),"DecentraNode")</f>
        <v>DecentraNode</v>
      </c>
    </row>
    <row r="3600" spans="1:3" x14ac:dyDescent="0.25">
      <c r="A3600" s="2" t="str">
        <f ca="1">IFERROR(__xludf.DUMMYFUNCTION("""COMPUTED_VALUE"""),"dechat")</f>
        <v>dechat</v>
      </c>
      <c r="B3600" s="2" t="str">
        <f ca="1">IFERROR(__xludf.DUMMYFUNCTION("""COMPUTED_VALUE"""),"dechat")</f>
        <v>dechat</v>
      </c>
      <c r="C3600" s="2" t="str">
        <f ca="1">IFERROR(__xludf.DUMMYFUNCTION("""COMPUTED_VALUE"""),"Dechat")</f>
        <v>Dechat</v>
      </c>
    </row>
    <row r="3601" spans="1:3" x14ac:dyDescent="0.25">
      <c r="A3601" s="2" t="str">
        <f ca="1">IFERROR(__xludf.DUMMYFUNCTION("""COMPUTED_VALUE"""),"decimal")</f>
        <v>decimal</v>
      </c>
      <c r="B3601" s="2" t="str">
        <f ca="1">IFERROR(__xludf.DUMMYFUNCTION("""COMPUTED_VALUE"""),"del")</f>
        <v>del</v>
      </c>
      <c r="C3601" s="2" t="str">
        <f ca="1">IFERROR(__xludf.DUMMYFUNCTION("""COMPUTED_VALUE"""),"Decimal")</f>
        <v>Decimal</v>
      </c>
    </row>
    <row r="3602" spans="1:3" x14ac:dyDescent="0.25">
      <c r="A3602" s="2" t="str">
        <f ca="1">IFERROR(__xludf.DUMMYFUNCTION("""COMPUTED_VALUE"""),"decimated")</f>
        <v>decimated</v>
      </c>
      <c r="B3602" s="2" t="str">
        <f ca="1">IFERROR(__xludf.DUMMYFUNCTION("""COMPUTED_VALUE"""),"dio")</f>
        <v>dio</v>
      </c>
      <c r="C3602" s="2" t="str">
        <f ca="1">IFERROR(__xludf.DUMMYFUNCTION("""COMPUTED_VALUE"""),"Decimated")</f>
        <v>Decimated</v>
      </c>
    </row>
    <row r="3603" spans="1:3" x14ac:dyDescent="0.25">
      <c r="A3603" s="2" t="str">
        <f ca="1">IFERROR(__xludf.DUMMYFUNCTION("""COMPUTED_VALUE"""),"decko")</f>
        <v>decko</v>
      </c>
      <c r="B3603" s="2" t="str">
        <f ca="1">IFERROR(__xludf.DUMMYFUNCTION("""COMPUTED_VALUE"""),"decko")</f>
        <v>decko</v>
      </c>
      <c r="C3603" s="2" t="str">
        <f ca="1">IFERROR(__xludf.DUMMYFUNCTION("""COMPUTED_VALUE"""),"Decko")</f>
        <v>Decko</v>
      </c>
    </row>
    <row r="3604" spans="1:3" x14ac:dyDescent="0.25">
      <c r="A3604" s="2" t="str">
        <f ca="1">IFERROR(__xludf.DUMMYFUNCTION("""COMPUTED_VALUE"""),"decloud")</f>
        <v>decloud</v>
      </c>
      <c r="B3604" s="2" t="str">
        <f ca="1">IFERROR(__xludf.DUMMYFUNCTION("""COMPUTED_VALUE"""),"cloud")</f>
        <v>cloud</v>
      </c>
      <c r="C3604" s="2" t="str">
        <f ca="1">IFERROR(__xludf.DUMMYFUNCTION("""COMPUTED_VALUE"""),"DeCloud")</f>
        <v>DeCloud</v>
      </c>
    </row>
    <row r="3605" spans="1:3" x14ac:dyDescent="0.25">
      <c r="A3605" s="2" t="str">
        <f ca="1">IFERROR(__xludf.DUMMYFUNCTION("""COMPUTED_VALUE"""),"decred")</f>
        <v>decred</v>
      </c>
      <c r="B3605" s="2" t="str">
        <f ca="1">IFERROR(__xludf.DUMMYFUNCTION("""COMPUTED_VALUE"""),"dcr")</f>
        <v>dcr</v>
      </c>
      <c r="C3605" s="2" t="str">
        <f ca="1">IFERROR(__xludf.DUMMYFUNCTION("""COMPUTED_VALUE"""),"Decred")</f>
        <v>Decred</v>
      </c>
    </row>
    <row r="3606" spans="1:3" x14ac:dyDescent="0.25">
      <c r="A3606" s="2" t="str">
        <f ca="1">IFERROR(__xludf.DUMMYFUNCTION("""COMPUTED_VALUE"""),"decred-next")</f>
        <v>decred-next</v>
      </c>
      <c r="B3606" s="2" t="str">
        <f ca="1">IFERROR(__xludf.DUMMYFUNCTION("""COMPUTED_VALUE"""),"dcrn")</f>
        <v>dcrn</v>
      </c>
      <c r="C3606" s="2" t="str">
        <f ca="1">IFERROR(__xludf.DUMMYFUNCTION("""COMPUTED_VALUE"""),"Decred-Next")</f>
        <v>Decred-Next</v>
      </c>
    </row>
    <row r="3607" spans="1:3" x14ac:dyDescent="0.25">
      <c r="A3607" s="2" t="str">
        <f ca="1">IFERROR(__xludf.DUMMYFUNCTION("""COMPUTED_VALUE"""),"decubate")</f>
        <v>decubate</v>
      </c>
      <c r="B3607" s="2" t="str">
        <f ca="1">IFERROR(__xludf.DUMMYFUNCTION("""COMPUTED_VALUE"""),"dcb")</f>
        <v>dcb</v>
      </c>
      <c r="C3607" s="2" t="str">
        <f ca="1">IFERROR(__xludf.DUMMYFUNCTION("""COMPUTED_VALUE"""),"Decubate")</f>
        <v>Decubate</v>
      </c>
    </row>
    <row r="3608" spans="1:3" x14ac:dyDescent="0.25">
      <c r="A3608" s="2" t="str">
        <f ca="1">IFERROR(__xludf.DUMMYFUNCTION("""COMPUTED_VALUE"""),"dedacoin")</f>
        <v>dedacoin</v>
      </c>
      <c r="B3608" s="2" t="str">
        <f ca="1">IFERROR(__xludf.DUMMYFUNCTION("""COMPUTED_VALUE"""),"deda")</f>
        <v>deda</v>
      </c>
      <c r="C3608" s="2" t="str">
        <f ca="1">IFERROR(__xludf.DUMMYFUNCTION("""COMPUTED_VALUE"""),"DedaCoin")</f>
        <v>DedaCoin</v>
      </c>
    </row>
    <row r="3609" spans="1:3" x14ac:dyDescent="0.25">
      <c r="A3609" s="2" t="str">
        <f ca="1">IFERROR(__xludf.DUMMYFUNCTION("""COMPUTED_VALUE"""),"dede")</f>
        <v>dede</v>
      </c>
      <c r="B3609" s="2" t="str">
        <f ca="1">IFERROR(__xludf.DUMMYFUNCTION("""COMPUTED_VALUE"""),"dede")</f>
        <v>dede</v>
      </c>
      <c r="C3609" s="2" t="str">
        <f ca="1">IFERROR(__xludf.DUMMYFUNCTION("""COMPUTED_VALUE"""),"Dede")</f>
        <v>Dede</v>
      </c>
    </row>
    <row r="3610" spans="1:3" x14ac:dyDescent="0.25">
      <c r="A3610" s="2" t="str">
        <f ca="1">IFERROR(__xludf.DUMMYFUNCTION("""COMPUTED_VALUE"""),"dede-on-sol")</f>
        <v>dede-on-sol</v>
      </c>
      <c r="B3610" s="2" t="str">
        <f ca="1">IFERROR(__xludf.DUMMYFUNCTION("""COMPUTED_VALUE"""),"dede")</f>
        <v>dede</v>
      </c>
      <c r="C3610" s="2" t="str">
        <f ca="1">IFERROR(__xludf.DUMMYFUNCTION("""COMPUTED_VALUE"""),"Dede on SOL")</f>
        <v>Dede on SOL</v>
      </c>
    </row>
    <row r="3611" spans="1:3" x14ac:dyDescent="0.25">
      <c r="A3611" s="2" t="str">
        <f ca="1">IFERROR(__xludf.DUMMYFUNCTION("""COMPUTED_VALUE"""),"dedium")</f>
        <v>dedium</v>
      </c>
      <c r="B3611" s="2" t="str">
        <f ca="1">IFERROR(__xludf.DUMMYFUNCTION("""COMPUTED_VALUE"""),"dedi")</f>
        <v>dedi</v>
      </c>
      <c r="C3611" s="2" t="str">
        <f ca="1">IFERROR(__xludf.DUMMYFUNCTION("""COMPUTED_VALUE"""),"Dedium")</f>
        <v>Dedium</v>
      </c>
    </row>
    <row r="3612" spans="1:3" x14ac:dyDescent="0.25">
      <c r="A3612" s="2" t="str">
        <f ca="1">IFERROR(__xludf.DUMMYFUNCTION("""COMPUTED_VALUE"""),"dedprz")</f>
        <v>dedprz</v>
      </c>
      <c r="B3612" s="2" t="str">
        <f ca="1">IFERROR(__xludf.DUMMYFUNCTION("""COMPUTED_VALUE"""),"usa")</f>
        <v>usa</v>
      </c>
      <c r="C3612" s="2" t="str">
        <f ca="1">IFERROR(__xludf.DUMMYFUNCTION("""COMPUTED_VALUE"""),"DEDPRZ")</f>
        <v>DEDPRZ</v>
      </c>
    </row>
    <row r="3613" spans="1:3" x14ac:dyDescent="0.25">
      <c r="A3613" s="2" t="str">
        <f ca="1">IFERROR(__xludf.DUMMYFUNCTION("""COMPUTED_VALUE"""),"deebo-the-bear")</f>
        <v>deebo-the-bear</v>
      </c>
      <c r="B3613" s="2" t="str">
        <f ca="1">IFERROR(__xludf.DUMMYFUNCTION("""COMPUTED_VALUE"""),"deebo")</f>
        <v>deebo</v>
      </c>
      <c r="C3613" s="2" t="str">
        <f ca="1">IFERROR(__xludf.DUMMYFUNCTION("""COMPUTED_VALUE"""),"Deebo the Bear")</f>
        <v>Deebo the Bear</v>
      </c>
    </row>
    <row r="3614" spans="1:3" x14ac:dyDescent="0.25">
      <c r="A3614" s="2" t="str">
        <f ca="1">IFERROR(__xludf.DUMMYFUNCTION("""COMPUTED_VALUE"""),"deenar-gold")</f>
        <v>deenar-gold</v>
      </c>
      <c r="B3614" s="2" t="str">
        <f ca="1">IFERROR(__xludf.DUMMYFUNCTION("""COMPUTED_VALUE"""),"deen")</f>
        <v>deen</v>
      </c>
      <c r="C3614" s="2" t="str">
        <f ca="1">IFERROR(__xludf.DUMMYFUNCTION("""COMPUTED_VALUE"""),"Deenar Gold")</f>
        <v>Deenar Gold</v>
      </c>
    </row>
    <row r="3615" spans="1:3" x14ac:dyDescent="0.25">
      <c r="A3615" s="2" t="str">
        <f ca="1">IFERROR(__xludf.DUMMYFUNCTION("""COMPUTED_VALUE"""),"deepbrain-chain")</f>
        <v>deepbrain-chain</v>
      </c>
      <c r="B3615" s="2" t="str">
        <f ca="1">IFERROR(__xludf.DUMMYFUNCTION("""COMPUTED_VALUE"""),"dbc")</f>
        <v>dbc</v>
      </c>
      <c r="C3615" s="2" t="str">
        <f ca="1">IFERROR(__xludf.DUMMYFUNCTION("""COMPUTED_VALUE"""),"DeepBrain Chain")</f>
        <v>DeepBrain Chain</v>
      </c>
    </row>
    <row r="3616" spans="1:3" x14ac:dyDescent="0.25">
      <c r="A3616" s="2" t="str">
        <f ca="1">IFERROR(__xludf.DUMMYFUNCTION("""COMPUTED_VALUE"""),"deeper-network")</f>
        <v>deeper-network</v>
      </c>
      <c r="B3616" s="2" t="str">
        <f ca="1">IFERROR(__xludf.DUMMYFUNCTION("""COMPUTED_VALUE"""),"dpr")</f>
        <v>dpr</v>
      </c>
      <c r="C3616" s="2" t="str">
        <f ca="1">IFERROR(__xludf.DUMMYFUNCTION("""COMPUTED_VALUE"""),"Deeper Network")</f>
        <v>Deeper Network</v>
      </c>
    </row>
    <row r="3617" spans="1:3" x14ac:dyDescent="0.25">
      <c r="A3617" s="2" t="str">
        <f ca="1">IFERROR(__xludf.DUMMYFUNCTION("""COMPUTED_VALUE"""),"deepfakeai")</f>
        <v>deepfakeai</v>
      </c>
      <c r="B3617" s="2" t="str">
        <f ca="1">IFERROR(__xludf.DUMMYFUNCTION("""COMPUTED_VALUE"""),"fakeai")</f>
        <v>fakeai</v>
      </c>
      <c r="C3617" s="2" t="str">
        <f ca="1">IFERROR(__xludf.DUMMYFUNCTION("""COMPUTED_VALUE"""),"DeepFakeAI")</f>
        <v>DeepFakeAI</v>
      </c>
    </row>
    <row r="3618" spans="1:3" x14ac:dyDescent="0.25">
      <c r="A3618" s="2" t="str">
        <f ca="1">IFERROR(__xludf.DUMMYFUNCTION("""COMPUTED_VALUE"""),"deep-fucking-value")</f>
        <v>deep-fucking-value</v>
      </c>
      <c r="B3618" s="2" t="str">
        <f ca="1">IFERROR(__xludf.DUMMYFUNCTION("""COMPUTED_VALUE"""),"deep")</f>
        <v>deep</v>
      </c>
      <c r="C3618" s="2" t="str">
        <f ca="1">IFERROR(__xludf.DUMMYFUNCTION("""COMPUTED_VALUE"""),"DEEP")</f>
        <v>DEEP</v>
      </c>
    </row>
    <row r="3619" spans="1:3" x14ac:dyDescent="0.25">
      <c r="A3619" s="2" t="str">
        <f ca="1">IFERROR(__xludf.DUMMYFUNCTION("""COMPUTED_VALUE"""),"deep-fucking-value-2")</f>
        <v>deep-fucking-value-2</v>
      </c>
      <c r="B3619" s="2" t="str">
        <f ca="1">IFERROR(__xludf.DUMMYFUNCTION("""COMPUTED_VALUE"""),"dfv")</f>
        <v>dfv</v>
      </c>
      <c r="C3619" s="2" t="str">
        <f ca="1">IFERROR(__xludf.DUMMYFUNCTION("""COMPUTED_VALUE"""),"DFV")</f>
        <v>DFV</v>
      </c>
    </row>
    <row r="3620" spans="1:3" x14ac:dyDescent="0.25">
      <c r="A3620" s="2" t="str">
        <f ca="1">IFERROR(__xludf.DUMMYFUNCTION("""COMPUTED_VALUE"""),"deeployer")</f>
        <v>deeployer</v>
      </c>
      <c r="B3620" s="2" t="str">
        <f ca="1">IFERROR(__xludf.DUMMYFUNCTION("""COMPUTED_VALUE"""),"deep")</f>
        <v>deep</v>
      </c>
      <c r="C3620" s="2" t="str">
        <f ca="1">IFERROR(__xludf.DUMMYFUNCTION("""COMPUTED_VALUE"""),"Deeployer")</f>
        <v>Deeployer</v>
      </c>
    </row>
    <row r="3621" spans="1:3" x14ac:dyDescent="0.25">
      <c r="A3621" s="2" t="str">
        <f ca="1">IFERROR(__xludf.DUMMYFUNCTION("""COMPUTED_VALUE"""),"deeponion")</f>
        <v>deeponion</v>
      </c>
      <c r="B3621" s="2" t="str">
        <f ca="1">IFERROR(__xludf.DUMMYFUNCTION("""COMPUTED_VALUE"""),"onion")</f>
        <v>onion</v>
      </c>
      <c r="C3621" s="2" t="str">
        <f ca="1">IFERROR(__xludf.DUMMYFUNCTION("""COMPUTED_VALUE"""),"DeepOnion")</f>
        <v>DeepOnion</v>
      </c>
    </row>
    <row r="3622" spans="1:3" x14ac:dyDescent="0.25">
      <c r="A3622" s="2" t="str">
        <f ca="1">IFERROR(__xludf.DUMMYFUNCTION("""COMPUTED_VALUE"""),"deepr")</f>
        <v>deepr</v>
      </c>
      <c r="B3622" s="2" t="str">
        <f ca="1">IFERROR(__xludf.DUMMYFUNCTION("""COMPUTED_VALUE"""),"deepr")</f>
        <v>deepr</v>
      </c>
      <c r="C3622" s="2" t="str">
        <f ca="1">IFERROR(__xludf.DUMMYFUNCTION("""COMPUTED_VALUE"""),"DEEPR")</f>
        <v>DEEPR</v>
      </c>
    </row>
    <row r="3623" spans="1:3" x14ac:dyDescent="0.25">
      <c r="A3623" s="2" t="str">
        <f ca="1">IFERROR(__xludf.DUMMYFUNCTION("""COMPUTED_VALUE"""),"deepsouth-ai")</f>
        <v>deepsouth-ai</v>
      </c>
      <c r="B3623" s="2" t="str">
        <f ca="1">IFERROR(__xludf.DUMMYFUNCTION("""COMPUTED_VALUE"""),"south")</f>
        <v>south</v>
      </c>
      <c r="C3623" s="2" t="str">
        <f ca="1">IFERROR(__xludf.DUMMYFUNCTION("""COMPUTED_VALUE"""),"DeepSouth AI")</f>
        <v>DeepSouth AI</v>
      </c>
    </row>
    <row r="3624" spans="1:3" x14ac:dyDescent="0.25">
      <c r="A3624" s="2" t="str">
        <f ca="1">IFERROR(__xludf.DUMMYFUNCTION("""COMPUTED_VALUE"""),"deepspace")</f>
        <v>deepspace</v>
      </c>
      <c r="B3624" s="2" t="str">
        <f ca="1">IFERROR(__xludf.DUMMYFUNCTION("""COMPUTED_VALUE"""),"dps")</f>
        <v>dps</v>
      </c>
      <c r="C3624" s="2" t="str">
        <f ca="1">IFERROR(__xludf.DUMMYFUNCTION("""COMPUTED_VALUE"""),"DEEPSPACE")</f>
        <v>DEEPSPACE</v>
      </c>
    </row>
    <row r="3625" spans="1:3" x14ac:dyDescent="0.25">
      <c r="A3625" s="2" t="str">
        <f ca="1">IFERROR(__xludf.DUMMYFUNCTION("""COMPUTED_VALUE"""),"deesse")</f>
        <v>deesse</v>
      </c>
      <c r="B3625" s="2" t="str">
        <f ca="1">IFERROR(__xludf.DUMMYFUNCTION("""COMPUTED_VALUE"""),"love")</f>
        <v>love</v>
      </c>
      <c r="C3625" s="2" t="str">
        <f ca="1">IFERROR(__xludf.DUMMYFUNCTION("""COMPUTED_VALUE"""),"Deesse")</f>
        <v>Deesse</v>
      </c>
    </row>
    <row r="3626" spans="1:3" x14ac:dyDescent="0.25">
      <c r="A3626" s="2" t="str">
        <f ca="1">IFERROR(__xludf.DUMMYFUNCTION("""COMPUTED_VALUE"""),"deez-nuts-2")</f>
        <v>deez-nuts-2</v>
      </c>
      <c r="B3626" s="2" t="str">
        <f ca="1">IFERROR(__xludf.DUMMYFUNCTION("""COMPUTED_VALUE"""),"deeznuts")</f>
        <v>deeznuts</v>
      </c>
      <c r="C3626" s="2" t="str">
        <f ca="1">IFERROR(__xludf.DUMMYFUNCTION("""COMPUTED_VALUE"""),"DEEZ NUTS")</f>
        <v>DEEZ NUTS</v>
      </c>
    </row>
    <row r="3627" spans="1:3" x14ac:dyDescent="0.25">
      <c r="A3627" s="2" t="str">
        <f ca="1">IFERROR(__xludf.DUMMYFUNCTION("""COMPUTED_VALUE"""),"deez-nuts-erc404")</f>
        <v>deez-nuts-erc404</v>
      </c>
      <c r="B3627" s="2" t="str">
        <f ca="1">IFERROR(__xludf.DUMMYFUNCTION("""COMPUTED_VALUE"""),"dn")</f>
        <v>dn</v>
      </c>
      <c r="C3627" s="2" t="str">
        <f ca="1">IFERROR(__xludf.DUMMYFUNCTION("""COMPUTED_VALUE"""),"Deez Nuts (ERC404)")</f>
        <v>Deez Nuts (ERC404)</v>
      </c>
    </row>
    <row r="3628" spans="1:3" x14ac:dyDescent="0.25">
      <c r="A3628" s="2" t="str">
        <f ca="1">IFERROR(__xludf.DUMMYFUNCTION("""COMPUTED_VALUE"""),"deez-nuts-sol")</f>
        <v>deez-nuts-sol</v>
      </c>
      <c r="B3628" s="2" t="str">
        <f ca="1">IFERROR(__xludf.DUMMYFUNCTION("""COMPUTED_VALUE"""),"nuts")</f>
        <v>nuts</v>
      </c>
      <c r="C3628" s="2" t="str">
        <f ca="1">IFERROR(__xludf.DUMMYFUNCTION("""COMPUTED_VALUE"""),"Deez Nuts")</f>
        <v>Deez Nuts</v>
      </c>
    </row>
    <row r="3629" spans="1:3" x14ac:dyDescent="0.25">
      <c r="A3629" s="2" t="str">
        <f ca="1">IFERROR(__xludf.DUMMYFUNCTION("""COMPUTED_VALUE"""),"defactor")</f>
        <v>defactor</v>
      </c>
      <c r="B3629" s="2" t="str">
        <f ca="1">IFERROR(__xludf.DUMMYFUNCTION("""COMPUTED_VALUE"""),"factr")</f>
        <v>factr</v>
      </c>
      <c r="C3629" s="2" t="str">
        <f ca="1">IFERROR(__xludf.DUMMYFUNCTION("""COMPUTED_VALUE"""),"Defactor")</f>
        <v>Defactor</v>
      </c>
    </row>
    <row r="3630" spans="1:3" x14ac:dyDescent="0.25">
      <c r="A3630" s="2" t="str">
        <f ca="1">IFERROR(__xludf.DUMMYFUNCTION("""COMPUTED_VALUE"""),"defender-bot")</f>
        <v>defender-bot</v>
      </c>
      <c r="B3630" s="2" t="str">
        <f ca="1">IFERROR(__xludf.DUMMYFUNCTION("""COMPUTED_VALUE"""),"dfndr")</f>
        <v>dfndr</v>
      </c>
      <c r="C3630" s="2" t="str">
        <f ca="1">IFERROR(__xludf.DUMMYFUNCTION("""COMPUTED_VALUE"""),"Defender Bot")</f>
        <v>Defender Bot</v>
      </c>
    </row>
    <row r="3631" spans="1:3" x14ac:dyDescent="0.25">
      <c r="A3631" s="2" t="str">
        <f ca="1">IFERROR(__xludf.DUMMYFUNCTION("""COMPUTED_VALUE"""),"de-fi")</f>
        <v>de-fi</v>
      </c>
      <c r="B3631" s="2" t="str">
        <f ca="1">IFERROR(__xludf.DUMMYFUNCTION("""COMPUTED_VALUE"""),"defi")</f>
        <v>defi</v>
      </c>
      <c r="C3631" s="2" t="str">
        <f ca="1">IFERROR(__xludf.DUMMYFUNCTION("""COMPUTED_VALUE"""),"DeFi")</f>
        <v>DeFi</v>
      </c>
    </row>
    <row r="3632" spans="1:3" x14ac:dyDescent="0.25">
      <c r="A3632" s="2" t="str">
        <f ca="1">IFERROR(__xludf.DUMMYFUNCTION("""COMPUTED_VALUE"""),"defi-all-odds-daogame")</f>
        <v>defi-all-odds-daogame</v>
      </c>
      <c r="B3632" s="2" t="str">
        <f ca="1">IFERROR(__xludf.DUMMYFUNCTION("""COMPUTED_VALUE"""),"daog")</f>
        <v>daog</v>
      </c>
      <c r="C3632" s="2" t="str">
        <f ca="1">IFERROR(__xludf.DUMMYFUNCTION("""COMPUTED_VALUE"""),"DAOGAME")</f>
        <v>DAOGAME</v>
      </c>
    </row>
    <row r="3633" spans="1:3" x14ac:dyDescent="0.25">
      <c r="A3633" s="2" t="str">
        <f ca="1">IFERROR(__xludf.DUMMYFUNCTION("""COMPUTED_VALUE"""),"defiato")</f>
        <v>defiato</v>
      </c>
      <c r="B3633" s="2" t="str">
        <f ca="1">IFERROR(__xludf.DUMMYFUNCTION("""COMPUTED_VALUE"""),"dfiat")</f>
        <v>dfiat</v>
      </c>
      <c r="C3633" s="2" t="str">
        <f ca="1">IFERROR(__xludf.DUMMYFUNCTION("""COMPUTED_VALUE"""),"DeFiato")</f>
        <v>DeFiato</v>
      </c>
    </row>
    <row r="3634" spans="1:3" x14ac:dyDescent="0.25">
      <c r="A3634" s="2" t="str">
        <f ca="1">IFERROR(__xludf.DUMMYFUNCTION("""COMPUTED_VALUE"""),"defibox")</f>
        <v>defibox</v>
      </c>
      <c r="B3634" s="2" t="str">
        <f ca="1">IFERROR(__xludf.DUMMYFUNCTION("""COMPUTED_VALUE"""),"box")</f>
        <v>box</v>
      </c>
      <c r="C3634" s="2" t="str">
        <f ca="1">IFERROR(__xludf.DUMMYFUNCTION("""COMPUTED_VALUE"""),"DefiBox")</f>
        <v>DefiBox</v>
      </c>
    </row>
    <row r="3635" spans="1:3" x14ac:dyDescent="0.25">
      <c r="A3635" s="2" t="str">
        <f ca="1">IFERROR(__xludf.DUMMYFUNCTION("""COMPUTED_VALUE"""),"defibox-bram")</f>
        <v>defibox-bram</v>
      </c>
      <c r="B3635" s="2" t="str">
        <f ca="1">IFERROR(__xludf.DUMMYFUNCTION("""COMPUTED_VALUE"""),"bram")</f>
        <v>bram</v>
      </c>
      <c r="C3635" s="2" t="str">
        <f ca="1">IFERROR(__xludf.DUMMYFUNCTION("""COMPUTED_VALUE"""),"Defibox bRAM")</f>
        <v>Defibox bRAM</v>
      </c>
    </row>
    <row r="3636" spans="1:3" x14ac:dyDescent="0.25">
      <c r="A3636" s="2" t="str">
        <f ca="1">IFERROR(__xludf.DUMMYFUNCTION("""COMPUTED_VALUE"""),"defichain")</f>
        <v>defichain</v>
      </c>
      <c r="B3636" s="2" t="str">
        <f ca="1">IFERROR(__xludf.DUMMYFUNCTION("""COMPUTED_VALUE"""),"dfi")</f>
        <v>dfi</v>
      </c>
      <c r="C3636" s="2" t="str">
        <f ca="1">IFERROR(__xludf.DUMMYFUNCTION("""COMPUTED_VALUE"""),"DeFiChain")</f>
        <v>DeFiChain</v>
      </c>
    </row>
    <row r="3637" spans="1:3" x14ac:dyDescent="0.25">
      <c r="A3637" s="2" t="str">
        <f ca="1">IFERROR(__xludf.DUMMYFUNCTION("""COMPUTED_VALUE"""),"deficonnect-v2")</f>
        <v>deficonnect-v2</v>
      </c>
      <c r="B3637" s="2" t="str">
        <f ca="1">IFERROR(__xludf.DUMMYFUNCTION("""COMPUTED_VALUE"""),"dfc")</f>
        <v>dfc</v>
      </c>
      <c r="C3637" s="2" t="str">
        <f ca="1">IFERROR(__xludf.DUMMYFUNCTION("""COMPUTED_VALUE"""),"DefiConnect V2")</f>
        <v>DefiConnect V2</v>
      </c>
    </row>
    <row r="3638" spans="1:3" x14ac:dyDescent="0.25">
      <c r="A3638" s="2" t="str">
        <f ca="1">IFERROR(__xludf.DUMMYFUNCTION("""COMPUTED_VALUE"""),"defido")</f>
        <v>defido</v>
      </c>
      <c r="B3638" s="2" t="str">
        <f ca="1">IFERROR(__xludf.DUMMYFUNCTION("""COMPUTED_VALUE"""),"defido")</f>
        <v>defido</v>
      </c>
      <c r="C3638" s="2" t="str">
        <f ca="1">IFERROR(__xludf.DUMMYFUNCTION("""COMPUTED_VALUE"""),"DeFido")</f>
        <v>DeFido</v>
      </c>
    </row>
    <row r="3639" spans="1:3" x14ac:dyDescent="0.25">
      <c r="A3639" s="2" t="str">
        <f ca="1">IFERROR(__xludf.DUMMYFUNCTION("""COMPUTED_VALUE"""),"defi-for-you")</f>
        <v>defi-for-you</v>
      </c>
      <c r="B3639" s="2" t="str">
        <f ca="1">IFERROR(__xludf.DUMMYFUNCTION("""COMPUTED_VALUE"""),"dfy")</f>
        <v>dfy</v>
      </c>
      <c r="C3639" s="2" t="str">
        <f ca="1">IFERROR(__xludf.DUMMYFUNCTION("""COMPUTED_VALUE"""),"Defi For You")</f>
        <v>Defi For You</v>
      </c>
    </row>
    <row r="3640" spans="1:3" x14ac:dyDescent="0.25">
      <c r="A3640" s="2" t="str">
        <f ca="1">IFERROR(__xludf.DUMMYFUNCTION("""COMPUTED_VALUE"""),"defi-franc")</f>
        <v>defi-franc</v>
      </c>
      <c r="B3640" s="2" t="str">
        <f ca="1">IFERROR(__xludf.DUMMYFUNCTION("""COMPUTED_VALUE"""),"dchf")</f>
        <v>dchf</v>
      </c>
      <c r="C3640" s="2" t="str">
        <f ca="1">IFERROR(__xludf.DUMMYFUNCTION("""COMPUTED_VALUE"""),"DeFi Franc")</f>
        <v>DeFi Franc</v>
      </c>
    </row>
    <row r="3641" spans="1:3" x14ac:dyDescent="0.25">
      <c r="A3641" s="2" t="str">
        <f ca="1">IFERROR(__xludf.DUMMYFUNCTION("""COMPUTED_VALUE"""),"defigram")</f>
        <v>defigram</v>
      </c>
      <c r="B3641" s="2" t="str">
        <f ca="1">IFERROR(__xludf.DUMMYFUNCTION("""COMPUTED_VALUE"""),"dfg")</f>
        <v>dfg</v>
      </c>
      <c r="C3641" s="2" t="str">
        <f ca="1">IFERROR(__xludf.DUMMYFUNCTION("""COMPUTED_VALUE"""),"Defigram")</f>
        <v>Defigram</v>
      </c>
    </row>
    <row r="3642" spans="1:3" x14ac:dyDescent="0.25">
      <c r="A3642" s="2" t="str">
        <f ca="1">IFERROR(__xludf.DUMMYFUNCTION("""COMPUTED_VALUE"""),"defi-hunters-dao")</f>
        <v>defi-hunters-dao</v>
      </c>
      <c r="B3642" s="2" t="str">
        <f ca="1">IFERROR(__xludf.DUMMYFUNCTION("""COMPUTED_VALUE"""),"ddao")</f>
        <v>ddao</v>
      </c>
      <c r="C3642" s="2" t="str">
        <f ca="1">IFERROR(__xludf.DUMMYFUNCTION("""COMPUTED_VALUE"""),"DDAO Hunters")</f>
        <v>DDAO Hunters</v>
      </c>
    </row>
    <row r="3643" spans="1:3" x14ac:dyDescent="0.25">
      <c r="A3643" s="2" t="str">
        <f ca="1">IFERROR(__xludf.DUMMYFUNCTION("""COMPUTED_VALUE"""),"defi-ira")</f>
        <v>defi-ira</v>
      </c>
      <c r="B3643" s="2" t="str">
        <f ca="1">IFERROR(__xludf.DUMMYFUNCTION("""COMPUTED_VALUE"""),"ira")</f>
        <v>ira</v>
      </c>
      <c r="C3643" s="2" t="str">
        <f ca="1">IFERROR(__xludf.DUMMYFUNCTION("""COMPUTED_VALUE"""),"Defi-Ira")</f>
        <v>Defi-Ira</v>
      </c>
    </row>
    <row r="3644" spans="1:3" x14ac:dyDescent="0.25">
      <c r="A3644" s="2" t="str">
        <f ca="1">IFERROR(__xludf.DUMMYFUNCTION("""COMPUTED_VALUE"""),"defi-kingdoms")</f>
        <v>defi-kingdoms</v>
      </c>
      <c r="B3644" s="2" t="str">
        <f ca="1">IFERROR(__xludf.DUMMYFUNCTION("""COMPUTED_VALUE"""),"jewel")</f>
        <v>jewel</v>
      </c>
      <c r="C3644" s="2" t="str">
        <f ca="1">IFERROR(__xludf.DUMMYFUNCTION("""COMPUTED_VALUE"""),"DeFi Kingdoms")</f>
        <v>DeFi Kingdoms</v>
      </c>
    </row>
    <row r="3645" spans="1:3" x14ac:dyDescent="0.25">
      <c r="A3645" s="2" t="str">
        <f ca="1">IFERROR(__xludf.DUMMYFUNCTION("""COMPUTED_VALUE"""),"defi-kingdoms-crystal")</f>
        <v>defi-kingdoms-crystal</v>
      </c>
      <c r="B3645" s="2" t="str">
        <f ca="1">IFERROR(__xludf.DUMMYFUNCTION("""COMPUTED_VALUE"""),"crystal")</f>
        <v>crystal</v>
      </c>
      <c r="C3645" s="2" t="str">
        <f ca="1">IFERROR(__xludf.DUMMYFUNCTION("""COMPUTED_VALUE"""),"DeFi Kingdoms Crystal")</f>
        <v>DeFi Kingdoms Crystal</v>
      </c>
    </row>
    <row r="3646" spans="1:3" x14ac:dyDescent="0.25">
      <c r="A3646" s="2" t="str">
        <f ca="1">IFERROR(__xludf.DUMMYFUNCTION("""COMPUTED_VALUE"""),"defi-land")</f>
        <v>defi-land</v>
      </c>
      <c r="B3646" s="2" t="str">
        <f ca="1">IFERROR(__xludf.DUMMYFUNCTION("""COMPUTED_VALUE"""),"dfl")</f>
        <v>dfl</v>
      </c>
      <c r="C3646" s="2" t="str">
        <f ca="1">IFERROR(__xludf.DUMMYFUNCTION("""COMPUTED_VALUE"""),"DeFi Land")</f>
        <v>DeFi Land</v>
      </c>
    </row>
    <row r="3647" spans="1:3" x14ac:dyDescent="0.25">
      <c r="A3647" s="2" t="str">
        <f ca="1">IFERROR(__xludf.DUMMYFUNCTION("""COMPUTED_VALUE"""),"defi-land-gold")</f>
        <v>defi-land-gold</v>
      </c>
      <c r="B3647" s="2" t="str">
        <f ca="1">IFERROR(__xludf.DUMMYFUNCTION("""COMPUTED_VALUE"""),"goldy")</f>
        <v>goldy</v>
      </c>
      <c r="C3647" s="2" t="str">
        <f ca="1">IFERROR(__xludf.DUMMYFUNCTION("""COMPUTED_VALUE"""),"DeFi Land Gold")</f>
        <v>DeFi Land Gold</v>
      </c>
    </row>
    <row r="3648" spans="1:3" x14ac:dyDescent="0.25">
      <c r="A3648" s="2" t="str">
        <f ca="1">IFERROR(__xludf.DUMMYFUNCTION("""COMPUTED_VALUE"""),"defi-money")</f>
        <v>defi-money</v>
      </c>
      <c r="B3648" s="2" t="str">
        <f ca="1">IFERROR(__xludf.DUMMYFUNCTION("""COMPUTED_VALUE"""),"money")</f>
        <v>money</v>
      </c>
      <c r="C3648" s="2" t="str">
        <f ca="1">IFERROR(__xludf.DUMMYFUNCTION("""COMPUTED_VALUE"""),"Defi.money")</f>
        <v>Defi.money</v>
      </c>
    </row>
    <row r="3649" spans="1:3" x14ac:dyDescent="0.25">
      <c r="A3649" s="2" t="str">
        <f ca="1">IFERROR(__xludf.DUMMYFUNCTION("""COMPUTED_VALUE"""),"defina-finance")</f>
        <v>defina-finance</v>
      </c>
      <c r="B3649" s="2" t="str">
        <f ca="1">IFERROR(__xludf.DUMMYFUNCTION("""COMPUTED_VALUE"""),"fina")</f>
        <v>fina</v>
      </c>
      <c r="C3649" s="2" t="str">
        <f ca="1">IFERROR(__xludf.DUMMYFUNCTION("""COMPUTED_VALUE"""),"Defina Finance")</f>
        <v>Defina Finance</v>
      </c>
    </row>
    <row r="3650" spans="1:3" x14ac:dyDescent="0.25">
      <c r="A3650" s="2" t="str">
        <f ca="1">IFERROR(__xludf.DUMMYFUNCTION("""COMPUTED_VALUE"""),"definder-capital")</f>
        <v>definder-capital</v>
      </c>
      <c r="B3650" s="2" t="str">
        <f ca="1">IFERROR(__xludf.DUMMYFUNCTION("""COMPUTED_VALUE"""),"dfc")</f>
        <v>dfc</v>
      </c>
      <c r="C3650" s="2" t="str">
        <f ca="1">IFERROR(__xludf.DUMMYFUNCTION("""COMPUTED_VALUE"""),"DeFinder Capital")</f>
        <v>DeFinder Capital</v>
      </c>
    </row>
    <row r="3651" spans="1:3" x14ac:dyDescent="0.25">
      <c r="A3651" s="2" t="str">
        <f ca="1">IFERROR(__xludf.DUMMYFUNCTION("""COMPUTED_VALUE"""),"define")</f>
        <v>define</v>
      </c>
      <c r="B3651" s="2" t="str">
        <f ca="1">IFERROR(__xludf.DUMMYFUNCTION("""COMPUTED_VALUE"""),"dfa")</f>
        <v>dfa</v>
      </c>
      <c r="C3651" s="2" t="str">
        <f ca="1">IFERROR(__xludf.DUMMYFUNCTION("""COMPUTED_VALUE"""),"DeFine")</f>
        <v>DeFine</v>
      </c>
    </row>
    <row r="3652" spans="1:3" x14ac:dyDescent="0.25">
      <c r="A3652" s="2" t="str">
        <f ca="1">IFERROR(__xludf.DUMMYFUNCTION("""COMPUTED_VALUE"""),"definer")</f>
        <v>definer</v>
      </c>
      <c r="B3652" s="2" t="str">
        <f ca="1">IFERROR(__xludf.DUMMYFUNCTION("""COMPUTED_VALUE"""),"fin")</f>
        <v>fin</v>
      </c>
      <c r="C3652" s="2" t="str">
        <f ca="1">IFERROR(__xludf.DUMMYFUNCTION("""COMPUTED_VALUE"""),"DeFiner")</f>
        <v>DeFiner</v>
      </c>
    </row>
    <row r="3653" spans="1:3" x14ac:dyDescent="0.25">
      <c r="A3653" s="2" t="str">
        <f ca="1">IFERROR(__xludf.DUMMYFUNCTION("""COMPUTED_VALUE"""),"definity")</f>
        <v>definity</v>
      </c>
      <c r="B3653" s="2" t="str">
        <f ca="1">IFERROR(__xludf.DUMMYFUNCTION("""COMPUTED_VALUE"""),"defx")</f>
        <v>defx</v>
      </c>
      <c r="C3653" s="2" t="str">
        <f ca="1">IFERROR(__xludf.DUMMYFUNCTION("""COMPUTED_VALUE"""),"DeFinity")</f>
        <v>DeFinity</v>
      </c>
    </row>
    <row r="3654" spans="1:3" x14ac:dyDescent="0.25">
      <c r="A3654" s="2" t="str">
        <f ca="1">IFERROR(__xludf.DUMMYFUNCTION("""COMPUTED_VALUE"""),"defino-base")</f>
        <v>defino-base</v>
      </c>
      <c r="B3654" s="2" t="str">
        <f ca="1">IFERROR(__xludf.DUMMYFUNCTION("""COMPUTED_VALUE"""),"defido")</f>
        <v>defido</v>
      </c>
      <c r="C3654" s="2" t="str">
        <f ca="1">IFERROR(__xludf.DUMMYFUNCTION("""COMPUTED_VALUE"""),"DeFido")</f>
        <v>DeFido</v>
      </c>
    </row>
    <row r="3655" spans="1:3" x14ac:dyDescent="0.25">
      <c r="A3655" s="2" t="str">
        <f ca="1">IFERROR(__xludf.DUMMYFUNCTION("""COMPUTED_VALUE"""),"defiplaza")</f>
        <v>defiplaza</v>
      </c>
      <c r="B3655" s="2" t="str">
        <f ca="1">IFERROR(__xludf.DUMMYFUNCTION("""COMPUTED_VALUE"""),"dfp2")</f>
        <v>dfp2</v>
      </c>
      <c r="C3655" s="2" t="str">
        <f ca="1">IFERROR(__xludf.DUMMYFUNCTION("""COMPUTED_VALUE"""),"DefiPlaza")</f>
        <v>DefiPlaza</v>
      </c>
    </row>
    <row r="3656" spans="1:3" x14ac:dyDescent="0.25">
      <c r="A3656" s="2" t="str">
        <f ca="1">IFERROR(__xludf.DUMMYFUNCTION("""COMPUTED_VALUE"""),"defi-pool-share")</f>
        <v>defi-pool-share</v>
      </c>
      <c r="B3656" s="2" t="str">
        <f ca="1">IFERROR(__xludf.DUMMYFUNCTION("""COMPUTED_VALUE"""),"dpst")</f>
        <v>dpst</v>
      </c>
      <c r="C3656" s="2" t="str">
        <f ca="1">IFERROR(__xludf.DUMMYFUNCTION("""COMPUTED_VALUE"""),"DeFi Pool Share")</f>
        <v>DeFi Pool Share</v>
      </c>
    </row>
    <row r="3657" spans="1:3" x14ac:dyDescent="0.25">
      <c r="A3657" s="2" t="str">
        <f ca="1">IFERROR(__xludf.DUMMYFUNCTION("""COMPUTED_VALUE"""),"defipulse-index")</f>
        <v>defipulse-index</v>
      </c>
      <c r="B3657" s="2" t="str">
        <f ca="1">IFERROR(__xludf.DUMMYFUNCTION("""COMPUTED_VALUE"""),"dpi")</f>
        <v>dpi</v>
      </c>
      <c r="C3657" s="2" t="str">
        <f ca="1">IFERROR(__xludf.DUMMYFUNCTION("""COMPUTED_VALUE"""),"DeFi Pulse Index")</f>
        <v>DeFi Pulse Index</v>
      </c>
    </row>
    <row r="3658" spans="1:3" x14ac:dyDescent="0.25">
      <c r="A3658" s="2" t="str">
        <f ca="1">IFERROR(__xludf.DUMMYFUNCTION("""COMPUTED_VALUE"""),"defi-robot")</f>
        <v>defi-robot</v>
      </c>
      <c r="B3658" s="2" t="str">
        <f ca="1">IFERROR(__xludf.DUMMYFUNCTION("""COMPUTED_VALUE"""),"drbt")</f>
        <v>drbt</v>
      </c>
      <c r="C3658" s="2" t="str">
        <f ca="1">IFERROR(__xludf.DUMMYFUNCTION("""COMPUTED_VALUE"""),"DeFi-Robot")</f>
        <v>DeFi-Robot</v>
      </c>
    </row>
    <row r="3659" spans="1:3" x14ac:dyDescent="0.25">
      <c r="A3659" s="2" t="str">
        <f ca="1">IFERROR(__xludf.DUMMYFUNCTION("""COMPUTED_VALUE"""),"defi-shopping-stake")</f>
        <v>defi-shopping-stake</v>
      </c>
      <c r="B3659" s="2" t="str">
        <f ca="1">IFERROR(__xludf.DUMMYFUNCTION("""COMPUTED_VALUE"""),"dss")</f>
        <v>dss</v>
      </c>
      <c r="C3659" s="2" t="str">
        <f ca="1">IFERROR(__xludf.DUMMYFUNCTION("""COMPUTED_VALUE"""),"Defi Shopping Stake")</f>
        <v>Defi Shopping Stake</v>
      </c>
    </row>
    <row r="3660" spans="1:3" x14ac:dyDescent="0.25">
      <c r="A3660" s="2" t="str">
        <f ca="1">IFERROR(__xludf.DUMMYFUNCTION("""COMPUTED_VALUE"""),"defispot")</f>
        <v>defispot</v>
      </c>
      <c r="B3660" s="2" t="str">
        <f ca="1">IFERROR(__xludf.DUMMYFUNCTION("""COMPUTED_VALUE"""),"spot")</f>
        <v>spot</v>
      </c>
      <c r="C3660" s="2" t="str">
        <f ca="1">IFERROR(__xludf.DUMMYFUNCTION("""COMPUTED_VALUE"""),"Defispot")</f>
        <v>Defispot</v>
      </c>
    </row>
    <row r="3661" spans="1:3" x14ac:dyDescent="0.25">
      <c r="A3661" s="2" t="str">
        <f ca="1">IFERROR(__xludf.DUMMYFUNCTION("""COMPUTED_VALUE"""),"defistarter")</f>
        <v>defistarter</v>
      </c>
      <c r="B3661" s="2" t="str">
        <f ca="1">IFERROR(__xludf.DUMMYFUNCTION("""COMPUTED_VALUE"""),"dfi")</f>
        <v>dfi</v>
      </c>
      <c r="C3661" s="2" t="str">
        <f ca="1">IFERROR(__xludf.DUMMYFUNCTION("""COMPUTED_VALUE"""),"DfiStarter")</f>
        <v>DfiStarter</v>
      </c>
    </row>
    <row r="3662" spans="1:3" x14ac:dyDescent="0.25">
      <c r="A3662" s="2" t="str">
        <f ca="1">IFERROR(__xludf.DUMMYFUNCTION("""COMPUTED_VALUE"""),"defi-stoa")</f>
        <v>defi-stoa</v>
      </c>
      <c r="B3662" s="2" t="str">
        <f ca="1">IFERROR(__xludf.DUMMYFUNCTION("""COMPUTED_VALUE"""),"sta")</f>
        <v>sta</v>
      </c>
      <c r="C3662" s="2" t="str">
        <f ca="1">IFERROR(__xludf.DUMMYFUNCTION("""COMPUTED_VALUE"""),"STOA Network")</f>
        <v>STOA Network</v>
      </c>
    </row>
    <row r="3663" spans="1:3" x14ac:dyDescent="0.25">
      <c r="A3663" s="2" t="str">
        <f ca="1">IFERROR(__xludf.DUMMYFUNCTION("""COMPUTED_VALUE"""),"defit")</f>
        <v>defit</v>
      </c>
      <c r="B3663" s="2" t="str">
        <f ca="1">IFERROR(__xludf.DUMMYFUNCTION("""COMPUTED_VALUE"""),"defit")</f>
        <v>defit</v>
      </c>
      <c r="C3663" s="2" t="str">
        <f ca="1">IFERROR(__xludf.DUMMYFUNCTION("""COMPUTED_VALUE"""),"Digital Fitness")</f>
        <v>Digital Fitness</v>
      </c>
    </row>
    <row r="3664" spans="1:3" x14ac:dyDescent="0.25">
      <c r="A3664" s="2" t="str">
        <f ca="1">IFERROR(__xludf.DUMMYFUNCTION("""COMPUTED_VALUE"""),"defi-warrior")</f>
        <v>defi-warrior</v>
      </c>
      <c r="B3664" s="2" t="str">
        <f ca="1">IFERROR(__xludf.DUMMYFUNCTION("""COMPUTED_VALUE"""),"fiwa")</f>
        <v>fiwa</v>
      </c>
      <c r="C3664" s="2" t="str">
        <f ca="1">IFERROR(__xludf.DUMMYFUNCTION("""COMPUTED_VALUE"""),"Defi Warrior")</f>
        <v>Defi Warrior</v>
      </c>
    </row>
    <row r="3665" spans="1:3" x14ac:dyDescent="0.25">
      <c r="A3665" s="2" t="str">
        <f ca="1">IFERROR(__xludf.DUMMYFUNCTION("""COMPUTED_VALUE"""),"defiway")</f>
        <v>defiway</v>
      </c>
      <c r="B3665" s="2" t="str">
        <f ca="1">IFERROR(__xludf.DUMMYFUNCTION("""COMPUTED_VALUE"""),"defi")</f>
        <v>defi</v>
      </c>
      <c r="C3665" s="2" t="str">
        <f ca="1">IFERROR(__xludf.DUMMYFUNCTION("""COMPUTED_VALUE"""),"Defiway")</f>
        <v>Defiway</v>
      </c>
    </row>
    <row r="3666" spans="1:3" x14ac:dyDescent="0.25">
      <c r="A3666" s="2" t="str">
        <f ca="1">IFERROR(__xludf.DUMMYFUNCTION("""COMPUTED_VALUE"""),"defi-world")</f>
        <v>defi-world</v>
      </c>
      <c r="B3666" s="2" t="str">
        <f ca="1">IFERROR(__xludf.DUMMYFUNCTION("""COMPUTED_VALUE"""),"dwc")</f>
        <v>dwc</v>
      </c>
      <c r="C3666" s="2" t="str">
        <f ca="1">IFERROR(__xludf.DUMMYFUNCTION("""COMPUTED_VALUE"""),"Defi World")</f>
        <v>Defi World</v>
      </c>
    </row>
    <row r="3667" spans="1:3" x14ac:dyDescent="0.25">
      <c r="A3667" s="2" t="str">
        <f ca="1">IFERROR(__xludf.DUMMYFUNCTION("""COMPUTED_VALUE"""),"defi-yield-protocol")</f>
        <v>defi-yield-protocol</v>
      </c>
      <c r="B3667" s="2" t="str">
        <f ca="1">IFERROR(__xludf.DUMMYFUNCTION("""COMPUTED_VALUE"""),"dyp")</f>
        <v>dyp</v>
      </c>
      <c r="C3667" s="2" t="str">
        <f ca="1">IFERROR(__xludf.DUMMYFUNCTION("""COMPUTED_VALUE"""),"Dypius [OLD]")</f>
        <v>Dypius [OLD]</v>
      </c>
    </row>
    <row r="3668" spans="1:3" x14ac:dyDescent="0.25">
      <c r="A3668" s="2" t="str">
        <f ca="1">IFERROR(__xludf.DUMMYFUNCTION("""COMPUTED_VALUE"""),"defli")</f>
        <v>defli</v>
      </c>
      <c r="B3668" s="2" t="str">
        <f ca="1">IFERROR(__xludf.DUMMYFUNCTION("""COMPUTED_VALUE"""),"fli")</f>
        <v>fli</v>
      </c>
      <c r="C3668" s="2" t="str">
        <f ca="1">IFERROR(__xludf.DUMMYFUNCTION("""COMPUTED_VALUE"""),"DEFLI")</f>
        <v>DEFLI</v>
      </c>
    </row>
    <row r="3669" spans="1:3" x14ac:dyDescent="0.25">
      <c r="A3669" s="2" t="str">
        <f ca="1">IFERROR(__xludf.DUMMYFUNCTION("""COMPUTED_VALUE"""),"defly")</f>
        <v>defly</v>
      </c>
      <c r="B3669" s="2" t="str">
        <f ca="1">IFERROR(__xludf.DUMMYFUNCTION("""COMPUTED_VALUE"""),"defly")</f>
        <v>defly</v>
      </c>
      <c r="C3669" s="2" t="str">
        <f ca="1">IFERROR(__xludf.DUMMYFUNCTION("""COMPUTED_VALUE"""),"Defly")</f>
        <v>Defly</v>
      </c>
    </row>
    <row r="3670" spans="1:3" x14ac:dyDescent="0.25">
      <c r="A3670" s="2" t="str">
        <f ca="1">IFERROR(__xludf.DUMMYFUNCTION("""COMPUTED_VALUE"""),"defrogs")</f>
        <v>defrogs</v>
      </c>
      <c r="B3670" s="2" t="str">
        <f ca="1">IFERROR(__xludf.DUMMYFUNCTION("""COMPUTED_VALUE"""),"defrogs")</f>
        <v>defrogs</v>
      </c>
      <c r="C3670" s="2" t="str">
        <f ca="1">IFERROR(__xludf.DUMMYFUNCTION("""COMPUTED_VALUE"""),"DeFrogs")</f>
        <v>DeFrogs</v>
      </c>
    </row>
    <row r="3671" spans="1:3" x14ac:dyDescent="0.25">
      <c r="A3671" s="2" t="str">
        <f ca="1">IFERROR(__xludf.DUMMYFUNCTION("""COMPUTED_VALUE"""),"defusion-staked-vic")</f>
        <v>defusion-staked-vic</v>
      </c>
      <c r="B3671" s="2" t="str">
        <f ca="1">IFERROR(__xludf.DUMMYFUNCTION("""COMPUTED_VALUE"""),"svic")</f>
        <v>svic</v>
      </c>
      <c r="C3671" s="2" t="str">
        <f ca="1">IFERROR(__xludf.DUMMYFUNCTION("""COMPUTED_VALUE"""),"deFusion Staked VIC")</f>
        <v>deFusion Staked VIC</v>
      </c>
    </row>
    <row r="3672" spans="1:3" x14ac:dyDescent="0.25">
      <c r="A3672" s="2" t="str">
        <f ca="1">IFERROR(__xludf.DUMMYFUNCTION("""COMPUTED_VALUE"""),"defy")</f>
        <v>defy</v>
      </c>
      <c r="B3672" s="2" t="str">
        <f ca="1">IFERROR(__xludf.DUMMYFUNCTION("""COMPUTED_VALUE"""),"defy")</f>
        <v>defy</v>
      </c>
      <c r="C3672" s="2" t="str">
        <f ca="1">IFERROR(__xludf.DUMMYFUNCTION("""COMPUTED_VALUE"""),"DEFY")</f>
        <v>DEFY</v>
      </c>
    </row>
    <row r="3673" spans="1:3" x14ac:dyDescent="0.25">
      <c r="A3673" s="2" t="str">
        <f ca="1">IFERROR(__xludf.DUMMYFUNCTION("""COMPUTED_VALUE"""),"dega")</f>
        <v>dega</v>
      </c>
      <c r="B3673" s="2" t="str">
        <f ca="1">IFERROR(__xludf.DUMMYFUNCTION("""COMPUTED_VALUE"""),"dega")</f>
        <v>dega</v>
      </c>
      <c r="C3673" s="2" t="str">
        <f ca="1">IFERROR(__xludf.DUMMYFUNCTION("""COMPUTED_VALUE"""),"Dega")</f>
        <v>Dega</v>
      </c>
    </row>
    <row r="3674" spans="1:3" x14ac:dyDescent="0.25">
      <c r="A3674" s="2" t="str">
        <f ca="1">IFERROR(__xludf.DUMMYFUNCTION("""COMPUTED_VALUE"""),"dega-2")</f>
        <v>dega-2</v>
      </c>
      <c r="B3674" s="2" t="str">
        <f ca="1">IFERROR(__xludf.DUMMYFUNCTION("""COMPUTED_VALUE"""),"dega")</f>
        <v>dega</v>
      </c>
      <c r="C3674" s="2" t="str">
        <f ca="1">IFERROR(__xludf.DUMMYFUNCTION("""COMPUTED_VALUE"""),"DEGA")</f>
        <v>DEGA</v>
      </c>
    </row>
    <row r="3675" spans="1:3" x14ac:dyDescent="0.25">
      <c r="A3675" s="2" t="str">
        <f ca="1">IFERROR(__xludf.DUMMYFUNCTION("""COMPUTED_VALUE"""),"degate")</f>
        <v>degate</v>
      </c>
      <c r="B3675" s="2" t="str">
        <f ca="1">IFERROR(__xludf.DUMMYFUNCTION("""COMPUTED_VALUE"""),"dg")</f>
        <v>dg</v>
      </c>
      <c r="C3675" s="2" t="str">
        <f ca="1">IFERROR(__xludf.DUMMYFUNCTION("""COMPUTED_VALUE"""),"DeGate")</f>
        <v>DeGate</v>
      </c>
    </row>
    <row r="3676" spans="1:3" x14ac:dyDescent="0.25">
      <c r="A3676" s="2" t="str">
        <f ca="1">IFERROR(__xludf.DUMMYFUNCTION("""COMPUTED_VALUE"""),"degen-2")</f>
        <v>degen-2</v>
      </c>
      <c r="B3676" s="2" t="str">
        <f ca="1">IFERROR(__xludf.DUMMYFUNCTION("""COMPUTED_VALUE"""),"d三g三n")</f>
        <v>d三g三n</v>
      </c>
      <c r="C3676" s="2" t="str">
        <f ca="1">IFERROR(__xludf.DUMMYFUNCTION("""COMPUTED_VALUE"""),"Degen")</f>
        <v>Degen</v>
      </c>
    </row>
    <row r="3677" spans="1:3" x14ac:dyDescent="0.25">
      <c r="A3677" s="2" t="str">
        <f ca="1">IFERROR(__xludf.DUMMYFUNCTION("""COMPUTED_VALUE"""),"degenads")</f>
        <v>degenads</v>
      </c>
      <c r="B3677" s="2" t="str">
        <f ca="1">IFERROR(__xludf.DUMMYFUNCTION("""COMPUTED_VALUE"""),"degen")</f>
        <v>degen</v>
      </c>
      <c r="C3677" s="2" t="str">
        <f ca="1">IFERROR(__xludf.DUMMYFUNCTION("""COMPUTED_VALUE"""),"DegenAds")</f>
        <v>DegenAds</v>
      </c>
    </row>
    <row r="3678" spans="1:3" x14ac:dyDescent="0.25">
      <c r="A3678" s="2" t="str">
        <f ca="1">IFERROR(__xludf.DUMMYFUNCTION("""COMPUTED_VALUE"""),"degen-base")</f>
        <v>degen-base</v>
      </c>
      <c r="B3678" s="2" t="str">
        <f ca="1">IFERROR(__xludf.DUMMYFUNCTION("""COMPUTED_VALUE"""),"degen")</f>
        <v>degen</v>
      </c>
      <c r="C3678" s="2" t="str">
        <f ca="1">IFERROR(__xludf.DUMMYFUNCTION("""COMPUTED_VALUE"""),"Degen (Base)")</f>
        <v>Degen (Base)</v>
      </c>
    </row>
    <row r="3679" spans="1:3" x14ac:dyDescent="0.25">
      <c r="A3679" s="2" t="str">
        <f ca="1">IFERROR(__xludf.DUMMYFUNCTION("""COMPUTED_VALUE"""),"degen-base-2")</f>
        <v>degen-base-2</v>
      </c>
      <c r="B3679" s="2" t="str">
        <f ca="1">IFERROR(__xludf.DUMMYFUNCTION("""COMPUTED_VALUE"""),"$db")</f>
        <v>$db</v>
      </c>
      <c r="C3679" s="2" t="str">
        <f ca="1">IFERROR(__xludf.DUMMYFUNCTION("""COMPUTED_VALUE"""),"Degen Base")</f>
        <v>Degen Base</v>
      </c>
    </row>
    <row r="3680" spans="1:3" x14ac:dyDescent="0.25">
      <c r="A3680" s="2" t="str">
        <f ca="1">IFERROR(__xludf.DUMMYFUNCTION("""COMPUTED_VALUE"""),"degen-cet")</f>
        <v>degen-cet</v>
      </c>
      <c r="B3680" s="2" t="str">
        <f ca="1">IFERROR(__xludf.DUMMYFUNCTION("""COMPUTED_VALUE"""),"cet")</f>
        <v>cet</v>
      </c>
      <c r="C3680" s="2" t="str">
        <f ca="1">IFERROR(__xludf.DUMMYFUNCTION("""COMPUTED_VALUE"""),"Degen Cet")</f>
        <v>Degen Cet</v>
      </c>
    </row>
    <row r="3681" spans="1:3" x14ac:dyDescent="0.25">
      <c r="A3681" s="2" t="str">
        <f ca="1">IFERROR(__xludf.DUMMYFUNCTION("""COMPUTED_VALUE"""),"degen-danny")</f>
        <v>degen-danny</v>
      </c>
      <c r="B3681" s="2" t="str">
        <f ca="1">IFERROR(__xludf.DUMMYFUNCTION("""COMPUTED_VALUE"""),"danny")</f>
        <v>danny</v>
      </c>
      <c r="C3681" s="2" t="str">
        <f ca="1">IFERROR(__xludf.DUMMYFUNCTION("""COMPUTED_VALUE"""),"Degen Danny")</f>
        <v>Degen Danny</v>
      </c>
    </row>
    <row r="3682" spans="1:3" x14ac:dyDescent="0.25">
      <c r="A3682" s="2" t="str">
        <f ca="1">IFERROR(__xludf.DUMMYFUNCTION("""COMPUTED_VALUE"""),"degen-eth-staked-eth")</f>
        <v>degen-eth-staked-eth</v>
      </c>
      <c r="B3682" s="2" t="str">
        <f ca="1">IFERROR(__xludf.DUMMYFUNCTION("""COMPUTED_VALUE"""),"dgneth")</f>
        <v>dgneth</v>
      </c>
      <c r="C3682" s="2" t="str">
        <f ca="1">IFERROR(__xludf.DUMMYFUNCTION("""COMPUTED_VALUE"""),"Degen ETH Staked ETH")</f>
        <v>Degen ETH Staked ETH</v>
      </c>
    </row>
    <row r="3683" spans="1:3" x14ac:dyDescent="0.25">
      <c r="A3683" s="2" t="str">
        <f ca="1">IFERROR(__xludf.DUMMYFUNCTION("""COMPUTED_VALUE"""),"degen-food")</f>
        <v>degen-food</v>
      </c>
      <c r="B3683" s="2" t="str">
        <f ca="1">IFERROR(__xludf.DUMMYFUNCTION("""COMPUTED_VALUE"""),"degen")</f>
        <v>degen</v>
      </c>
      <c r="C3683" s="2" t="str">
        <f ca="1">IFERROR(__xludf.DUMMYFUNCTION("""COMPUTED_VALUE"""),"Degen.Food")</f>
        <v>Degen.Food</v>
      </c>
    </row>
    <row r="3684" spans="1:3" x14ac:dyDescent="0.25">
      <c r="A3684" s="2" t="str">
        <f ca="1">IFERROR(__xludf.DUMMYFUNCTION("""COMPUTED_VALUE"""),"degen-knightsofdegen")</f>
        <v>degen-knightsofdegen</v>
      </c>
      <c r="B3684" s="2" t="str">
        <f ca="1">IFERROR(__xludf.DUMMYFUNCTION("""COMPUTED_VALUE"""),"dgen")</f>
        <v>dgen</v>
      </c>
      <c r="C3684" s="2" t="str">
        <f ca="1">IFERROR(__xludf.DUMMYFUNCTION("""COMPUTED_VALUE"""),"DGEN")</f>
        <v>DGEN</v>
      </c>
    </row>
    <row r="3685" spans="1:3" x14ac:dyDescent="0.25">
      <c r="A3685" s="2" t="str">
        <f ca="1">IFERROR(__xludf.DUMMYFUNCTION("""COMPUTED_VALUE"""),"degen-kongz")</f>
        <v>degen-kongz</v>
      </c>
      <c r="B3685" s="2" t="str">
        <f ca="1">IFERROR(__xludf.DUMMYFUNCTION("""COMPUTED_VALUE"""),"kongz")</f>
        <v>kongz</v>
      </c>
      <c r="C3685" s="2" t="str">
        <f ca="1">IFERROR(__xludf.DUMMYFUNCTION("""COMPUTED_VALUE"""),"Degen KongZ")</f>
        <v>Degen KongZ</v>
      </c>
    </row>
    <row r="3686" spans="1:3" x14ac:dyDescent="0.25">
      <c r="A3686" s="2" t="str">
        <f ca="1">IFERROR(__xludf.DUMMYFUNCTION("""COMPUTED_VALUE"""),"degenmasters-ai")</f>
        <v>degenmasters-ai</v>
      </c>
      <c r="B3686" s="2" t="str">
        <f ca="1">IFERROR(__xludf.DUMMYFUNCTION("""COMPUTED_VALUE"""),"dmai")</f>
        <v>dmai</v>
      </c>
      <c r="C3686" s="2" t="str">
        <f ca="1">IFERROR(__xludf.DUMMYFUNCTION("""COMPUTED_VALUE"""),"DegenMasters AI")</f>
        <v>DegenMasters AI</v>
      </c>
    </row>
    <row r="3687" spans="1:3" x14ac:dyDescent="0.25">
      <c r="A3687" s="2" t="str">
        <f ca="1">IFERROR(__xludf.DUMMYFUNCTION("""COMPUTED_VALUE"""),"degenpad")</f>
        <v>degenpad</v>
      </c>
      <c r="B3687" s="2" t="str">
        <f ca="1">IFERROR(__xludf.DUMMYFUNCTION("""COMPUTED_VALUE"""),"dpad")</f>
        <v>dpad</v>
      </c>
      <c r="C3687" s="2" t="str">
        <f ca="1">IFERROR(__xludf.DUMMYFUNCTION("""COMPUTED_VALUE"""),"DegenPad")</f>
        <v>DegenPad</v>
      </c>
    </row>
    <row r="3688" spans="1:3" x14ac:dyDescent="0.25">
      <c r="A3688" s="2" t="str">
        <f ca="1">IFERROR(__xludf.DUMMYFUNCTION("""COMPUTED_VALUE"""),"degen-pov")</f>
        <v>degen-pov</v>
      </c>
      <c r="B3688" s="2" t="str">
        <f ca="1">IFERROR(__xludf.DUMMYFUNCTION("""COMPUTED_VALUE"""),"pov")</f>
        <v>pov</v>
      </c>
      <c r="C3688" s="2" t="str">
        <f ca="1">IFERROR(__xludf.DUMMYFUNCTION("""COMPUTED_VALUE"""),"Degen POV [OLD]")</f>
        <v>Degen POV [OLD]</v>
      </c>
    </row>
    <row r="3689" spans="1:3" x14ac:dyDescent="0.25">
      <c r="A3689" s="2" t="str">
        <f ca="1">IFERROR(__xludf.DUMMYFUNCTION("""COMPUTED_VALUE"""),"degen-pov-2")</f>
        <v>degen-pov-2</v>
      </c>
      <c r="B3689" s="2" t="str">
        <f ca="1">IFERROR(__xludf.DUMMYFUNCTION("""COMPUTED_VALUE"""),"pov")</f>
        <v>pov</v>
      </c>
      <c r="C3689" s="2" t="str">
        <f ca="1">IFERROR(__xludf.DUMMYFUNCTION("""COMPUTED_VALUE"""),"Degen POV")</f>
        <v>Degen POV</v>
      </c>
    </row>
    <row r="3690" spans="1:3" x14ac:dyDescent="0.25">
      <c r="A3690" s="2" t="str">
        <f ca="1">IFERROR(__xludf.DUMMYFUNCTION("""COMPUTED_VALUE"""),"degenreborn")</f>
        <v>degenreborn</v>
      </c>
      <c r="B3690" s="2" t="str">
        <f ca="1">IFERROR(__xludf.DUMMYFUNCTION("""COMPUTED_VALUE"""),"degen")</f>
        <v>degen</v>
      </c>
      <c r="C3690" s="2" t="str">
        <f ca="1">IFERROR(__xludf.DUMMYFUNCTION("""COMPUTED_VALUE"""),"DegenReborn")</f>
        <v>DegenReborn</v>
      </c>
    </row>
    <row r="3691" spans="1:3" x14ac:dyDescent="0.25">
      <c r="A3691" s="2" t="str">
        <f ca="1">IFERROR(__xludf.DUMMYFUNCTION("""COMPUTED_VALUE"""),"degenstogether")</f>
        <v>degenstogether</v>
      </c>
      <c r="B3691" s="2" t="str">
        <f ca="1">IFERROR(__xludf.DUMMYFUNCTION("""COMPUTED_VALUE"""),"degen")</f>
        <v>degen</v>
      </c>
      <c r="C3691" s="2" t="str">
        <f ca="1">IFERROR(__xludf.DUMMYFUNCTION("""COMPUTED_VALUE"""),"DegensTogether")</f>
        <v>DegensTogether</v>
      </c>
    </row>
    <row r="3692" spans="1:3" x14ac:dyDescent="0.25">
      <c r="A3692" s="2" t="str">
        <f ca="1">IFERROR(__xludf.DUMMYFUNCTION("""COMPUTED_VALUE"""),"degenswap")</f>
        <v>degenswap</v>
      </c>
      <c r="B3692" s="2" t="str">
        <f ca="1">IFERROR(__xludf.DUMMYFUNCTION("""COMPUTED_VALUE"""),"dswap")</f>
        <v>dswap</v>
      </c>
      <c r="C3692" s="2" t="str">
        <f ca="1">IFERROR(__xludf.DUMMYFUNCTION("""COMPUTED_VALUE"""),"DegenSwap")</f>
        <v>DegenSwap</v>
      </c>
    </row>
    <row r="3693" spans="1:3" x14ac:dyDescent="0.25">
      <c r="A3693" s="2" t="str">
        <f ca="1">IFERROR(__xludf.DUMMYFUNCTION("""COMPUTED_VALUE"""),"degen-the-otter")</f>
        <v>degen-the-otter</v>
      </c>
      <c r="B3693" s="2" t="str">
        <f ca="1">IFERROR(__xludf.DUMMYFUNCTION("""COMPUTED_VALUE"""),"degen")</f>
        <v>degen</v>
      </c>
      <c r="C3693" s="2" t="str">
        <f ca="1">IFERROR(__xludf.DUMMYFUNCTION("""COMPUTED_VALUE"""),"degen the otter")</f>
        <v>degen the otter</v>
      </c>
    </row>
    <row r="3694" spans="1:3" x14ac:dyDescent="0.25">
      <c r="A3694" s="2" t="str">
        <f ca="1">IFERROR(__xludf.DUMMYFUNCTION("""COMPUTED_VALUE"""),"degen-traded-fund")</f>
        <v>degen-traded-fund</v>
      </c>
      <c r="B3694" s="2" t="str">
        <f ca="1">IFERROR(__xludf.DUMMYFUNCTION("""COMPUTED_VALUE"""),"dtf")</f>
        <v>dtf</v>
      </c>
      <c r="C3694" s="2" t="str">
        <f ca="1">IFERROR(__xludf.DUMMYFUNCTION("""COMPUTED_VALUE"""),"Degen Traded Fund")</f>
        <v>Degen Traded Fund</v>
      </c>
    </row>
    <row r="3695" spans="1:3" x14ac:dyDescent="0.25">
      <c r="A3695" s="2" t="str">
        <f ca="1">IFERROR(__xludf.DUMMYFUNCTION("""COMPUTED_VALUE"""),"degenwin")</f>
        <v>degenwin</v>
      </c>
      <c r="B3695" s="2" t="str">
        <f ca="1">IFERROR(__xludf.DUMMYFUNCTION("""COMPUTED_VALUE"""),"dgw")</f>
        <v>dgw</v>
      </c>
      <c r="C3695" s="2" t="str">
        <f ca="1">IFERROR(__xludf.DUMMYFUNCTION("""COMPUTED_VALUE"""),"DegenWin")</f>
        <v>DegenWin</v>
      </c>
    </row>
    <row r="3696" spans="1:3" x14ac:dyDescent="0.25">
      <c r="A3696" s="2" t="str">
        <f ca="1">IFERROR(__xludf.DUMMYFUNCTION("""COMPUTED_VALUE"""),"degenx")</f>
        <v>degenx</v>
      </c>
      <c r="B3696" s="2" t="str">
        <f ca="1">IFERROR(__xludf.DUMMYFUNCTION("""COMPUTED_VALUE"""),"dgnx")</f>
        <v>dgnx</v>
      </c>
      <c r="C3696" s="2" t="str">
        <f ca="1">IFERROR(__xludf.DUMMYFUNCTION("""COMPUTED_VALUE"""),"DegenX")</f>
        <v>DegenX</v>
      </c>
    </row>
    <row r="3697" spans="1:3" x14ac:dyDescent="0.25">
      <c r="A3697" s="2" t="str">
        <f ca="1">IFERROR(__xludf.DUMMYFUNCTION("""COMPUTED_VALUE"""),"degen-zoo")</f>
        <v>degen-zoo</v>
      </c>
      <c r="B3697" s="2" t="str">
        <f ca="1">IFERROR(__xludf.DUMMYFUNCTION("""COMPUTED_VALUE"""),"dzoo")</f>
        <v>dzoo</v>
      </c>
      <c r="C3697" s="2" t="str">
        <f ca="1">IFERROR(__xludf.DUMMYFUNCTION("""COMPUTED_VALUE"""),"Degen Zoo")</f>
        <v>Degen Zoo</v>
      </c>
    </row>
    <row r="3698" spans="1:3" x14ac:dyDescent="0.25">
      <c r="A3698" s="2" t="str">
        <f ca="1">IFERROR(__xludf.DUMMYFUNCTION("""COMPUTED_VALUE"""),"degis")</f>
        <v>degis</v>
      </c>
      <c r="B3698" s="2" t="str">
        <f ca="1">IFERROR(__xludf.DUMMYFUNCTION("""COMPUTED_VALUE"""),"deg")</f>
        <v>deg</v>
      </c>
      <c r="C3698" s="2" t="str">
        <f ca="1">IFERROR(__xludf.DUMMYFUNCTION("""COMPUTED_VALUE"""),"Degis")</f>
        <v>Degis</v>
      </c>
    </row>
    <row r="3699" spans="1:3" x14ac:dyDescent="0.25">
      <c r="A3699" s="2" t="str">
        <f ca="1">IFERROR(__xludf.DUMMYFUNCTION("""COMPUTED_VALUE"""),"degod")</f>
        <v>degod</v>
      </c>
      <c r="B3699" s="2" t="str">
        <f ca="1">IFERROR(__xludf.DUMMYFUNCTION("""COMPUTED_VALUE"""),"degod")</f>
        <v>degod</v>
      </c>
      <c r="C3699" s="2" t="str">
        <f ca="1">IFERROR(__xludf.DUMMYFUNCTION("""COMPUTED_VALUE"""),"degod")</f>
        <v>degod</v>
      </c>
    </row>
    <row r="3700" spans="1:3" x14ac:dyDescent="0.25">
      <c r="A3700" s="2" t="str">
        <f ca="1">IFERROR(__xludf.DUMMYFUNCTION("""COMPUTED_VALUE"""),"dego-finance")</f>
        <v>dego-finance</v>
      </c>
      <c r="B3700" s="2" t="str">
        <f ca="1">IFERROR(__xludf.DUMMYFUNCTION("""COMPUTED_VALUE"""),"dego")</f>
        <v>dego</v>
      </c>
      <c r="C3700" s="2" t="str">
        <f ca="1">IFERROR(__xludf.DUMMYFUNCTION("""COMPUTED_VALUE"""),"Dego Finance")</f>
        <v>Dego Finance</v>
      </c>
    </row>
    <row r="3701" spans="1:3" x14ac:dyDescent="0.25">
      <c r="A3701" s="2" t="str">
        <f ca="1">IFERROR(__xludf.DUMMYFUNCTION("""COMPUTED_VALUE"""),"degree-crypto-token")</f>
        <v>degree-crypto-token</v>
      </c>
      <c r="B3701" s="2" t="str">
        <f ca="1">IFERROR(__xludf.DUMMYFUNCTION("""COMPUTED_VALUE"""),"dct")</f>
        <v>dct</v>
      </c>
      <c r="C3701" s="2" t="str">
        <f ca="1">IFERROR(__xludf.DUMMYFUNCTION("""COMPUTED_VALUE"""),"Degree Crypto")</f>
        <v>Degree Crypto</v>
      </c>
    </row>
    <row r="3702" spans="1:3" x14ac:dyDescent="0.25">
      <c r="A3702" s="2" t="str">
        <f ca="1">IFERROR(__xludf.DUMMYFUNCTION("""COMPUTED_VALUE"""),"degwefhat")</f>
        <v>degwefhat</v>
      </c>
      <c r="B3702" s="2" t="str">
        <f ca="1">IFERROR(__xludf.DUMMYFUNCTION("""COMPUTED_VALUE"""),"wef")</f>
        <v>wef</v>
      </c>
      <c r="C3702" s="2" t="str">
        <f ca="1">IFERROR(__xludf.DUMMYFUNCTION("""COMPUTED_VALUE"""),"degwefhat")</f>
        <v>degwefhat</v>
      </c>
    </row>
    <row r="3703" spans="1:3" x14ac:dyDescent="0.25">
      <c r="A3703" s="2" t="str">
        <f ca="1">IFERROR(__xludf.DUMMYFUNCTION("""COMPUTED_VALUE"""),"dehealth")</f>
        <v>dehealth</v>
      </c>
      <c r="B3703" s="2" t="str">
        <f ca="1">IFERROR(__xludf.DUMMYFUNCTION("""COMPUTED_VALUE"""),"dhlt")</f>
        <v>dhlt</v>
      </c>
      <c r="C3703" s="2" t="str">
        <f ca="1">IFERROR(__xludf.DUMMYFUNCTION("""COMPUTED_VALUE"""),"DeHealth")</f>
        <v>DeHealth</v>
      </c>
    </row>
    <row r="3704" spans="1:3" x14ac:dyDescent="0.25">
      <c r="A3704" s="2" t="str">
        <f ca="1">IFERROR(__xludf.DUMMYFUNCTION("""COMPUTED_VALUE"""),"dehero-community-token")</f>
        <v>dehero-community-token</v>
      </c>
      <c r="B3704" s="2" t="str">
        <f ca="1">IFERROR(__xludf.DUMMYFUNCTION("""COMPUTED_VALUE"""),"heroes")</f>
        <v>heroes</v>
      </c>
      <c r="C3704" s="2" t="str">
        <f ca="1">IFERROR(__xludf.DUMMYFUNCTION("""COMPUTED_VALUE"""),"Dehero Community")</f>
        <v>Dehero Community</v>
      </c>
    </row>
    <row r="3705" spans="1:3" x14ac:dyDescent="0.25">
      <c r="A3705" s="2" t="str">
        <f ca="1">IFERROR(__xludf.DUMMYFUNCTION("""COMPUTED_VALUE"""),"deherogame-amazing-token")</f>
        <v>deherogame-amazing-token</v>
      </c>
      <c r="B3705" s="2" t="str">
        <f ca="1">IFERROR(__xludf.DUMMYFUNCTION("""COMPUTED_VALUE"""),"amg")</f>
        <v>amg</v>
      </c>
      <c r="C3705" s="2" t="str">
        <f ca="1">IFERROR(__xludf.DUMMYFUNCTION("""COMPUTED_VALUE"""),"DeHeroGame Amazing Token")</f>
        <v>DeHeroGame Amazing Token</v>
      </c>
    </row>
    <row r="3706" spans="1:3" x14ac:dyDescent="0.25">
      <c r="A3706" s="2" t="str">
        <f ca="1">IFERROR(__xludf.DUMMYFUNCTION("""COMPUTED_VALUE"""),"dehive")</f>
        <v>dehive</v>
      </c>
      <c r="B3706" s="2" t="str">
        <f ca="1">IFERROR(__xludf.DUMMYFUNCTION("""COMPUTED_VALUE"""),"dhv")</f>
        <v>dhv</v>
      </c>
      <c r="C3706" s="2" t="str">
        <f ca="1">IFERROR(__xludf.DUMMYFUNCTION("""COMPUTED_VALUE"""),"DeHive")</f>
        <v>DeHive</v>
      </c>
    </row>
    <row r="3707" spans="1:3" x14ac:dyDescent="0.25">
      <c r="A3707" s="2" t="str">
        <f ca="1">IFERROR(__xludf.DUMMYFUNCTION("""COMPUTED_VALUE"""),"dehorizon")</f>
        <v>dehorizon</v>
      </c>
      <c r="B3707" s="2" t="str">
        <f ca="1">IFERROR(__xludf.DUMMYFUNCTION("""COMPUTED_VALUE"""),"devt")</f>
        <v>devt</v>
      </c>
      <c r="C3707" s="2" t="str">
        <f ca="1">IFERROR(__xludf.DUMMYFUNCTION("""COMPUTED_VALUE"""),"DeHorizon")</f>
        <v>DeHorizon</v>
      </c>
    </row>
    <row r="3708" spans="1:3" x14ac:dyDescent="0.25">
      <c r="A3708" s="2" t="str">
        <f ca="1">IFERROR(__xludf.DUMMYFUNCTION("""COMPUTED_VALUE"""),"dehub")</f>
        <v>dehub</v>
      </c>
      <c r="B3708" s="2" t="str">
        <f ca="1">IFERROR(__xludf.DUMMYFUNCTION("""COMPUTED_VALUE"""),"dhb")</f>
        <v>dhb</v>
      </c>
      <c r="C3708" s="2" t="str">
        <f ca="1">IFERROR(__xludf.DUMMYFUNCTION("""COMPUTED_VALUE"""),"DeHub")</f>
        <v>DeHub</v>
      </c>
    </row>
    <row r="3709" spans="1:3" x14ac:dyDescent="0.25">
      <c r="A3709" s="2" t="str">
        <f ca="1">IFERROR(__xludf.DUMMYFUNCTION("""COMPUTED_VALUE"""),"dejitaru-hoshi")</f>
        <v>dejitaru-hoshi</v>
      </c>
      <c r="B3709" s="2" t="str">
        <f ca="1">IFERROR(__xludf.DUMMYFUNCTION("""COMPUTED_VALUE"""),"hoshi")</f>
        <v>hoshi</v>
      </c>
      <c r="C3709" s="2" t="str">
        <f ca="1">IFERROR(__xludf.DUMMYFUNCTION("""COMPUTED_VALUE"""),"Dejitaru Hoshi")</f>
        <v>Dejitaru Hoshi</v>
      </c>
    </row>
    <row r="3710" spans="1:3" x14ac:dyDescent="0.25">
      <c r="A3710" s="2" t="str">
        <f ca="1">IFERROR(__xludf.DUMMYFUNCTION("""COMPUTED_VALUE"""),"dejitaru-shirudo")</f>
        <v>dejitaru-shirudo</v>
      </c>
      <c r="B3710" s="2" t="str">
        <f ca="1">IFERROR(__xludf.DUMMYFUNCTION("""COMPUTED_VALUE"""),"shield")</f>
        <v>shield</v>
      </c>
      <c r="C3710" s="2" t="str">
        <f ca="1">IFERROR(__xludf.DUMMYFUNCTION("""COMPUTED_VALUE"""),"Dejitaru Shirudo")</f>
        <v>Dejitaru Shirudo</v>
      </c>
    </row>
    <row r="3711" spans="1:3" x14ac:dyDescent="0.25">
      <c r="A3711" s="2" t="str">
        <f ca="1">IFERROR(__xludf.DUMMYFUNCTION("""COMPUTED_VALUE"""),"dejitaru-tsuka")</f>
        <v>dejitaru-tsuka</v>
      </c>
      <c r="B3711" s="2" t="str">
        <f ca="1">IFERROR(__xludf.DUMMYFUNCTION("""COMPUTED_VALUE"""),"tsuka")</f>
        <v>tsuka</v>
      </c>
      <c r="C3711" s="2" t="str">
        <f ca="1">IFERROR(__xludf.DUMMYFUNCTION("""COMPUTED_VALUE"""),"Dejitaru Tsuka")</f>
        <v>Dejitaru Tsuka</v>
      </c>
    </row>
    <row r="3712" spans="1:3" x14ac:dyDescent="0.25">
      <c r="A3712" s="2" t="str">
        <f ca="1">IFERROR(__xludf.DUMMYFUNCTION("""COMPUTED_VALUE"""),"dekbox")</f>
        <v>dekbox</v>
      </c>
      <c r="B3712" s="2" t="str">
        <f ca="1">IFERROR(__xludf.DUMMYFUNCTION("""COMPUTED_VALUE"""),"dek")</f>
        <v>dek</v>
      </c>
      <c r="C3712" s="2" t="str">
        <f ca="1">IFERROR(__xludf.DUMMYFUNCTION("""COMPUTED_VALUE"""),"DekBox")</f>
        <v>DekBox</v>
      </c>
    </row>
    <row r="3713" spans="1:3" x14ac:dyDescent="0.25">
      <c r="A3713" s="2" t="str">
        <f ca="1">IFERROR(__xludf.DUMMYFUNCTION("""COMPUTED_VALUE"""),"de-layer")</f>
        <v>de-layer</v>
      </c>
      <c r="B3713" s="2" t="str">
        <f ca="1">IFERROR(__xludf.DUMMYFUNCTION("""COMPUTED_VALUE"""),"deai")</f>
        <v>deai</v>
      </c>
      <c r="C3713" s="2" t="str">
        <f ca="1">IFERROR(__xludf.DUMMYFUNCTION("""COMPUTED_VALUE"""),"De Layer")</f>
        <v>De Layer</v>
      </c>
    </row>
    <row r="3714" spans="1:3" x14ac:dyDescent="0.25">
      <c r="A3714" s="2" t="str">
        <f ca="1">IFERROR(__xludf.DUMMYFUNCTION("""COMPUTED_VALUE"""),"delphibets")</f>
        <v>delphibets</v>
      </c>
      <c r="B3714" s="2" t="str">
        <f ca="1">IFERROR(__xludf.DUMMYFUNCTION("""COMPUTED_VALUE"""),"dph")</f>
        <v>dph</v>
      </c>
      <c r="C3714" s="2" t="str">
        <f ca="1">IFERROR(__xludf.DUMMYFUNCTION("""COMPUTED_VALUE"""),"DELPHIBETS")</f>
        <v>DELPHIBETS</v>
      </c>
    </row>
    <row r="3715" spans="1:3" x14ac:dyDescent="0.25">
      <c r="A3715" s="2" t="str">
        <f ca="1">IFERROR(__xludf.DUMMYFUNCTION("""COMPUTED_VALUE"""),"delphy")</f>
        <v>delphy</v>
      </c>
      <c r="B3715" s="2" t="str">
        <f ca="1">IFERROR(__xludf.DUMMYFUNCTION("""COMPUTED_VALUE"""),"dpy")</f>
        <v>dpy</v>
      </c>
      <c r="C3715" s="2" t="str">
        <f ca="1">IFERROR(__xludf.DUMMYFUNCTION("""COMPUTED_VALUE"""),"Delphy")</f>
        <v>Delphy</v>
      </c>
    </row>
    <row r="3716" spans="1:3" x14ac:dyDescent="0.25">
      <c r="A3716" s="2" t="str">
        <f ca="1">IFERROR(__xludf.DUMMYFUNCTION("""COMPUTED_VALUE"""),"delrey-inu")</f>
        <v>delrey-inu</v>
      </c>
      <c r="B3716" s="2" t="str">
        <f ca="1">IFERROR(__xludf.DUMMYFUNCTION("""COMPUTED_VALUE"""),"delrey")</f>
        <v>delrey</v>
      </c>
      <c r="C3716" s="2" t="str">
        <f ca="1">IFERROR(__xludf.DUMMYFUNCTION("""COMPUTED_VALUE"""),"Delrey Inu")</f>
        <v>Delrey Inu</v>
      </c>
    </row>
    <row r="3717" spans="1:3" x14ac:dyDescent="0.25">
      <c r="A3717" s="2" t="str">
        <f ca="1">IFERROR(__xludf.DUMMYFUNCTION("""COMPUTED_VALUE"""),"delta-exchange-token")</f>
        <v>delta-exchange-token</v>
      </c>
      <c r="B3717" s="2" t="str">
        <f ca="1">IFERROR(__xludf.DUMMYFUNCTION("""COMPUTED_VALUE"""),"deto")</f>
        <v>deto</v>
      </c>
      <c r="C3717" s="2" t="str">
        <f ca="1">IFERROR(__xludf.DUMMYFUNCTION("""COMPUTED_VALUE"""),"Delta Exchange")</f>
        <v>Delta Exchange</v>
      </c>
    </row>
    <row r="3718" spans="1:3" x14ac:dyDescent="0.25">
      <c r="A3718" s="2" t="str">
        <f ca="1">IFERROR(__xludf.DUMMYFUNCTION("""COMPUTED_VALUE"""),"delta-financial")</f>
        <v>delta-financial</v>
      </c>
      <c r="B3718" s="2" t="str">
        <f ca="1">IFERROR(__xludf.DUMMYFUNCTION("""COMPUTED_VALUE"""),"delta")</f>
        <v>delta</v>
      </c>
      <c r="C3718" s="2" t="str">
        <f ca="1">IFERROR(__xludf.DUMMYFUNCTION("""COMPUTED_VALUE"""),"Delta Financial")</f>
        <v>Delta Financial</v>
      </c>
    </row>
    <row r="3719" spans="1:3" x14ac:dyDescent="0.25">
      <c r="A3719" s="2" t="str">
        <f ca="1">IFERROR(__xludf.DUMMYFUNCTION("""COMPUTED_VALUE"""),"delta-theta")</f>
        <v>delta-theta</v>
      </c>
      <c r="B3719" s="2" t="str">
        <f ca="1">IFERROR(__xludf.DUMMYFUNCTION("""COMPUTED_VALUE"""),"dlta")</f>
        <v>dlta</v>
      </c>
      <c r="C3719" s="2" t="str">
        <f ca="1">IFERROR(__xludf.DUMMYFUNCTION("""COMPUTED_VALUE"""),"delta.theta")</f>
        <v>delta.theta</v>
      </c>
    </row>
    <row r="3720" spans="1:3" x14ac:dyDescent="0.25">
      <c r="A3720" s="2" t="str">
        <f ca="1">IFERROR(__xludf.DUMMYFUNCTION("""COMPUTED_VALUE"""),"delysium")</f>
        <v>delysium</v>
      </c>
      <c r="B3720" s="2" t="str">
        <f ca="1">IFERROR(__xludf.DUMMYFUNCTION("""COMPUTED_VALUE"""),"agi")</f>
        <v>agi</v>
      </c>
      <c r="C3720" s="2" t="str">
        <f ca="1">IFERROR(__xludf.DUMMYFUNCTION("""COMPUTED_VALUE"""),"Delysium")</f>
        <v>Delysium</v>
      </c>
    </row>
    <row r="3721" spans="1:3" x14ac:dyDescent="0.25">
      <c r="A3721" s="2" t="str">
        <f ca="1">IFERROR(__xludf.DUMMYFUNCTION("""COMPUTED_VALUE"""),"demeter")</f>
        <v>demeter</v>
      </c>
      <c r="B3721" s="2" t="str">
        <f ca="1">IFERROR(__xludf.DUMMYFUNCTION("""COMPUTED_VALUE"""),"deo")</f>
        <v>deo</v>
      </c>
      <c r="C3721" s="2" t="str">
        <f ca="1">IFERROR(__xludf.DUMMYFUNCTION("""COMPUTED_VALUE"""),"Demeter")</f>
        <v>Demeter</v>
      </c>
    </row>
    <row r="3722" spans="1:3" x14ac:dyDescent="0.25">
      <c r="A3722" s="2" t="str">
        <f ca="1">IFERROR(__xludf.DUMMYFUNCTION("""COMPUTED_VALUE"""),"demi")</f>
        <v>demi</v>
      </c>
      <c r="B3722" s="2" t="str">
        <f ca="1">IFERROR(__xludf.DUMMYFUNCTION("""COMPUTED_VALUE"""),"demi")</f>
        <v>demi</v>
      </c>
      <c r="C3722" s="2" t="str">
        <f ca="1">IFERROR(__xludf.DUMMYFUNCTION("""COMPUTED_VALUE"""),"DeMi")</f>
        <v>DeMi</v>
      </c>
    </row>
    <row r="3723" spans="1:3" x14ac:dyDescent="0.25">
      <c r="A3723" s="2" t="str">
        <f ca="1">IFERROR(__xludf.DUMMYFUNCTION("""COMPUTED_VALUE"""),"demiourgos-holdings-ouroboros")</f>
        <v>demiourgos-holdings-ouroboros</v>
      </c>
      <c r="B3723" s="2" t="str">
        <f ca="1">IFERROR(__xludf.DUMMYFUNCTION("""COMPUTED_VALUE"""),"ouro")</f>
        <v>ouro</v>
      </c>
      <c r="C3723" s="2" t="str">
        <f ca="1">IFERROR(__xludf.DUMMYFUNCTION("""COMPUTED_VALUE"""),"Demiourgos Holdings OUROBOROS")</f>
        <v>Demiourgos Holdings OUROBOROS</v>
      </c>
    </row>
    <row r="3724" spans="1:3" x14ac:dyDescent="0.25">
      <c r="A3724" s="2" t="str">
        <f ca="1">IFERROR(__xludf.DUMMYFUNCTION("""COMPUTED_VALUE"""),"demole")</f>
        <v>demole</v>
      </c>
      <c r="B3724" s="2" t="str">
        <f ca="1">IFERROR(__xludf.DUMMYFUNCTION("""COMPUTED_VALUE"""),"dmlg")</f>
        <v>dmlg</v>
      </c>
      <c r="C3724" s="2" t="str">
        <f ca="1">IFERROR(__xludf.DUMMYFUNCTION("""COMPUTED_VALUE"""),"Demole")</f>
        <v>Demole</v>
      </c>
    </row>
    <row r="3725" spans="1:3" x14ac:dyDescent="0.25">
      <c r="A3725" s="2" t="str">
        <f ca="1">IFERROR(__xludf.DUMMYFUNCTION("""COMPUTED_VALUE"""),"demr")</f>
        <v>demr</v>
      </c>
      <c r="B3725" s="2" t="str">
        <f ca="1">IFERROR(__xludf.DUMMYFUNCTION("""COMPUTED_VALUE"""),"dmr")</f>
        <v>dmr</v>
      </c>
      <c r="C3725" s="2" t="str">
        <f ca="1">IFERROR(__xludf.DUMMYFUNCTION("""COMPUTED_VALUE"""),"DeMR")</f>
        <v>DeMR</v>
      </c>
    </row>
    <row r="3726" spans="1:3" x14ac:dyDescent="0.25">
      <c r="A3726" s="2" t="str">
        <f ca="1">IFERROR(__xludf.DUMMYFUNCTION("""COMPUTED_VALUE"""),"demx")</f>
        <v>demx</v>
      </c>
      <c r="B3726" s="2" t="str">
        <f ca="1">IFERROR(__xludf.DUMMYFUNCTION("""COMPUTED_VALUE"""),"demx")</f>
        <v>demx</v>
      </c>
      <c r="C3726" s="2" t="str">
        <f ca="1">IFERROR(__xludf.DUMMYFUNCTION("""COMPUTED_VALUE"""),"DemX")</f>
        <v>DemX</v>
      </c>
    </row>
    <row r="3727" spans="1:3" x14ac:dyDescent="0.25">
      <c r="A3727" s="2" t="str">
        <f ca="1">IFERROR(__xludf.DUMMYFUNCTION("""COMPUTED_VALUE"""),"denarius")</f>
        <v>denarius</v>
      </c>
      <c r="B3727" s="2" t="str">
        <f ca="1">IFERROR(__xludf.DUMMYFUNCTION("""COMPUTED_VALUE"""),"d")</f>
        <v>d</v>
      </c>
      <c r="C3727" s="2" t="str">
        <f ca="1">IFERROR(__xludf.DUMMYFUNCTION("""COMPUTED_VALUE"""),"Denarius")</f>
        <v>Denarius</v>
      </c>
    </row>
    <row r="3728" spans="1:3" x14ac:dyDescent="0.25">
      <c r="A3728" s="2" t="str">
        <f ca="1">IFERROR(__xludf.DUMMYFUNCTION("""COMPUTED_VALUE"""),"denarius-mxd")</f>
        <v>denarius-mxd</v>
      </c>
      <c r="B3728" s="2" t="str">
        <f ca="1">IFERROR(__xludf.DUMMYFUNCTION("""COMPUTED_VALUE"""),"mxd")</f>
        <v>mxd</v>
      </c>
      <c r="C3728" s="2" t="str">
        <f ca="1">IFERROR(__xludf.DUMMYFUNCTION("""COMPUTED_VALUE"""),"Denarius MXD")</f>
        <v>Denarius MXD</v>
      </c>
    </row>
    <row r="3729" spans="1:3" x14ac:dyDescent="0.25">
      <c r="A3729" s="2" t="str">
        <f ca="1">IFERROR(__xludf.DUMMYFUNCTION("""COMPUTED_VALUE"""),"denchcoin")</f>
        <v>denchcoin</v>
      </c>
      <c r="B3729" s="2" t="str">
        <f ca="1">IFERROR(__xludf.DUMMYFUNCTION("""COMPUTED_VALUE"""),"dench")</f>
        <v>dench</v>
      </c>
      <c r="C3729" s="2" t="str">
        <f ca="1">IFERROR(__xludf.DUMMYFUNCTION("""COMPUTED_VALUE"""),"DENCHCOIN")</f>
        <v>DENCHCOIN</v>
      </c>
    </row>
    <row r="3730" spans="1:3" x14ac:dyDescent="0.25">
      <c r="A3730" s="2" t="str">
        <f ca="1">IFERROR(__xludf.DUMMYFUNCTION("""COMPUTED_VALUE"""),"denet-file-token")</f>
        <v>denet-file-token</v>
      </c>
      <c r="B3730" s="2" t="str">
        <f ca="1">IFERROR(__xludf.DUMMYFUNCTION("""COMPUTED_VALUE"""),"de")</f>
        <v>de</v>
      </c>
      <c r="C3730" s="2" t="str">
        <f ca="1">IFERROR(__xludf.DUMMYFUNCTION("""COMPUTED_VALUE"""),"DeNet Test Token")</f>
        <v>DeNet Test Token</v>
      </c>
    </row>
    <row r="3731" spans="1:3" x14ac:dyDescent="0.25">
      <c r="A3731" s="2" t="str">
        <f ca="1">IFERROR(__xludf.DUMMYFUNCTION("""COMPUTED_VALUE"""),"denizlispor-fan-token")</f>
        <v>denizlispor-fan-token</v>
      </c>
      <c r="B3731" s="2" t="str">
        <f ca="1">IFERROR(__xludf.DUMMYFUNCTION("""COMPUTED_VALUE"""),"dnz")</f>
        <v>dnz</v>
      </c>
      <c r="C3731" s="2" t="str">
        <f ca="1">IFERROR(__xludf.DUMMYFUNCTION("""COMPUTED_VALUE"""),"Denizlispor Fan Token")</f>
        <v>Denizlispor Fan Token</v>
      </c>
    </row>
    <row r="3732" spans="1:3" x14ac:dyDescent="0.25">
      <c r="A3732" s="2" t="str">
        <f ca="1">IFERROR(__xludf.DUMMYFUNCTION("""COMPUTED_VALUE"""),"dent")</f>
        <v>dent</v>
      </c>
      <c r="B3732" s="2" t="str">
        <f ca="1">IFERROR(__xludf.DUMMYFUNCTION("""COMPUTED_VALUE"""),"dent")</f>
        <v>dent</v>
      </c>
      <c r="C3732" s="2" t="str">
        <f ca="1">IFERROR(__xludf.DUMMYFUNCTION("""COMPUTED_VALUE"""),"Dent")</f>
        <v>Dent</v>
      </c>
    </row>
    <row r="3733" spans="1:3" x14ac:dyDescent="0.25">
      <c r="A3733" s="2" t="str">
        <f ca="1">IFERROR(__xludf.DUMMYFUNCTION("""COMPUTED_VALUE"""),"dentacoin")</f>
        <v>dentacoin</v>
      </c>
      <c r="B3733" s="2" t="str">
        <f ca="1">IFERROR(__xludf.DUMMYFUNCTION("""COMPUTED_VALUE"""),"dcn")</f>
        <v>dcn</v>
      </c>
      <c r="C3733" s="2" t="str">
        <f ca="1">IFERROR(__xludf.DUMMYFUNCTION("""COMPUTED_VALUE"""),"Dentacoin")</f>
        <v>Dentacoin</v>
      </c>
    </row>
    <row r="3734" spans="1:3" x14ac:dyDescent="0.25">
      <c r="A3734" s="2" t="str">
        <f ca="1">IFERROR(__xludf.DUMMYFUNCTION("""COMPUTED_VALUE"""),"dentnet")</f>
        <v>dentnet</v>
      </c>
      <c r="B3734" s="2" t="str">
        <f ca="1">IFERROR(__xludf.DUMMYFUNCTION("""COMPUTED_VALUE"""),"dentx")</f>
        <v>dentx</v>
      </c>
      <c r="C3734" s="2" t="str">
        <f ca="1">IFERROR(__xludf.DUMMYFUNCTION("""COMPUTED_VALUE"""),"DENTNet")</f>
        <v>DENTNet</v>
      </c>
    </row>
    <row r="3735" spans="1:3" x14ac:dyDescent="0.25">
      <c r="A3735" s="2" t="str">
        <f ca="1">IFERROR(__xludf.DUMMYFUNCTION("""COMPUTED_VALUE"""),"deorbit-network")</f>
        <v>deorbit-network</v>
      </c>
      <c r="B3735" s="2" t="str">
        <f ca="1">IFERROR(__xludf.DUMMYFUNCTION("""COMPUTED_VALUE"""),"deorbit")</f>
        <v>deorbit</v>
      </c>
      <c r="C3735" s="2" t="str">
        <f ca="1">IFERROR(__xludf.DUMMYFUNCTION("""COMPUTED_VALUE"""),"DeOrbit Network")</f>
        <v>DeOrbit Network</v>
      </c>
    </row>
    <row r="3736" spans="1:3" x14ac:dyDescent="0.25">
      <c r="A3736" s="2" t="str">
        <f ca="1">IFERROR(__xludf.DUMMYFUNCTION("""COMPUTED_VALUE"""),"department-of-government-efficiency")</f>
        <v>department-of-government-efficiency</v>
      </c>
      <c r="B3736" s="2" t="str">
        <f ca="1">IFERROR(__xludf.DUMMYFUNCTION("""COMPUTED_VALUE"""),"doge")</f>
        <v>doge</v>
      </c>
      <c r="C3736" s="2" t="str">
        <f ca="1">IFERROR(__xludf.DUMMYFUNCTION("""COMPUTED_VALUE"""),"Department Of Government Efficiency")</f>
        <v>Department Of Government Efficiency</v>
      </c>
    </row>
    <row r="3737" spans="1:3" x14ac:dyDescent="0.25">
      <c r="A3737" s="2" t="str">
        <f ca="1">IFERROR(__xludf.DUMMYFUNCTION("""COMPUTED_VALUE"""),"department-of-government-efficiency-2")</f>
        <v>department-of-government-efficiency-2</v>
      </c>
      <c r="B3737" s="2" t="str">
        <f ca="1">IFERROR(__xludf.DUMMYFUNCTION("""COMPUTED_VALUE"""),"doge")</f>
        <v>doge</v>
      </c>
      <c r="C3737" s="2" t="str">
        <f ca="1">IFERROR(__xludf.DUMMYFUNCTION("""COMPUTED_VALUE"""),"Department Of Government Efficiency")</f>
        <v>Department Of Government Efficiency</v>
      </c>
    </row>
    <row r="3738" spans="1:3" x14ac:dyDescent="0.25">
      <c r="A3738" s="2" t="str">
        <f ca="1">IFERROR(__xludf.DUMMYFUNCTION("""COMPUTED_VALUE"""),"department-of-government-efficiency-3")</f>
        <v>department-of-government-efficiency-3</v>
      </c>
      <c r="B3738" s="2" t="str">
        <f ca="1">IFERROR(__xludf.DUMMYFUNCTION("""COMPUTED_VALUE"""),"d.o.g.e")</f>
        <v>d.o.g.e</v>
      </c>
      <c r="C3738" s="2" t="str">
        <f ca="1">IFERROR(__xludf.DUMMYFUNCTION("""COMPUTED_VALUE"""),"Department Of Government Efficiency")</f>
        <v>Department Of Government Efficiency</v>
      </c>
    </row>
    <row r="3739" spans="1:3" x14ac:dyDescent="0.25">
      <c r="A3739" s="2" t="str">
        <f ca="1">IFERROR(__xludf.DUMMYFUNCTION("""COMPUTED_VALUE"""),"depay")</f>
        <v>depay</v>
      </c>
      <c r="B3739" s="2" t="str">
        <f ca="1">IFERROR(__xludf.DUMMYFUNCTION("""COMPUTED_VALUE"""),"depay")</f>
        <v>depay</v>
      </c>
      <c r="C3739" s="2" t="str">
        <f ca="1">IFERROR(__xludf.DUMMYFUNCTION("""COMPUTED_VALUE"""),"DePay")</f>
        <v>DePay</v>
      </c>
    </row>
    <row r="3740" spans="1:3" x14ac:dyDescent="0.25">
      <c r="A3740" s="2" t="str">
        <f ca="1">IFERROR(__xludf.DUMMYFUNCTION("""COMPUTED_VALUE"""),"depin-dao")</f>
        <v>depin-dao</v>
      </c>
      <c r="B3740" s="2" t="str">
        <f ca="1">IFERROR(__xludf.DUMMYFUNCTION("""COMPUTED_VALUE"""),"depindao")</f>
        <v>depindao</v>
      </c>
      <c r="C3740" s="2" t="str">
        <f ca="1">IFERROR(__xludf.DUMMYFUNCTION("""COMPUTED_VALUE"""),"DePIN DAO")</f>
        <v>DePIN DAO</v>
      </c>
    </row>
    <row r="3741" spans="1:3" x14ac:dyDescent="0.25">
      <c r="A3741" s="2" t="str">
        <f ca="1">IFERROR(__xludf.DUMMYFUNCTION("""COMPUTED_VALUE"""),"depindao-ordinals")</f>
        <v>depindao-ordinals</v>
      </c>
      <c r="B3741" s="2" t="str">
        <f ca="1">IFERROR(__xludf.DUMMYFUNCTION("""COMPUTED_VALUE"""),"depd")</f>
        <v>depd</v>
      </c>
      <c r="C3741" s="2" t="str">
        <f ca="1">IFERROR(__xludf.DUMMYFUNCTION("""COMPUTED_VALUE"""),"DepinDao (Ordinals)")</f>
        <v>DepinDao (Ordinals)</v>
      </c>
    </row>
    <row r="3742" spans="1:3" x14ac:dyDescent="0.25">
      <c r="A3742" s="2" t="str">
        <f ca="1">IFERROR(__xludf.DUMMYFUNCTION("""COMPUTED_VALUE"""),"deplan")</f>
        <v>deplan</v>
      </c>
      <c r="B3742" s="2" t="str">
        <f ca="1">IFERROR(__xludf.DUMMYFUNCTION("""COMPUTED_VALUE"""),"dpln")</f>
        <v>dpln</v>
      </c>
      <c r="C3742" s="2" t="str">
        <f ca="1">IFERROR(__xludf.DUMMYFUNCTION("""COMPUTED_VALUE"""),"DePlan")</f>
        <v>DePlan</v>
      </c>
    </row>
    <row r="3743" spans="1:3" x14ac:dyDescent="0.25">
      <c r="A3743" s="2" t="str">
        <f ca="1">IFERROR(__xludf.DUMMYFUNCTION("""COMPUTED_VALUE"""),"deployyyyer")</f>
        <v>deployyyyer</v>
      </c>
      <c r="B3743" s="2" t="str">
        <f ca="1">IFERROR(__xludf.DUMMYFUNCTION("""COMPUTED_VALUE"""),"deploy")</f>
        <v>deploy</v>
      </c>
      <c r="C3743" s="2" t="str">
        <f ca="1">IFERROR(__xludf.DUMMYFUNCTION("""COMPUTED_VALUE"""),"Deployyyyer")</f>
        <v>Deployyyyer</v>
      </c>
    </row>
    <row r="3744" spans="1:3" x14ac:dyDescent="0.25">
      <c r="A3744" s="2" t="str">
        <f ca="1">IFERROR(__xludf.DUMMYFUNCTION("""COMPUTED_VALUE"""),"deportivo-alaves-fan-token")</f>
        <v>deportivo-alaves-fan-token</v>
      </c>
      <c r="B3744" s="2" t="str">
        <f ca="1">IFERROR(__xludf.DUMMYFUNCTION("""COMPUTED_VALUE"""),"daft")</f>
        <v>daft</v>
      </c>
      <c r="C3744" s="2" t="str">
        <f ca="1">IFERROR(__xludf.DUMMYFUNCTION("""COMPUTED_VALUE"""),"Deportivo Alavés Fan Token")</f>
        <v>Deportivo Alavés Fan Token</v>
      </c>
    </row>
    <row r="3745" spans="1:3" x14ac:dyDescent="0.25">
      <c r="A3745" s="2" t="str">
        <f ca="1">IFERROR(__xludf.DUMMYFUNCTION("""COMPUTED_VALUE"""),"derace")</f>
        <v>derace</v>
      </c>
      <c r="B3745" s="2" t="str">
        <f ca="1">IFERROR(__xludf.DUMMYFUNCTION("""COMPUTED_VALUE"""),"zerc")</f>
        <v>zerc</v>
      </c>
      <c r="C3745" s="2" t="str">
        <f ca="1">IFERROR(__xludf.DUMMYFUNCTION("""COMPUTED_VALUE"""),"zkRace")</f>
        <v>zkRace</v>
      </c>
    </row>
    <row r="3746" spans="1:3" x14ac:dyDescent="0.25">
      <c r="A3746" s="2" t="str">
        <f ca="1">IFERROR(__xludf.DUMMYFUNCTION("""COMPUTED_VALUE"""),"derby-stars-run")</f>
        <v>derby-stars-run</v>
      </c>
      <c r="B3746" s="2" t="str">
        <f ca="1">IFERROR(__xludf.DUMMYFUNCTION("""COMPUTED_VALUE"""),"dsrun")</f>
        <v>dsrun</v>
      </c>
      <c r="C3746" s="2" t="str">
        <f ca="1">IFERROR(__xludf.DUMMYFUNCTION("""COMPUTED_VALUE"""),"Derby Stars RUN")</f>
        <v>Derby Stars RUN</v>
      </c>
    </row>
    <row r="3747" spans="1:3" x14ac:dyDescent="0.25">
      <c r="A3747" s="2" t="str">
        <f ca="1">IFERROR(__xludf.DUMMYFUNCTION("""COMPUTED_VALUE"""),"deri-protocol")</f>
        <v>deri-protocol</v>
      </c>
      <c r="B3747" s="2" t="str">
        <f ca="1">IFERROR(__xludf.DUMMYFUNCTION("""COMPUTED_VALUE"""),"deri")</f>
        <v>deri</v>
      </c>
      <c r="C3747" s="2" t="str">
        <f ca="1">IFERROR(__xludf.DUMMYFUNCTION("""COMPUTED_VALUE"""),"Deri Protocol")</f>
        <v>Deri Protocol</v>
      </c>
    </row>
    <row r="3748" spans="1:3" x14ac:dyDescent="0.25">
      <c r="A3748" s="2" t="str">
        <f ca="1">IFERROR(__xludf.DUMMYFUNCTION("""COMPUTED_VALUE"""),"derivadao")</f>
        <v>derivadao</v>
      </c>
      <c r="B3748" s="2" t="str">
        <f ca="1">IFERROR(__xludf.DUMMYFUNCTION("""COMPUTED_VALUE"""),"ddx")</f>
        <v>ddx</v>
      </c>
      <c r="C3748" s="2" t="str">
        <f ca="1">IFERROR(__xludf.DUMMYFUNCTION("""COMPUTED_VALUE"""),"DerivaDAO")</f>
        <v>DerivaDAO</v>
      </c>
    </row>
    <row r="3749" spans="1:3" x14ac:dyDescent="0.25">
      <c r="A3749" s="2" t="str">
        <f ca="1">IFERROR(__xludf.DUMMYFUNCTION("""COMPUTED_VALUE"""),"dermophis-donaldtrumpi")</f>
        <v>dermophis-donaldtrumpi</v>
      </c>
      <c r="B3749" s="2" t="str">
        <f ca="1">IFERROR(__xludf.DUMMYFUNCTION("""COMPUTED_VALUE"""),"dermo")</f>
        <v>dermo</v>
      </c>
      <c r="C3749" s="2" t="str">
        <f ca="1">IFERROR(__xludf.DUMMYFUNCTION("""COMPUTED_VALUE"""),"Dermophis Donaldtrumpi")</f>
        <v>Dermophis Donaldtrumpi</v>
      </c>
    </row>
    <row r="3750" spans="1:3" x14ac:dyDescent="0.25">
      <c r="A3750" s="2" t="str">
        <f ca="1">IFERROR(__xludf.DUMMYFUNCTION("""COMPUTED_VALUE"""),"dero")</f>
        <v>dero</v>
      </c>
      <c r="B3750" s="2" t="str">
        <f ca="1">IFERROR(__xludf.DUMMYFUNCTION("""COMPUTED_VALUE"""),"dero")</f>
        <v>dero</v>
      </c>
      <c r="C3750" s="2" t="str">
        <f ca="1">IFERROR(__xludf.DUMMYFUNCTION("""COMPUTED_VALUE"""),"Dero")</f>
        <v>Dero</v>
      </c>
    </row>
    <row r="3751" spans="1:3" x14ac:dyDescent="0.25">
      <c r="A3751" s="2" t="str">
        <f ca="1">IFERROR(__xludf.DUMMYFUNCTION("""COMPUTED_VALUE"""),"derp")</f>
        <v>derp</v>
      </c>
      <c r="B3751" s="2" t="str">
        <f ca="1">IFERROR(__xludf.DUMMYFUNCTION("""COMPUTED_VALUE"""),"derp")</f>
        <v>derp</v>
      </c>
      <c r="C3751" s="2" t="str">
        <f ca="1">IFERROR(__xludf.DUMMYFUNCTION("""COMPUTED_VALUE"""),"Derp")</f>
        <v>Derp</v>
      </c>
    </row>
    <row r="3752" spans="1:3" x14ac:dyDescent="0.25">
      <c r="A3752" s="2" t="str">
        <f ca="1">IFERROR(__xludf.DUMMYFUNCTION("""COMPUTED_VALUE"""),"derp-birds")</f>
        <v>derp-birds</v>
      </c>
      <c r="B3752" s="2" t="str">
        <f ca="1">IFERROR(__xludf.DUMMYFUNCTION("""COMPUTED_VALUE"""),"derp")</f>
        <v>derp</v>
      </c>
      <c r="C3752" s="2" t="str">
        <f ca="1">IFERROR(__xludf.DUMMYFUNCTION("""COMPUTED_VALUE"""),"Derp Birds")</f>
        <v>Derp Birds</v>
      </c>
    </row>
    <row r="3753" spans="1:3" x14ac:dyDescent="0.25">
      <c r="A3753" s="2" t="str">
        <f ca="1">IFERROR(__xludf.DUMMYFUNCTION("""COMPUTED_VALUE"""),"derp-coin")</f>
        <v>derp-coin</v>
      </c>
      <c r="B3753" s="2" t="str">
        <f ca="1">IFERROR(__xludf.DUMMYFUNCTION("""COMPUTED_VALUE"""),"derp")</f>
        <v>derp</v>
      </c>
      <c r="C3753" s="2" t="str">
        <f ca="1">IFERROR(__xludf.DUMMYFUNCTION("""COMPUTED_VALUE"""),"Derp Coin")</f>
        <v>Derp Coin</v>
      </c>
    </row>
    <row r="3754" spans="1:3" x14ac:dyDescent="0.25">
      <c r="A3754" s="2" t="str">
        <f ca="1">IFERROR(__xludf.DUMMYFUNCTION("""COMPUTED_VALUE"""),"desend-ai")</f>
        <v>desend-ai</v>
      </c>
      <c r="B3754" s="2" t="str">
        <f ca="1">IFERROR(__xludf.DUMMYFUNCTION("""COMPUTED_VALUE"""),"dsai")</f>
        <v>dsai</v>
      </c>
      <c r="C3754" s="2" t="str">
        <f ca="1">IFERROR(__xludf.DUMMYFUNCTION("""COMPUTED_VALUE"""),"DeSend Ai")</f>
        <v>DeSend Ai</v>
      </c>
    </row>
    <row r="3755" spans="1:3" x14ac:dyDescent="0.25">
      <c r="A3755" s="2" t="str">
        <f ca="1">IFERROR(__xludf.DUMMYFUNCTION("""COMPUTED_VALUE"""),"desmos")</f>
        <v>desmos</v>
      </c>
      <c r="B3755" s="2" t="str">
        <f ca="1">IFERROR(__xludf.DUMMYFUNCTION("""COMPUTED_VALUE"""),"dsm")</f>
        <v>dsm</v>
      </c>
      <c r="C3755" s="2" t="str">
        <f ca="1">IFERROR(__xludf.DUMMYFUNCTION("""COMPUTED_VALUE"""),"Desmos")</f>
        <v>Desmos</v>
      </c>
    </row>
    <row r="3756" spans="1:3" x14ac:dyDescent="0.25">
      <c r="A3756" s="2" t="str">
        <f ca="1">IFERROR(__xludf.DUMMYFUNCTION("""COMPUTED_VALUE"""),"deso")</f>
        <v>deso</v>
      </c>
      <c r="B3756" s="2" t="str">
        <f ca="1">IFERROR(__xludf.DUMMYFUNCTION("""COMPUTED_VALUE"""),"deso")</f>
        <v>deso</v>
      </c>
      <c r="C3756" s="2" t="str">
        <f ca="1">IFERROR(__xludf.DUMMYFUNCTION("""COMPUTED_VALUE"""),"Decentralized Social")</f>
        <v>Decentralized Social</v>
      </c>
    </row>
    <row r="3757" spans="1:3" x14ac:dyDescent="0.25">
      <c r="A3757" s="2" t="str">
        <f ca="1">IFERROR(__xludf.DUMMYFUNCTION("""COMPUTED_VALUE"""),"destiny-world")</f>
        <v>destiny-world</v>
      </c>
      <c r="B3757" s="2" t="str">
        <f ca="1">IFERROR(__xludf.DUMMYFUNCTION("""COMPUTED_VALUE"""),"deco")</f>
        <v>deco</v>
      </c>
      <c r="C3757" s="2" t="str">
        <f ca="1">IFERROR(__xludf.DUMMYFUNCTION("""COMPUTED_VALUE"""),"Destiny World")</f>
        <v>Destiny World</v>
      </c>
    </row>
    <row r="3758" spans="1:3" x14ac:dyDescent="0.25">
      <c r="A3758" s="2" t="str">
        <f ca="1">IFERROR(__xludf.DUMMYFUNCTION("""COMPUTED_VALUE"""),"destorage")</f>
        <v>destorage</v>
      </c>
      <c r="B3758" s="2" t="str">
        <f ca="1">IFERROR(__xludf.DUMMYFUNCTION("""COMPUTED_VALUE"""),"ds")</f>
        <v>ds</v>
      </c>
      <c r="C3758" s="2" t="str">
        <f ca="1">IFERROR(__xludf.DUMMYFUNCTION("""COMPUTED_VALUE"""),"DeStorage")</f>
        <v>DeStorage</v>
      </c>
    </row>
    <row r="3759" spans="1:3" x14ac:dyDescent="0.25">
      <c r="A3759" s="2" t="str">
        <f ca="1">IFERROR(__xludf.DUMMYFUNCTION("""COMPUTED_VALUE"""),"destra-network")</f>
        <v>destra-network</v>
      </c>
      <c r="B3759" s="2" t="str">
        <f ca="1">IFERROR(__xludf.DUMMYFUNCTION("""COMPUTED_VALUE"""),"dsync")</f>
        <v>dsync</v>
      </c>
      <c r="C3759" s="2" t="str">
        <f ca="1">IFERROR(__xludf.DUMMYFUNCTION("""COMPUTED_VALUE"""),"Destra Network")</f>
        <v>Destra Network</v>
      </c>
    </row>
    <row r="3760" spans="1:3" x14ac:dyDescent="0.25">
      <c r="A3760" s="2" t="str">
        <f ca="1">IFERROR(__xludf.DUMMYFUNCTION("""COMPUTED_VALUE"""),"detensor")</f>
        <v>detensor</v>
      </c>
      <c r="B3760" s="2" t="str">
        <f ca="1">IFERROR(__xludf.DUMMYFUNCTION("""COMPUTED_VALUE"""),"detensor")</f>
        <v>detensor</v>
      </c>
      <c r="C3760" s="2" t="str">
        <f ca="1">IFERROR(__xludf.DUMMYFUNCTION("""COMPUTED_VALUE"""),"DeTensor")</f>
        <v>DeTensor</v>
      </c>
    </row>
    <row r="3761" spans="1:3" x14ac:dyDescent="0.25">
      <c r="A3761" s="2" t="str">
        <f ca="1">IFERROR(__xludf.DUMMYFUNCTION("""COMPUTED_VALUE"""),"deton")</f>
        <v>deton</v>
      </c>
      <c r="B3761" s="2" t="str">
        <f ca="1">IFERROR(__xludf.DUMMYFUNCTION("""COMPUTED_VALUE"""),"deton")</f>
        <v>deton</v>
      </c>
      <c r="C3761" s="2" t="str">
        <f ca="1">IFERROR(__xludf.DUMMYFUNCTION("""COMPUTED_VALUE"""),"DeTon")</f>
        <v>DeTon</v>
      </c>
    </row>
    <row r="3762" spans="1:3" x14ac:dyDescent="0.25">
      <c r="A3762" s="2" t="str">
        <f ca="1">IFERROR(__xludf.DUMMYFUNCTION("""COMPUTED_VALUE"""),"deus-finance-2")</f>
        <v>deus-finance-2</v>
      </c>
      <c r="B3762" s="2" t="str">
        <f ca="1">IFERROR(__xludf.DUMMYFUNCTION("""COMPUTED_VALUE"""),"deus")</f>
        <v>deus</v>
      </c>
      <c r="C3762" s="2" t="str">
        <f ca="1">IFERROR(__xludf.DUMMYFUNCTION("""COMPUTED_VALUE"""),"DEUS Finance")</f>
        <v>DEUS Finance</v>
      </c>
    </row>
    <row r="3763" spans="1:3" x14ac:dyDescent="0.25">
      <c r="A3763" s="2" t="str">
        <f ca="1">IFERROR(__xludf.DUMMYFUNCTION("""COMPUTED_VALUE"""),"deutsche-emark")</f>
        <v>deutsche-emark</v>
      </c>
      <c r="B3763" s="2" t="str">
        <f ca="1">IFERROR(__xludf.DUMMYFUNCTION("""COMPUTED_VALUE"""),"dem")</f>
        <v>dem</v>
      </c>
      <c r="C3763" s="2" t="str">
        <f ca="1">IFERROR(__xludf.DUMMYFUNCTION("""COMPUTED_VALUE"""),"Deutsche eMark")</f>
        <v>Deutsche eMark</v>
      </c>
    </row>
    <row r="3764" spans="1:3" x14ac:dyDescent="0.25">
      <c r="A3764" s="2" t="str">
        <f ca="1">IFERROR(__xludf.DUMMYFUNCTION("""COMPUTED_VALUE"""),"devault")</f>
        <v>devault</v>
      </c>
      <c r="B3764" s="2" t="str">
        <f ca="1">IFERROR(__xludf.DUMMYFUNCTION("""COMPUTED_VALUE"""),"dvt")</f>
        <v>dvt</v>
      </c>
      <c r="C3764" s="2" t="str">
        <f ca="1">IFERROR(__xludf.DUMMYFUNCTION("""COMPUTED_VALUE"""),"DeVault")</f>
        <v>DeVault</v>
      </c>
    </row>
    <row r="3765" spans="1:3" x14ac:dyDescent="0.25">
      <c r="A3765" s="2" t="str">
        <f ca="1">IFERROR(__xludf.DUMMYFUNCTION("""COMPUTED_VALUE"""),"develocity")</f>
        <v>develocity</v>
      </c>
      <c r="B3765" s="2" t="str">
        <f ca="1">IFERROR(__xludf.DUMMYFUNCTION("""COMPUTED_VALUE"""),"deve")</f>
        <v>deve</v>
      </c>
      <c r="C3765" s="2" t="str">
        <f ca="1">IFERROR(__xludf.DUMMYFUNCTION("""COMPUTED_VALUE"""),"Develocity")</f>
        <v>Develocity</v>
      </c>
    </row>
    <row r="3766" spans="1:3" x14ac:dyDescent="0.25">
      <c r="A3766" s="2" t="str">
        <f ca="1">IFERROR(__xludf.DUMMYFUNCTION("""COMPUTED_VALUE"""),"devhub-ai")</f>
        <v>devhub-ai</v>
      </c>
      <c r="B3766" s="2" t="str">
        <f ca="1">IFERROR(__xludf.DUMMYFUNCTION("""COMPUTED_VALUE"""),"dhub")</f>
        <v>dhub</v>
      </c>
      <c r="C3766" s="2" t="str">
        <f ca="1">IFERROR(__xludf.DUMMYFUNCTION("""COMPUTED_VALUE"""),"DevHub AI")</f>
        <v>DevHub AI</v>
      </c>
    </row>
    <row r="3767" spans="1:3" x14ac:dyDescent="0.25">
      <c r="A3767" s="2" t="str">
        <f ca="1">IFERROR(__xludf.DUMMYFUNCTION("""COMPUTED_VALUE"""),"devikins")</f>
        <v>devikins</v>
      </c>
      <c r="B3767" s="2" t="str">
        <f ca="1">IFERROR(__xludf.DUMMYFUNCTION("""COMPUTED_VALUE"""),"dvk")</f>
        <v>dvk</v>
      </c>
      <c r="C3767" s="2" t="str">
        <f ca="1">IFERROR(__xludf.DUMMYFUNCTION("""COMPUTED_VALUE"""),"Devikins")</f>
        <v>Devikins</v>
      </c>
    </row>
    <row r="3768" spans="1:3" x14ac:dyDescent="0.25">
      <c r="A3768" s="2" t="str">
        <f ca="1">IFERROR(__xludf.DUMMYFUNCTION("""COMPUTED_VALUE"""),"devil-finance")</f>
        <v>devil-finance</v>
      </c>
      <c r="B3768" s="2" t="str">
        <f ca="1">IFERROR(__xludf.DUMMYFUNCTION("""COMPUTED_VALUE"""),"devil")</f>
        <v>devil</v>
      </c>
      <c r="C3768" s="2" t="str">
        <f ca="1">IFERROR(__xludf.DUMMYFUNCTION("""COMPUTED_VALUE"""),"Devil Finance")</f>
        <v>Devil Finance</v>
      </c>
    </row>
    <row r="3769" spans="1:3" x14ac:dyDescent="0.25">
      <c r="A3769" s="2" t="str">
        <f ca="1">IFERROR(__xludf.DUMMYFUNCTION("""COMPUTED_VALUE"""),"devin-on-solana")</f>
        <v>devin-on-solana</v>
      </c>
      <c r="B3769" s="2" t="str">
        <f ca="1">IFERROR(__xludf.DUMMYFUNCTION("""COMPUTED_VALUE"""),"devin")</f>
        <v>devin</v>
      </c>
      <c r="C3769" s="2" t="str">
        <f ca="1">IFERROR(__xludf.DUMMYFUNCTION("""COMPUTED_VALUE"""),"Devin on Solana")</f>
        <v>Devin on Solana</v>
      </c>
    </row>
    <row r="3770" spans="1:3" x14ac:dyDescent="0.25">
      <c r="A3770" s="2" t="str">
        <f ca="1">IFERROR(__xludf.DUMMYFUNCTION("""COMPUTED_VALUE"""),"dev-is-fish")</f>
        <v>dev-is-fish</v>
      </c>
      <c r="B3770" s="2" t="str">
        <f ca="1">IFERROR(__xludf.DUMMYFUNCTION("""COMPUTED_VALUE"""),"dif")</f>
        <v>dif</v>
      </c>
      <c r="C3770" s="2" t="str">
        <f ca="1">IFERROR(__xludf.DUMMYFUNCTION("""COMPUTED_VALUE"""),"DEV IS FISH")</f>
        <v>DEV IS FISH</v>
      </c>
    </row>
    <row r="3771" spans="1:3" x14ac:dyDescent="0.25">
      <c r="A3771" s="2" t="str">
        <f ca="1">IFERROR(__xludf.DUMMYFUNCTION("""COMPUTED_VALUE"""),"devomon")</f>
        <v>devomon</v>
      </c>
      <c r="B3771" s="2" t="str">
        <f ca="1">IFERROR(__xludf.DUMMYFUNCTION("""COMPUTED_VALUE"""),"evo")</f>
        <v>evo</v>
      </c>
      <c r="C3771" s="2" t="str">
        <f ca="1">IFERROR(__xludf.DUMMYFUNCTION("""COMPUTED_VALUE"""),"Devomon")</f>
        <v>Devomon</v>
      </c>
    </row>
    <row r="3772" spans="1:3" x14ac:dyDescent="0.25">
      <c r="A3772" s="2" t="str">
        <f ca="1">IFERROR(__xludf.DUMMYFUNCTION("""COMPUTED_VALUE"""),"devour-2")</f>
        <v>devour-2</v>
      </c>
      <c r="B3772" s="2" t="str">
        <f ca="1">IFERROR(__xludf.DUMMYFUNCTION("""COMPUTED_VALUE"""),"fuelx")</f>
        <v>fuelx</v>
      </c>
      <c r="C3772" s="2" t="str">
        <f ca="1">IFERROR(__xludf.DUMMYFUNCTION("""COMPUTED_VALUE"""),"Fuel")</f>
        <v>Fuel</v>
      </c>
    </row>
    <row r="3773" spans="1:3" x14ac:dyDescent="0.25">
      <c r="A3773" s="2" t="str">
        <f ca="1">IFERROR(__xludf.DUMMYFUNCTION("""COMPUTED_VALUE"""),"dev-protocol")</f>
        <v>dev-protocol</v>
      </c>
      <c r="B3773" s="2" t="str">
        <f ca="1">IFERROR(__xludf.DUMMYFUNCTION("""COMPUTED_VALUE"""),"dev")</f>
        <v>dev</v>
      </c>
      <c r="C3773" s="2" t="str">
        <f ca="1">IFERROR(__xludf.DUMMYFUNCTION("""COMPUTED_VALUE"""),"Dev Protocol")</f>
        <v>Dev Protocol</v>
      </c>
    </row>
    <row r="3774" spans="1:3" x14ac:dyDescent="0.25">
      <c r="A3774" s="2" t="str">
        <f ca="1">IFERROR(__xludf.DUMMYFUNCTION("""COMPUTED_VALUE"""),"dev-smashed-his-keyboard")</f>
        <v>dev-smashed-his-keyboard</v>
      </c>
      <c r="B3774" s="2" t="str">
        <f ca="1">IFERROR(__xludf.DUMMYFUNCTION("""COMPUTED_VALUE"""),"hixokdkekjcjdksicndnaiaihsbznnxnxnduje")</f>
        <v>hixokdkekjcjdksicndnaiaihsbznnxnxnduje</v>
      </c>
      <c r="C3774" s="2" t="str">
        <f ca="1">IFERROR(__xludf.DUMMYFUNCTION("""COMPUTED_VALUE"""),"DEV SMASHED HIS KEYBOARD")</f>
        <v>DEV SMASHED HIS KEYBOARD</v>
      </c>
    </row>
    <row r="3775" spans="1:3" x14ac:dyDescent="0.25">
      <c r="A3775" s="2" t="str">
        <f ca="1">IFERROR(__xludf.DUMMYFUNCTION("""COMPUTED_VALUE"""),"devve")</f>
        <v>devve</v>
      </c>
      <c r="B3775" s="2" t="str">
        <f ca="1">IFERROR(__xludf.DUMMYFUNCTION("""COMPUTED_VALUE"""),"devve")</f>
        <v>devve</v>
      </c>
      <c r="C3775" s="2" t="str">
        <f ca="1">IFERROR(__xludf.DUMMYFUNCTION("""COMPUTED_VALUE"""),"DevvE")</f>
        <v>DevvE</v>
      </c>
    </row>
    <row r="3776" spans="1:3" x14ac:dyDescent="0.25">
      <c r="A3776" s="2" t="str">
        <f ca="1">IFERROR(__xludf.DUMMYFUNCTION("""COMPUTED_VALUE"""),"devvio")</f>
        <v>devvio</v>
      </c>
      <c r="B3776" s="2" t="str">
        <f ca="1">IFERROR(__xludf.DUMMYFUNCTION("""COMPUTED_VALUE"""),"devve")</f>
        <v>devve</v>
      </c>
      <c r="C3776" s="2" t="str">
        <f ca="1">IFERROR(__xludf.DUMMYFUNCTION("""COMPUTED_VALUE"""),"Devvio")</f>
        <v>Devvio</v>
      </c>
    </row>
    <row r="3777" spans="1:3" x14ac:dyDescent="0.25">
      <c r="A3777" s="2" t="str">
        <f ca="1">IFERROR(__xludf.DUMMYFUNCTION("""COMPUTED_VALUE"""),"dewn")</f>
        <v>dewn</v>
      </c>
      <c r="B3777" s="2" t="str">
        <f ca="1">IFERROR(__xludf.DUMMYFUNCTION("""COMPUTED_VALUE"""),"dewn")</f>
        <v>dewn</v>
      </c>
      <c r="C3777" s="2" t="str">
        <f ca="1">IFERROR(__xludf.DUMMYFUNCTION("""COMPUTED_VALUE"""),"Dewn")</f>
        <v>Dewn</v>
      </c>
    </row>
    <row r="3778" spans="1:3" x14ac:dyDescent="0.25">
      <c r="A3778" s="2" t="str">
        <f ca="1">IFERROR(__xludf.DUMMYFUNCTION("""COMPUTED_VALUE"""),"dewy")</f>
        <v>dewy</v>
      </c>
      <c r="B3778" s="2" t="str">
        <f ca="1">IFERROR(__xludf.DUMMYFUNCTION("""COMPUTED_VALUE"""),"dewy")</f>
        <v>dewy</v>
      </c>
      <c r="C3778" s="2" t="str">
        <f ca="1">IFERROR(__xludf.DUMMYFUNCTION("""COMPUTED_VALUE"""),"DEWY")</f>
        <v>DEWY</v>
      </c>
    </row>
    <row r="3779" spans="1:3" x14ac:dyDescent="0.25">
      <c r="A3779" s="2" t="str">
        <f ca="1">IFERROR(__xludf.DUMMYFUNCTION("""COMPUTED_VALUE"""),"dexa-coin")</f>
        <v>dexa-coin</v>
      </c>
      <c r="B3779" s="2" t="str">
        <f ca="1">IFERROR(__xludf.DUMMYFUNCTION("""COMPUTED_VALUE"""),"dexa")</f>
        <v>dexa</v>
      </c>
      <c r="C3779" s="2" t="str">
        <f ca="1">IFERROR(__xludf.DUMMYFUNCTION("""COMPUTED_VALUE"""),"DEXA COIN")</f>
        <v>DEXA COIN</v>
      </c>
    </row>
    <row r="3780" spans="1:3" x14ac:dyDescent="0.25">
      <c r="A3780" s="2" t="str">
        <f ca="1">IFERROR(__xludf.DUMMYFUNCTION("""COMPUTED_VALUE"""),"dexalot")</f>
        <v>dexalot</v>
      </c>
      <c r="B3780" s="2" t="str">
        <f ca="1">IFERROR(__xludf.DUMMYFUNCTION("""COMPUTED_VALUE"""),"alot")</f>
        <v>alot</v>
      </c>
      <c r="C3780" s="2" t="str">
        <f ca="1">IFERROR(__xludf.DUMMYFUNCTION("""COMPUTED_VALUE"""),"Dexalot")</f>
        <v>Dexalot</v>
      </c>
    </row>
    <row r="3781" spans="1:3" x14ac:dyDescent="0.25">
      <c r="A3781" s="2" t="str">
        <f ca="1">IFERROR(__xludf.DUMMYFUNCTION("""COMPUTED_VALUE"""),"dexana")</f>
        <v>dexana</v>
      </c>
      <c r="B3781" s="2" t="str">
        <f ca="1">IFERROR(__xludf.DUMMYFUNCTION("""COMPUTED_VALUE"""),"dexana")</f>
        <v>dexana</v>
      </c>
      <c r="C3781" s="2" t="str">
        <f ca="1">IFERROR(__xludf.DUMMYFUNCTION("""COMPUTED_VALUE"""),"Dexana")</f>
        <v>Dexana</v>
      </c>
    </row>
    <row r="3782" spans="1:3" x14ac:dyDescent="0.25">
      <c r="A3782" s="2" t="str">
        <f ca="1">IFERROR(__xludf.DUMMYFUNCTION("""COMPUTED_VALUE"""),"dexbet")</f>
        <v>dexbet</v>
      </c>
      <c r="B3782" s="2" t="str">
        <f ca="1">IFERROR(__xludf.DUMMYFUNCTION("""COMPUTED_VALUE"""),"dxb")</f>
        <v>dxb</v>
      </c>
      <c r="C3782" s="2" t="str">
        <f ca="1">IFERROR(__xludf.DUMMYFUNCTION("""COMPUTED_VALUE"""),"Dexbet")</f>
        <v>Dexbet</v>
      </c>
    </row>
    <row r="3783" spans="1:3" x14ac:dyDescent="0.25">
      <c r="A3783" s="2" t="str">
        <f ca="1">IFERROR(__xludf.DUMMYFUNCTION("""COMPUTED_VALUE"""),"dexcheck")</f>
        <v>dexcheck</v>
      </c>
      <c r="B3783" s="2" t="str">
        <f ca="1">IFERROR(__xludf.DUMMYFUNCTION("""COMPUTED_VALUE"""),"dck")</f>
        <v>dck</v>
      </c>
      <c r="C3783" s="2" t="str">
        <f ca="1">IFERROR(__xludf.DUMMYFUNCTION("""COMPUTED_VALUE"""),"DexCheck AI")</f>
        <v>DexCheck AI</v>
      </c>
    </row>
    <row r="3784" spans="1:3" x14ac:dyDescent="0.25">
      <c r="A3784" s="2" t="str">
        <f ca="1">IFERROR(__xludf.DUMMYFUNCTION("""COMPUTED_VALUE"""),"dexe")</f>
        <v>dexe</v>
      </c>
      <c r="B3784" s="2" t="str">
        <f ca="1">IFERROR(__xludf.DUMMYFUNCTION("""COMPUTED_VALUE"""),"dexe")</f>
        <v>dexe</v>
      </c>
      <c r="C3784" s="2" t="str">
        <f ca="1">IFERROR(__xludf.DUMMYFUNCTION("""COMPUTED_VALUE"""),"DeXe")</f>
        <v>DeXe</v>
      </c>
    </row>
    <row r="3785" spans="1:3" x14ac:dyDescent="0.25">
      <c r="A3785" s="2" t="str">
        <f ca="1">IFERROR(__xludf.DUMMYFUNCTION("""COMPUTED_VALUE"""),"dexed")</f>
        <v>dexed</v>
      </c>
      <c r="B3785" s="2" t="str">
        <f ca="1">IFERROR(__xludf.DUMMYFUNCTION("""COMPUTED_VALUE"""),"dexed")</f>
        <v>dexed</v>
      </c>
      <c r="C3785" s="2" t="str">
        <f ca="1">IFERROR(__xludf.DUMMYFUNCTION("""COMPUTED_VALUE"""),"DEXED")</f>
        <v>DEXED</v>
      </c>
    </row>
    <row r="3786" spans="1:3" x14ac:dyDescent="0.25">
      <c r="A3786" s="2" t="str">
        <f ca="1">IFERROR(__xludf.DUMMYFUNCTION("""COMPUTED_VALUE"""),"dexfi-governance")</f>
        <v>dexfi-governance</v>
      </c>
      <c r="B3786" s="2" t="str">
        <f ca="1">IFERROR(__xludf.DUMMYFUNCTION("""COMPUTED_VALUE"""),"gdex")</f>
        <v>gdex</v>
      </c>
      <c r="C3786" s="2" t="str">
        <f ca="1">IFERROR(__xludf.DUMMYFUNCTION("""COMPUTED_VALUE"""),"DexFi Governance")</f>
        <v>DexFi Governance</v>
      </c>
    </row>
    <row r="3787" spans="1:3" x14ac:dyDescent="0.25">
      <c r="A3787" s="2" t="str">
        <f ca="1">IFERROR(__xludf.DUMMYFUNCTION("""COMPUTED_VALUE"""),"dex-game")</f>
        <v>dex-game</v>
      </c>
      <c r="B3787" s="2" t="str">
        <f ca="1">IFERROR(__xludf.DUMMYFUNCTION("""COMPUTED_VALUE"""),"dxgm")</f>
        <v>dxgm</v>
      </c>
      <c r="C3787" s="2" t="str">
        <f ca="1">IFERROR(__xludf.DUMMYFUNCTION("""COMPUTED_VALUE"""),"DexGame")</f>
        <v>DexGame</v>
      </c>
    </row>
    <row r="3788" spans="1:3" x14ac:dyDescent="0.25">
      <c r="A3788" s="2" t="str">
        <f ca="1">IFERROR(__xludf.DUMMYFUNCTION("""COMPUTED_VALUE"""),"dexhunter")</f>
        <v>dexhunter</v>
      </c>
      <c r="B3788" s="2" t="str">
        <f ca="1">IFERROR(__xludf.DUMMYFUNCTION("""COMPUTED_VALUE"""),"hunt")</f>
        <v>hunt</v>
      </c>
      <c r="C3788" s="2" t="str">
        <f ca="1">IFERROR(__xludf.DUMMYFUNCTION("""COMPUTED_VALUE"""),"Dexhunter")</f>
        <v>Dexhunter</v>
      </c>
    </row>
    <row r="3789" spans="1:3" x14ac:dyDescent="0.25">
      <c r="A3789" s="2" t="str">
        <f ca="1">IFERROR(__xludf.DUMMYFUNCTION("""COMPUTED_VALUE"""),"dexioprotocol-v2")</f>
        <v>dexioprotocol-v2</v>
      </c>
      <c r="B3789" s="2" t="str">
        <f ca="1">IFERROR(__xludf.DUMMYFUNCTION("""COMPUTED_VALUE"""),"dexio")</f>
        <v>dexio</v>
      </c>
      <c r="C3789" s="2" t="str">
        <f ca="1">IFERROR(__xludf.DUMMYFUNCTION("""COMPUTED_VALUE"""),"Dexioprotocol")</f>
        <v>Dexioprotocol</v>
      </c>
    </row>
    <row r="3790" spans="1:3" x14ac:dyDescent="0.25">
      <c r="A3790" s="2" t="str">
        <f ca="1">IFERROR(__xludf.DUMMYFUNCTION("""COMPUTED_VALUE"""),"dexit-finance")</f>
        <v>dexit-finance</v>
      </c>
      <c r="B3790" s="2" t="str">
        <f ca="1">IFERROR(__xludf.DUMMYFUNCTION("""COMPUTED_VALUE"""),"dxt")</f>
        <v>dxt</v>
      </c>
      <c r="C3790" s="2" t="str">
        <f ca="1">IFERROR(__xludf.DUMMYFUNCTION("""COMPUTED_VALUE"""),"Dexit Network")</f>
        <v>Dexit Network</v>
      </c>
    </row>
    <row r="3791" spans="1:3" x14ac:dyDescent="0.25">
      <c r="A3791" s="2" t="str">
        <f ca="1">IFERROR(__xludf.DUMMYFUNCTION("""COMPUTED_VALUE"""),"dexkit")</f>
        <v>dexkit</v>
      </c>
      <c r="B3791" s="2" t="str">
        <f ca="1">IFERROR(__xludf.DUMMYFUNCTION("""COMPUTED_VALUE"""),"kit")</f>
        <v>kit</v>
      </c>
      <c r="C3791" s="2" t="str">
        <f ca="1">IFERROR(__xludf.DUMMYFUNCTION("""COMPUTED_VALUE"""),"DexKit")</f>
        <v>DexKit</v>
      </c>
    </row>
    <row r="3792" spans="1:3" x14ac:dyDescent="0.25">
      <c r="A3792" s="2" t="str">
        <f ca="1">IFERROR(__xludf.DUMMYFUNCTION("""COMPUTED_VALUE"""),"dexlab")</f>
        <v>dexlab</v>
      </c>
      <c r="B3792" s="2" t="str">
        <f ca="1">IFERROR(__xludf.DUMMYFUNCTION("""COMPUTED_VALUE"""),"dxl")</f>
        <v>dxl</v>
      </c>
      <c r="C3792" s="2" t="str">
        <f ca="1">IFERROR(__xludf.DUMMYFUNCTION("""COMPUTED_VALUE"""),"Dexlab")</f>
        <v>Dexlab</v>
      </c>
    </row>
    <row r="3793" spans="1:3" x14ac:dyDescent="0.25">
      <c r="A3793" s="2" t="str">
        <f ca="1">IFERROR(__xludf.DUMMYFUNCTION("""COMPUTED_VALUE"""),"dex-message")</f>
        <v>dex-message</v>
      </c>
      <c r="B3793" s="2" t="str">
        <f ca="1">IFERROR(__xludf.DUMMYFUNCTION("""COMPUTED_VALUE"""),"dex")</f>
        <v>dex</v>
      </c>
      <c r="C3793" s="2" t="str">
        <f ca="1">IFERROR(__xludf.DUMMYFUNCTION("""COMPUTED_VALUE"""),"DEX Message")</f>
        <v>DEX Message</v>
      </c>
    </row>
    <row r="3794" spans="1:3" x14ac:dyDescent="0.25">
      <c r="A3794" s="2" t="str">
        <f ca="1">IFERROR(__xludf.DUMMYFUNCTION("""COMPUTED_VALUE"""),"dexnet")</f>
        <v>dexnet</v>
      </c>
      <c r="B3794" s="2" t="str">
        <f ca="1">IFERROR(__xludf.DUMMYFUNCTION("""COMPUTED_VALUE"""),"dexnet")</f>
        <v>dexnet</v>
      </c>
      <c r="C3794" s="2" t="str">
        <f ca="1">IFERROR(__xludf.DUMMYFUNCTION("""COMPUTED_VALUE"""),"DexNet")</f>
        <v>DexNet</v>
      </c>
    </row>
    <row r="3795" spans="1:3" x14ac:dyDescent="0.25">
      <c r="A3795" s="2" t="str">
        <f ca="1">IFERROR(__xludf.DUMMYFUNCTION("""COMPUTED_VALUE"""),"dex-on-crypto")</f>
        <v>dex-on-crypto</v>
      </c>
      <c r="B3795" s="2" t="str">
        <f ca="1">IFERROR(__xludf.DUMMYFUNCTION("""COMPUTED_VALUE"""),"docswap")</f>
        <v>docswap</v>
      </c>
      <c r="C3795" s="2" t="str">
        <f ca="1">IFERROR(__xludf.DUMMYFUNCTION("""COMPUTED_VALUE"""),"Dex on Crypto")</f>
        <v>Dex on Crypto</v>
      </c>
    </row>
    <row r="3796" spans="1:3" x14ac:dyDescent="0.25">
      <c r="A3796" s="2" t="str">
        <f ca="1">IFERROR(__xludf.DUMMYFUNCTION("""COMPUTED_VALUE"""),"dexpad")</f>
        <v>dexpad</v>
      </c>
      <c r="B3796" s="2" t="str">
        <f ca="1">IFERROR(__xludf.DUMMYFUNCTION("""COMPUTED_VALUE"""),"dxp")</f>
        <v>dxp</v>
      </c>
      <c r="C3796" s="2" t="str">
        <f ca="1">IFERROR(__xludf.DUMMYFUNCTION("""COMPUTED_VALUE"""),"DexPad")</f>
        <v>DexPad</v>
      </c>
    </row>
    <row r="3797" spans="1:3" x14ac:dyDescent="0.25">
      <c r="A3797" s="2" t="str">
        <f ca="1">IFERROR(__xludf.DUMMYFUNCTION("""COMPUTED_VALUE"""),"dex-raiden")</f>
        <v>dex-raiden</v>
      </c>
      <c r="B3797" s="2" t="str">
        <f ca="1">IFERROR(__xludf.DUMMYFUNCTION("""COMPUTED_VALUE"""),"dxr")</f>
        <v>dxr</v>
      </c>
      <c r="C3797" s="2" t="str">
        <f ca="1">IFERROR(__xludf.DUMMYFUNCTION("""COMPUTED_VALUE"""),"Dex Raiden")</f>
        <v>Dex Raiden</v>
      </c>
    </row>
    <row r="3798" spans="1:3" x14ac:dyDescent="0.25">
      <c r="A3798" s="2" t="str">
        <f ca="1">IFERROR(__xludf.DUMMYFUNCTION("""COMPUTED_VALUE"""),"dexshare")</f>
        <v>dexshare</v>
      </c>
      <c r="B3798" s="2" t="str">
        <f ca="1">IFERROR(__xludf.DUMMYFUNCTION("""COMPUTED_VALUE"""),"dexshare")</f>
        <v>dexshare</v>
      </c>
      <c r="C3798" s="2" t="str">
        <f ca="1">IFERROR(__xludf.DUMMYFUNCTION("""COMPUTED_VALUE"""),"dexSHARE")</f>
        <v>dexSHARE</v>
      </c>
    </row>
    <row r="3799" spans="1:3" x14ac:dyDescent="0.25">
      <c r="A3799" s="2" t="str">
        <f ca="1">IFERROR(__xludf.DUMMYFUNCTION("""COMPUTED_VALUE"""),"dexsport")</f>
        <v>dexsport</v>
      </c>
      <c r="B3799" s="2" t="str">
        <f ca="1">IFERROR(__xludf.DUMMYFUNCTION("""COMPUTED_VALUE"""),"desu")</f>
        <v>desu</v>
      </c>
      <c r="C3799" s="2" t="str">
        <f ca="1">IFERROR(__xludf.DUMMYFUNCTION("""COMPUTED_VALUE"""),"Dexsport")</f>
        <v>Dexsport</v>
      </c>
    </row>
    <row r="3800" spans="1:3" x14ac:dyDescent="0.25">
      <c r="A3800" s="2" t="str">
        <f ca="1">IFERROR(__xludf.DUMMYFUNCTION("""COMPUTED_VALUE"""),"dextensor")</f>
        <v>dextensor</v>
      </c>
      <c r="B3800" s="2" t="str">
        <f ca="1">IFERROR(__xludf.DUMMYFUNCTION("""COMPUTED_VALUE"""),"taos")</f>
        <v>taos</v>
      </c>
      <c r="C3800" s="2" t="str">
        <f ca="1">IFERROR(__xludf.DUMMYFUNCTION("""COMPUTED_VALUE"""),"Dextensor")</f>
        <v>Dextensor</v>
      </c>
    </row>
    <row r="3801" spans="1:3" x14ac:dyDescent="0.25">
      <c r="A3801" s="2" t="str">
        <f ca="1">IFERROR(__xludf.DUMMYFUNCTION("""COMPUTED_VALUE"""),"dexter-exchange")</f>
        <v>dexter-exchange</v>
      </c>
      <c r="B3801" s="2" t="str">
        <f ca="1">IFERROR(__xludf.DUMMYFUNCTION("""COMPUTED_VALUE"""),"dextr")</f>
        <v>dextr</v>
      </c>
      <c r="C3801" s="2" t="str">
        <f ca="1">IFERROR(__xludf.DUMMYFUNCTION("""COMPUTED_VALUE"""),"DeXter")</f>
        <v>DeXter</v>
      </c>
    </row>
    <row r="3802" spans="1:3" x14ac:dyDescent="0.25">
      <c r="A3802" s="2" t="str">
        <f ca="1">IFERROR(__xludf.DUMMYFUNCTION("""COMPUTED_VALUE"""),"dexter-moon-bot")</f>
        <v>dexter-moon-bot</v>
      </c>
      <c r="B3802" s="2" t="str">
        <f ca="1">IFERROR(__xludf.DUMMYFUNCTION("""COMPUTED_VALUE"""),"dmb")</f>
        <v>dmb</v>
      </c>
      <c r="C3802" s="2" t="str">
        <f ca="1">IFERROR(__xludf.DUMMYFUNCTION("""COMPUTED_VALUE"""),"Dexter Moon Bot")</f>
        <v>Dexter Moon Bot</v>
      </c>
    </row>
    <row r="3803" spans="1:3" x14ac:dyDescent="0.25">
      <c r="A3803" s="2" t="str">
        <f ca="1">IFERROR(__xludf.DUMMYFUNCTION("""COMPUTED_VALUE"""),"dextf")</f>
        <v>dextf</v>
      </c>
      <c r="B3803" s="2" t="str">
        <f ca="1">IFERROR(__xludf.DUMMYFUNCTION("""COMPUTED_VALUE"""),"dextf")</f>
        <v>dextf</v>
      </c>
      <c r="C3803" s="2" t="str">
        <f ca="1">IFERROR(__xludf.DUMMYFUNCTION("""COMPUTED_VALUE"""),"Domani Protocol")</f>
        <v>Domani Protocol</v>
      </c>
    </row>
    <row r="3804" spans="1:3" x14ac:dyDescent="0.25">
      <c r="A3804" s="2" t="str">
        <f ca="1">IFERROR(__xludf.DUMMYFUNCTION("""COMPUTED_VALUE"""),"dexton")</f>
        <v>dexton</v>
      </c>
      <c r="B3804" s="2" t="str">
        <f ca="1">IFERROR(__xludf.DUMMYFUNCTION("""COMPUTED_VALUE"""),"dt")</f>
        <v>dt</v>
      </c>
      <c r="C3804" s="2" t="str">
        <f ca="1">IFERROR(__xludf.DUMMYFUNCTION("""COMPUTED_VALUE"""),"DexTon")</f>
        <v>DexTon</v>
      </c>
    </row>
    <row r="3805" spans="1:3" x14ac:dyDescent="0.25">
      <c r="A3805" s="2" t="str">
        <f ca="1">IFERROR(__xludf.DUMMYFUNCTION("""COMPUTED_VALUE"""),"dextools")</f>
        <v>dextools</v>
      </c>
      <c r="B3805" s="2" t="str">
        <f ca="1">IFERROR(__xludf.DUMMYFUNCTION("""COMPUTED_VALUE"""),"dext")</f>
        <v>dext</v>
      </c>
      <c r="C3805" s="2" t="str">
        <f ca="1">IFERROR(__xludf.DUMMYFUNCTION("""COMPUTED_VALUE"""),"DexTools")</f>
        <v>DexTools</v>
      </c>
    </row>
    <row r="3806" spans="1:3" x14ac:dyDescent="0.25">
      <c r="A3806" s="2" t="str">
        <f ca="1">IFERROR(__xludf.DUMMYFUNCTION("""COMPUTED_VALUE"""),"dextoro")</f>
        <v>dextoro</v>
      </c>
      <c r="B3806" s="2" t="str">
        <f ca="1">IFERROR(__xludf.DUMMYFUNCTION("""COMPUTED_VALUE"""),"dtoro")</f>
        <v>dtoro</v>
      </c>
      <c r="C3806" s="2" t="str">
        <f ca="1">IFERROR(__xludf.DUMMYFUNCTION("""COMPUTED_VALUE"""),"DexToro")</f>
        <v>DexToro</v>
      </c>
    </row>
    <row r="3807" spans="1:3" x14ac:dyDescent="0.25">
      <c r="A3807" s="2" t="str">
        <f ca="1">IFERROR(__xludf.DUMMYFUNCTION("""COMPUTED_VALUE"""),"dex-trade-coin")</f>
        <v>dex-trade-coin</v>
      </c>
      <c r="B3807" s="2" t="str">
        <f ca="1">IFERROR(__xludf.DUMMYFUNCTION("""COMPUTED_VALUE"""),"dxc")</f>
        <v>dxc</v>
      </c>
      <c r="C3807" s="2" t="str">
        <f ca="1">IFERROR(__xludf.DUMMYFUNCTION("""COMPUTED_VALUE"""),"Dex-Trade Coin")</f>
        <v>Dex-Trade Coin</v>
      </c>
    </row>
    <row r="3808" spans="1:3" x14ac:dyDescent="0.25">
      <c r="A3808" s="2" t="str">
        <f ca="1">IFERROR(__xludf.DUMMYFUNCTION("""COMPUTED_VALUE"""),"dextro")</f>
        <v>dextro</v>
      </c>
      <c r="B3808" s="2" t="str">
        <f ca="1">IFERROR(__xludf.DUMMYFUNCTION("""COMPUTED_VALUE"""),"dxo")</f>
        <v>dxo</v>
      </c>
      <c r="C3808" s="2" t="str">
        <f ca="1">IFERROR(__xludf.DUMMYFUNCTION("""COMPUTED_VALUE"""),"Dextro")</f>
        <v>Dextro</v>
      </c>
    </row>
    <row r="3809" spans="1:3" x14ac:dyDescent="0.25">
      <c r="A3809" s="2" t="str">
        <f ca="1">IFERROR(__xludf.DUMMYFUNCTION("""COMPUTED_VALUE"""),"dez")</f>
        <v>dez</v>
      </c>
      <c r="B3809" s="2" t="str">
        <f ca="1">IFERROR(__xludf.DUMMYFUNCTION("""COMPUTED_VALUE"""),"dez")</f>
        <v>dez</v>
      </c>
      <c r="C3809" s="2" t="str">
        <f ca="1">IFERROR(__xludf.DUMMYFUNCTION("""COMPUTED_VALUE"""),"$DEZ")</f>
        <v>$DEZ</v>
      </c>
    </row>
    <row r="3810" spans="1:3" x14ac:dyDescent="0.25">
      <c r="A3810" s="2" t="str">
        <f ca="1">IFERROR(__xludf.DUMMYFUNCTION("""COMPUTED_VALUE"""),"dforce-token")</f>
        <v>dforce-token</v>
      </c>
      <c r="B3810" s="2" t="str">
        <f ca="1">IFERROR(__xludf.DUMMYFUNCTION("""COMPUTED_VALUE"""),"df")</f>
        <v>df</v>
      </c>
      <c r="C3810" s="2" t="str">
        <f ca="1">IFERROR(__xludf.DUMMYFUNCTION("""COMPUTED_VALUE"""),"dForce")</f>
        <v>dForce</v>
      </c>
    </row>
    <row r="3811" spans="1:3" x14ac:dyDescent="0.25">
      <c r="A3811" s="2" t="str">
        <f ca="1">IFERROR(__xludf.DUMMYFUNCTION("""COMPUTED_VALUE"""),"dfs-mafia")</f>
        <v>dfs-mafia</v>
      </c>
      <c r="B3811" s="2" t="str">
        <f ca="1">IFERROR(__xludf.DUMMYFUNCTION("""COMPUTED_VALUE"""),"dfsm")</f>
        <v>dfsm</v>
      </c>
      <c r="C3811" s="2" t="str">
        <f ca="1">IFERROR(__xludf.DUMMYFUNCTION("""COMPUTED_VALUE"""),"DFS Mafia V2")</f>
        <v>DFS Mafia V2</v>
      </c>
    </row>
    <row r="3812" spans="1:3" x14ac:dyDescent="0.25">
      <c r="A3812" s="2" t="str">
        <f ca="1">IFERROR(__xludf.DUMMYFUNCTION("""COMPUTED_VALUE"""),"dfund")</f>
        <v>dfund</v>
      </c>
      <c r="B3812" s="2" t="str">
        <f ca="1">IFERROR(__xludf.DUMMYFUNCTION("""COMPUTED_VALUE"""),"dfnd")</f>
        <v>dfnd</v>
      </c>
      <c r="C3812" s="2" t="str">
        <f ca="1">IFERROR(__xludf.DUMMYFUNCTION("""COMPUTED_VALUE"""),"dFund")</f>
        <v>dFund</v>
      </c>
    </row>
    <row r="3813" spans="1:3" x14ac:dyDescent="0.25">
      <c r="A3813" s="2" t="str">
        <f ca="1">IFERROR(__xludf.DUMMYFUNCTION("""COMPUTED_VALUE"""),"dfx-finance")</f>
        <v>dfx-finance</v>
      </c>
      <c r="B3813" s="2" t="str">
        <f ca="1">IFERROR(__xludf.DUMMYFUNCTION("""COMPUTED_VALUE"""),"dfx")</f>
        <v>dfx</v>
      </c>
      <c r="C3813" s="2" t="str">
        <f ca="1">IFERROR(__xludf.DUMMYFUNCTION("""COMPUTED_VALUE"""),"DFX Finance")</f>
        <v>DFX Finance</v>
      </c>
    </row>
    <row r="3814" spans="1:3" x14ac:dyDescent="0.25">
      <c r="A3814" s="2" t="str">
        <f ca="1">IFERROR(__xludf.DUMMYFUNCTION("""COMPUTED_VALUE"""),"dfyn-network")</f>
        <v>dfyn-network</v>
      </c>
      <c r="B3814" s="2" t="str">
        <f ca="1">IFERROR(__xludf.DUMMYFUNCTION("""COMPUTED_VALUE"""),"dfyn")</f>
        <v>dfyn</v>
      </c>
      <c r="C3814" s="2" t="str">
        <f ca="1">IFERROR(__xludf.DUMMYFUNCTION("""COMPUTED_VALUE"""),"Dfyn Network")</f>
        <v>Dfyn Network</v>
      </c>
    </row>
    <row r="3815" spans="1:3" x14ac:dyDescent="0.25">
      <c r="A3815" s="2" t="str">
        <f ca="1">IFERROR(__xludf.DUMMYFUNCTION("""COMPUTED_VALUE"""),"dgi-game")</f>
        <v>dgi-game</v>
      </c>
      <c r="B3815" s="2" t="str">
        <f ca="1">IFERROR(__xludf.DUMMYFUNCTION("""COMPUTED_VALUE"""),"dgi")</f>
        <v>dgi</v>
      </c>
      <c r="C3815" s="2" t="str">
        <f ca="1">IFERROR(__xludf.DUMMYFUNCTION("""COMPUTED_VALUE"""),"DGI Game")</f>
        <v>DGI Game</v>
      </c>
    </row>
    <row r="3816" spans="1:3" x14ac:dyDescent="0.25">
      <c r="A3816" s="2" t="str">
        <f ca="1">IFERROR(__xludf.DUMMYFUNCTION("""COMPUTED_VALUE"""),"dgwtoken")</f>
        <v>dgwtoken</v>
      </c>
      <c r="B3816" s="2" t="str">
        <f ca="1">IFERROR(__xludf.DUMMYFUNCTION("""COMPUTED_VALUE"""),"dgw")</f>
        <v>dgw</v>
      </c>
      <c r="C3816" s="2" t="str">
        <f ca="1">IFERROR(__xludf.DUMMYFUNCTION("""COMPUTED_VALUE"""),"DGWToken")</f>
        <v>DGWToken</v>
      </c>
    </row>
    <row r="3817" spans="1:3" x14ac:dyDescent="0.25">
      <c r="A3817" s="2" t="str">
        <f ca="1">IFERROR(__xludf.DUMMYFUNCTION("""COMPUTED_VALUE"""),"dhabicoin")</f>
        <v>dhabicoin</v>
      </c>
      <c r="B3817" s="2" t="str">
        <f ca="1">IFERROR(__xludf.DUMMYFUNCTION("""COMPUTED_VALUE"""),"dbc")</f>
        <v>dbc</v>
      </c>
      <c r="C3817" s="2" t="str">
        <f ca="1">IFERROR(__xludf.DUMMYFUNCTION("""COMPUTED_VALUE"""),"Dhabicoin")</f>
        <v>Dhabicoin</v>
      </c>
    </row>
    <row r="3818" spans="1:3" x14ac:dyDescent="0.25">
      <c r="A3818" s="2" t="str">
        <f ca="1">IFERROR(__xludf.DUMMYFUNCTION("""COMPUTED_VALUE"""),"dhd-coin-2")</f>
        <v>dhd-coin-2</v>
      </c>
      <c r="B3818" s="2" t="str">
        <f ca="1">IFERROR(__xludf.DUMMYFUNCTION("""COMPUTED_VALUE"""),"dhd")</f>
        <v>dhd</v>
      </c>
      <c r="C3818" s="2" t="str">
        <f ca="1">IFERROR(__xludf.DUMMYFUNCTION("""COMPUTED_VALUE"""),"DHD Coin")</f>
        <v>DHD Coin</v>
      </c>
    </row>
    <row r="3819" spans="1:3" x14ac:dyDescent="0.25">
      <c r="A3819" s="2" t="str">
        <f ca="1">IFERROR(__xludf.DUMMYFUNCTION("""COMPUTED_VALUE"""),"dhealth")</f>
        <v>dhealth</v>
      </c>
      <c r="B3819" s="2" t="str">
        <f ca="1">IFERROR(__xludf.DUMMYFUNCTION("""COMPUTED_VALUE"""),"dhp")</f>
        <v>dhp</v>
      </c>
      <c r="C3819" s="2" t="str">
        <f ca="1">IFERROR(__xludf.DUMMYFUNCTION("""COMPUTED_VALUE"""),"dHealth")</f>
        <v>dHealth</v>
      </c>
    </row>
    <row r="3820" spans="1:3" x14ac:dyDescent="0.25">
      <c r="A3820" s="2" t="str">
        <f ca="1">IFERROR(__xludf.DUMMYFUNCTION("""COMPUTED_VALUE"""),"dhedge-dao")</f>
        <v>dhedge-dao</v>
      </c>
      <c r="B3820" s="2" t="str">
        <f ca="1">IFERROR(__xludf.DUMMYFUNCTION("""COMPUTED_VALUE"""),"dht")</f>
        <v>dht</v>
      </c>
      <c r="C3820" s="2" t="str">
        <f ca="1">IFERROR(__xludf.DUMMYFUNCTION("""COMPUTED_VALUE"""),"dHEDGE DAO")</f>
        <v>dHEDGE DAO</v>
      </c>
    </row>
    <row r="3821" spans="1:3" x14ac:dyDescent="0.25">
      <c r="A3821" s="2" t="str">
        <f ca="1">IFERROR(__xludf.DUMMYFUNCTION("""COMPUTED_VALUE"""),"diabase")</f>
        <v>diabase</v>
      </c>
      <c r="B3821" s="2" t="str">
        <f ca="1">IFERROR(__xludf.DUMMYFUNCTION("""COMPUTED_VALUE"""),"diac")</f>
        <v>diac</v>
      </c>
      <c r="C3821" s="2" t="str">
        <f ca="1">IFERROR(__xludf.DUMMYFUNCTION("""COMPUTED_VALUE"""),"Diabase")</f>
        <v>Diabase</v>
      </c>
    </row>
    <row r="3822" spans="1:3" x14ac:dyDescent="0.25">
      <c r="A3822" s="2" t="str">
        <f ca="1">IFERROR(__xludf.DUMMYFUNCTION("""COMPUTED_VALUE"""),"dia-data")</f>
        <v>dia-data</v>
      </c>
      <c r="B3822" s="2" t="str">
        <f ca="1">IFERROR(__xludf.DUMMYFUNCTION("""COMPUTED_VALUE"""),"dia")</f>
        <v>dia</v>
      </c>
      <c r="C3822" s="2" t="str">
        <f ca="1">IFERROR(__xludf.DUMMYFUNCTION("""COMPUTED_VALUE"""),"DIA")</f>
        <v>DIA</v>
      </c>
    </row>
    <row r="3823" spans="1:3" x14ac:dyDescent="0.25">
      <c r="A3823" s="2" t="str">
        <f ca="1">IFERROR(__xludf.DUMMYFUNCTION("""COMPUTED_VALUE"""),"diamond")</f>
        <v>diamond</v>
      </c>
      <c r="B3823" s="2" t="str">
        <f ca="1">IFERROR(__xludf.DUMMYFUNCTION("""COMPUTED_VALUE"""),"dmd")</f>
        <v>dmd</v>
      </c>
      <c r="C3823" s="2" t="str">
        <f ca="1">IFERROR(__xludf.DUMMYFUNCTION("""COMPUTED_VALUE"""),"Diamond")</f>
        <v>Diamond</v>
      </c>
    </row>
    <row r="3824" spans="1:3" x14ac:dyDescent="0.25">
      <c r="A3824" s="2" t="str">
        <f ca="1">IFERROR(__xludf.DUMMYFUNCTION("""COMPUTED_VALUE"""),"diamond-boyz-coin")</f>
        <v>diamond-boyz-coin</v>
      </c>
      <c r="B3824" s="2" t="str">
        <f ca="1">IFERROR(__xludf.DUMMYFUNCTION("""COMPUTED_VALUE"""),"dbz")</f>
        <v>dbz</v>
      </c>
      <c r="C3824" s="2" t="str">
        <f ca="1">IFERROR(__xludf.DUMMYFUNCTION("""COMPUTED_VALUE"""),"Diamond Boyz Coin")</f>
        <v>Diamond Boyz Coin</v>
      </c>
    </row>
    <row r="3825" spans="1:3" x14ac:dyDescent="0.25">
      <c r="A3825" s="2" t="str">
        <f ca="1">IFERROR(__xludf.DUMMYFUNCTION("""COMPUTED_VALUE"""),"diamond-castle")</f>
        <v>diamond-castle</v>
      </c>
      <c r="B3825" s="2" t="str">
        <f ca="1">IFERROR(__xludf.DUMMYFUNCTION("""COMPUTED_VALUE"""),"dmck")</f>
        <v>dmck</v>
      </c>
      <c r="C3825" s="2" t="str">
        <f ca="1">IFERROR(__xludf.DUMMYFUNCTION("""COMPUTED_VALUE"""),"Diamond castle")</f>
        <v>Diamond castle</v>
      </c>
    </row>
    <row r="3826" spans="1:3" x14ac:dyDescent="0.25">
      <c r="A3826" s="2" t="str">
        <f ca="1">IFERROR(__xludf.DUMMYFUNCTION("""COMPUTED_VALUE"""),"diamond-coin")</f>
        <v>diamond-coin</v>
      </c>
      <c r="B3826" s="2" t="str">
        <f ca="1">IFERROR(__xludf.DUMMYFUNCTION("""COMPUTED_VALUE"""),"diamond")</f>
        <v>diamond</v>
      </c>
      <c r="C3826" s="2" t="str">
        <f ca="1">IFERROR(__xludf.DUMMYFUNCTION("""COMPUTED_VALUE"""),"Diamond Coin")</f>
        <v>Diamond Coin</v>
      </c>
    </row>
    <row r="3827" spans="1:3" x14ac:dyDescent="0.25">
      <c r="A3827" s="2" t="str">
        <f ca="1">IFERROR(__xludf.DUMMYFUNCTION("""COMPUTED_VALUE"""),"diamond-inu")</f>
        <v>diamond-inu</v>
      </c>
      <c r="B3827" s="2" t="str">
        <f ca="1">IFERROR(__xludf.DUMMYFUNCTION("""COMPUTED_VALUE"""),"diamond")</f>
        <v>diamond</v>
      </c>
      <c r="C3827" s="2" t="str">
        <f ca="1">IFERROR(__xludf.DUMMYFUNCTION("""COMPUTED_VALUE"""),"Diamond Inu")</f>
        <v>Diamond Inu</v>
      </c>
    </row>
    <row r="3828" spans="1:3" x14ac:dyDescent="0.25">
      <c r="A3828" s="2" t="str">
        <f ca="1">IFERROR(__xludf.DUMMYFUNCTION("""COMPUTED_VALUE"""),"diamond-launch")</f>
        <v>diamond-launch</v>
      </c>
      <c r="B3828" s="2" t="str">
        <f ca="1">IFERROR(__xludf.DUMMYFUNCTION("""COMPUTED_VALUE"""),"dlc")</f>
        <v>dlc</v>
      </c>
      <c r="C3828" s="2" t="str">
        <f ca="1">IFERROR(__xludf.DUMMYFUNCTION("""COMPUTED_VALUE"""),"Diamond Launch")</f>
        <v>Diamond Launch</v>
      </c>
    </row>
    <row r="3829" spans="1:3" x14ac:dyDescent="0.25">
      <c r="A3829" s="2" t="str">
        <f ca="1">IFERROR(__xludf.DUMMYFUNCTION("""COMPUTED_VALUE"""),"diamond-standard-carat")</f>
        <v>diamond-standard-carat</v>
      </c>
      <c r="B3829" s="2" t="str">
        <f ca="1">IFERROR(__xludf.DUMMYFUNCTION("""COMPUTED_VALUE"""),"carat")</f>
        <v>carat</v>
      </c>
      <c r="C3829" s="2" t="str">
        <f ca="1">IFERROR(__xludf.DUMMYFUNCTION("""COMPUTED_VALUE"""),"Diamond Standard Carat")</f>
        <v>Diamond Standard Carat</v>
      </c>
    </row>
    <row r="3830" spans="1:3" x14ac:dyDescent="0.25">
      <c r="A3830" s="2" t="str">
        <f ca="1">IFERROR(__xludf.DUMMYFUNCTION("""COMPUTED_VALUE"""),"diamond-the-cat-coin")</f>
        <v>diamond-the-cat-coin</v>
      </c>
      <c r="B3830" s="2" t="str">
        <f ca="1">IFERROR(__xludf.DUMMYFUNCTION("""COMPUTED_VALUE"""),"dmtc")</f>
        <v>dmtc</v>
      </c>
      <c r="C3830" s="2" t="str">
        <f ca="1">IFERROR(__xludf.DUMMYFUNCTION("""COMPUTED_VALUE"""),"DIAMOND The Cat Coin")</f>
        <v>DIAMOND The Cat Coin</v>
      </c>
    </row>
    <row r="3831" spans="1:3" x14ac:dyDescent="0.25">
      <c r="A3831" s="2" t="str">
        <f ca="1">IFERROR(__xludf.DUMMYFUNCTION("""COMPUTED_VALUE"""),"dibbles")</f>
        <v>dibbles</v>
      </c>
      <c r="B3831" s="2" t="str">
        <f ca="1">IFERROR(__xludf.DUMMYFUNCTION("""COMPUTED_VALUE"""),"dibble")</f>
        <v>dibble</v>
      </c>
      <c r="C3831" s="2" t="str">
        <f ca="1">IFERROR(__xludf.DUMMYFUNCTION("""COMPUTED_VALUE"""),"Dibbles")</f>
        <v>Dibbles</v>
      </c>
    </row>
    <row r="3832" spans="1:3" x14ac:dyDescent="0.25">
      <c r="A3832" s="2" t="str">
        <f ca="1">IFERROR(__xludf.DUMMYFUNCTION("""COMPUTED_VALUE"""),"dibs-share")</f>
        <v>dibs-share</v>
      </c>
      <c r="B3832" s="2" t="str">
        <f ca="1">IFERROR(__xludf.DUMMYFUNCTION("""COMPUTED_VALUE"""),"dshare")</f>
        <v>dshare</v>
      </c>
      <c r="C3832" s="2" t="str">
        <f ca="1">IFERROR(__xludf.DUMMYFUNCTION("""COMPUTED_VALUE"""),"Dibs Share")</f>
        <v>Dibs Share</v>
      </c>
    </row>
    <row r="3833" spans="1:3" x14ac:dyDescent="0.25">
      <c r="A3833" s="2" t="str">
        <f ca="1">IFERROR(__xludf.DUMMYFUNCTION("""COMPUTED_VALUE"""),"dice")</f>
        <v>dice</v>
      </c>
      <c r="B3833" s="2" t="str">
        <f ca="1">IFERROR(__xludf.DUMMYFUNCTION("""COMPUTED_VALUE"""),"$dice")</f>
        <v>$dice</v>
      </c>
      <c r="C3833" s="2" t="str">
        <f ca="1">IFERROR(__xludf.DUMMYFUNCTION("""COMPUTED_VALUE"""),"DICE")</f>
        <v>DICE</v>
      </c>
    </row>
    <row r="3834" spans="1:3" x14ac:dyDescent="0.25">
      <c r="A3834" s="2" t="str">
        <f ca="1">IFERROR(__xludf.DUMMYFUNCTION("""COMPUTED_VALUE"""),"dice-kingdom")</f>
        <v>dice-kingdom</v>
      </c>
      <c r="B3834" s="2" t="str">
        <f ca="1">IFERROR(__xludf.DUMMYFUNCTION("""COMPUTED_VALUE"""),"dk")</f>
        <v>dk</v>
      </c>
      <c r="C3834" s="2" t="str">
        <f ca="1">IFERROR(__xludf.DUMMYFUNCTION("""COMPUTED_VALUE"""),"Dice Kingdom")</f>
        <v>Dice Kingdom</v>
      </c>
    </row>
    <row r="3835" spans="1:3" x14ac:dyDescent="0.25">
      <c r="A3835" s="2" t="str">
        <f ca="1">IFERROR(__xludf.DUMMYFUNCTION("""COMPUTED_VALUE"""),"dicki")</f>
        <v>dicki</v>
      </c>
      <c r="B3835" s="2" t="str">
        <f ca="1">IFERROR(__xludf.DUMMYFUNCTION("""COMPUTED_VALUE"""),"$dicki")</f>
        <v>$dicki</v>
      </c>
      <c r="C3835" s="2" t="str">
        <f ca="1">IFERROR(__xludf.DUMMYFUNCTION("""COMPUTED_VALUE"""),"dicki")</f>
        <v>dicki</v>
      </c>
    </row>
    <row r="3836" spans="1:3" x14ac:dyDescent="0.25">
      <c r="A3836" s="2" t="str">
        <f ca="1">IFERROR(__xludf.DUMMYFUNCTION("""COMPUTED_VALUE"""),"didi-duck")</f>
        <v>didi-duck</v>
      </c>
      <c r="B3836" s="2" t="str">
        <f ca="1">IFERROR(__xludf.DUMMYFUNCTION("""COMPUTED_VALUE"""),"didid")</f>
        <v>didid</v>
      </c>
      <c r="C3836" s="2" t="str">
        <f ca="1">IFERROR(__xludf.DUMMYFUNCTION("""COMPUTED_VALUE"""),"Didi Duck")</f>
        <v>Didi Duck</v>
      </c>
    </row>
    <row r="3837" spans="1:3" x14ac:dyDescent="0.25">
      <c r="A3837" s="2" t="str">
        <f ca="1">IFERROR(__xludf.DUMMYFUNCTION("""COMPUTED_VALUE"""),"diecast-racer")</f>
        <v>diecast-racer</v>
      </c>
      <c r="B3837" s="2" t="str">
        <f ca="1">IFERROR(__xludf.DUMMYFUNCTION("""COMPUTED_VALUE"""),"dcr")</f>
        <v>dcr</v>
      </c>
      <c r="C3837" s="2" t="str">
        <f ca="1">IFERROR(__xludf.DUMMYFUNCTION("""COMPUTED_VALUE"""),"Diecast Racer")</f>
        <v>Diecast Racer</v>
      </c>
    </row>
    <row r="3838" spans="1:3" x14ac:dyDescent="0.25">
      <c r="A3838" s="2" t="str">
        <f ca="1">IFERROR(__xludf.DUMMYFUNCTION("""COMPUTED_VALUE"""),"die-protocol")</f>
        <v>die-protocol</v>
      </c>
      <c r="B3838" s="2" t="str">
        <f ca="1">IFERROR(__xludf.DUMMYFUNCTION("""COMPUTED_VALUE"""),"die")</f>
        <v>die</v>
      </c>
      <c r="C3838" s="2" t="str">
        <f ca="1">IFERROR(__xludf.DUMMYFUNCTION("""COMPUTED_VALUE"""),"Die Protocol")</f>
        <v>Die Protocol</v>
      </c>
    </row>
    <row r="3839" spans="1:3" x14ac:dyDescent="0.25">
      <c r="A3839" s="2" t="str">
        <f ca="1">IFERROR(__xludf.DUMMYFUNCTION("""COMPUTED_VALUE"""),"digg")</f>
        <v>digg</v>
      </c>
      <c r="B3839" s="2" t="str">
        <f ca="1">IFERROR(__xludf.DUMMYFUNCTION("""COMPUTED_VALUE"""),"digg")</f>
        <v>digg</v>
      </c>
      <c r="C3839" s="2" t="str">
        <f ca="1">IFERROR(__xludf.DUMMYFUNCTION("""COMPUTED_VALUE"""),"DIGG")</f>
        <v>DIGG</v>
      </c>
    </row>
    <row r="3840" spans="1:3" x14ac:dyDescent="0.25">
      <c r="A3840" s="2" t="str">
        <f ca="1">IFERROR(__xludf.DUMMYFUNCTION("""COMPUTED_VALUE"""),"digibyte")</f>
        <v>digibyte</v>
      </c>
      <c r="B3840" s="2" t="str">
        <f ca="1">IFERROR(__xludf.DUMMYFUNCTION("""COMPUTED_VALUE"""),"dgb")</f>
        <v>dgb</v>
      </c>
      <c r="C3840" s="2" t="str">
        <f ca="1">IFERROR(__xludf.DUMMYFUNCTION("""COMPUTED_VALUE"""),"DigiByte")</f>
        <v>DigiByte</v>
      </c>
    </row>
    <row r="3841" spans="1:3" x14ac:dyDescent="0.25">
      <c r="A3841" s="2" t="str">
        <f ca="1">IFERROR(__xludf.DUMMYFUNCTION("""COMPUTED_VALUE"""),"digicask-token")</f>
        <v>digicask-token</v>
      </c>
      <c r="B3841" s="2" t="str">
        <f ca="1">IFERROR(__xludf.DUMMYFUNCTION("""COMPUTED_VALUE"""),"dcask")</f>
        <v>dcask</v>
      </c>
      <c r="C3841" s="2" t="str">
        <f ca="1">IFERROR(__xludf.DUMMYFUNCTION("""COMPUTED_VALUE"""),"DigiCask Token")</f>
        <v>DigiCask Token</v>
      </c>
    </row>
    <row r="3842" spans="1:3" x14ac:dyDescent="0.25">
      <c r="A3842" s="2" t="str">
        <f ca="1">IFERROR(__xludf.DUMMYFUNCTION("""COMPUTED_VALUE"""),"digifinextoken")</f>
        <v>digifinextoken</v>
      </c>
      <c r="B3842" s="2" t="str">
        <f ca="1">IFERROR(__xludf.DUMMYFUNCTION("""COMPUTED_VALUE"""),"dft")</f>
        <v>dft</v>
      </c>
      <c r="C3842" s="2" t="str">
        <f ca="1">IFERROR(__xludf.DUMMYFUNCTION("""COMPUTED_VALUE"""),"DigiFinex")</f>
        <v>DigiFinex</v>
      </c>
    </row>
    <row r="3843" spans="1:3" x14ac:dyDescent="0.25">
      <c r="A3843" s="2" t="str">
        <f ca="1">IFERROR(__xludf.DUMMYFUNCTION("""COMPUTED_VALUE"""),"digihealth")</f>
        <v>digihealth</v>
      </c>
      <c r="B3843" s="2" t="str">
        <f ca="1">IFERROR(__xludf.DUMMYFUNCTION("""COMPUTED_VALUE"""),"dgh")</f>
        <v>dgh</v>
      </c>
      <c r="C3843" s="2" t="str">
        <f ca="1">IFERROR(__xludf.DUMMYFUNCTION("""COMPUTED_VALUE"""),"Digihealth")</f>
        <v>Digihealth</v>
      </c>
    </row>
    <row r="3844" spans="1:3" x14ac:dyDescent="0.25">
      <c r="A3844" s="2" t="str">
        <f ca="1">IFERROR(__xludf.DUMMYFUNCTION("""COMPUTED_VALUE"""),"digimetaverse")</f>
        <v>digimetaverse</v>
      </c>
      <c r="B3844" s="2" t="str">
        <f ca="1">IFERROR(__xludf.DUMMYFUNCTION("""COMPUTED_VALUE"""),"dgmv")</f>
        <v>dgmv</v>
      </c>
      <c r="C3844" s="2" t="str">
        <f ca="1">IFERROR(__xludf.DUMMYFUNCTION("""COMPUTED_VALUE"""),"DigiMetaverse")</f>
        <v>DigiMetaverse</v>
      </c>
    </row>
    <row r="3845" spans="1:3" x14ac:dyDescent="0.25">
      <c r="A3845" s="2" t="str">
        <f ca="1">IFERROR(__xludf.DUMMYFUNCTION("""COMPUTED_VALUE"""),"digipolis")</f>
        <v>digipolis</v>
      </c>
      <c r="B3845" s="2" t="str">
        <f ca="1">IFERROR(__xludf.DUMMYFUNCTION("""COMPUTED_VALUE"""),"digi")</f>
        <v>digi</v>
      </c>
      <c r="C3845" s="2" t="str">
        <f ca="1">IFERROR(__xludf.DUMMYFUNCTION("""COMPUTED_VALUE"""),"Digipolis")</f>
        <v>Digipolis</v>
      </c>
    </row>
    <row r="3846" spans="1:3" x14ac:dyDescent="0.25">
      <c r="A3846" s="2" t="str">
        <f ca="1">IFERROR(__xludf.DUMMYFUNCTION("""COMPUTED_VALUE"""),"digital-bank-of-africa")</f>
        <v>digital-bank-of-africa</v>
      </c>
      <c r="B3846" s="2" t="str">
        <f ca="1">IFERROR(__xludf.DUMMYFUNCTION("""COMPUTED_VALUE"""),"dba")</f>
        <v>dba</v>
      </c>
      <c r="C3846" s="2" t="str">
        <f ca="1">IFERROR(__xludf.DUMMYFUNCTION("""COMPUTED_VALUE"""),"Digital Bank of Africa")</f>
        <v>Digital Bank of Africa</v>
      </c>
    </row>
    <row r="3847" spans="1:3" x14ac:dyDescent="0.25">
      <c r="A3847" s="2" t="str">
        <f ca="1">IFERROR(__xludf.DUMMYFUNCTION("""COMPUTED_VALUE"""),"digitalbits")</f>
        <v>digitalbits</v>
      </c>
      <c r="B3847" s="2" t="str">
        <f ca="1">IFERROR(__xludf.DUMMYFUNCTION("""COMPUTED_VALUE"""),"xdb")</f>
        <v>xdb</v>
      </c>
      <c r="C3847" s="2" t="str">
        <f ca="1">IFERROR(__xludf.DUMMYFUNCTION("""COMPUTED_VALUE"""),"XDB CHAIN")</f>
        <v>XDB CHAIN</v>
      </c>
    </row>
    <row r="3848" spans="1:3" x14ac:dyDescent="0.25">
      <c r="A3848" s="2" t="str">
        <f ca="1">IFERROR(__xludf.DUMMYFUNCTION("""COMPUTED_VALUE"""),"digitalcoin")</f>
        <v>digitalcoin</v>
      </c>
      <c r="B3848" s="2" t="str">
        <f ca="1">IFERROR(__xludf.DUMMYFUNCTION("""COMPUTED_VALUE"""),"dgc")</f>
        <v>dgc</v>
      </c>
      <c r="C3848" s="2" t="str">
        <f ca="1">IFERROR(__xludf.DUMMYFUNCTION("""COMPUTED_VALUE"""),"Digitalcoin")</f>
        <v>Digitalcoin</v>
      </c>
    </row>
    <row r="3849" spans="1:3" x14ac:dyDescent="0.25">
      <c r="A3849" s="2" t="str">
        <f ca="1">IFERROR(__xludf.DUMMYFUNCTION("""COMPUTED_VALUE"""),"digital-files")</f>
        <v>digital-files</v>
      </c>
      <c r="B3849" s="2" t="str">
        <f ca="1">IFERROR(__xludf.DUMMYFUNCTION("""COMPUTED_VALUE"""),"difi")</f>
        <v>difi</v>
      </c>
      <c r="C3849" s="2" t="str">
        <f ca="1">IFERROR(__xludf.DUMMYFUNCTION("""COMPUTED_VALUE"""),"Digital Files")</f>
        <v>Digital Files</v>
      </c>
    </row>
    <row r="3850" spans="1:3" x14ac:dyDescent="0.25">
      <c r="A3850" s="2" t="str">
        <f ca="1">IFERROR(__xludf.DUMMYFUNCTION("""COMPUTED_VALUE"""),"digital-financial-exchange")</f>
        <v>digital-financial-exchange</v>
      </c>
      <c r="B3850" s="2" t="str">
        <f ca="1">IFERROR(__xludf.DUMMYFUNCTION("""COMPUTED_VALUE"""),"difx")</f>
        <v>difx</v>
      </c>
      <c r="C3850" s="2" t="str">
        <f ca="1">IFERROR(__xludf.DUMMYFUNCTION("""COMPUTED_VALUE"""),"Digital Financial Exchange")</f>
        <v>Digital Financial Exchange</v>
      </c>
    </row>
    <row r="3851" spans="1:3" x14ac:dyDescent="0.25">
      <c r="A3851" s="2" t="str">
        <f ca="1">IFERROR(__xludf.DUMMYFUNCTION("""COMPUTED_VALUE"""),"digitaliga")</f>
        <v>digitaliga</v>
      </c>
      <c r="B3851" s="2" t="str">
        <f ca="1">IFERROR(__xludf.DUMMYFUNCTION("""COMPUTED_VALUE"""),"digita")</f>
        <v>digita</v>
      </c>
      <c r="C3851" s="2" t="str">
        <f ca="1">IFERROR(__xludf.DUMMYFUNCTION("""COMPUTED_VALUE"""),"Digitaliga")</f>
        <v>Digitaliga</v>
      </c>
    </row>
    <row r="3852" spans="1:3" x14ac:dyDescent="0.25">
      <c r="A3852" s="2" t="str">
        <f ca="1">IFERROR(__xludf.DUMMYFUNCTION("""COMPUTED_VALUE"""),"digitalnote")</f>
        <v>digitalnote</v>
      </c>
      <c r="B3852" s="2" t="str">
        <f ca="1">IFERROR(__xludf.DUMMYFUNCTION("""COMPUTED_VALUE"""),"xdn")</f>
        <v>xdn</v>
      </c>
      <c r="C3852" s="2" t="str">
        <f ca="1">IFERROR(__xludf.DUMMYFUNCTION("""COMPUTED_VALUE"""),"DigitalNote")</f>
        <v>DigitalNote</v>
      </c>
    </row>
    <row r="3853" spans="1:3" x14ac:dyDescent="0.25">
      <c r="A3853" s="2" t="str">
        <f ca="1">IFERROR(__xludf.DUMMYFUNCTION("""COMPUTED_VALUE"""),"digital-reserve-currency")</f>
        <v>digital-reserve-currency</v>
      </c>
      <c r="B3853" s="2" t="str">
        <f ca="1">IFERROR(__xludf.DUMMYFUNCTION("""COMPUTED_VALUE"""),"drc")</f>
        <v>drc</v>
      </c>
      <c r="C3853" s="2" t="str">
        <f ca="1">IFERROR(__xludf.DUMMYFUNCTION("""COMPUTED_VALUE"""),"Digital Reserve Currency")</f>
        <v>Digital Reserve Currency</v>
      </c>
    </row>
    <row r="3854" spans="1:3" x14ac:dyDescent="0.25">
      <c r="A3854" s="2" t="str">
        <f ca="1">IFERROR(__xludf.DUMMYFUNCTION("""COMPUTED_VALUE"""),"digital-standard")</f>
        <v>digital-standard</v>
      </c>
      <c r="B3854" s="2" t="str">
        <f ca="1">IFERROR(__xludf.DUMMYFUNCTION("""COMPUTED_VALUE"""),"dsb")</f>
        <v>dsb</v>
      </c>
      <c r="C3854" s="2" t="str">
        <f ca="1">IFERROR(__xludf.DUMMYFUNCTION("""COMPUTED_VALUE"""),"Digital Standard")</f>
        <v>Digital Standard</v>
      </c>
    </row>
    <row r="3855" spans="1:3" x14ac:dyDescent="0.25">
      <c r="A3855" s="2" t="str">
        <f ca="1">IFERROR(__xludf.DUMMYFUNCTION("""COMPUTED_VALUE"""),"digitex-futures-exchange")</f>
        <v>digitex-futures-exchange</v>
      </c>
      <c r="B3855" s="2" t="str">
        <f ca="1">IFERROR(__xludf.DUMMYFUNCTION("""COMPUTED_VALUE"""),"dgtx")</f>
        <v>dgtx</v>
      </c>
      <c r="C3855" s="2" t="str">
        <f ca="1">IFERROR(__xludf.DUMMYFUNCTION("""COMPUTED_VALUE"""),"Digitex")</f>
        <v>Digitex</v>
      </c>
    </row>
    <row r="3856" spans="1:3" x14ac:dyDescent="0.25">
      <c r="A3856" s="2" t="str">
        <f ca="1">IFERROR(__xludf.DUMMYFUNCTION("""COMPUTED_VALUE"""),"digits-dao")</f>
        <v>digits-dao</v>
      </c>
      <c r="B3856" s="2" t="str">
        <f ca="1">IFERROR(__xludf.DUMMYFUNCTION("""COMPUTED_VALUE"""),"digits")</f>
        <v>digits</v>
      </c>
      <c r="C3856" s="2" t="str">
        <f ca="1">IFERROR(__xludf.DUMMYFUNCTION("""COMPUTED_VALUE"""),"Digits DAO")</f>
        <v>Digits DAO</v>
      </c>
    </row>
    <row r="3857" spans="1:3" x14ac:dyDescent="0.25">
      <c r="A3857" s="2" t="str">
        <f ca="1">IFERROR(__xludf.DUMMYFUNCTION("""COMPUTED_VALUE"""),"digiverse-2")</f>
        <v>digiverse-2</v>
      </c>
      <c r="B3857" s="2" t="str">
        <f ca="1">IFERROR(__xludf.DUMMYFUNCTION("""COMPUTED_VALUE"""),"digi")</f>
        <v>digi</v>
      </c>
      <c r="C3857" s="2" t="str">
        <f ca="1">IFERROR(__xludf.DUMMYFUNCTION("""COMPUTED_VALUE"""),"DIGIVERSE")</f>
        <v>DIGIVERSE</v>
      </c>
    </row>
    <row r="3858" spans="1:3" x14ac:dyDescent="0.25">
      <c r="A3858" s="2" t="str">
        <f ca="1">IFERROR(__xludf.DUMMYFUNCTION("""COMPUTED_VALUE"""),"digix-gold")</f>
        <v>digix-gold</v>
      </c>
      <c r="B3858" s="2" t="str">
        <f ca="1">IFERROR(__xludf.DUMMYFUNCTION("""COMPUTED_VALUE"""),"dgx")</f>
        <v>dgx</v>
      </c>
      <c r="C3858" s="2" t="str">
        <f ca="1">IFERROR(__xludf.DUMMYFUNCTION("""COMPUTED_VALUE"""),"Digix Gold")</f>
        <v>Digix Gold</v>
      </c>
    </row>
    <row r="3859" spans="1:3" x14ac:dyDescent="0.25">
      <c r="A3859" s="2" t="str">
        <f ca="1">IFERROR(__xludf.DUMMYFUNCTION("""COMPUTED_VALUE"""),"dignity-gold-2")</f>
        <v>dignity-gold-2</v>
      </c>
      <c r="B3859" s="2" t="str">
        <f ca="1">IFERROR(__xludf.DUMMYFUNCTION("""COMPUTED_VALUE"""),"digau")</f>
        <v>digau</v>
      </c>
      <c r="C3859" s="2" t="str">
        <f ca="1">IFERROR(__xludf.DUMMYFUNCTION("""COMPUTED_VALUE"""),"Dignity Gold")</f>
        <v>Dignity Gold</v>
      </c>
    </row>
    <row r="3860" spans="1:3" x14ac:dyDescent="0.25">
      <c r="A3860" s="2" t="str">
        <f ca="1">IFERROR(__xludf.DUMMYFUNCTION("""COMPUTED_VALUE"""),"diligent-pepe")</f>
        <v>diligent-pepe</v>
      </c>
      <c r="B3860" s="2" t="str">
        <f ca="1">IFERROR(__xludf.DUMMYFUNCTION("""COMPUTED_VALUE"""),"diligent")</f>
        <v>diligent</v>
      </c>
      <c r="C3860" s="2" t="str">
        <f ca="1">IFERROR(__xludf.DUMMYFUNCTION("""COMPUTED_VALUE"""),"Diligent Pepe")</f>
        <v>Diligent Pepe</v>
      </c>
    </row>
    <row r="3861" spans="1:3" x14ac:dyDescent="0.25">
      <c r="A3861" s="2" t="str">
        <f ca="1">IFERROR(__xludf.DUMMYFUNCTION("""COMPUTED_VALUE"""),"dillwifit")</f>
        <v>dillwifit</v>
      </c>
      <c r="B3861" s="2" t="str">
        <f ca="1">IFERROR(__xludf.DUMMYFUNCTION("""COMPUTED_VALUE"""),"dill")</f>
        <v>dill</v>
      </c>
      <c r="C3861" s="2" t="str">
        <f ca="1">IFERROR(__xludf.DUMMYFUNCTION("""COMPUTED_VALUE"""),"dillwifit")</f>
        <v>dillwifit</v>
      </c>
    </row>
    <row r="3862" spans="1:3" x14ac:dyDescent="0.25">
      <c r="A3862" s="2" t="str">
        <f ca="1">IFERROR(__xludf.DUMMYFUNCTION("""COMPUTED_VALUE"""),"dilly")</f>
        <v>dilly</v>
      </c>
      <c r="B3862" s="2" t="str">
        <f ca="1">IFERROR(__xludf.DUMMYFUNCTION("""COMPUTED_VALUE"""),"dilly")</f>
        <v>dilly</v>
      </c>
      <c r="C3862" s="2" t="str">
        <f ca="1">IFERROR(__xludf.DUMMYFUNCTION("""COMPUTED_VALUE"""),"Dilly")</f>
        <v>Dilly</v>
      </c>
    </row>
    <row r="3863" spans="1:3" x14ac:dyDescent="0.25">
      <c r="A3863" s="2" t="str">
        <f ca="1">IFERROR(__xludf.DUMMYFUNCTION("""COMPUTED_VALUE"""),"dimecoin")</f>
        <v>dimecoin</v>
      </c>
      <c r="B3863" s="2" t="str">
        <f ca="1">IFERROR(__xludf.DUMMYFUNCTION("""COMPUTED_VALUE"""),"dime")</f>
        <v>dime</v>
      </c>
      <c r="C3863" s="2" t="str">
        <f ca="1">IFERROR(__xludf.DUMMYFUNCTION("""COMPUTED_VALUE"""),"Dimecoin")</f>
        <v>Dimecoin</v>
      </c>
    </row>
    <row r="3864" spans="1:3" x14ac:dyDescent="0.25">
      <c r="A3864" s="2" t="str">
        <f ca="1">IFERROR(__xludf.DUMMYFUNCTION("""COMPUTED_VALUE"""),"diment-dollar")</f>
        <v>diment-dollar</v>
      </c>
      <c r="B3864" s="2" t="str">
        <f ca="1">IFERROR(__xludf.DUMMYFUNCTION("""COMPUTED_VALUE"""),"dd")</f>
        <v>dd</v>
      </c>
      <c r="C3864" s="2" t="str">
        <f ca="1">IFERROR(__xludf.DUMMYFUNCTION("""COMPUTED_VALUE"""),"Diment Dollar")</f>
        <v>Diment Dollar</v>
      </c>
    </row>
    <row r="3865" spans="1:3" x14ac:dyDescent="0.25">
      <c r="A3865" s="2" t="str">
        <f ca="1">IFERROR(__xludf.DUMMYFUNCTION("""COMPUTED_VALUE"""),"diminutive-coin")</f>
        <v>diminutive-coin</v>
      </c>
      <c r="B3865" s="2" t="str">
        <f ca="1">IFERROR(__xludf.DUMMYFUNCTION("""COMPUTED_VALUE"""),"dimi")</f>
        <v>dimi</v>
      </c>
      <c r="C3865" s="2" t="str">
        <f ca="1">IFERROR(__xludf.DUMMYFUNCTION("""COMPUTED_VALUE"""),"Diminutive Coin")</f>
        <v>Diminutive Coin</v>
      </c>
    </row>
    <row r="3866" spans="1:3" x14ac:dyDescent="0.25">
      <c r="A3866" s="2" t="str">
        <f ca="1">IFERROR(__xludf.DUMMYFUNCTION("""COMPUTED_VALUE"""),"dimitra")</f>
        <v>dimitra</v>
      </c>
      <c r="B3866" s="2" t="str">
        <f ca="1">IFERROR(__xludf.DUMMYFUNCTION("""COMPUTED_VALUE"""),"dmtr")</f>
        <v>dmtr</v>
      </c>
      <c r="C3866" s="2" t="str">
        <f ca="1">IFERROR(__xludf.DUMMYFUNCTION("""COMPUTED_VALUE"""),"Dimitra")</f>
        <v>Dimitra</v>
      </c>
    </row>
    <row r="3867" spans="1:3" x14ac:dyDescent="0.25">
      <c r="A3867" s="2" t="str">
        <f ca="1">IFERROR(__xludf.DUMMYFUNCTION("""COMPUTED_VALUE"""),"dimo")</f>
        <v>dimo</v>
      </c>
      <c r="B3867" s="2" t="str">
        <f ca="1">IFERROR(__xludf.DUMMYFUNCTION("""COMPUTED_VALUE"""),"dimo")</f>
        <v>dimo</v>
      </c>
      <c r="C3867" s="2" t="str">
        <f ca="1">IFERROR(__xludf.DUMMYFUNCTION("""COMPUTED_VALUE"""),"DIMO")</f>
        <v>DIMO</v>
      </c>
    </row>
    <row r="3868" spans="1:3" x14ac:dyDescent="0.25">
      <c r="A3868" s="2" t="str">
        <f ca="1">IFERROR(__xludf.DUMMYFUNCTION("""COMPUTED_VALUE"""),"dinamo-zagreb-fan-token")</f>
        <v>dinamo-zagreb-fan-token</v>
      </c>
      <c r="B3868" s="2" t="str">
        <f ca="1">IFERROR(__xludf.DUMMYFUNCTION("""COMPUTED_VALUE"""),"dzg")</f>
        <v>dzg</v>
      </c>
      <c r="C3868" s="2" t="str">
        <f ca="1">IFERROR(__xludf.DUMMYFUNCTION("""COMPUTED_VALUE"""),"Dinamo Zagreb Fan Token")</f>
        <v>Dinamo Zagreb Fan Token</v>
      </c>
    </row>
    <row r="3869" spans="1:3" x14ac:dyDescent="0.25">
      <c r="A3869" s="2" t="str">
        <f ca="1">IFERROR(__xludf.DUMMYFUNCTION("""COMPUTED_VALUE"""),"dinari-aapl-dshares")</f>
        <v>dinari-aapl-dshares</v>
      </c>
      <c r="B3869" s="2" t="str">
        <f ca="1">IFERROR(__xludf.DUMMYFUNCTION("""COMPUTED_VALUE"""),"aapl.d")</f>
        <v>aapl.d</v>
      </c>
      <c r="C3869" s="2" t="str">
        <f ca="1">IFERROR(__xludf.DUMMYFUNCTION("""COMPUTED_VALUE"""),"Dinari AAPL")</f>
        <v>Dinari AAPL</v>
      </c>
    </row>
    <row r="3870" spans="1:3" x14ac:dyDescent="0.25">
      <c r="A3870" s="2" t="str">
        <f ca="1">IFERROR(__xludf.DUMMYFUNCTION("""COMPUTED_VALUE"""),"dinari-amc")</f>
        <v>dinari-amc</v>
      </c>
      <c r="B3870" s="2" t="str">
        <f ca="1">IFERROR(__xludf.DUMMYFUNCTION("""COMPUTED_VALUE"""),"amc.d")</f>
        <v>amc.d</v>
      </c>
      <c r="C3870" s="2" t="str">
        <f ca="1">IFERROR(__xludf.DUMMYFUNCTION("""COMPUTED_VALUE"""),"Dinari AMC")</f>
        <v>Dinari AMC</v>
      </c>
    </row>
    <row r="3871" spans="1:3" x14ac:dyDescent="0.25">
      <c r="A3871" s="2" t="str">
        <f ca="1">IFERROR(__xludf.DUMMYFUNCTION("""COMPUTED_VALUE"""),"dinari-amd")</f>
        <v>dinari-amd</v>
      </c>
      <c r="B3871" s="2" t="str">
        <f ca="1">IFERROR(__xludf.DUMMYFUNCTION("""COMPUTED_VALUE"""),"amd.d")</f>
        <v>amd.d</v>
      </c>
      <c r="C3871" s="2" t="str">
        <f ca="1">IFERROR(__xludf.DUMMYFUNCTION("""COMPUTED_VALUE"""),"Dinari AMD")</f>
        <v>Dinari AMD</v>
      </c>
    </row>
    <row r="3872" spans="1:3" x14ac:dyDescent="0.25">
      <c r="A3872" s="2" t="str">
        <f ca="1">IFERROR(__xludf.DUMMYFUNCTION("""COMPUTED_VALUE"""),"dinari-amzn-dshares")</f>
        <v>dinari-amzn-dshares</v>
      </c>
      <c r="B3872" s="2" t="str">
        <f ca="1">IFERROR(__xludf.DUMMYFUNCTION("""COMPUTED_VALUE"""),"amzn.d")</f>
        <v>amzn.d</v>
      </c>
      <c r="C3872" s="2" t="str">
        <f ca="1">IFERROR(__xludf.DUMMYFUNCTION("""COMPUTED_VALUE"""),"Dinari AMZN")</f>
        <v>Dinari AMZN</v>
      </c>
    </row>
    <row r="3873" spans="1:3" x14ac:dyDescent="0.25">
      <c r="A3873" s="2" t="str">
        <f ca="1">IFERROR(__xludf.DUMMYFUNCTION("""COMPUTED_VALUE"""),"dinari-arm")</f>
        <v>dinari-arm</v>
      </c>
      <c r="B3873" s="2" t="str">
        <f ca="1">IFERROR(__xludf.DUMMYFUNCTION("""COMPUTED_VALUE"""),"arm.d")</f>
        <v>arm.d</v>
      </c>
      <c r="C3873" s="2" t="str">
        <f ca="1">IFERROR(__xludf.DUMMYFUNCTION("""COMPUTED_VALUE"""),"Dinari ARM")</f>
        <v>Dinari ARM</v>
      </c>
    </row>
    <row r="3874" spans="1:3" x14ac:dyDescent="0.25">
      <c r="A3874" s="2" t="str">
        <f ca="1">IFERROR(__xludf.DUMMYFUNCTION("""COMPUTED_VALUE"""),"dinari-brk-a-d")</f>
        <v>dinari-brk-a-d</v>
      </c>
      <c r="B3874" s="2" t="str">
        <f ca="1">IFERROR(__xludf.DUMMYFUNCTION("""COMPUTED_VALUE"""),"brk.a.d")</f>
        <v>brk.a.d</v>
      </c>
      <c r="C3874" s="2" t="str">
        <f ca="1">IFERROR(__xludf.DUMMYFUNCTION("""COMPUTED_VALUE"""),"Dinari BRK.A")</f>
        <v>Dinari BRK.A</v>
      </c>
    </row>
    <row r="3875" spans="1:3" x14ac:dyDescent="0.25">
      <c r="A3875" s="2" t="str">
        <f ca="1">IFERROR(__xludf.DUMMYFUNCTION("""COMPUTED_VALUE"""),"dinari-coin")</f>
        <v>dinari-coin</v>
      </c>
      <c r="B3875" s="2" t="str">
        <f ca="1">IFERROR(__xludf.DUMMYFUNCTION("""COMPUTED_VALUE"""),"coin.d")</f>
        <v>coin.d</v>
      </c>
      <c r="C3875" s="2" t="str">
        <f ca="1">IFERROR(__xludf.DUMMYFUNCTION("""COMPUTED_VALUE"""),"Dinari COIN")</f>
        <v>Dinari COIN</v>
      </c>
    </row>
    <row r="3876" spans="1:3" x14ac:dyDescent="0.25">
      <c r="A3876" s="2" t="str">
        <f ca="1">IFERROR(__xludf.DUMMYFUNCTION("""COMPUTED_VALUE"""),"dinari-dis-dshares")</f>
        <v>dinari-dis-dshares</v>
      </c>
      <c r="B3876" s="2" t="str">
        <f ca="1">IFERROR(__xludf.DUMMYFUNCTION("""COMPUTED_VALUE"""),"dis.d")</f>
        <v>dis.d</v>
      </c>
      <c r="C3876" s="2" t="str">
        <f ca="1">IFERROR(__xludf.DUMMYFUNCTION("""COMPUTED_VALUE"""),"Dinari DIS")</f>
        <v>Dinari DIS</v>
      </c>
    </row>
    <row r="3877" spans="1:3" x14ac:dyDescent="0.25">
      <c r="A3877" s="2" t="str">
        <f ca="1">IFERROR(__xludf.DUMMYFUNCTION("""COMPUTED_VALUE"""),"dinari-gme")</f>
        <v>dinari-gme</v>
      </c>
      <c r="B3877" s="2" t="str">
        <f ca="1">IFERROR(__xludf.DUMMYFUNCTION("""COMPUTED_VALUE"""),"gme.d")</f>
        <v>gme.d</v>
      </c>
      <c r="C3877" s="2" t="str">
        <f ca="1">IFERROR(__xludf.DUMMYFUNCTION("""COMPUTED_VALUE"""),"Dinari GME")</f>
        <v>Dinari GME</v>
      </c>
    </row>
    <row r="3878" spans="1:3" x14ac:dyDescent="0.25">
      <c r="A3878" s="2" t="str">
        <f ca="1">IFERROR(__xludf.DUMMYFUNCTION("""COMPUTED_VALUE"""),"dinari-googl-dshares")</f>
        <v>dinari-googl-dshares</v>
      </c>
      <c r="B3878" s="2" t="str">
        <f ca="1">IFERROR(__xludf.DUMMYFUNCTION("""COMPUTED_VALUE"""),"googl.d")</f>
        <v>googl.d</v>
      </c>
      <c r="C3878" s="2" t="str">
        <f ca="1">IFERROR(__xludf.DUMMYFUNCTION("""COMPUTED_VALUE"""),"Dinari GOOGL")</f>
        <v>Dinari GOOGL</v>
      </c>
    </row>
    <row r="3879" spans="1:3" x14ac:dyDescent="0.25">
      <c r="A3879" s="2" t="str">
        <f ca="1">IFERROR(__xludf.DUMMYFUNCTION("""COMPUTED_VALUE"""),"dinari-meta-dshare")</f>
        <v>dinari-meta-dshare</v>
      </c>
      <c r="B3879" s="2" t="str">
        <f ca="1">IFERROR(__xludf.DUMMYFUNCTION("""COMPUTED_VALUE"""),"meta.d")</f>
        <v>meta.d</v>
      </c>
      <c r="C3879" s="2" t="str">
        <f ca="1">IFERROR(__xludf.DUMMYFUNCTION("""COMPUTED_VALUE"""),"Dinari META")</f>
        <v>Dinari META</v>
      </c>
    </row>
    <row r="3880" spans="1:3" x14ac:dyDescent="0.25">
      <c r="A3880" s="2" t="str">
        <f ca="1">IFERROR(__xludf.DUMMYFUNCTION("""COMPUTED_VALUE"""),"dinari-msft-dshares")</f>
        <v>dinari-msft-dshares</v>
      </c>
      <c r="B3880" s="2" t="str">
        <f ca="1">IFERROR(__xludf.DUMMYFUNCTION("""COMPUTED_VALUE"""),"msft.d")</f>
        <v>msft.d</v>
      </c>
      <c r="C3880" s="2" t="str">
        <f ca="1">IFERROR(__xludf.DUMMYFUNCTION("""COMPUTED_VALUE"""),"Dinari MSFT")</f>
        <v>Dinari MSFT</v>
      </c>
    </row>
    <row r="3881" spans="1:3" x14ac:dyDescent="0.25">
      <c r="A3881" s="2" t="str">
        <f ca="1">IFERROR(__xludf.DUMMYFUNCTION("""COMPUTED_VALUE"""),"dinari-nflx-dshares")</f>
        <v>dinari-nflx-dshares</v>
      </c>
      <c r="B3881" s="2" t="str">
        <f ca="1">IFERROR(__xludf.DUMMYFUNCTION("""COMPUTED_VALUE"""),"nflx.d")</f>
        <v>nflx.d</v>
      </c>
      <c r="C3881" s="2" t="str">
        <f ca="1">IFERROR(__xludf.DUMMYFUNCTION("""COMPUTED_VALUE"""),"Dinari NFLX")</f>
        <v>Dinari NFLX</v>
      </c>
    </row>
    <row r="3882" spans="1:3" x14ac:dyDescent="0.25">
      <c r="A3882" s="2" t="str">
        <f ca="1">IFERROR(__xludf.DUMMYFUNCTION("""COMPUTED_VALUE"""),"dinari-nvda-dshares")</f>
        <v>dinari-nvda-dshares</v>
      </c>
      <c r="B3882" s="2" t="str">
        <f ca="1">IFERROR(__xludf.DUMMYFUNCTION("""COMPUTED_VALUE"""),"nvda.d")</f>
        <v>nvda.d</v>
      </c>
      <c r="C3882" s="2" t="str">
        <f ca="1">IFERROR(__xludf.DUMMYFUNCTION("""COMPUTED_VALUE"""),"Dinari NVDA")</f>
        <v>Dinari NVDA</v>
      </c>
    </row>
    <row r="3883" spans="1:3" x14ac:dyDescent="0.25">
      <c r="A3883" s="2" t="str">
        <f ca="1">IFERROR(__xludf.DUMMYFUNCTION("""COMPUTED_VALUE"""),"dinari-pfe-dshares")</f>
        <v>dinari-pfe-dshares</v>
      </c>
      <c r="B3883" s="2" t="str">
        <f ca="1">IFERROR(__xludf.DUMMYFUNCTION("""COMPUTED_VALUE"""),"pfe.d")</f>
        <v>pfe.d</v>
      </c>
      <c r="C3883" s="2" t="str">
        <f ca="1">IFERROR(__xludf.DUMMYFUNCTION("""COMPUTED_VALUE"""),"Dinari PFE")</f>
        <v>Dinari PFE</v>
      </c>
    </row>
    <row r="3884" spans="1:3" x14ac:dyDescent="0.25">
      <c r="A3884" s="2" t="str">
        <f ca="1">IFERROR(__xludf.DUMMYFUNCTION("""COMPUTED_VALUE"""),"dinari-pld")</f>
        <v>dinari-pld</v>
      </c>
      <c r="B3884" s="2" t="str">
        <f ca="1">IFERROR(__xludf.DUMMYFUNCTION("""COMPUTED_VALUE"""),"pld.d")</f>
        <v>pld.d</v>
      </c>
      <c r="C3884" s="2" t="str">
        <f ca="1">IFERROR(__xludf.DUMMYFUNCTION("""COMPUTED_VALUE"""),"Dinari PLD")</f>
        <v>Dinari PLD</v>
      </c>
    </row>
    <row r="3885" spans="1:3" x14ac:dyDescent="0.25">
      <c r="A3885" s="2" t="str">
        <f ca="1">IFERROR(__xludf.DUMMYFUNCTION("""COMPUTED_VALUE"""),"dinari-pypl-dshares")</f>
        <v>dinari-pypl-dshares</v>
      </c>
      <c r="B3885" s="2" t="str">
        <f ca="1">IFERROR(__xludf.DUMMYFUNCTION("""COMPUTED_VALUE"""),"pypl.d")</f>
        <v>pypl.d</v>
      </c>
      <c r="C3885" s="2" t="str">
        <f ca="1">IFERROR(__xludf.DUMMYFUNCTION("""COMPUTED_VALUE"""),"Dinari PYPL")</f>
        <v>Dinari PYPL</v>
      </c>
    </row>
    <row r="3886" spans="1:3" x14ac:dyDescent="0.25">
      <c r="A3886" s="2" t="str">
        <f ca="1">IFERROR(__xludf.DUMMYFUNCTION("""COMPUTED_VALUE"""),"dinari-rddt")</f>
        <v>dinari-rddt</v>
      </c>
      <c r="B3886" s="2" t="str">
        <f ca="1">IFERROR(__xludf.DUMMYFUNCTION("""COMPUTED_VALUE"""),"rddt.d")</f>
        <v>rddt.d</v>
      </c>
      <c r="C3886" s="2" t="str">
        <f ca="1">IFERROR(__xludf.DUMMYFUNCTION("""COMPUTED_VALUE"""),"Dinari RDDT")</f>
        <v>Dinari RDDT</v>
      </c>
    </row>
    <row r="3887" spans="1:3" x14ac:dyDescent="0.25">
      <c r="A3887" s="2" t="str">
        <f ca="1">IFERROR(__xludf.DUMMYFUNCTION("""COMPUTED_VALUE"""),"dinari-riot")</f>
        <v>dinari-riot</v>
      </c>
      <c r="B3887" s="2" t="str">
        <f ca="1">IFERROR(__xludf.DUMMYFUNCTION("""COMPUTED_VALUE"""),"riot.d")</f>
        <v>riot.d</v>
      </c>
      <c r="C3887" s="2" t="str">
        <f ca="1">IFERROR(__xludf.DUMMYFUNCTION("""COMPUTED_VALUE"""),"Dinari RIOT")</f>
        <v>Dinari RIOT</v>
      </c>
    </row>
    <row r="3888" spans="1:3" x14ac:dyDescent="0.25">
      <c r="A3888" s="2" t="str">
        <f ca="1">IFERROR(__xludf.DUMMYFUNCTION("""COMPUTED_VALUE"""),"dinari-spy-dshares")</f>
        <v>dinari-spy-dshares</v>
      </c>
      <c r="B3888" s="2" t="str">
        <f ca="1">IFERROR(__xludf.DUMMYFUNCTION("""COMPUTED_VALUE"""),"spy.d")</f>
        <v>spy.d</v>
      </c>
      <c r="C3888" s="2" t="str">
        <f ca="1">IFERROR(__xludf.DUMMYFUNCTION("""COMPUTED_VALUE"""),"Dinari SPY")</f>
        <v>Dinari SPY</v>
      </c>
    </row>
    <row r="3889" spans="1:3" x14ac:dyDescent="0.25">
      <c r="A3889" s="2" t="str">
        <f ca="1">IFERROR(__xludf.DUMMYFUNCTION("""COMPUTED_VALUE"""),"dinari-tsla-dshares")</f>
        <v>dinari-tsla-dshares</v>
      </c>
      <c r="B3889" s="2" t="str">
        <f ca="1">IFERROR(__xludf.DUMMYFUNCTION("""COMPUTED_VALUE"""),"tsla.d")</f>
        <v>tsla.d</v>
      </c>
      <c r="C3889" s="2" t="str">
        <f ca="1">IFERROR(__xludf.DUMMYFUNCTION("""COMPUTED_VALUE"""),"Dinari TSLA")</f>
        <v>Dinari TSLA</v>
      </c>
    </row>
    <row r="3890" spans="1:3" x14ac:dyDescent="0.25">
      <c r="A3890" s="2" t="str">
        <f ca="1">IFERROR(__xludf.DUMMYFUNCTION("""COMPUTED_VALUE"""),"dinari-uber")</f>
        <v>dinari-uber</v>
      </c>
      <c r="B3890" s="2" t="str">
        <f ca="1">IFERROR(__xludf.DUMMYFUNCTION("""COMPUTED_VALUE"""),"uber.d")</f>
        <v>uber.d</v>
      </c>
      <c r="C3890" s="2" t="str">
        <f ca="1">IFERROR(__xludf.DUMMYFUNCTION("""COMPUTED_VALUE"""),"Dinari UBER")</f>
        <v>Dinari UBER</v>
      </c>
    </row>
    <row r="3891" spans="1:3" x14ac:dyDescent="0.25">
      <c r="A3891" s="2" t="str">
        <f ca="1">IFERROR(__xludf.DUMMYFUNCTION("""COMPUTED_VALUE"""),"dinari-usd")</f>
        <v>dinari-usd</v>
      </c>
      <c r="B3891" s="2" t="str">
        <f ca="1">IFERROR(__xludf.DUMMYFUNCTION("""COMPUTED_VALUE"""),"usd+")</f>
        <v>usd+</v>
      </c>
      <c r="C3891" s="2" t="str">
        <f ca="1">IFERROR(__xludf.DUMMYFUNCTION("""COMPUTED_VALUE"""),"Dinari USD+")</f>
        <v>Dinari USD+</v>
      </c>
    </row>
    <row r="3892" spans="1:3" x14ac:dyDescent="0.25">
      <c r="A3892" s="2" t="str">
        <f ca="1">IFERROR(__xludf.DUMMYFUNCTION("""COMPUTED_VALUE"""),"dinari-usfr-dshares")</f>
        <v>dinari-usfr-dshares</v>
      </c>
      <c r="B3892" s="2" t="str">
        <f ca="1">IFERROR(__xludf.DUMMYFUNCTION("""COMPUTED_VALUE"""),"usfr.d")</f>
        <v>usfr.d</v>
      </c>
      <c r="C3892" s="2" t="str">
        <f ca="1">IFERROR(__xludf.DUMMYFUNCTION("""COMPUTED_VALUE"""),"Dinari USFR")</f>
        <v>Dinari USFR</v>
      </c>
    </row>
    <row r="3893" spans="1:3" x14ac:dyDescent="0.25">
      <c r="A3893" s="2" t="str">
        <f ca="1">IFERROR(__xludf.DUMMYFUNCTION("""COMPUTED_VALUE"""),"dinartether")</f>
        <v>dinartether</v>
      </c>
      <c r="B3893" s="2" t="str">
        <f ca="1">IFERROR(__xludf.DUMMYFUNCTION("""COMPUTED_VALUE"""),"dint")</f>
        <v>dint</v>
      </c>
      <c r="C3893" s="2" t="str">
        <f ca="1">IFERROR(__xludf.DUMMYFUNCTION("""COMPUTED_VALUE"""),"DinarTether")</f>
        <v>DinarTether</v>
      </c>
    </row>
    <row r="3894" spans="1:3" x14ac:dyDescent="0.25">
      <c r="A3894" s="2" t="str">
        <f ca="1">IFERROR(__xludf.DUMMYFUNCTION("""COMPUTED_VALUE"""),"dinero-2")</f>
        <v>dinero-2</v>
      </c>
      <c r="B3894" s="2" t="str">
        <f ca="1">IFERROR(__xludf.DUMMYFUNCTION("""COMPUTED_VALUE"""),"dinero")</f>
        <v>dinero</v>
      </c>
      <c r="C3894" s="2" t="str">
        <f ca="1">IFERROR(__xludf.DUMMYFUNCTION("""COMPUTED_VALUE"""),"Dinero")</f>
        <v>Dinero</v>
      </c>
    </row>
    <row r="3895" spans="1:3" x14ac:dyDescent="0.25">
      <c r="A3895" s="2" t="str">
        <f ca="1">IFERROR(__xludf.DUMMYFUNCTION("""COMPUTED_VALUE"""),"dinero-apxeth")</f>
        <v>dinero-apxeth</v>
      </c>
      <c r="B3895" s="2" t="str">
        <f ca="1">IFERROR(__xludf.DUMMYFUNCTION("""COMPUTED_VALUE"""),"apxeth")</f>
        <v>apxeth</v>
      </c>
      <c r="C3895" s="2" t="str">
        <f ca="1">IFERROR(__xludf.DUMMYFUNCTION("""COMPUTED_VALUE"""),"Dinero apxETH")</f>
        <v>Dinero apxETH</v>
      </c>
    </row>
    <row r="3896" spans="1:3" x14ac:dyDescent="0.25">
      <c r="A3896" s="2" t="str">
        <f ca="1">IFERROR(__xludf.DUMMYFUNCTION("""COMPUTED_VALUE"""),"dinerobet")</f>
        <v>dinerobet</v>
      </c>
      <c r="B3896" s="2" t="str">
        <f ca="1">IFERROR(__xludf.DUMMYFUNCTION("""COMPUTED_VALUE"""),"dinero")</f>
        <v>dinero</v>
      </c>
      <c r="C3896" s="2" t="str">
        <f ca="1">IFERROR(__xludf.DUMMYFUNCTION("""COMPUTED_VALUE"""),"Dinerobet")</f>
        <v>Dinerobet</v>
      </c>
    </row>
    <row r="3897" spans="1:3" x14ac:dyDescent="0.25">
      <c r="A3897" s="2" t="str">
        <f ca="1">IFERROR(__xludf.DUMMYFUNCTION("""COMPUTED_VALUE"""),"dinero-staked-eth")</f>
        <v>dinero-staked-eth</v>
      </c>
      <c r="B3897" s="2" t="str">
        <f ca="1">IFERROR(__xludf.DUMMYFUNCTION("""COMPUTED_VALUE"""),"pxeth")</f>
        <v>pxeth</v>
      </c>
      <c r="C3897" s="2" t="str">
        <f ca="1">IFERROR(__xludf.DUMMYFUNCTION("""COMPUTED_VALUE"""),"Dinero Staked ETH")</f>
        <v>Dinero Staked ETH</v>
      </c>
    </row>
    <row r="3898" spans="1:3" x14ac:dyDescent="0.25">
      <c r="A3898" s="2" t="str">
        <f ca="1">IFERROR(__xludf.DUMMYFUNCTION("""COMPUTED_VALUE"""),"dinger-token")</f>
        <v>dinger-token</v>
      </c>
      <c r="B3898" s="2" t="str">
        <f ca="1">IFERROR(__xludf.DUMMYFUNCTION("""COMPUTED_VALUE"""),"dinger")</f>
        <v>dinger</v>
      </c>
      <c r="C3898" s="2" t="str">
        <f ca="1">IFERROR(__xludf.DUMMYFUNCTION("""COMPUTED_VALUE"""),"Dinger")</f>
        <v>Dinger</v>
      </c>
    </row>
    <row r="3899" spans="1:3" x14ac:dyDescent="0.25">
      <c r="A3899" s="2" t="str">
        <f ca="1">IFERROR(__xludf.DUMMYFUNCTION("""COMPUTED_VALUE"""),"dingocoin")</f>
        <v>dingocoin</v>
      </c>
      <c r="B3899" s="2" t="str">
        <f ca="1">IFERROR(__xludf.DUMMYFUNCTION("""COMPUTED_VALUE"""),"dingo")</f>
        <v>dingo</v>
      </c>
      <c r="C3899" s="2" t="str">
        <f ca="1">IFERROR(__xludf.DUMMYFUNCTION("""COMPUTED_VALUE"""),"Dingocoin")</f>
        <v>Dingocoin</v>
      </c>
    </row>
    <row r="3900" spans="1:3" x14ac:dyDescent="0.25">
      <c r="A3900" s="2" t="str">
        <f ca="1">IFERROR(__xludf.DUMMYFUNCTION("""COMPUTED_VALUE"""),"dinj")</f>
        <v>dinj</v>
      </c>
      <c r="B3900" s="2" t="str">
        <f ca="1">IFERROR(__xludf.DUMMYFUNCTION("""COMPUTED_VALUE"""),"dinj")</f>
        <v>dinj</v>
      </c>
      <c r="C3900" s="2" t="str">
        <f ca="1">IFERROR(__xludf.DUMMYFUNCTION("""COMPUTED_VALUE"""),"dINJ")</f>
        <v>dINJ</v>
      </c>
    </row>
    <row r="3901" spans="1:3" x14ac:dyDescent="0.25">
      <c r="A3901" s="2" t="str">
        <f ca="1">IFERROR(__xludf.DUMMYFUNCTION("""COMPUTED_VALUE"""),"dino")</f>
        <v>dino</v>
      </c>
      <c r="B3901" s="2" t="str">
        <f ca="1">IFERROR(__xludf.DUMMYFUNCTION("""COMPUTED_VALUE"""),"dino")</f>
        <v>dino</v>
      </c>
      <c r="C3901" s="2" t="str">
        <f ca="1">IFERROR(__xludf.DUMMYFUNCTION("""COMPUTED_VALUE"""),"Dino")</f>
        <v>Dino</v>
      </c>
    </row>
    <row r="3902" spans="1:3" x14ac:dyDescent="0.25">
      <c r="A3902" s="2" t="str">
        <f ca="1">IFERROR(__xludf.DUMMYFUNCTION("""COMPUTED_VALUE"""),"dino-dragon")</f>
        <v>dino-dragon</v>
      </c>
      <c r="B3902" s="2" t="str">
        <f ca="1">IFERROR(__xludf.DUMMYFUNCTION("""COMPUTED_VALUE"""),"dino")</f>
        <v>dino</v>
      </c>
      <c r="C3902" s="2" t="str">
        <f ca="1">IFERROR(__xludf.DUMMYFUNCTION("""COMPUTED_VALUE"""),"Dino Dragon")</f>
        <v>Dino Dragon</v>
      </c>
    </row>
    <row r="3903" spans="1:3" x14ac:dyDescent="0.25">
      <c r="A3903" s="2" t="str">
        <f ca="1">IFERROR(__xludf.DUMMYFUNCTION("""COMPUTED_VALUE"""),"dinolfg")</f>
        <v>dinolfg</v>
      </c>
      <c r="B3903" s="2" t="str">
        <f ca="1">IFERROR(__xludf.DUMMYFUNCTION("""COMPUTED_VALUE"""),"dino")</f>
        <v>dino</v>
      </c>
      <c r="C3903" s="2" t="str">
        <f ca="1">IFERROR(__xludf.DUMMYFUNCTION("""COMPUTED_VALUE"""),"DinoLFG")</f>
        <v>DinoLFG</v>
      </c>
    </row>
    <row r="3904" spans="1:3" x14ac:dyDescent="0.25">
      <c r="A3904" s="2" t="str">
        <f ca="1">IFERROR(__xludf.DUMMYFUNCTION("""COMPUTED_VALUE"""),"dino-poker")</f>
        <v>dino-poker</v>
      </c>
      <c r="B3904" s="2" t="str">
        <f ca="1">IFERROR(__xludf.DUMMYFUNCTION("""COMPUTED_VALUE"""),"rawr")</f>
        <v>rawr</v>
      </c>
      <c r="C3904" s="2" t="str">
        <f ca="1">IFERROR(__xludf.DUMMYFUNCTION("""COMPUTED_VALUE"""),"Dino Poker")</f>
        <v>Dino Poker</v>
      </c>
    </row>
    <row r="3905" spans="1:3" x14ac:dyDescent="0.25">
      <c r="A3905" s="2" t="str">
        <f ca="1">IFERROR(__xludf.DUMMYFUNCTION("""COMPUTED_VALUE"""),"dinosaur-inu")</f>
        <v>dinosaur-inu</v>
      </c>
      <c r="B3905" s="2" t="str">
        <f ca="1">IFERROR(__xludf.DUMMYFUNCTION("""COMPUTED_VALUE"""),"dino")</f>
        <v>dino</v>
      </c>
      <c r="C3905" s="2" t="str">
        <f ca="1">IFERROR(__xludf.DUMMYFUNCTION("""COMPUTED_VALUE"""),"Dinosaur Inu")</f>
        <v>Dinosaur Inu</v>
      </c>
    </row>
    <row r="3906" spans="1:3" x14ac:dyDescent="0.25">
      <c r="A3906" s="2" t="str">
        <f ca="1">IFERROR(__xludf.DUMMYFUNCTION("""COMPUTED_VALUE"""),"dinoshi")</f>
        <v>dinoshi</v>
      </c>
      <c r="B3906" s="2" t="str">
        <f ca="1">IFERROR(__xludf.DUMMYFUNCTION("""COMPUTED_VALUE"""),"dinoshi")</f>
        <v>dinoshi</v>
      </c>
      <c r="C3906" s="2" t="str">
        <f ca="1">IFERROR(__xludf.DUMMYFUNCTION("""COMPUTED_VALUE"""),"DINOSHI")</f>
        <v>DINOSHI</v>
      </c>
    </row>
    <row r="3907" spans="1:3" x14ac:dyDescent="0.25">
      <c r="A3907" s="2" t="str">
        <f ca="1">IFERROR(__xludf.DUMMYFUNCTION("""COMPUTED_VALUE"""),"dinosol")</f>
        <v>dinosol</v>
      </c>
      <c r="B3907" s="2" t="str">
        <f ca="1">IFERROR(__xludf.DUMMYFUNCTION("""COMPUTED_VALUE"""),"dinosol")</f>
        <v>dinosol</v>
      </c>
      <c r="C3907" s="2" t="str">
        <f ca="1">IFERROR(__xludf.DUMMYFUNCTION("""COMPUTED_VALUE"""),"Dinosol")</f>
        <v>Dinosol</v>
      </c>
    </row>
    <row r="3908" spans="1:3" x14ac:dyDescent="0.25">
      <c r="A3908" s="2" t="str">
        <f ca="1">IFERROR(__xludf.DUMMYFUNCTION("""COMPUTED_VALUE"""),"dinoswap")</f>
        <v>dinoswap</v>
      </c>
      <c r="B3908" s="2" t="str">
        <f ca="1">IFERROR(__xludf.DUMMYFUNCTION("""COMPUTED_VALUE"""),"dino")</f>
        <v>dino</v>
      </c>
      <c r="C3908" s="2" t="str">
        <f ca="1">IFERROR(__xludf.DUMMYFUNCTION("""COMPUTED_VALUE"""),"DinoSwap")</f>
        <v>DinoSwap</v>
      </c>
    </row>
    <row r="3909" spans="1:3" x14ac:dyDescent="0.25">
      <c r="A3909" s="2" t="str">
        <f ca="1">IFERROR(__xludf.DUMMYFUNCTION("""COMPUTED_VALUE"""),"dinox")</f>
        <v>dinox</v>
      </c>
      <c r="B3909" s="2" t="str">
        <f ca="1">IFERROR(__xludf.DUMMYFUNCTION("""COMPUTED_VALUE"""),"dnxc")</f>
        <v>dnxc</v>
      </c>
      <c r="C3909" s="2" t="str">
        <f ca="1">IFERROR(__xludf.DUMMYFUNCTION("""COMPUTED_VALUE"""),"DinoX")</f>
        <v>DinoX</v>
      </c>
    </row>
    <row r="3910" spans="1:3" x14ac:dyDescent="0.25">
      <c r="A3910" s="2" t="str">
        <f ca="1">IFERROR(__xludf.DUMMYFUNCTION("""COMPUTED_VALUE"""),"dinu")</f>
        <v>dinu</v>
      </c>
      <c r="B3910" s="2" t="str">
        <f ca="1">IFERROR(__xludf.DUMMYFUNCTION("""COMPUTED_VALUE"""),"dinu")</f>
        <v>dinu</v>
      </c>
      <c r="C3910" s="2" t="str">
        <f ca="1">IFERROR(__xludf.DUMMYFUNCTION("""COMPUTED_VALUE"""),"DINU")</f>
        <v>DINU</v>
      </c>
    </row>
    <row r="3911" spans="1:3" x14ac:dyDescent="0.25">
      <c r="A3911" s="2" t="str">
        <f ca="1">IFERROR(__xludf.DUMMYFUNCTION("""COMPUTED_VALUE"""),"dione")</f>
        <v>dione</v>
      </c>
      <c r="B3911" s="2" t="str">
        <f ca="1">IFERROR(__xludf.DUMMYFUNCTION("""COMPUTED_VALUE"""),"dione")</f>
        <v>dione</v>
      </c>
      <c r="C3911" s="2" t="str">
        <f ca="1">IFERROR(__xludf.DUMMYFUNCTION("""COMPUTED_VALUE"""),"Dione")</f>
        <v>Dione</v>
      </c>
    </row>
    <row r="3912" spans="1:3" x14ac:dyDescent="0.25">
      <c r="A3912" s="2" t="str">
        <f ca="1">IFERROR(__xludf.DUMMYFUNCTION("""COMPUTED_VALUE"""),"diqinu")</f>
        <v>diqinu</v>
      </c>
      <c r="B3912" s="2" t="str">
        <f ca="1">IFERROR(__xludf.DUMMYFUNCTION("""COMPUTED_VALUE"""),"diq")</f>
        <v>diq</v>
      </c>
      <c r="C3912" s="2" t="str">
        <f ca="1">IFERROR(__xludf.DUMMYFUNCTION("""COMPUTED_VALUE"""),"DIQINU")</f>
        <v>DIQINU</v>
      </c>
    </row>
    <row r="3913" spans="1:3" x14ac:dyDescent="0.25">
      <c r="A3913" s="2" t="str">
        <f ca="1">IFERROR(__xludf.DUMMYFUNCTION("""COMPUTED_VALUE"""),"dirty-street-cats")</f>
        <v>dirty-street-cats</v>
      </c>
      <c r="B3913" s="2" t="str">
        <f ca="1">IFERROR(__xludf.DUMMYFUNCTION("""COMPUTED_VALUE"""),"dirty")</f>
        <v>dirty</v>
      </c>
      <c r="C3913" s="2" t="str">
        <f ca="1">IFERROR(__xludf.DUMMYFUNCTION("""COMPUTED_VALUE"""),"Dirty Street Cats")</f>
        <v>Dirty Street Cats</v>
      </c>
    </row>
    <row r="3914" spans="1:3" x14ac:dyDescent="0.25">
      <c r="A3914" s="2" t="str">
        <f ca="1">IFERROR(__xludf.DUMMYFUNCTION("""COMPUTED_VALUE"""),"disbalancer")</f>
        <v>disbalancer</v>
      </c>
      <c r="B3914" s="2" t="str">
        <f ca="1">IFERROR(__xludf.DUMMYFUNCTION("""COMPUTED_VALUE"""),"ddos")</f>
        <v>ddos</v>
      </c>
      <c r="C3914" s="2" t="str">
        <f ca="1">IFERROR(__xludf.DUMMYFUNCTION("""COMPUTED_VALUE"""),"disBalancer")</f>
        <v>disBalancer</v>
      </c>
    </row>
    <row r="3915" spans="1:3" x14ac:dyDescent="0.25">
      <c r="A3915" s="2" t="str">
        <f ca="1">IFERROR(__xludf.DUMMYFUNCTION("""COMPUTED_VALUE"""),"diskneeplus")</f>
        <v>diskneeplus</v>
      </c>
      <c r="B3915" s="2" t="str">
        <f ca="1">IFERROR(__xludf.DUMMYFUNCTION("""COMPUTED_VALUE"""),"disknee")</f>
        <v>disknee</v>
      </c>
      <c r="C3915" s="2" t="str">
        <f ca="1">IFERROR(__xludf.DUMMYFUNCTION("""COMPUTED_VALUE"""),"Diskneeplus")</f>
        <v>Diskneeplus</v>
      </c>
    </row>
    <row r="3916" spans="1:3" x14ac:dyDescent="0.25">
      <c r="A3916" s="2" t="str">
        <f ca="1">IFERROR(__xludf.DUMMYFUNCTION("""COMPUTED_VALUE"""),"distracted-dudes")</f>
        <v>distracted-dudes</v>
      </c>
      <c r="B3916" s="2" t="str">
        <f ca="1">IFERROR(__xludf.DUMMYFUNCTION("""COMPUTED_VALUE"""),"dude")</f>
        <v>dude</v>
      </c>
      <c r="C3916" s="2" t="str">
        <f ca="1">IFERROR(__xludf.DUMMYFUNCTION("""COMPUTED_VALUE"""),"Distracted Dudes")</f>
        <v>Distracted Dudes</v>
      </c>
    </row>
    <row r="3917" spans="1:3" x14ac:dyDescent="0.25">
      <c r="A3917" s="2" t="str">
        <f ca="1">IFERROR(__xludf.DUMMYFUNCTION("""COMPUTED_VALUE"""),"district0x")</f>
        <v>district0x</v>
      </c>
      <c r="B3917" s="2" t="str">
        <f ca="1">IFERROR(__xludf.DUMMYFUNCTION("""COMPUTED_VALUE"""),"dnt")</f>
        <v>dnt</v>
      </c>
      <c r="C3917" s="2" t="str">
        <f ca="1">IFERROR(__xludf.DUMMYFUNCTION("""COMPUTED_VALUE"""),"district0x")</f>
        <v>district0x</v>
      </c>
    </row>
    <row r="3918" spans="1:3" x14ac:dyDescent="0.25">
      <c r="A3918" s="2" t="str">
        <f ca="1">IFERROR(__xludf.DUMMYFUNCTION("""COMPUTED_VALUE"""),"dither")</f>
        <v>dither</v>
      </c>
      <c r="B3918" s="2" t="str">
        <f ca="1">IFERROR(__xludf.DUMMYFUNCTION("""COMPUTED_VALUE"""),"dith")</f>
        <v>dith</v>
      </c>
      <c r="C3918" s="2" t="str">
        <f ca="1">IFERROR(__xludf.DUMMYFUNCTION("""COMPUTED_VALUE"""),"Dither")</f>
        <v>Dither</v>
      </c>
    </row>
    <row r="3919" spans="1:3" x14ac:dyDescent="0.25">
      <c r="A3919" s="2" t="str">
        <f ca="1">IFERROR(__xludf.DUMMYFUNCTION("""COMPUTED_VALUE"""),"ditto-staked-aptos")</f>
        <v>ditto-staked-aptos</v>
      </c>
      <c r="B3919" s="2" t="str">
        <f ca="1">IFERROR(__xludf.DUMMYFUNCTION("""COMPUTED_VALUE"""),"stapt")</f>
        <v>stapt</v>
      </c>
      <c r="C3919" s="2" t="str">
        <f ca="1">IFERROR(__xludf.DUMMYFUNCTION("""COMPUTED_VALUE"""),"Ditto Staked Aptos")</f>
        <v>Ditto Staked Aptos</v>
      </c>
    </row>
    <row r="3920" spans="1:3" x14ac:dyDescent="0.25">
      <c r="A3920" s="2" t="str">
        <f ca="1">IFERROR(__xludf.DUMMYFUNCTION("""COMPUTED_VALUE"""),"diva-protocol")</f>
        <v>diva-protocol</v>
      </c>
      <c r="B3920" s="2" t="str">
        <f ca="1">IFERROR(__xludf.DUMMYFUNCTION("""COMPUTED_VALUE"""),"diva")</f>
        <v>diva</v>
      </c>
      <c r="C3920" s="2" t="str">
        <f ca="1">IFERROR(__xludf.DUMMYFUNCTION("""COMPUTED_VALUE"""),"DIVA Protocol")</f>
        <v>DIVA Protocol</v>
      </c>
    </row>
    <row r="3921" spans="1:3" x14ac:dyDescent="0.25">
      <c r="A3921" s="2" t="str">
        <f ca="1">IFERROR(__xludf.DUMMYFUNCTION("""COMPUTED_VALUE"""),"diva-staking")</f>
        <v>diva-staking</v>
      </c>
      <c r="B3921" s="2" t="str">
        <f ca="1">IFERROR(__xludf.DUMMYFUNCTION("""COMPUTED_VALUE"""),"diva")</f>
        <v>diva</v>
      </c>
      <c r="C3921" s="2" t="str">
        <f ca="1">IFERROR(__xludf.DUMMYFUNCTION("""COMPUTED_VALUE"""),"Diva Staking")</f>
        <v>Diva Staking</v>
      </c>
    </row>
    <row r="3922" spans="1:3" x14ac:dyDescent="0.25">
      <c r="A3922" s="2" t="str">
        <f ca="1">IFERROR(__xludf.DUMMYFUNCTION("""COMPUTED_VALUE"""),"divergence-protocol")</f>
        <v>divergence-protocol</v>
      </c>
      <c r="B3922" s="2" t="str">
        <f ca="1">IFERROR(__xludf.DUMMYFUNCTION("""COMPUTED_VALUE"""),"diver")</f>
        <v>diver</v>
      </c>
      <c r="C3922" s="2" t="str">
        <f ca="1">IFERROR(__xludf.DUMMYFUNCTION("""COMPUTED_VALUE"""),"Divergence Protocol")</f>
        <v>Divergence Protocol</v>
      </c>
    </row>
    <row r="3923" spans="1:3" x14ac:dyDescent="0.25">
      <c r="A3923" s="2" t="str">
        <f ca="1">IFERROR(__xludf.DUMMYFUNCTION("""COMPUTED_VALUE"""),"diversified-staked-eth")</f>
        <v>diversified-staked-eth</v>
      </c>
      <c r="B3923" s="2" t="str">
        <f ca="1">IFERROR(__xludf.DUMMYFUNCTION("""COMPUTED_VALUE"""),"dseth")</f>
        <v>dseth</v>
      </c>
      <c r="C3923" s="2" t="str">
        <f ca="1">IFERROR(__xludf.DUMMYFUNCTION("""COMPUTED_VALUE"""),"Diversified Staked ETH")</f>
        <v>Diversified Staked ETH</v>
      </c>
    </row>
    <row r="3924" spans="1:3" x14ac:dyDescent="0.25">
      <c r="A3924" s="2" t="str">
        <f ca="1">IFERROR(__xludf.DUMMYFUNCTION("""COMPUTED_VALUE"""),"divi")</f>
        <v>divi</v>
      </c>
      <c r="B3924" s="2" t="str">
        <f ca="1">IFERROR(__xludf.DUMMYFUNCTION("""COMPUTED_VALUE"""),"divi")</f>
        <v>divi</v>
      </c>
      <c r="C3924" s="2" t="str">
        <f ca="1">IFERROR(__xludf.DUMMYFUNCTION("""COMPUTED_VALUE"""),"Divi")</f>
        <v>Divi</v>
      </c>
    </row>
    <row r="3925" spans="1:3" x14ac:dyDescent="0.25">
      <c r="A3925" s="2" t="str">
        <f ca="1">IFERROR(__xludf.DUMMYFUNCTION("""COMPUTED_VALUE"""),"divincipay")</f>
        <v>divincipay</v>
      </c>
      <c r="B3925" s="2" t="str">
        <f ca="1">IFERROR(__xludf.DUMMYFUNCTION("""COMPUTED_VALUE"""),"dvnci")</f>
        <v>dvnci</v>
      </c>
      <c r="C3925" s="2" t="str">
        <f ca="1">IFERROR(__xludf.DUMMYFUNCTION("""COMPUTED_VALUE"""),"DiVinciPay")</f>
        <v>DiVinciPay</v>
      </c>
    </row>
    <row r="3926" spans="1:3" x14ac:dyDescent="0.25">
      <c r="A3926" s="2" t="str">
        <f ca="1">IFERROR(__xludf.DUMMYFUNCTION("""COMPUTED_VALUE"""),"dizzyhavoc")</f>
        <v>dizzyhavoc</v>
      </c>
      <c r="B3926" s="2" t="str">
        <f ca="1">IFERROR(__xludf.DUMMYFUNCTION("""COMPUTED_VALUE"""),"dzhv")</f>
        <v>dzhv</v>
      </c>
      <c r="C3926" s="2" t="str">
        <f ca="1">IFERROR(__xludf.DUMMYFUNCTION("""COMPUTED_VALUE"""),"DizzyHavoc")</f>
        <v>DizzyHavoc</v>
      </c>
    </row>
    <row r="3927" spans="1:3" x14ac:dyDescent="0.25">
      <c r="A3927" s="2" t="str">
        <f ca="1">IFERROR(__xludf.DUMMYFUNCTION("""COMPUTED_VALUE"""),"djbonk")</f>
        <v>djbonk</v>
      </c>
      <c r="B3927" s="2" t="str">
        <f ca="1">IFERROR(__xludf.DUMMYFUNCTION("""COMPUTED_VALUE"""),"djbonk")</f>
        <v>djbonk</v>
      </c>
      <c r="C3927" s="2" t="str">
        <f ca="1">IFERROR(__xludf.DUMMYFUNCTION("""COMPUTED_VALUE"""),"DJBONK")</f>
        <v>DJBONK</v>
      </c>
    </row>
    <row r="3928" spans="1:3" x14ac:dyDescent="0.25">
      <c r="A3928" s="2" t="str">
        <f ca="1">IFERROR(__xludf.DUMMYFUNCTION("""COMPUTED_VALUE"""),"djcat")</f>
        <v>djcat</v>
      </c>
      <c r="B3928" s="2" t="str">
        <f ca="1">IFERROR(__xludf.DUMMYFUNCTION("""COMPUTED_VALUE"""),"djcat")</f>
        <v>djcat</v>
      </c>
      <c r="C3928" s="2" t="str">
        <f ca="1">IFERROR(__xludf.DUMMYFUNCTION("""COMPUTED_VALUE"""),"DJCAT")</f>
        <v>DJCAT</v>
      </c>
    </row>
    <row r="3929" spans="1:3" x14ac:dyDescent="0.25">
      <c r="A3929" s="2" t="str">
        <f ca="1">IFERROR(__xludf.DUMMYFUNCTION("""COMPUTED_VALUE"""),"djed")</f>
        <v>djed</v>
      </c>
      <c r="B3929" s="2" t="str">
        <f ca="1">IFERROR(__xludf.DUMMYFUNCTION("""COMPUTED_VALUE"""),"djed")</f>
        <v>djed</v>
      </c>
      <c r="C3929" s="2" t="str">
        <f ca="1">IFERROR(__xludf.DUMMYFUNCTION("""COMPUTED_VALUE"""),"Djed")</f>
        <v>Djed</v>
      </c>
    </row>
    <row r="3930" spans="1:3" x14ac:dyDescent="0.25">
      <c r="A3930" s="2" t="str">
        <f ca="1">IFERROR(__xludf.DUMMYFUNCTION("""COMPUTED_VALUE"""),"djenn")</f>
        <v>djenn</v>
      </c>
      <c r="B3930" s="2" t="str">
        <f ca="1">IFERROR(__xludf.DUMMYFUNCTION("""COMPUTED_VALUE"""),"coin")</f>
        <v>coin</v>
      </c>
      <c r="C3930" s="2" t="str">
        <f ca="1">IFERROR(__xludf.DUMMYFUNCTION("""COMPUTED_VALUE"""),"DJENN")</f>
        <v>DJENN</v>
      </c>
    </row>
    <row r="3931" spans="1:3" x14ac:dyDescent="0.25">
      <c r="A3931" s="2" t="str">
        <f ca="1">IFERROR(__xludf.DUMMYFUNCTION("""COMPUTED_VALUE"""),"dkargo")</f>
        <v>dkargo</v>
      </c>
      <c r="B3931" s="2" t="str">
        <f ca="1">IFERROR(__xludf.DUMMYFUNCTION("""COMPUTED_VALUE"""),"dka")</f>
        <v>dka</v>
      </c>
      <c r="C3931" s="2" t="str">
        <f ca="1">IFERROR(__xludf.DUMMYFUNCTION("""COMPUTED_VALUE"""),"dKargo")</f>
        <v>dKargo</v>
      </c>
    </row>
    <row r="3932" spans="1:3" x14ac:dyDescent="0.25">
      <c r="A3932" s="2" t="str">
        <f ca="1">IFERROR(__xludf.DUMMYFUNCTION("""COMPUTED_VALUE"""),"dkey-bank")</f>
        <v>dkey-bank</v>
      </c>
      <c r="B3932" s="2" t="str">
        <f ca="1">IFERROR(__xludf.DUMMYFUNCTION("""COMPUTED_VALUE"""),"dkey")</f>
        <v>dkey</v>
      </c>
      <c r="C3932" s="2" t="str">
        <f ca="1">IFERROR(__xludf.DUMMYFUNCTION("""COMPUTED_VALUE"""),"DKEY Bank")</f>
        <v>DKEY Bank</v>
      </c>
    </row>
    <row r="3933" spans="1:3" x14ac:dyDescent="0.25">
      <c r="A3933" s="2" t="str">
        <f ca="1">IFERROR(__xludf.DUMMYFUNCTION("""COMPUTED_VALUE"""),"dlc-link-dlcbtc")</f>
        <v>dlc-link-dlcbtc</v>
      </c>
      <c r="B3933" s="2" t="str">
        <f ca="1">IFERROR(__xludf.DUMMYFUNCTION("""COMPUTED_VALUE"""),"dlcbtc")</f>
        <v>dlcbtc</v>
      </c>
      <c r="C3933" s="2" t="str">
        <f ca="1">IFERROR(__xludf.DUMMYFUNCTION("""COMPUTED_VALUE"""),"dlcBTC")</f>
        <v>dlcBTC</v>
      </c>
    </row>
    <row r="3934" spans="1:3" x14ac:dyDescent="0.25">
      <c r="A3934" s="2" t="str">
        <f ca="1">IFERROR(__xludf.DUMMYFUNCTION("""COMPUTED_VALUE"""),"dlp-duck-token")</f>
        <v>dlp-duck-token</v>
      </c>
      <c r="B3934" s="2" t="str">
        <f ca="1">IFERROR(__xludf.DUMMYFUNCTION("""COMPUTED_VALUE"""),"duck")</f>
        <v>duck</v>
      </c>
      <c r="C3934" s="2" t="str">
        <f ca="1">IFERROR(__xludf.DUMMYFUNCTION("""COMPUTED_VALUE"""),"DLP Duck")</f>
        <v>DLP Duck</v>
      </c>
    </row>
    <row r="3935" spans="1:3" x14ac:dyDescent="0.25">
      <c r="A3935" s="2" t="str">
        <f ca="1">IFERROR(__xludf.DUMMYFUNCTION("""COMPUTED_VALUE"""),"dmail-network")</f>
        <v>dmail-network</v>
      </c>
      <c r="B3935" s="2" t="str">
        <f ca="1">IFERROR(__xludf.DUMMYFUNCTION("""COMPUTED_VALUE"""),"dmail")</f>
        <v>dmail</v>
      </c>
      <c r="C3935" s="2" t="str">
        <f ca="1">IFERROR(__xludf.DUMMYFUNCTION("""COMPUTED_VALUE"""),"Dmail Network")</f>
        <v>Dmail Network</v>
      </c>
    </row>
    <row r="3936" spans="1:3" x14ac:dyDescent="0.25">
      <c r="A3936" s="2" t="str">
        <f ca="1">IFERROR(__xludf.DUMMYFUNCTION("""COMPUTED_VALUE"""),"dmx")</f>
        <v>dmx</v>
      </c>
      <c r="B3936" s="2" t="str">
        <f ca="1">IFERROR(__xludf.DUMMYFUNCTION("""COMPUTED_VALUE"""),"dmx")</f>
        <v>dmx</v>
      </c>
      <c r="C3936" s="2" t="str">
        <f ca="1">IFERROR(__xludf.DUMMYFUNCTION("""COMPUTED_VALUE"""),"DMX")</f>
        <v>DMX</v>
      </c>
    </row>
    <row r="3937" spans="1:3" x14ac:dyDescent="0.25">
      <c r="A3937" s="2" t="str">
        <f ca="1">IFERROR(__xludf.DUMMYFUNCTION("""COMPUTED_VALUE"""),"dnaxcat")</f>
        <v>dnaxcat</v>
      </c>
      <c r="B3937" s="2" t="str">
        <f ca="1">IFERROR(__xludf.DUMMYFUNCTION("""COMPUTED_VALUE"""),"dxct")</f>
        <v>dxct</v>
      </c>
      <c r="C3937" s="2" t="str">
        <f ca="1">IFERROR(__xludf.DUMMYFUNCTION("""COMPUTED_VALUE"""),"DNAxCAT")</f>
        <v>DNAxCAT</v>
      </c>
    </row>
    <row r="3938" spans="1:3" x14ac:dyDescent="0.25">
      <c r="A3938" s="2" t="str">
        <f ca="1">IFERROR(__xludf.DUMMYFUNCTION("""COMPUTED_VALUE"""),"dobi")</f>
        <v>dobi</v>
      </c>
      <c r="B3938" s="2" t="str">
        <f ca="1">IFERROR(__xludf.DUMMYFUNCTION("""COMPUTED_VALUE"""),"dobi")</f>
        <v>dobi</v>
      </c>
      <c r="C3938" s="2" t="str">
        <f ca="1">IFERROR(__xludf.DUMMYFUNCTION("""COMPUTED_VALUE"""),"DOBI")</f>
        <v>DOBI</v>
      </c>
    </row>
    <row r="3939" spans="1:3" x14ac:dyDescent="0.25">
      <c r="A3939" s="2" t="str">
        <f ca="1">IFERROR(__xludf.DUMMYFUNCTION("""COMPUTED_VALUE"""),"dock")</f>
        <v>dock</v>
      </c>
      <c r="B3939" s="2" t="str">
        <f ca="1">IFERROR(__xludf.DUMMYFUNCTION("""COMPUTED_VALUE"""),"dock")</f>
        <v>dock</v>
      </c>
      <c r="C3939" s="2" t="str">
        <f ca="1">IFERROR(__xludf.DUMMYFUNCTION("""COMPUTED_VALUE"""),"Dock")</f>
        <v>Dock</v>
      </c>
    </row>
    <row r="3940" spans="1:3" x14ac:dyDescent="0.25">
      <c r="A3940" s="2" t="str">
        <f ca="1">IFERROR(__xludf.DUMMYFUNCTION("""COMPUTED_VALUE"""),"doctor-evil")</f>
        <v>doctor-evil</v>
      </c>
      <c r="B3940" s="2" t="str">
        <f ca="1">IFERROR(__xludf.DUMMYFUNCTION("""COMPUTED_VALUE"""),"evil")</f>
        <v>evil</v>
      </c>
      <c r="C3940" s="2" t="str">
        <f ca="1">IFERROR(__xludf.DUMMYFUNCTION("""COMPUTED_VALUE"""),"Doctor Evil")</f>
        <v>Doctor Evil</v>
      </c>
    </row>
    <row r="3941" spans="1:3" x14ac:dyDescent="0.25">
      <c r="A3941" s="2" t="str">
        <f ca="1">IFERROR(__xludf.DUMMYFUNCTION("""COMPUTED_VALUE"""),"docuchain")</f>
        <v>docuchain</v>
      </c>
      <c r="B3941" s="2" t="str">
        <f ca="1">IFERROR(__xludf.DUMMYFUNCTION("""COMPUTED_VALUE"""),"dcct")</f>
        <v>dcct</v>
      </c>
      <c r="C3941" s="2" t="str">
        <f ca="1">IFERROR(__xludf.DUMMYFUNCTION("""COMPUTED_VALUE"""),"DocuChain")</f>
        <v>DocuChain</v>
      </c>
    </row>
    <row r="3942" spans="1:3" x14ac:dyDescent="0.25">
      <c r="A3942" s="2" t="str">
        <f ca="1">IFERROR(__xludf.DUMMYFUNCTION("""COMPUTED_VALUE"""),"documentchain")</f>
        <v>documentchain</v>
      </c>
      <c r="B3942" s="2" t="str">
        <f ca="1">IFERROR(__xludf.DUMMYFUNCTION("""COMPUTED_VALUE"""),"dms")</f>
        <v>dms</v>
      </c>
      <c r="C3942" s="2" t="str">
        <f ca="1">IFERROR(__xludf.DUMMYFUNCTION("""COMPUTED_VALUE"""),"Documentchain")</f>
        <v>Documentchain</v>
      </c>
    </row>
    <row r="3943" spans="1:3" x14ac:dyDescent="0.25">
      <c r="A3943" s="2" t="str">
        <f ca="1">IFERROR(__xludf.DUMMYFUNCTION("""COMPUTED_VALUE"""),"dodo")</f>
        <v>dodo</v>
      </c>
      <c r="B3943" s="2" t="str">
        <f ca="1">IFERROR(__xludf.DUMMYFUNCTION("""COMPUTED_VALUE"""),"dodo")</f>
        <v>dodo</v>
      </c>
      <c r="C3943" s="2" t="str">
        <f ca="1">IFERROR(__xludf.DUMMYFUNCTION("""COMPUTED_VALUE"""),"DODO")</f>
        <v>DODO</v>
      </c>
    </row>
    <row r="3944" spans="1:3" x14ac:dyDescent="0.25">
      <c r="A3944" s="2" t="str">
        <f ca="1">IFERROR(__xludf.DUMMYFUNCTION("""COMPUTED_VALUE"""),"dodo-2")</f>
        <v>dodo-2</v>
      </c>
      <c r="B3944" s="2" t="str">
        <f ca="1">IFERROR(__xludf.DUMMYFUNCTION("""COMPUTED_VALUE"""),"dodo")</f>
        <v>dodo</v>
      </c>
      <c r="C3944" s="2" t="str">
        <f ca="1">IFERROR(__xludf.DUMMYFUNCTION("""COMPUTED_VALUE"""),"DODO")</f>
        <v>DODO</v>
      </c>
    </row>
    <row r="3945" spans="1:3" x14ac:dyDescent="0.25">
      <c r="A3945" s="2" t="str">
        <f ca="1">IFERROR(__xludf.DUMMYFUNCTION("""COMPUTED_VALUE"""),"dodo-the-black-swan")</f>
        <v>dodo-the-black-swan</v>
      </c>
      <c r="B3945" s="2" t="str">
        <f ca="1">IFERROR(__xludf.DUMMYFUNCTION("""COMPUTED_VALUE"""),"dodo")</f>
        <v>dodo</v>
      </c>
      <c r="C3945" s="2" t="str">
        <f ca="1">IFERROR(__xludf.DUMMYFUNCTION("""COMPUTED_VALUE"""),"Dodo the Black Swan")</f>
        <v>Dodo the Black Swan</v>
      </c>
    </row>
    <row r="3946" spans="1:3" x14ac:dyDescent="0.25">
      <c r="A3946" s="2" t="str">
        <f ca="1">IFERROR(__xludf.DUMMYFUNCTION("""COMPUTED_VALUE"""),"dodreamchain")</f>
        <v>dodreamchain</v>
      </c>
      <c r="B3946" s="2" t="str">
        <f ca="1">IFERROR(__xludf.DUMMYFUNCTION("""COMPUTED_VALUE"""),"cep")</f>
        <v>cep</v>
      </c>
      <c r="C3946" s="2" t="str">
        <f ca="1">IFERROR(__xludf.DUMMYFUNCTION("""COMPUTED_VALUE"""),"CEREAL")</f>
        <v>CEREAL</v>
      </c>
    </row>
    <row r="3947" spans="1:3" x14ac:dyDescent="0.25">
      <c r="A3947" s="2" t="str">
        <f ca="1">IFERROR(__xludf.DUMMYFUNCTION("""COMPUTED_VALUE"""),"doeg-wif-rerart")</f>
        <v>doeg-wif-rerart</v>
      </c>
      <c r="B3947" s="2" t="str">
        <f ca="1">IFERROR(__xludf.DUMMYFUNCTION("""COMPUTED_VALUE"""),"doeg")</f>
        <v>doeg</v>
      </c>
      <c r="C3947" s="2" t="str">
        <f ca="1">IFERROR(__xludf.DUMMYFUNCTION("""COMPUTED_VALUE"""),"Doeg Wif Rerart")</f>
        <v>Doeg Wif Rerart</v>
      </c>
    </row>
    <row r="3948" spans="1:3" x14ac:dyDescent="0.25">
      <c r="A3948" s="2" t="str">
        <f ca="1">IFERROR(__xludf.DUMMYFUNCTION("""COMPUTED_VALUE"""),"dog-3")</f>
        <v>dog-3</v>
      </c>
      <c r="B3948" s="2" t="str">
        <f ca="1">IFERROR(__xludf.DUMMYFUNCTION("""COMPUTED_VALUE"""),"dog")</f>
        <v>dog</v>
      </c>
      <c r="C3948" s="2" t="str">
        <f ca="1">IFERROR(__xludf.DUMMYFUNCTION("""COMPUTED_VALUE"""),"dog")</f>
        <v>dog</v>
      </c>
    </row>
    <row r="3949" spans="1:3" x14ac:dyDescent="0.25">
      <c r="A3949" s="2" t="str">
        <f ca="1">IFERROR(__xludf.DUMMYFUNCTION("""COMPUTED_VALUE"""),"dogai")</f>
        <v>dogai</v>
      </c>
      <c r="B3949" s="2" t="str">
        <f ca="1">IFERROR(__xludf.DUMMYFUNCTION("""COMPUTED_VALUE"""),"dogai")</f>
        <v>dogai</v>
      </c>
      <c r="C3949" s="2" t="str">
        <f ca="1">IFERROR(__xludf.DUMMYFUNCTION("""COMPUTED_VALUE"""),"Dogai")</f>
        <v>Dogai</v>
      </c>
    </row>
    <row r="3950" spans="1:3" x14ac:dyDescent="0.25">
      <c r="A3950" s="2" t="str">
        <f ca="1">IFERROR(__xludf.DUMMYFUNCTION("""COMPUTED_VALUE"""),"dogami")</f>
        <v>dogami</v>
      </c>
      <c r="B3950" s="2" t="str">
        <f ca="1">IFERROR(__xludf.DUMMYFUNCTION("""COMPUTED_VALUE"""),"doga")</f>
        <v>doga</v>
      </c>
      <c r="C3950" s="2" t="str">
        <f ca="1">IFERROR(__xludf.DUMMYFUNCTION("""COMPUTED_VALUE"""),"Dogami")</f>
        <v>Dogami</v>
      </c>
    </row>
    <row r="3951" spans="1:3" x14ac:dyDescent="0.25">
      <c r="A3951" s="2" t="str">
        <f ca="1">IFERROR(__xludf.DUMMYFUNCTION("""COMPUTED_VALUE"""),"dog-collar")</f>
        <v>dog-collar</v>
      </c>
      <c r="B3951" s="2" t="str">
        <f ca="1">IFERROR(__xludf.DUMMYFUNCTION("""COMPUTED_VALUE"""),"collar")</f>
        <v>collar</v>
      </c>
      <c r="C3951" s="2" t="str">
        <f ca="1">IFERROR(__xludf.DUMMYFUNCTION("""COMPUTED_VALUE"""),"Dog Collar")</f>
        <v>Dog Collar</v>
      </c>
    </row>
    <row r="3952" spans="1:3" x14ac:dyDescent="0.25">
      <c r="A3952" s="2" t="str">
        <f ca="1">IFERROR(__xludf.DUMMYFUNCTION("""COMPUTED_VALUE"""),"doge-1")</f>
        <v>doge-1</v>
      </c>
      <c r="B3952" s="2" t="str">
        <f ca="1">IFERROR(__xludf.DUMMYFUNCTION("""COMPUTED_VALUE"""),"doge1")</f>
        <v>doge1</v>
      </c>
      <c r="C3952" s="2" t="str">
        <f ca="1">IFERROR(__xludf.DUMMYFUNCTION("""COMPUTED_VALUE"""),"DOGE-1")</f>
        <v>DOGE-1</v>
      </c>
    </row>
    <row r="3953" spans="1:3" x14ac:dyDescent="0.25">
      <c r="A3953" s="2" t="str">
        <f ca="1">IFERROR(__xludf.DUMMYFUNCTION("""COMPUTED_VALUE"""),"doge-1-2")</f>
        <v>doge-1-2</v>
      </c>
      <c r="B3953" s="2" t="str">
        <f ca="1">IFERROR(__xludf.DUMMYFUNCTION("""COMPUTED_VALUE"""),"doge-1")</f>
        <v>doge-1</v>
      </c>
      <c r="C3953" s="2" t="str">
        <f ca="1">IFERROR(__xludf.DUMMYFUNCTION("""COMPUTED_VALUE"""),"DOGE-1")</f>
        <v>DOGE-1</v>
      </c>
    </row>
    <row r="3954" spans="1:3" x14ac:dyDescent="0.25">
      <c r="A3954" s="2" t="str">
        <f ca="1">IFERROR(__xludf.DUMMYFUNCTION("""COMPUTED_VALUE"""),"doge-1-mission-to-the-moon")</f>
        <v>doge-1-mission-to-the-moon</v>
      </c>
      <c r="B3954" s="2" t="str">
        <f ca="1">IFERROR(__xludf.DUMMYFUNCTION("""COMPUTED_VALUE"""),"doge-1")</f>
        <v>doge-1</v>
      </c>
      <c r="C3954" s="2" t="str">
        <f ca="1">IFERROR(__xludf.DUMMYFUNCTION("""COMPUTED_VALUE"""),"Doge-1 Mission to the moon")</f>
        <v>Doge-1 Mission to the moon</v>
      </c>
    </row>
    <row r="3955" spans="1:3" x14ac:dyDescent="0.25">
      <c r="A3955" s="2" t="str">
        <f ca="1">IFERROR(__xludf.DUMMYFUNCTION("""COMPUTED_VALUE"""),"doge-1satellite")</f>
        <v>doge-1satellite</v>
      </c>
      <c r="B3955" s="2" t="str">
        <f ca="1">IFERROR(__xludf.DUMMYFUNCTION("""COMPUTED_VALUE"""),"doge-1sat")</f>
        <v>doge-1sat</v>
      </c>
      <c r="C3955" s="2" t="str">
        <f ca="1">IFERROR(__xludf.DUMMYFUNCTION("""COMPUTED_VALUE"""),"DOGE-1SATELLITE")</f>
        <v>DOGE-1SATELLITE</v>
      </c>
    </row>
    <row r="3956" spans="1:3" x14ac:dyDescent="0.25">
      <c r="A3956" s="2" t="str">
        <f ca="1">IFERROR(__xludf.DUMMYFUNCTION("""COMPUTED_VALUE"""),"doge-1-to-the-moon")</f>
        <v>doge-1-to-the-moon</v>
      </c>
      <c r="B3956" s="2" t="str">
        <f ca="1">IFERROR(__xludf.DUMMYFUNCTION("""COMPUTED_VALUE"""),"doge-1")</f>
        <v>doge-1</v>
      </c>
      <c r="C3956" s="2" t="str">
        <f ca="1">IFERROR(__xludf.DUMMYFUNCTION("""COMPUTED_VALUE"""),"DOGE-1")</f>
        <v>DOGE-1</v>
      </c>
    </row>
    <row r="3957" spans="1:3" x14ac:dyDescent="0.25">
      <c r="A3957" s="2" t="str">
        <f ca="1">IFERROR(__xludf.DUMMYFUNCTION("""COMPUTED_VALUE"""),"doge-2-0")</f>
        <v>doge-2-0</v>
      </c>
      <c r="B3957" s="2" t="str">
        <f ca="1">IFERROR(__xludf.DUMMYFUNCTION("""COMPUTED_VALUE"""),"doge2.0")</f>
        <v>doge2.0</v>
      </c>
      <c r="C3957" s="2" t="str">
        <f ca="1">IFERROR(__xludf.DUMMYFUNCTION("""COMPUTED_VALUE"""),"Doge 2.0")</f>
        <v>Doge 2.0</v>
      </c>
    </row>
    <row r="3958" spans="1:3" x14ac:dyDescent="0.25">
      <c r="A3958" s="2" t="str">
        <f ca="1">IFERROR(__xludf.DUMMYFUNCTION("""COMPUTED_VALUE"""),"doge69")</f>
        <v>doge69</v>
      </c>
      <c r="B3958" s="2" t="str">
        <f ca="1">IFERROR(__xludf.DUMMYFUNCTION("""COMPUTED_VALUE"""),"doge69")</f>
        <v>doge69</v>
      </c>
      <c r="C3958" s="2" t="str">
        <f ca="1">IFERROR(__xludf.DUMMYFUNCTION("""COMPUTED_VALUE"""),"Doge69")</f>
        <v>Doge69</v>
      </c>
    </row>
    <row r="3959" spans="1:3" x14ac:dyDescent="0.25">
      <c r="A3959" s="2" t="str">
        <f ca="1">IFERROR(__xludf.DUMMYFUNCTION("""COMPUTED_VALUE"""),"dogeai")</f>
        <v>dogeai</v>
      </c>
      <c r="B3959" s="2" t="str">
        <f ca="1">IFERROR(__xludf.DUMMYFUNCTION("""COMPUTED_VALUE"""),"dogeai")</f>
        <v>dogeai</v>
      </c>
      <c r="C3959" s="2" t="str">
        <f ca="1">IFERROR(__xludf.DUMMYFUNCTION("""COMPUTED_VALUE"""),"DogeAi")</f>
        <v>DogeAi</v>
      </c>
    </row>
    <row r="3960" spans="1:3" x14ac:dyDescent="0.25">
      <c r="A3960" s="2" t="str">
        <f ca="1">IFERROR(__xludf.DUMMYFUNCTION("""COMPUTED_VALUE"""),"dogebits-drc-20")</f>
        <v>dogebits-drc-20</v>
      </c>
      <c r="B3960" s="2" t="str">
        <f ca="1">IFERROR(__xludf.DUMMYFUNCTION("""COMPUTED_VALUE"""),"dbit")</f>
        <v>dbit</v>
      </c>
      <c r="C3960" s="2" t="str">
        <f ca="1">IFERROR(__xludf.DUMMYFUNCTION("""COMPUTED_VALUE"""),"Dogebits (DRC-20)")</f>
        <v>Dogebits (DRC-20)</v>
      </c>
    </row>
    <row r="3961" spans="1:3" x14ac:dyDescent="0.25">
      <c r="A3961" s="2" t="str">
        <f ca="1">IFERROR(__xludf.DUMMYFUNCTION("""COMPUTED_VALUE"""),"dogebonk")</f>
        <v>dogebonk</v>
      </c>
      <c r="B3961" s="2" t="str">
        <f ca="1">IFERROR(__xludf.DUMMYFUNCTION("""COMPUTED_VALUE"""),"dobo")</f>
        <v>dobo</v>
      </c>
      <c r="C3961" s="2" t="str">
        <f ca="1">IFERROR(__xludf.DUMMYFUNCTION("""COMPUTED_VALUE"""),"DogeBonk")</f>
        <v>DogeBonk</v>
      </c>
    </row>
    <row r="3962" spans="1:3" x14ac:dyDescent="0.25">
      <c r="A3962" s="2" t="str">
        <f ca="1">IFERROR(__xludf.DUMMYFUNCTION("""COMPUTED_VALUE"""),"dogebonk-eth")</f>
        <v>dogebonk-eth</v>
      </c>
      <c r="B3962" s="2" t="str">
        <f ca="1">IFERROR(__xludf.DUMMYFUNCTION("""COMPUTED_VALUE"""),"dobo")</f>
        <v>dobo</v>
      </c>
      <c r="C3962" s="2" t="str">
        <f ca="1">IFERROR(__xludf.DUMMYFUNCTION("""COMPUTED_VALUE"""),"DogeBonk")</f>
        <v>DogeBonk</v>
      </c>
    </row>
    <row r="3963" spans="1:3" x14ac:dyDescent="0.25">
      <c r="A3963" s="2" t="str">
        <f ca="1">IFERROR(__xludf.DUMMYFUNCTION("""COMPUTED_VALUE"""),"dogebonk-on-sol")</f>
        <v>dogebonk-on-sol</v>
      </c>
      <c r="B3963" s="2" t="str">
        <f ca="1">IFERROR(__xludf.DUMMYFUNCTION("""COMPUTED_VALUE"""),"dobo")</f>
        <v>dobo</v>
      </c>
      <c r="C3963" s="2" t="str">
        <f ca="1">IFERROR(__xludf.DUMMYFUNCTION("""COMPUTED_VALUE"""),"dogebonk on sol")</f>
        <v>dogebonk on sol</v>
      </c>
    </row>
    <row r="3964" spans="1:3" x14ac:dyDescent="0.25">
      <c r="A3964" s="2" t="str">
        <f ca="1">IFERROR(__xludf.DUMMYFUNCTION("""COMPUTED_VALUE"""),"dogeboy-2")</f>
        <v>dogeboy-2</v>
      </c>
      <c r="B3964" s="2" t="str">
        <f ca="1">IFERROR(__xludf.DUMMYFUNCTION("""COMPUTED_VALUE"""),"dogb")</f>
        <v>dogb</v>
      </c>
      <c r="C3964" s="2" t="str">
        <f ca="1">IFERROR(__xludf.DUMMYFUNCTION("""COMPUTED_VALUE"""),"DogeBoy")</f>
        <v>DogeBoy</v>
      </c>
    </row>
    <row r="3965" spans="1:3" x14ac:dyDescent="0.25">
      <c r="A3965" s="2" t="str">
        <f ca="1">IFERROR(__xludf.DUMMYFUNCTION("""COMPUTED_VALUE"""),"dogecash")</f>
        <v>dogecash</v>
      </c>
      <c r="B3965" s="2" t="str">
        <f ca="1">IFERROR(__xludf.DUMMYFUNCTION("""COMPUTED_VALUE"""),"dogec")</f>
        <v>dogec</v>
      </c>
      <c r="C3965" s="2" t="str">
        <f ca="1">IFERROR(__xludf.DUMMYFUNCTION("""COMPUTED_VALUE"""),"DogeCash")</f>
        <v>DogeCash</v>
      </c>
    </row>
    <row r="3966" spans="1:3" x14ac:dyDescent="0.25">
      <c r="A3966" s="2" t="str">
        <f ca="1">IFERROR(__xludf.DUMMYFUNCTION("""COMPUTED_VALUE"""),"doge-ceo")</f>
        <v>doge-ceo</v>
      </c>
      <c r="B3966" s="2" t="str">
        <f ca="1">IFERROR(__xludf.DUMMYFUNCTION("""COMPUTED_VALUE"""),"dogeceo")</f>
        <v>dogeceo</v>
      </c>
      <c r="C3966" s="2" t="str">
        <f ca="1">IFERROR(__xludf.DUMMYFUNCTION("""COMPUTED_VALUE"""),"Doge CEO")</f>
        <v>Doge CEO</v>
      </c>
    </row>
    <row r="3967" spans="1:3" x14ac:dyDescent="0.25">
      <c r="A3967" s="2" t="str">
        <f ca="1">IFERROR(__xludf.DUMMYFUNCTION("""COMPUTED_VALUE"""),"dogechain")</f>
        <v>dogechain</v>
      </c>
      <c r="B3967" s="2" t="str">
        <f ca="1">IFERROR(__xludf.DUMMYFUNCTION("""COMPUTED_VALUE"""),"dc")</f>
        <v>dc</v>
      </c>
      <c r="C3967" s="2" t="str">
        <f ca="1">IFERROR(__xludf.DUMMYFUNCTION("""COMPUTED_VALUE"""),"Dogechain")</f>
        <v>Dogechain</v>
      </c>
    </row>
    <row r="3968" spans="1:3" x14ac:dyDescent="0.25">
      <c r="A3968" s="2" t="str">
        <f ca="1">IFERROR(__xludf.DUMMYFUNCTION("""COMPUTED_VALUE"""),"dogeclub")</f>
        <v>dogeclub</v>
      </c>
      <c r="B3968" s="2" t="str">
        <f ca="1">IFERROR(__xludf.DUMMYFUNCTION("""COMPUTED_VALUE"""),"dogc")</f>
        <v>dogc</v>
      </c>
      <c r="C3968" s="2" t="str">
        <f ca="1">IFERROR(__xludf.DUMMYFUNCTION("""COMPUTED_VALUE"""),"DogeClub")</f>
        <v>DogeClub</v>
      </c>
    </row>
    <row r="3969" spans="1:3" x14ac:dyDescent="0.25">
      <c r="A3969" s="2" t="str">
        <f ca="1">IFERROR(__xludf.DUMMYFUNCTION("""COMPUTED_VALUE"""),"dogecoin")</f>
        <v>dogecoin</v>
      </c>
      <c r="B3969" s="2" t="str">
        <f ca="1">IFERROR(__xludf.DUMMYFUNCTION("""COMPUTED_VALUE"""),"doge")</f>
        <v>doge</v>
      </c>
      <c r="C3969" s="2" t="str">
        <f ca="1">IFERROR(__xludf.DUMMYFUNCTION("""COMPUTED_VALUE"""),"Dogecoin")</f>
        <v>Dogecoin</v>
      </c>
    </row>
    <row r="3970" spans="1:3" x14ac:dyDescent="0.25">
      <c r="A3970" s="2" t="str">
        <f ca="1">IFERROR(__xludf.DUMMYFUNCTION("""COMPUTED_VALUE"""),"dogecoin-2")</f>
        <v>dogecoin-2</v>
      </c>
      <c r="B3970" s="2" t="str">
        <f ca="1">IFERROR(__xludf.DUMMYFUNCTION("""COMPUTED_VALUE"""),"doge2")</f>
        <v>doge2</v>
      </c>
      <c r="C3970" s="2" t="str">
        <f ca="1">IFERROR(__xludf.DUMMYFUNCTION("""COMPUTED_VALUE"""),"Dogecoin 2.0")</f>
        <v>Dogecoin 2.0</v>
      </c>
    </row>
    <row r="3971" spans="1:3" x14ac:dyDescent="0.25">
      <c r="A3971" s="2" t="str">
        <f ca="1">IFERROR(__xludf.DUMMYFUNCTION("""COMPUTED_VALUE"""),"dogecoin20")</f>
        <v>dogecoin20</v>
      </c>
      <c r="B3971" s="2" t="str">
        <f ca="1">IFERROR(__xludf.DUMMYFUNCTION("""COMPUTED_VALUE"""),"doge20")</f>
        <v>doge20</v>
      </c>
      <c r="C3971" s="2" t="str">
        <f ca="1">IFERROR(__xludf.DUMMYFUNCTION("""COMPUTED_VALUE"""),"Dogecoin20")</f>
        <v>Dogecoin20</v>
      </c>
    </row>
    <row r="3972" spans="1:3" x14ac:dyDescent="0.25">
      <c r="A3972" s="2" t="str">
        <f ca="1">IFERROR(__xludf.DUMMYFUNCTION("""COMPUTED_VALUE"""),"dogecola")</f>
        <v>dogecola</v>
      </c>
      <c r="B3972" s="2" t="str">
        <f ca="1">IFERROR(__xludf.DUMMYFUNCTION("""COMPUTED_VALUE"""),"colana")</f>
        <v>colana</v>
      </c>
      <c r="C3972" s="2" t="str">
        <f ca="1">IFERROR(__xludf.DUMMYFUNCTION("""COMPUTED_VALUE"""),"COLANA")</f>
        <v>COLANA</v>
      </c>
    </row>
    <row r="3973" spans="1:3" x14ac:dyDescent="0.25">
      <c r="A3973" s="2" t="str">
        <f ca="1">IFERROR(__xludf.DUMMYFUNCTION("""COMPUTED_VALUE"""),"dogecube")</f>
        <v>dogecube</v>
      </c>
      <c r="B3973" s="2" t="str">
        <f ca="1">IFERROR(__xludf.DUMMYFUNCTION("""COMPUTED_VALUE"""),"dogecube")</f>
        <v>dogecube</v>
      </c>
      <c r="C3973" s="2" t="str">
        <f ca="1">IFERROR(__xludf.DUMMYFUNCTION("""COMPUTED_VALUE"""),"DogeCube")</f>
        <v>DogeCube</v>
      </c>
    </row>
    <row r="3974" spans="1:3" x14ac:dyDescent="0.25">
      <c r="A3974" s="2" t="str">
        <f ca="1">IFERROR(__xludf.DUMMYFUNCTION("""COMPUTED_VALUE"""),"dogedi")</f>
        <v>dogedi</v>
      </c>
      <c r="B3974" s="2" t="str">
        <f ca="1">IFERROR(__xludf.DUMMYFUNCTION("""COMPUTED_VALUE"""),"dogedi")</f>
        <v>dogedi</v>
      </c>
      <c r="C3974" s="2" t="str">
        <f ca="1">IFERROR(__xludf.DUMMYFUNCTION("""COMPUTED_VALUE"""),"DOGEDI")</f>
        <v>DOGEDI</v>
      </c>
    </row>
    <row r="3975" spans="1:3" x14ac:dyDescent="0.25">
      <c r="A3975" s="2" t="str">
        <f ca="1">IFERROR(__xludf.DUMMYFUNCTION("""COMPUTED_VALUE"""),"dogedragon")</f>
        <v>dogedragon</v>
      </c>
      <c r="B3975" s="2" t="str">
        <f ca="1">IFERROR(__xludf.DUMMYFUNCTION("""COMPUTED_VALUE"""),"dd")</f>
        <v>dd</v>
      </c>
      <c r="C3975" s="2" t="str">
        <f ca="1">IFERROR(__xludf.DUMMYFUNCTION("""COMPUTED_VALUE"""),"DogeDragon")</f>
        <v>DogeDragon</v>
      </c>
    </row>
    <row r="3976" spans="1:3" x14ac:dyDescent="0.25">
      <c r="A3976" s="2" t="str">
        <f ca="1">IFERROR(__xludf.DUMMYFUNCTION("""COMPUTED_VALUE"""),"doge-eat-doge")</f>
        <v>doge-eat-doge</v>
      </c>
      <c r="B3976" s="2" t="str">
        <f ca="1">IFERROR(__xludf.DUMMYFUNCTION("""COMPUTED_VALUE"""),"omnom")</f>
        <v>omnom</v>
      </c>
      <c r="C3976" s="2" t="str">
        <f ca="1">IFERROR(__xludf.DUMMYFUNCTION("""COMPUTED_VALUE"""),"Doge Eat Doge")</f>
        <v>Doge Eat Doge</v>
      </c>
    </row>
    <row r="3977" spans="1:3" x14ac:dyDescent="0.25">
      <c r="A3977" s="2" t="str">
        <f ca="1">IFERROR(__xludf.DUMMYFUNCTION("""COMPUTED_VALUE"""),"doge-floki-2-0")</f>
        <v>doge-floki-2-0</v>
      </c>
      <c r="B3977" s="2" t="str">
        <f ca="1">IFERROR(__xludf.DUMMYFUNCTION("""COMPUTED_VALUE"""),"(dofi20")</f>
        <v>(dofi20</v>
      </c>
      <c r="C3977" s="2" t="str">
        <f ca="1">IFERROR(__xludf.DUMMYFUNCTION("""COMPUTED_VALUE"""),"DOGE FLOKI 2.0")</f>
        <v>DOGE FLOKI 2.0</v>
      </c>
    </row>
    <row r="3978" spans="1:3" x14ac:dyDescent="0.25">
      <c r="A3978" s="2" t="str">
        <f ca="1">IFERROR(__xludf.DUMMYFUNCTION("""COMPUTED_VALUE"""),"doge-floki-coin")</f>
        <v>doge-floki-coin</v>
      </c>
      <c r="B3978" s="2" t="str">
        <f ca="1">IFERROR(__xludf.DUMMYFUNCTION("""COMPUTED_VALUE"""),"dofi")</f>
        <v>dofi</v>
      </c>
      <c r="C3978" s="2" t="str">
        <f ca="1">IFERROR(__xludf.DUMMYFUNCTION("""COMPUTED_VALUE"""),"Doge Floki Coin [OLD]")</f>
        <v>Doge Floki Coin [OLD]</v>
      </c>
    </row>
    <row r="3979" spans="1:3" x14ac:dyDescent="0.25">
      <c r="A3979" s="2" t="str">
        <f ca="1">IFERROR(__xludf.DUMMYFUNCTION("""COMPUTED_VALUE"""),"dogefood")</f>
        <v>dogefood</v>
      </c>
      <c r="B3979" s="2" t="str">
        <f ca="1">IFERROR(__xludf.DUMMYFUNCTION("""COMPUTED_VALUE"""),"dogefood")</f>
        <v>dogefood</v>
      </c>
      <c r="C3979" s="2" t="str">
        <f ca="1">IFERROR(__xludf.DUMMYFUNCTION("""COMPUTED_VALUE"""),"DogeFood")</f>
        <v>DogeFood</v>
      </c>
    </row>
    <row r="3980" spans="1:3" x14ac:dyDescent="0.25">
      <c r="A3980" s="2" t="str">
        <f ca="1">IFERROR(__xludf.DUMMYFUNCTION("""COMPUTED_VALUE"""),"doge-for-president")</f>
        <v>doge-for-president</v>
      </c>
      <c r="B3980" s="2" t="str">
        <f ca="1">IFERROR(__xludf.DUMMYFUNCTION("""COMPUTED_VALUE"""),"votedoge")</f>
        <v>votedoge</v>
      </c>
      <c r="C3980" s="2" t="str">
        <f ca="1">IFERROR(__xludf.DUMMYFUNCTION("""COMPUTED_VALUE"""),"Doge for President")</f>
        <v>Doge for President</v>
      </c>
    </row>
    <row r="3981" spans="1:3" x14ac:dyDescent="0.25">
      <c r="A3981" s="2" t="str">
        <f ca="1">IFERROR(__xludf.DUMMYFUNCTION("""COMPUTED_VALUE"""),"dogegf")</f>
        <v>dogegf</v>
      </c>
      <c r="B3981" s="2" t="str">
        <f ca="1">IFERROR(__xludf.DUMMYFUNCTION("""COMPUTED_VALUE"""),"dogegf")</f>
        <v>dogegf</v>
      </c>
      <c r="C3981" s="2" t="str">
        <f ca="1">IFERROR(__xludf.DUMMYFUNCTION("""COMPUTED_VALUE"""),"DogeGF")</f>
        <v>DogeGF</v>
      </c>
    </row>
    <row r="3982" spans="1:3" x14ac:dyDescent="0.25">
      <c r="A3982" s="2" t="str">
        <f ca="1">IFERROR(__xludf.DUMMYFUNCTION("""COMPUTED_VALUE"""),"doge-grok")</f>
        <v>doge-grok</v>
      </c>
      <c r="B3982" s="2" t="str">
        <f ca="1">IFERROR(__xludf.DUMMYFUNCTION("""COMPUTED_VALUE"""),"dogegrok")</f>
        <v>dogegrok</v>
      </c>
      <c r="C3982" s="2" t="str">
        <f ca="1">IFERROR(__xludf.DUMMYFUNCTION("""COMPUTED_VALUE"""),"Doge Grok")</f>
        <v>Doge Grok</v>
      </c>
    </row>
    <row r="3983" spans="1:3" x14ac:dyDescent="0.25">
      <c r="A3983" s="2" t="str">
        <f ca="1">IFERROR(__xludf.DUMMYFUNCTION("""COMPUTED_VALUE"""),"dogegrow")</f>
        <v>dogegrow</v>
      </c>
      <c r="B3983" s="2" t="str">
        <f ca="1">IFERROR(__xludf.DUMMYFUNCTION("""COMPUTED_VALUE"""),"dgr")</f>
        <v>dgr</v>
      </c>
      <c r="C3983" s="2" t="str">
        <f ca="1">IFERROR(__xludf.DUMMYFUNCTION("""COMPUTED_VALUE"""),"DogeGrow")</f>
        <v>DogeGrow</v>
      </c>
    </row>
    <row r="3984" spans="1:3" x14ac:dyDescent="0.25">
      <c r="A3984" s="2" t="str">
        <f ca="1">IFERROR(__xludf.DUMMYFUNCTION("""COMPUTED_VALUE"""),"doge-in-a-memes-world")</f>
        <v>doge-in-a-memes-world</v>
      </c>
      <c r="B3984" s="2" t="str">
        <f ca="1">IFERROR(__xludf.DUMMYFUNCTION("""COMPUTED_VALUE"""),"dew")</f>
        <v>dew</v>
      </c>
      <c r="C3984" s="2" t="str">
        <f ca="1">IFERROR(__xludf.DUMMYFUNCTION("""COMPUTED_VALUE"""),"doge in a memes world")</f>
        <v>doge in a memes world</v>
      </c>
    </row>
    <row r="3985" spans="1:3" x14ac:dyDescent="0.25">
      <c r="A3985" s="2" t="str">
        <f ca="1">IFERROR(__xludf.DUMMYFUNCTION("""COMPUTED_VALUE"""),"doge-inu")</f>
        <v>doge-inu</v>
      </c>
      <c r="B3985" s="2" t="str">
        <f ca="1">IFERROR(__xludf.DUMMYFUNCTION("""COMPUTED_VALUE"""),"dinu")</f>
        <v>dinu</v>
      </c>
      <c r="C3985" s="2" t="str">
        <f ca="1">IFERROR(__xludf.DUMMYFUNCTION("""COMPUTED_VALUE"""),"Doge Inu")</f>
        <v>Doge Inu</v>
      </c>
    </row>
    <row r="3986" spans="1:3" x14ac:dyDescent="0.25">
      <c r="A3986" s="2" t="str">
        <f ca="1">IFERROR(__xludf.DUMMYFUNCTION("""COMPUTED_VALUE"""),"doge-kaki")</f>
        <v>doge-kaki</v>
      </c>
      <c r="B3986" s="2" t="str">
        <f ca="1">IFERROR(__xludf.DUMMYFUNCTION("""COMPUTED_VALUE"""),"kaki")</f>
        <v>kaki</v>
      </c>
      <c r="C3986" s="2" t="str">
        <f ca="1">IFERROR(__xludf.DUMMYFUNCTION("""COMPUTED_VALUE"""),"Doge KaKi")</f>
        <v>Doge KaKi</v>
      </c>
    </row>
    <row r="3987" spans="1:3" x14ac:dyDescent="0.25">
      <c r="A3987" s="2" t="str">
        <f ca="1">IFERROR(__xludf.DUMMYFUNCTION("""COMPUTED_VALUE"""),"dogeking")</f>
        <v>dogeking</v>
      </c>
      <c r="B3987" s="2" t="str">
        <f ca="1">IFERROR(__xludf.DUMMYFUNCTION("""COMPUTED_VALUE"""),"dogeking")</f>
        <v>dogeking</v>
      </c>
      <c r="C3987" s="2" t="str">
        <f ca="1">IFERROR(__xludf.DUMMYFUNCTION("""COMPUTED_VALUE"""),"DogeKing")</f>
        <v>DogeKing</v>
      </c>
    </row>
    <row r="3988" spans="1:3" x14ac:dyDescent="0.25">
      <c r="A3988" s="2" t="str">
        <f ca="1">IFERROR(__xludf.DUMMYFUNCTION("""COMPUTED_VALUE"""),"dogelana")</f>
        <v>dogelana</v>
      </c>
      <c r="B3988" s="2" t="str">
        <f ca="1">IFERROR(__xludf.DUMMYFUNCTION("""COMPUTED_VALUE"""),"dgln")</f>
        <v>dgln</v>
      </c>
      <c r="C3988" s="2" t="str">
        <f ca="1">IFERROR(__xludf.DUMMYFUNCTION("""COMPUTED_VALUE"""),"Dogelana")</f>
        <v>Dogelana</v>
      </c>
    </row>
    <row r="3989" spans="1:3" x14ac:dyDescent="0.25">
      <c r="A3989" s="2" t="str">
        <f ca="1">IFERROR(__xludf.DUMMYFUNCTION("""COMPUTED_VALUE"""),"doge-legion")</f>
        <v>doge-legion</v>
      </c>
      <c r="B3989" s="2" t="str">
        <f ca="1">IFERROR(__xludf.DUMMYFUNCTION("""COMPUTED_VALUE"""),"doge legio")</f>
        <v>doge legio</v>
      </c>
      <c r="C3989" s="2" t="str">
        <f ca="1">IFERROR(__xludf.DUMMYFUNCTION("""COMPUTED_VALUE"""),"DOGE LEGION")</f>
        <v>DOGE LEGION</v>
      </c>
    </row>
    <row r="3990" spans="1:3" x14ac:dyDescent="0.25">
      <c r="A3990" s="2" t="str">
        <f ca="1">IFERROR(__xludf.DUMMYFUNCTION("""COMPUTED_VALUE"""),"dogelon-classic")</f>
        <v>dogelon-classic</v>
      </c>
      <c r="B3990" s="2" t="str">
        <f ca="1">IFERROR(__xludf.DUMMYFUNCTION("""COMPUTED_VALUE"""),"elonc")</f>
        <v>elonc</v>
      </c>
      <c r="C3990" s="2" t="str">
        <f ca="1">IFERROR(__xludf.DUMMYFUNCTION("""COMPUTED_VALUE"""),"Dogelon Classic")</f>
        <v>Dogelon Classic</v>
      </c>
    </row>
    <row r="3991" spans="1:3" x14ac:dyDescent="0.25">
      <c r="A3991" s="2" t="str">
        <f ca="1">IFERROR(__xludf.DUMMYFUNCTION("""COMPUTED_VALUE"""),"dogelon-mars")</f>
        <v>dogelon-mars</v>
      </c>
      <c r="B3991" s="2" t="str">
        <f ca="1">IFERROR(__xludf.DUMMYFUNCTION("""COMPUTED_VALUE"""),"elon")</f>
        <v>elon</v>
      </c>
      <c r="C3991" s="2" t="str">
        <f ca="1">IFERROR(__xludf.DUMMYFUNCTION("""COMPUTED_VALUE"""),"Dogelon Mars")</f>
        <v>Dogelon Mars</v>
      </c>
    </row>
    <row r="3992" spans="1:3" x14ac:dyDescent="0.25">
      <c r="A3992" s="2" t="str">
        <f ca="1">IFERROR(__xludf.DUMMYFUNCTION("""COMPUTED_VALUE"""),"doge-lumens")</f>
        <v>doge-lumens</v>
      </c>
      <c r="B3992" s="2" t="str">
        <f ca="1">IFERROR(__xludf.DUMMYFUNCTION("""COMPUTED_VALUE"""),"dxlm")</f>
        <v>dxlm</v>
      </c>
      <c r="C3992" s="2" t="str">
        <f ca="1">IFERROR(__xludf.DUMMYFUNCTION("""COMPUTED_VALUE"""),"DogeLumens")</f>
        <v>DogeLumens</v>
      </c>
    </row>
    <row r="3993" spans="1:3" x14ac:dyDescent="0.25">
      <c r="A3993" s="2" t="str">
        <f ca="1">IFERROR(__xludf.DUMMYFUNCTION("""COMPUTED_VALUE"""),"doge-marley")</f>
        <v>doge-marley</v>
      </c>
      <c r="B3993" s="2" t="str">
        <f ca="1">IFERROR(__xludf.DUMMYFUNCTION("""COMPUTED_VALUE"""),"marley")</f>
        <v>marley</v>
      </c>
      <c r="C3993" s="2" t="str">
        <f ca="1">IFERROR(__xludf.DUMMYFUNCTION("""COMPUTED_VALUE"""),"Doge Marley")</f>
        <v>Doge Marley</v>
      </c>
    </row>
    <row r="3994" spans="1:3" x14ac:dyDescent="0.25">
      <c r="A3994" s="2" t="str">
        <f ca="1">IFERROR(__xludf.DUMMYFUNCTION("""COMPUTED_VALUE"""),"doge-memes-topple-regimes")</f>
        <v>doge-memes-topple-regimes</v>
      </c>
      <c r="B3994" s="2" t="str">
        <f ca="1">IFERROR(__xludf.DUMMYFUNCTION("""COMPUTED_VALUE"""),"dome")</f>
        <v>dome</v>
      </c>
      <c r="C3994" s="2" t="str">
        <f ca="1">IFERROR(__xludf.DUMMYFUNCTION("""COMPUTED_VALUE"""),"DOGE MEMES TOPPLE REGIMES")</f>
        <v>DOGE MEMES TOPPLE REGIMES</v>
      </c>
    </row>
    <row r="3995" spans="1:3" x14ac:dyDescent="0.25">
      <c r="A3995" s="2" t="str">
        <f ca="1">IFERROR(__xludf.DUMMYFUNCTION("""COMPUTED_VALUE"""),"dogemob")</f>
        <v>dogemob</v>
      </c>
      <c r="B3995" s="2" t="str">
        <f ca="1">IFERROR(__xludf.DUMMYFUNCTION("""COMPUTED_VALUE"""),"dogemob")</f>
        <v>dogemob</v>
      </c>
      <c r="C3995" s="2" t="str">
        <f ca="1">IFERROR(__xludf.DUMMYFUNCTION("""COMPUTED_VALUE"""),"Dogemob")</f>
        <v>Dogemob</v>
      </c>
    </row>
    <row r="3996" spans="1:3" x14ac:dyDescent="0.25">
      <c r="A3996" s="2" t="str">
        <f ca="1">IFERROR(__xludf.DUMMYFUNCTION("""COMPUTED_VALUE"""),"dog-emoji-on-solana")</f>
        <v>dog-emoji-on-solana</v>
      </c>
      <c r="B3996" s="2" t="str">
        <f ca="1">IFERROR(__xludf.DUMMYFUNCTION("""COMPUTED_VALUE"""),"🐕")</f>
        <v>🐕</v>
      </c>
      <c r="C3996" s="2" t="str">
        <f ca="1">IFERROR(__xludf.DUMMYFUNCTION("""COMPUTED_VALUE"""),"Dog Emoji On Solana")</f>
        <v>Dog Emoji On Solana</v>
      </c>
    </row>
    <row r="3997" spans="1:3" x14ac:dyDescent="0.25">
      <c r="A3997" s="2" t="str">
        <f ca="1">IFERROR(__xludf.DUMMYFUNCTION("""COMPUTED_VALUE"""),"dogemon-go")</f>
        <v>dogemon-go</v>
      </c>
      <c r="B3997" s="2" t="str">
        <f ca="1">IFERROR(__xludf.DUMMYFUNCTION("""COMPUTED_VALUE"""),"dogo")</f>
        <v>dogo</v>
      </c>
      <c r="C3997" s="2" t="str">
        <f ca="1">IFERROR(__xludf.DUMMYFUNCTION("""COMPUTED_VALUE"""),"DogemonGo")</f>
        <v>DogemonGo</v>
      </c>
    </row>
    <row r="3998" spans="1:3" x14ac:dyDescent="0.25">
      <c r="A3998" s="2" t="str">
        <f ca="1">IFERROR(__xludf.DUMMYFUNCTION("""COMPUTED_VALUE"""),"dogemoon")</f>
        <v>dogemoon</v>
      </c>
      <c r="B3998" s="2" t="str">
        <f ca="1">IFERROR(__xludf.DUMMYFUNCTION("""COMPUTED_VALUE"""),"dogemoon")</f>
        <v>dogemoon</v>
      </c>
      <c r="C3998" s="2" t="str">
        <f ca="1">IFERROR(__xludf.DUMMYFUNCTION("""COMPUTED_VALUE"""),"Dogemoon")</f>
        <v>Dogemoon</v>
      </c>
    </row>
    <row r="3999" spans="1:3" x14ac:dyDescent="0.25">
      <c r="A3999" s="2" t="str">
        <f ca="1">IFERROR(__xludf.DUMMYFUNCTION("""COMPUTED_VALUE"""),"doge-of-grok-ai")</f>
        <v>doge-of-grok-ai</v>
      </c>
      <c r="B3999" s="2" t="str">
        <f ca="1">IFERROR(__xludf.DUMMYFUNCTION("""COMPUTED_VALUE"""),"dogegrokai")</f>
        <v>dogegrokai</v>
      </c>
      <c r="C3999" s="2" t="str">
        <f ca="1">IFERROR(__xludf.DUMMYFUNCTION("""COMPUTED_VALUE"""),"Doge Of Grok AI")</f>
        <v>Doge Of Grok AI</v>
      </c>
    </row>
    <row r="4000" spans="1:3" x14ac:dyDescent="0.25">
      <c r="A4000" s="2" t="str">
        <f ca="1">IFERROR(__xludf.DUMMYFUNCTION("""COMPUTED_VALUE"""),"dogeon")</f>
        <v>dogeon</v>
      </c>
      <c r="B4000" s="2" t="str">
        <f ca="1">IFERROR(__xludf.DUMMYFUNCTION("""COMPUTED_VALUE"""),"don")</f>
        <v>don</v>
      </c>
      <c r="C4000" s="2" t="str">
        <f ca="1">IFERROR(__xludf.DUMMYFUNCTION("""COMPUTED_VALUE"""),"Dogeon")</f>
        <v>Dogeon</v>
      </c>
    </row>
    <row r="4001" spans="1:3" x14ac:dyDescent="0.25">
      <c r="A4001" s="2" t="str">
        <f ca="1">IFERROR(__xludf.DUMMYFUNCTION("""COMPUTED_VALUE"""),"doge-on-pulsechain")</f>
        <v>doge-on-pulsechain</v>
      </c>
      <c r="B4001" s="2" t="str">
        <f ca="1">IFERROR(__xludf.DUMMYFUNCTION("""COMPUTED_VALUE"""),"doge")</f>
        <v>doge</v>
      </c>
      <c r="C4001" s="2" t="str">
        <f ca="1">IFERROR(__xludf.DUMMYFUNCTION("""COMPUTED_VALUE"""),"Doge on Pulsechain")</f>
        <v>Doge on Pulsechain</v>
      </c>
    </row>
    <row r="4002" spans="1:3" x14ac:dyDescent="0.25">
      <c r="A4002" s="2" t="str">
        <f ca="1">IFERROR(__xludf.DUMMYFUNCTION("""COMPUTED_VALUE"""),"doge-on-sol")</f>
        <v>doge-on-sol</v>
      </c>
      <c r="B4002" s="2" t="str">
        <f ca="1">IFERROR(__xludf.DUMMYFUNCTION("""COMPUTED_VALUE"""),"$doge")</f>
        <v>$doge</v>
      </c>
      <c r="C4002" s="2" t="str">
        <f ca="1">IFERROR(__xludf.DUMMYFUNCTION("""COMPUTED_VALUE"""),"$Doge on Sol")</f>
        <v>$Doge on Sol</v>
      </c>
    </row>
    <row r="4003" spans="1:3" x14ac:dyDescent="0.25">
      <c r="A4003" s="2" t="str">
        <f ca="1">IFERROR(__xludf.DUMMYFUNCTION("""COMPUTED_VALUE"""),"doge-on-solana")</f>
        <v>doge-on-solana</v>
      </c>
      <c r="B4003" s="2" t="str">
        <f ca="1">IFERROR(__xludf.DUMMYFUNCTION("""COMPUTED_VALUE"""),"sdoge")</f>
        <v>sdoge</v>
      </c>
      <c r="C4003" s="2" t="str">
        <f ca="1">IFERROR(__xludf.DUMMYFUNCTION("""COMPUTED_VALUE"""),"DOGE on Solana")</f>
        <v>DOGE on Solana</v>
      </c>
    </row>
    <row r="4004" spans="1:3" x14ac:dyDescent="0.25">
      <c r="A4004" s="2" t="str">
        <f ca="1">IFERROR(__xludf.DUMMYFUNCTION("""COMPUTED_VALUE"""),"dogepepe")</f>
        <v>dogepepe</v>
      </c>
      <c r="B4004" s="2" t="str">
        <f ca="1">IFERROR(__xludf.DUMMYFUNCTION("""COMPUTED_VALUE"""),"dope")</f>
        <v>dope</v>
      </c>
      <c r="C4004" s="2" t="str">
        <f ca="1">IFERROR(__xludf.DUMMYFUNCTION("""COMPUTED_VALUE"""),"DogePepe")</f>
        <v>DogePepe</v>
      </c>
    </row>
    <row r="4005" spans="1:3" x14ac:dyDescent="0.25">
      <c r="A4005" s="2" t="str">
        <f ca="1">IFERROR(__xludf.DUMMYFUNCTION("""COMPUTED_VALUE"""),"doge-protocol")</f>
        <v>doge-protocol</v>
      </c>
      <c r="B4005" s="2" t="str">
        <f ca="1">IFERROR(__xludf.DUMMYFUNCTION("""COMPUTED_VALUE"""),"dogep")</f>
        <v>dogep</v>
      </c>
      <c r="C4005" s="2" t="str">
        <f ca="1">IFERROR(__xludf.DUMMYFUNCTION("""COMPUTED_VALUE"""),"Doge Protocol")</f>
        <v>Doge Protocol</v>
      </c>
    </row>
    <row r="4006" spans="1:3" x14ac:dyDescent="0.25">
      <c r="A4006" s="2" t="str">
        <f ca="1">IFERROR(__xludf.DUMMYFUNCTION("""COMPUTED_VALUE"""),"dogeshrek")</f>
        <v>dogeshrek</v>
      </c>
      <c r="B4006" s="2" t="str">
        <f ca="1">IFERROR(__xludf.DUMMYFUNCTION("""COMPUTED_VALUE"""),"dogeshrek")</f>
        <v>dogeshrek</v>
      </c>
      <c r="C4006" s="2" t="str">
        <f ca="1">IFERROR(__xludf.DUMMYFUNCTION("""COMPUTED_VALUE"""),"DogeShrek")</f>
        <v>DogeShrek</v>
      </c>
    </row>
    <row r="4007" spans="1:3" x14ac:dyDescent="0.25">
      <c r="A4007" s="2" t="str">
        <f ca="1">IFERROR(__xludf.DUMMYFUNCTION("""COMPUTED_VALUE"""),"dogesquatch")</f>
        <v>dogesquatch</v>
      </c>
      <c r="B4007" s="2" t="str">
        <f ca="1">IFERROR(__xludf.DUMMYFUNCTION("""COMPUTED_VALUE"""),"squoge")</f>
        <v>squoge</v>
      </c>
      <c r="C4007" s="2" t="str">
        <f ca="1">IFERROR(__xludf.DUMMYFUNCTION("""COMPUTED_VALUE"""),"DogeSquatch")</f>
        <v>DogeSquatch</v>
      </c>
    </row>
    <row r="4008" spans="1:3" x14ac:dyDescent="0.25">
      <c r="A4008" s="2" t="str">
        <f ca="1">IFERROR(__xludf.DUMMYFUNCTION("""COMPUTED_VALUE"""),"dogether")</f>
        <v>dogether</v>
      </c>
      <c r="B4008" s="2" t="str">
        <f ca="1">IFERROR(__xludf.DUMMYFUNCTION("""COMPUTED_VALUE"""),"dogether")</f>
        <v>dogether</v>
      </c>
      <c r="C4008" s="2" t="str">
        <f ca="1">IFERROR(__xludf.DUMMYFUNCTION("""COMPUTED_VALUE"""),"Dogether")</f>
        <v>Dogether</v>
      </c>
    </row>
    <row r="4009" spans="1:3" x14ac:dyDescent="0.25">
      <c r="A4009" s="2" t="str">
        <f ca="1">IFERROR(__xludf.DUMMYFUNCTION("""COMPUTED_VALUE"""),"doge-token")</f>
        <v>doge-token</v>
      </c>
      <c r="B4009" s="2" t="str">
        <f ca="1">IFERROR(__xludf.DUMMYFUNCTION("""COMPUTED_VALUE"""),"doget")</f>
        <v>doget</v>
      </c>
      <c r="C4009" s="2" t="str">
        <f ca="1">IFERROR(__xludf.DUMMYFUNCTION("""COMPUTED_VALUE"""),"Doge Token")</f>
        <v>Doge Token</v>
      </c>
    </row>
    <row r="4010" spans="1:3" x14ac:dyDescent="0.25">
      <c r="A4010" s="2" t="str">
        <f ca="1">IFERROR(__xludf.DUMMYFUNCTION("""COMPUTED_VALUE"""),"dogeverse")</f>
        <v>dogeverse</v>
      </c>
      <c r="B4010" s="2" t="str">
        <f ca="1">IFERROR(__xludf.DUMMYFUNCTION("""COMPUTED_VALUE"""),"dogeverse")</f>
        <v>dogeverse</v>
      </c>
      <c r="C4010" s="2" t="str">
        <f ca="1">IFERROR(__xludf.DUMMYFUNCTION("""COMPUTED_VALUE"""),"DogeVerse")</f>
        <v>DogeVerse</v>
      </c>
    </row>
    <row r="4011" spans="1:3" x14ac:dyDescent="0.25">
      <c r="A4011" s="2" t="str">
        <f ca="1">IFERROR(__xludf.DUMMYFUNCTION("""COMPUTED_VALUE"""),"doge-whale")</f>
        <v>doge-whale</v>
      </c>
      <c r="B4011" s="2" t="str">
        <f ca="1">IFERROR(__xludf.DUMMYFUNCTION("""COMPUTED_VALUE"""),"dwhl")</f>
        <v>dwhl</v>
      </c>
      <c r="C4011" s="2" t="str">
        <f ca="1">IFERROR(__xludf.DUMMYFUNCTION("""COMPUTED_VALUE"""),"Doge Whale")</f>
        <v>Doge Whale</v>
      </c>
    </row>
    <row r="4012" spans="1:3" x14ac:dyDescent="0.25">
      <c r="A4012" s="2" t="str">
        <f ca="1">IFERROR(__xludf.DUMMYFUNCTION("""COMPUTED_VALUE"""),"dogey-inu")</f>
        <v>dogey-inu</v>
      </c>
      <c r="B4012" s="2" t="str">
        <f ca="1">IFERROR(__xludf.DUMMYFUNCTION("""COMPUTED_VALUE"""),"dinu")</f>
        <v>dinu</v>
      </c>
      <c r="C4012" s="2" t="str">
        <f ca="1">IFERROR(__xludf.DUMMYFUNCTION("""COMPUTED_VALUE"""),"Dogey-Inu")</f>
        <v>Dogey-Inu</v>
      </c>
    </row>
    <row r="4013" spans="1:3" x14ac:dyDescent="0.25">
      <c r="A4013" s="2" t="str">
        <f ca="1">IFERROR(__xludf.DUMMYFUNCTION("""COMPUTED_VALUE"""),"dogezilla-2")</f>
        <v>dogezilla-2</v>
      </c>
      <c r="B4013" s="2" t="str">
        <f ca="1">IFERROR(__xludf.DUMMYFUNCTION("""COMPUTED_VALUE"""),"zilla")</f>
        <v>zilla</v>
      </c>
      <c r="C4013" s="2" t="str">
        <f ca="1">IFERROR(__xludf.DUMMYFUNCTION("""COMPUTED_VALUE"""),"DogeZilla")</f>
        <v>DogeZilla</v>
      </c>
    </row>
    <row r="4014" spans="1:3" x14ac:dyDescent="0.25">
      <c r="A4014" s="2" t="str">
        <f ca="1">IFERROR(__xludf.DUMMYFUNCTION("""COMPUTED_VALUE"""),"dogfinity")</f>
        <v>dogfinity</v>
      </c>
      <c r="B4014" s="2" t="str">
        <f ca="1">IFERROR(__xludf.DUMMYFUNCTION("""COMPUTED_VALUE"""),"dogmi")</f>
        <v>dogmi</v>
      </c>
      <c r="C4014" s="2" t="str">
        <f ca="1">IFERROR(__xludf.DUMMYFUNCTION("""COMPUTED_VALUE"""),"DOGMI [OLD]")</f>
        <v>DOGMI [OLD]</v>
      </c>
    </row>
    <row r="4015" spans="1:3" x14ac:dyDescent="0.25">
      <c r="A4015" s="2" t="str">
        <f ca="1">IFERROR(__xludf.DUMMYFUNCTION("""COMPUTED_VALUE"""),"dogfinity-2")</f>
        <v>dogfinity-2</v>
      </c>
      <c r="B4015" s="2" t="str">
        <f ca="1">IFERROR(__xludf.DUMMYFUNCTION("""COMPUTED_VALUE"""),"dogmi")</f>
        <v>dogmi</v>
      </c>
      <c r="C4015" s="2" t="str">
        <f ca="1">IFERROR(__xludf.DUMMYFUNCTION("""COMPUTED_VALUE"""),"DOGMI")</f>
        <v>DOGMI</v>
      </c>
    </row>
    <row r="4016" spans="1:3" x14ac:dyDescent="0.25">
      <c r="A4016" s="2" t="str">
        <f ca="1">IFERROR(__xludf.DUMMYFUNCTION("""COMPUTED_VALUE"""),"doggacoin")</f>
        <v>doggacoin</v>
      </c>
      <c r="B4016" s="2" t="str">
        <f ca="1">IFERROR(__xludf.DUMMYFUNCTION("""COMPUTED_VALUE"""),"dogga")</f>
        <v>dogga</v>
      </c>
      <c r="C4016" s="2" t="str">
        <f ca="1">IFERROR(__xludf.DUMMYFUNCTION("""COMPUTED_VALUE"""),"Doggacoin")</f>
        <v>Doggacoin</v>
      </c>
    </row>
    <row r="4017" spans="1:3" x14ac:dyDescent="0.25">
      <c r="A4017" s="2" t="str">
        <f ca="1">IFERROR(__xludf.DUMMYFUNCTION("""COMPUTED_VALUE"""),"doggensnout")</f>
        <v>doggensnout</v>
      </c>
      <c r="B4017" s="2" t="str">
        <f ca="1">IFERROR(__xludf.DUMMYFUNCTION("""COMPUTED_VALUE"""),"doggs")</f>
        <v>doggs</v>
      </c>
      <c r="C4017" s="2" t="str">
        <f ca="1">IFERROR(__xludf.DUMMYFUNCTION("""COMPUTED_VALUE"""),"Doggensnout")</f>
        <v>Doggensnout</v>
      </c>
    </row>
    <row r="4018" spans="1:3" x14ac:dyDescent="0.25">
      <c r="A4018" s="2" t="str">
        <f ca="1">IFERROR(__xludf.DUMMYFUNCTION("""COMPUTED_VALUE"""),"doggensnout-skeptic")</f>
        <v>doggensnout-skeptic</v>
      </c>
      <c r="B4018" s="2" t="str">
        <f ca="1">IFERROR(__xludf.DUMMYFUNCTION("""COMPUTED_VALUE"""),"dogs")</f>
        <v>dogs</v>
      </c>
      <c r="C4018" s="2" t="str">
        <f ca="1">IFERROR(__xludf.DUMMYFUNCTION("""COMPUTED_VALUE"""),"Doggensnout Skeptic")</f>
        <v>Doggensnout Skeptic</v>
      </c>
    </row>
    <row r="4019" spans="1:3" x14ac:dyDescent="0.25">
      <c r="A4019" s="2" t="str">
        <f ca="1">IFERROR(__xludf.DUMMYFUNCTION("""COMPUTED_VALUE"""),"dogggo")</f>
        <v>dogggo</v>
      </c>
      <c r="B4019" s="2" t="str">
        <f ca="1">IFERROR(__xludf.DUMMYFUNCTION("""COMPUTED_VALUE"""),"dogggo")</f>
        <v>dogggo</v>
      </c>
      <c r="C4019" s="2" t="str">
        <f ca="1">IFERROR(__xludf.DUMMYFUNCTION("""COMPUTED_VALUE"""),"Dogggo")</f>
        <v>Dogggo</v>
      </c>
    </row>
    <row r="4020" spans="1:3" x14ac:dyDescent="0.25">
      <c r="A4020" s="2" t="str">
        <f ca="1">IFERROR(__xludf.DUMMYFUNCTION("""COMPUTED_VALUE"""),"doggo")</f>
        <v>doggo</v>
      </c>
      <c r="B4020" s="2" t="str">
        <f ca="1">IFERROR(__xludf.DUMMYFUNCTION("""COMPUTED_VALUE"""),"doggo")</f>
        <v>doggo</v>
      </c>
      <c r="C4020" s="2" t="str">
        <f ca="1">IFERROR(__xludf.DUMMYFUNCTION("""COMPUTED_VALUE"""),"DOGGO")</f>
        <v>DOGGO</v>
      </c>
    </row>
    <row r="4021" spans="1:3" x14ac:dyDescent="0.25">
      <c r="A4021" s="2" t="str">
        <f ca="1">IFERROR(__xludf.DUMMYFUNCTION("""COMPUTED_VALUE"""),"doggo-2")</f>
        <v>doggo-2</v>
      </c>
      <c r="B4021" s="2" t="str">
        <f ca="1">IFERROR(__xludf.DUMMYFUNCTION("""COMPUTED_VALUE"""),"doggo")</f>
        <v>doggo</v>
      </c>
      <c r="C4021" s="2" t="str">
        <f ca="1">IFERROR(__xludf.DUMMYFUNCTION("""COMPUTED_VALUE"""),"Doggo")</f>
        <v>Doggo</v>
      </c>
    </row>
    <row r="4022" spans="1:3" x14ac:dyDescent="0.25">
      <c r="A4022" s="2" t="str">
        <f ca="1">IFERROR(__xludf.DUMMYFUNCTION("""COMPUTED_VALUE"""),"doggo-3")</f>
        <v>doggo-3</v>
      </c>
      <c r="B4022" s="2" t="str">
        <f ca="1">IFERROR(__xludf.DUMMYFUNCTION("""COMPUTED_VALUE"""),"doggo")</f>
        <v>doggo</v>
      </c>
      <c r="C4022" s="2" t="str">
        <f ca="1">IFERROR(__xludf.DUMMYFUNCTION("""COMPUTED_VALUE"""),"Doggo")</f>
        <v>Doggo</v>
      </c>
    </row>
    <row r="4023" spans="1:3" x14ac:dyDescent="0.25">
      <c r="A4023" s="2" t="str">
        <f ca="1">IFERROR(__xludf.DUMMYFUNCTION("""COMPUTED_VALUE"""),"doggo-inu")</f>
        <v>doggo-inu</v>
      </c>
      <c r="B4023" s="2" t="str">
        <f ca="1">IFERROR(__xludf.DUMMYFUNCTION("""COMPUTED_VALUE"""),"doggo")</f>
        <v>doggo</v>
      </c>
      <c r="C4023" s="2" t="str">
        <f ca="1">IFERROR(__xludf.DUMMYFUNCTION("""COMPUTED_VALUE"""),"Doggo Inu")</f>
        <v>Doggo Inu</v>
      </c>
    </row>
    <row r="4024" spans="1:3" x14ac:dyDescent="0.25">
      <c r="A4024" s="2" t="str">
        <f ca="1">IFERROR(__xludf.DUMMYFUNCTION("""COMPUTED_VALUE"""),"dog-go-to-the-moon-rune")</f>
        <v>dog-go-to-the-moon-rune</v>
      </c>
      <c r="B4024" s="2" t="str">
        <f ca="1">IFERROR(__xludf.DUMMYFUNCTION("""COMPUTED_VALUE"""),"dog")</f>
        <v>dog</v>
      </c>
      <c r="C4024" s="2" t="str">
        <f ca="1">IFERROR(__xludf.DUMMYFUNCTION("""COMPUTED_VALUE"""),"DOG•GO•TO•THE•MOON (Runes)")</f>
        <v>DOG•GO•TO•THE•MOON (Runes)</v>
      </c>
    </row>
    <row r="4025" spans="1:3" x14ac:dyDescent="0.25">
      <c r="A4025" s="2" t="str">
        <f ca="1">IFERROR(__xludf.DUMMYFUNCTION("""COMPUTED_VALUE"""),"doggy")</f>
        <v>doggy</v>
      </c>
      <c r="B4025" s="2" t="str">
        <f ca="1">IFERROR(__xludf.DUMMYFUNCTION("""COMPUTED_VALUE"""),"doggy")</f>
        <v>doggy</v>
      </c>
      <c r="C4025" s="2" t="str">
        <f ca="1">IFERROR(__xludf.DUMMYFUNCTION("""COMPUTED_VALUE"""),"Doggy")</f>
        <v>Doggy</v>
      </c>
    </row>
    <row r="4026" spans="1:3" x14ac:dyDescent="0.25">
      <c r="A4026" s="2" t="str">
        <f ca="1">IFERROR(__xludf.DUMMYFUNCTION("""COMPUTED_VALUE"""),"doggy-coin")</f>
        <v>doggy-coin</v>
      </c>
      <c r="B4026" s="2" t="str">
        <f ca="1">IFERROR(__xludf.DUMMYFUNCTION("""COMPUTED_VALUE"""),"doggy")</f>
        <v>doggy</v>
      </c>
      <c r="C4026" s="2" t="str">
        <f ca="1">IFERROR(__xludf.DUMMYFUNCTION("""COMPUTED_VALUE"""),"DOGGY COIN")</f>
        <v>DOGGY COIN</v>
      </c>
    </row>
    <row r="4027" spans="1:3" x14ac:dyDescent="0.25">
      <c r="A4027" s="2" t="str">
        <f ca="1">IFERROR(__xludf.DUMMYFUNCTION("""COMPUTED_VALUE"""),"dogi")</f>
        <v>dogi</v>
      </c>
      <c r="B4027" s="2" t="str">
        <f ca="1">IFERROR(__xludf.DUMMYFUNCTION("""COMPUTED_VALUE"""),"dogi")</f>
        <v>dogi</v>
      </c>
      <c r="C4027" s="2" t="str">
        <f ca="1">IFERROR(__xludf.DUMMYFUNCTION("""COMPUTED_VALUE"""),"dogi")</f>
        <v>dogi</v>
      </c>
    </row>
    <row r="4028" spans="1:3" x14ac:dyDescent="0.25">
      <c r="A4028" s="2" t="str">
        <f ca="1">IFERROR(__xludf.DUMMYFUNCTION("""COMPUTED_VALUE"""),"doginal-kabosu-drc-20")</f>
        <v>doginal-kabosu-drc-20</v>
      </c>
      <c r="B4028" s="2" t="str">
        <f ca="1">IFERROR(__xludf.DUMMYFUNCTION("""COMPUTED_VALUE"""),"dosu")</f>
        <v>dosu</v>
      </c>
      <c r="C4028" s="2" t="str">
        <f ca="1">IFERROR(__xludf.DUMMYFUNCTION("""COMPUTED_VALUE"""),"Doginal Kabosu (DRC-20)")</f>
        <v>Doginal Kabosu (DRC-20)</v>
      </c>
    </row>
    <row r="4029" spans="1:3" x14ac:dyDescent="0.25">
      <c r="A4029" s="2" t="str">
        <f ca="1">IFERROR(__xludf.DUMMYFUNCTION("""COMPUTED_VALUE"""),"doginme")</f>
        <v>doginme</v>
      </c>
      <c r="B4029" s="2" t="str">
        <f ca="1">IFERROR(__xludf.DUMMYFUNCTION("""COMPUTED_VALUE"""),"doginme")</f>
        <v>doginme</v>
      </c>
      <c r="C4029" s="2" t="str">
        <f ca="1">IFERROR(__xludf.DUMMYFUNCTION("""COMPUTED_VALUE"""),"doginme")</f>
        <v>doginme</v>
      </c>
    </row>
    <row r="4030" spans="1:3" x14ac:dyDescent="0.25">
      <c r="A4030" s="2" t="str">
        <f ca="1">IFERROR(__xludf.DUMMYFUNCTION("""COMPUTED_VALUE"""),"doginphire")</f>
        <v>doginphire</v>
      </c>
      <c r="B4030" s="2" t="str">
        <f ca="1">IFERROR(__xludf.DUMMYFUNCTION("""COMPUTED_VALUE"""),"fire")</f>
        <v>fire</v>
      </c>
      <c r="C4030" s="2" t="str">
        <f ca="1">IFERROR(__xludf.DUMMYFUNCTION("""COMPUTED_VALUE"""),"doginphire")</f>
        <v>doginphire</v>
      </c>
    </row>
    <row r="4031" spans="1:3" x14ac:dyDescent="0.25">
      <c r="A4031" s="2" t="str">
        <f ca="1">IFERROR(__xludf.DUMMYFUNCTION("""COMPUTED_VALUE"""),"doginthpool")</f>
        <v>doginthpool</v>
      </c>
      <c r="B4031" s="2" t="str">
        <f ca="1">IFERROR(__xludf.DUMMYFUNCTION("""COMPUTED_VALUE"""),"dip")</f>
        <v>dip</v>
      </c>
      <c r="C4031" s="2" t="str">
        <f ca="1">IFERROR(__xludf.DUMMYFUNCTION("""COMPUTED_VALUE"""),"doginthpool")</f>
        <v>doginthpool</v>
      </c>
    </row>
    <row r="4032" spans="1:3" x14ac:dyDescent="0.25">
      <c r="A4032" s="2" t="str">
        <f ca="1">IFERROR(__xludf.DUMMYFUNCTION("""COMPUTED_VALUE"""),"doginwotah")</f>
        <v>doginwotah</v>
      </c>
      <c r="B4032" s="2" t="str">
        <f ca="1">IFERROR(__xludf.DUMMYFUNCTION("""COMPUTED_VALUE"""),"water")</f>
        <v>water</v>
      </c>
      <c r="C4032" s="2" t="str">
        <f ca="1">IFERROR(__xludf.DUMMYFUNCTION("""COMPUTED_VALUE"""),"doginwotah")</f>
        <v>doginwotah</v>
      </c>
    </row>
    <row r="4033" spans="1:3" x14ac:dyDescent="0.25">
      <c r="A4033" s="2" t="str">
        <f ca="1">IFERROR(__xludf.DUMMYFUNCTION("""COMPUTED_VALUE"""),"dogira")</f>
        <v>dogira</v>
      </c>
      <c r="B4033" s="2" t="str">
        <f ca="1">IFERROR(__xludf.DUMMYFUNCTION("""COMPUTED_VALUE"""),"dogira")</f>
        <v>dogira</v>
      </c>
      <c r="C4033" s="2" t="str">
        <f ca="1">IFERROR(__xludf.DUMMYFUNCTION("""COMPUTED_VALUE"""),"Dogira")</f>
        <v>Dogira</v>
      </c>
    </row>
    <row r="4034" spans="1:3" x14ac:dyDescent="0.25">
      <c r="A4034" s="2" t="str">
        <f ca="1">IFERROR(__xludf.DUMMYFUNCTION("""COMPUTED_VALUE"""),"dogita")</f>
        <v>dogita</v>
      </c>
      <c r="B4034" s="2" t="str">
        <f ca="1">IFERROR(__xludf.DUMMYFUNCTION("""COMPUTED_VALUE"""),"doga")</f>
        <v>doga</v>
      </c>
      <c r="C4034" s="2" t="str">
        <f ca="1">IFERROR(__xludf.DUMMYFUNCTION("""COMPUTED_VALUE"""),"DOGITA")</f>
        <v>DOGITA</v>
      </c>
    </row>
    <row r="4035" spans="1:3" x14ac:dyDescent="0.25">
      <c r="A4035" s="2" t="str">
        <f ca="1">IFERROR(__xludf.DUMMYFUNCTION("""COMPUTED_VALUE"""),"doglibre")</f>
        <v>doglibre</v>
      </c>
      <c r="B4035" s="2" t="str">
        <f ca="1">IFERROR(__xludf.DUMMYFUNCTION("""COMPUTED_VALUE"""),"dogl")</f>
        <v>dogl</v>
      </c>
      <c r="C4035" s="2" t="str">
        <f ca="1">IFERROR(__xludf.DUMMYFUNCTION("""COMPUTED_VALUE"""),"DogLibre")</f>
        <v>DogLibre</v>
      </c>
    </row>
    <row r="4036" spans="1:3" x14ac:dyDescent="0.25">
      <c r="A4036" s="2" t="str">
        <f ca="1">IFERROR(__xludf.DUMMYFUNCTION("""COMPUTED_VALUE"""),"dogmcoin")</f>
        <v>dogmcoin</v>
      </c>
      <c r="B4036" s="2" t="str">
        <f ca="1">IFERROR(__xludf.DUMMYFUNCTION("""COMPUTED_VALUE"""),"dogm")</f>
        <v>dogm</v>
      </c>
      <c r="C4036" s="2" t="str">
        <f ca="1">IFERROR(__xludf.DUMMYFUNCTION("""COMPUTED_VALUE"""),"Dogmcoin")</f>
        <v>Dogmcoin</v>
      </c>
    </row>
    <row r="4037" spans="1:3" x14ac:dyDescent="0.25">
      <c r="A4037" s="2" t="str">
        <f ca="1">IFERROR(__xludf.DUMMYFUNCTION("""COMPUTED_VALUE"""),"dognus")</f>
        <v>dognus</v>
      </c>
      <c r="B4037" s="2" t="str">
        <f ca="1">IFERROR(__xludf.DUMMYFUNCTION("""COMPUTED_VALUE"""),"dognus")</f>
        <v>dognus</v>
      </c>
      <c r="C4037" s="2" t="str">
        <f ca="1">IFERROR(__xludf.DUMMYFUNCTION("""COMPUTED_VALUE"""),"Dognus")</f>
        <v>Dognus</v>
      </c>
    </row>
    <row r="4038" spans="1:3" x14ac:dyDescent="0.25">
      <c r="A4038" s="2" t="str">
        <f ca="1">IFERROR(__xludf.DUMMYFUNCTION("""COMPUTED_VALUE"""),"dog-of-wisdom")</f>
        <v>dog-of-wisdom</v>
      </c>
      <c r="B4038" s="2" t="str">
        <f ca="1">IFERROR(__xludf.DUMMYFUNCTION("""COMPUTED_VALUE"""),"wisdm")</f>
        <v>wisdm</v>
      </c>
      <c r="C4038" s="2" t="str">
        <f ca="1">IFERROR(__xludf.DUMMYFUNCTION("""COMPUTED_VALUE"""),"Dog Of Wisdom")</f>
        <v>Dog Of Wisdom</v>
      </c>
    </row>
    <row r="4039" spans="1:3" x14ac:dyDescent="0.25">
      <c r="A4039" s="2" t="str">
        <f ca="1">IFERROR(__xludf.DUMMYFUNCTION("""COMPUTED_VALUE"""),"dog-on-moon")</f>
        <v>dog-on-moon</v>
      </c>
      <c r="B4039" s="2" t="str">
        <f ca="1">IFERROR(__xludf.DUMMYFUNCTION("""COMPUTED_VALUE"""),"moon")</f>
        <v>moon</v>
      </c>
      <c r="C4039" s="2" t="str">
        <f ca="1">IFERROR(__xludf.DUMMYFUNCTION("""COMPUTED_VALUE"""),"Dog on Moon")</f>
        <v>Dog on Moon</v>
      </c>
    </row>
    <row r="4040" spans="1:3" x14ac:dyDescent="0.25">
      <c r="A4040" s="2" t="str">
        <f ca="1">IFERROR(__xludf.DUMMYFUNCTION("""COMPUTED_VALUE"""),"dog-ordinals")</f>
        <v>dog-ordinals</v>
      </c>
      <c r="B4040" s="2" t="str">
        <f ca="1">IFERROR(__xludf.DUMMYFUNCTION("""COMPUTED_VALUE"""),"$dog")</f>
        <v>$dog</v>
      </c>
      <c r="C4040" s="2" t="str">
        <f ca="1">IFERROR(__xludf.DUMMYFUNCTION("""COMPUTED_VALUE"""),"$DOG (Ordinals)")</f>
        <v>$DOG (Ordinals)</v>
      </c>
    </row>
    <row r="4041" spans="1:3" x14ac:dyDescent="0.25">
      <c r="A4041" s="2" t="str">
        <f ca="1">IFERROR(__xludf.DUMMYFUNCTION("""COMPUTED_VALUE"""),"dogpad-finance")</f>
        <v>dogpad-finance</v>
      </c>
      <c r="B4041" s="2" t="str">
        <f ca="1">IFERROR(__xludf.DUMMYFUNCTION("""COMPUTED_VALUE"""),"dogpad")</f>
        <v>dogpad</v>
      </c>
      <c r="C4041" s="2" t="str">
        <f ca="1">IFERROR(__xludf.DUMMYFUNCTION("""COMPUTED_VALUE"""),"DogPad Finance")</f>
        <v>DogPad Finance</v>
      </c>
    </row>
    <row r="4042" spans="1:3" x14ac:dyDescent="0.25">
      <c r="A4042" s="2" t="str">
        <f ca="1">IFERROR(__xludf.DUMMYFUNCTION("""COMPUTED_VALUE"""),"dogs-2")</f>
        <v>dogs-2</v>
      </c>
      <c r="B4042" s="2" t="str">
        <f ca="1">IFERROR(__xludf.DUMMYFUNCTION("""COMPUTED_VALUE"""),"dogs")</f>
        <v>dogs</v>
      </c>
      <c r="C4042" s="2" t="str">
        <f ca="1">IFERROR(__xludf.DUMMYFUNCTION("""COMPUTED_VALUE"""),"Dogs")</f>
        <v>Dogs</v>
      </c>
    </row>
    <row r="4043" spans="1:3" x14ac:dyDescent="0.25">
      <c r="A4043" s="2" t="str">
        <f ca="1">IFERROR(__xludf.DUMMYFUNCTION("""COMPUTED_VALUE"""),"dogsofelon")</f>
        <v>dogsofelon</v>
      </c>
      <c r="B4043" s="2" t="str">
        <f ca="1">IFERROR(__xludf.DUMMYFUNCTION("""COMPUTED_VALUE"""),"doe")</f>
        <v>doe</v>
      </c>
      <c r="C4043" s="2" t="str">
        <f ca="1">IFERROR(__xludf.DUMMYFUNCTION("""COMPUTED_VALUE"""),"Dogs Of Elon")</f>
        <v>Dogs Of Elon</v>
      </c>
    </row>
    <row r="4044" spans="1:3" x14ac:dyDescent="0.25">
      <c r="A4044" s="2" t="str">
        <f ca="1">IFERROR(__xludf.DUMMYFUNCTION("""COMPUTED_VALUE"""),"dogs-of-elon")</f>
        <v>dogs-of-elon</v>
      </c>
      <c r="B4044" s="2" t="str">
        <f ca="1">IFERROR(__xludf.DUMMYFUNCTION("""COMPUTED_VALUE"""),"doe")</f>
        <v>doe</v>
      </c>
      <c r="C4044" s="2" t="str">
        <f ca="1">IFERROR(__xludf.DUMMYFUNCTION("""COMPUTED_VALUE"""),"Dogs of Elon")</f>
        <v>Dogs of Elon</v>
      </c>
    </row>
    <row r="4045" spans="1:3" x14ac:dyDescent="0.25">
      <c r="A4045" s="2" t="str">
        <f ca="1">IFERROR(__xludf.DUMMYFUNCTION("""COMPUTED_VALUE"""),"dog-spooning-cat")</f>
        <v>dog-spooning-cat</v>
      </c>
      <c r="B4045" s="2" t="str">
        <f ca="1">IFERROR(__xludf.DUMMYFUNCTION("""COMPUTED_VALUE"""),"spoon")</f>
        <v>spoon</v>
      </c>
      <c r="C4045" s="2" t="str">
        <f ca="1">IFERROR(__xludf.DUMMYFUNCTION("""COMPUTED_VALUE"""),"dog spooning cat")</f>
        <v>dog spooning cat</v>
      </c>
    </row>
    <row r="4046" spans="1:3" x14ac:dyDescent="0.25">
      <c r="A4046" s="2" t="str">
        <f ca="1">IFERROR(__xludf.DUMMYFUNCTION("""COMPUTED_VALUE"""),"dogs-rock")</f>
        <v>dogs-rock</v>
      </c>
      <c r="B4046" s="2" t="str">
        <f ca="1">IFERROR(__xludf.DUMMYFUNCTION("""COMPUTED_VALUE"""),"dogsrock")</f>
        <v>dogsrock</v>
      </c>
      <c r="C4046" s="2" t="str">
        <f ca="1">IFERROR(__xludf.DUMMYFUNCTION("""COMPUTED_VALUE"""),"Dogs Rock")</f>
        <v>Dogs Rock</v>
      </c>
    </row>
    <row r="4047" spans="1:3" x14ac:dyDescent="0.25">
      <c r="A4047" s="2" t="str">
        <f ca="1">IFERROR(__xludf.DUMMYFUNCTION("""COMPUTED_VALUE"""),"dogswap-token")</f>
        <v>dogswap-token</v>
      </c>
      <c r="B4047" s="2" t="str">
        <f ca="1">IFERROR(__xludf.DUMMYFUNCTION("""COMPUTED_VALUE"""),"dog")</f>
        <v>dog</v>
      </c>
      <c r="C4047" s="2" t="str">
        <f ca="1">IFERROR(__xludf.DUMMYFUNCTION("""COMPUTED_VALUE"""),"Dogeswap (HECO)")</f>
        <v>Dogeswap (HECO)</v>
      </c>
    </row>
    <row r="4048" spans="1:3" x14ac:dyDescent="0.25">
      <c r="A4048" s="2" t="str">
        <f ca="1">IFERROR(__xludf.DUMMYFUNCTION("""COMPUTED_VALUE"""),"dog-vision-pro")</f>
        <v>dog-vision-pro</v>
      </c>
      <c r="B4048" s="2" t="str">
        <f ca="1">IFERROR(__xludf.DUMMYFUNCTION("""COMPUTED_VALUE"""),"vision")</f>
        <v>vision</v>
      </c>
      <c r="C4048" s="2" t="str">
        <f ca="1">IFERROR(__xludf.DUMMYFUNCTION("""COMPUTED_VALUE"""),"Sol Vision Pro")</f>
        <v>Sol Vision Pro</v>
      </c>
    </row>
    <row r="4049" spans="1:3" x14ac:dyDescent="0.25">
      <c r="A4049" s="2" t="str">
        <f ca="1">IFERROR(__xludf.DUMMYFUNCTION("""COMPUTED_VALUE"""),"dog-walter")</f>
        <v>dog-walter</v>
      </c>
      <c r="B4049" s="2" t="str">
        <f ca="1">IFERROR(__xludf.DUMMYFUNCTION("""COMPUTED_VALUE"""),"nelsol")</f>
        <v>nelsol</v>
      </c>
      <c r="C4049" s="2" t="str">
        <f ca="1">IFERROR(__xludf.DUMMYFUNCTION("""COMPUTED_VALUE"""),"Dog Walter")</f>
        <v>Dog Walter</v>
      </c>
    </row>
    <row r="4050" spans="1:3" x14ac:dyDescent="0.25">
      <c r="A4050" s="2" t="str">
        <f ca="1">IFERROR(__xludf.DUMMYFUNCTION("""COMPUTED_VALUE"""),"dogwif2-0")</f>
        <v>dogwif2-0</v>
      </c>
      <c r="B4050" s="2" t="str">
        <f ca="1">IFERROR(__xludf.DUMMYFUNCTION("""COMPUTED_VALUE"""),"$wif2")</f>
        <v>$wif2</v>
      </c>
      <c r="C4050" s="2" t="str">
        <f ca="1">IFERROR(__xludf.DUMMYFUNCTION("""COMPUTED_VALUE"""),"DOGWIF2.0")</f>
        <v>DOGWIF2.0</v>
      </c>
    </row>
    <row r="4051" spans="1:3" x14ac:dyDescent="0.25">
      <c r="A4051" s="2" t="str">
        <f ca="1">IFERROR(__xludf.DUMMYFUNCTION("""COMPUTED_VALUE"""),"dogwifceo")</f>
        <v>dogwifceo</v>
      </c>
      <c r="B4051" s="2" t="str">
        <f ca="1">IFERROR(__xludf.DUMMYFUNCTION("""COMPUTED_VALUE"""),"wifc")</f>
        <v>wifc</v>
      </c>
      <c r="C4051" s="2" t="str">
        <f ca="1">IFERROR(__xludf.DUMMYFUNCTION("""COMPUTED_VALUE"""),"dogwifceo")</f>
        <v>dogwifceo</v>
      </c>
    </row>
    <row r="4052" spans="1:3" x14ac:dyDescent="0.25">
      <c r="A4052" s="2" t="str">
        <f ca="1">IFERROR(__xludf.DUMMYFUNCTION("""COMPUTED_VALUE"""),"dogwifcoin")</f>
        <v>dogwifcoin</v>
      </c>
      <c r="B4052" s="2" t="str">
        <f ca="1">IFERROR(__xludf.DUMMYFUNCTION("""COMPUTED_VALUE"""),"wif")</f>
        <v>wif</v>
      </c>
      <c r="C4052" s="2" t="str">
        <f ca="1">IFERROR(__xludf.DUMMYFUNCTION("""COMPUTED_VALUE"""),"dogwifhat")</f>
        <v>dogwifhat</v>
      </c>
    </row>
    <row r="4053" spans="1:3" x14ac:dyDescent="0.25">
      <c r="A4053" s="2" t="str">
        <f ca="1">IFERROR(__xludf.DUMMYFUNCTION("""COMPUTED_VALUE"""),"dogwifcrocs")</f>
        <v>dogwifcrocs</v>
      </c>
      <c r="B4053" s="2" t="str">
        <f ca="1">IFERROR(__xludf.DUMMYFUNCTION("""COMPUTED_VALUE"""),"dwc")</f>
        <v>dwc</v>
      </c>
      <c r="C4053" s="2" t="str">
        <f ca="1">IFERROR(__xludf.DUMMYFUNCTION("""COMPUTED_VALUE"""),"DOGwifCROCS")</f>
        <v>DOGwifCROCS</v>
      </c>
    </row>
    <row r="4054" spans="1:3" x14ac:dyDescent="0.25">
      <c r="A4054" s="2" t="str">
        <f ca="1">IFERROR(__xludf.DUMMYFUNCTION("""COMPUTED_VALUE"""),"dogwifhat-base")</f>
        <v>dogwifhat-base</v>
      </c>
      <c r="B4054" s="2" t="str">
        <f ca="1">IFERROR(__xludf.DUMMYFUNCTION("""COMPUTED_VALUE"""),"wif")</f>
        <v>wif</v>
      </c>
      <c r="C4054" s="2" t="str">
        <f ca="1">IFERROR(__xludf.DUMMYFUNCTION("""COMPUTED_VALUE"""),"DogWifHat")</f>
        <v>DogWifHat</v>
      </c>
    </row>
    <row r="4055" spans="1:3" x14ac:dyDescent="0.25">
      <c r="A4055" s="2" t="str">
        <f ca="1">IFERROR(__xludf.DUMMYFUNCTION("""COMPUTED_VALUE"""),"dogwifhat-eth")</f>
        <v>dogwifhat-eth</v>
      </c>
      <c r="B4055" s="2" t="str">
        <f ca="1">IFERROR(__xludf.DUMMYFUNCTION("""COMPUTED_VALUE"""),"dogwifhat")</f>
        <v>dogwifhat</v>
      </c>
      <c r="C4055" s="2" t="str">
        <f ca="1">IFERROR(__xludf.DUMMYFUNCTION("""COMPUTED_VALUE"""),"dogwifhat Eth")</f>
        <v>dogwifhat Eth</v>
      </c>
    </row>
    <row r="4056" spans="1:3" x14ac:dyDescent="0.25">
      <c r="A4056" s="2" t="str">
        <f ca="1">IFERROR(__xludf.DUMMYFUNCTION("""COMPUTED_VALUE"""),"dogwifhood")</f>
        <v>dogwifhood</v>
      </c>
      <c r="B4056" s="2" t="str">
        <f ca="1">IFERROR(__xludf.DUMMYFUNCTION("""COMPUTED_VALUE"""),"wif")</f>
        <v>wif</v>
      </c>
      <c r="C4056" s="2" t="str">
        <f ca="1">IFERROR(__xludf.DUMMYFUNCTION("""COMPUTED_VALUE"""),"DOGWIFHOOD")</f>
        <v>DOGWIFHOOD</v>
      </c>
    </row>
    <row r="4057" spans="1:3" x14ac:dyDescent="0.25">
      <c r="A4057" s="2" t="str">
        <f ca="1">IFERROR(__xludf.DUMMYFUNCTION("""COMPUTED_VALUE"""),"dogwifkatana")</f>
        <v>dogwifkatana</v>
      </c>
      <c r="B4057" s="2" t="str">
        <f ca="1">IFERROR(__xludf.DUMMYFUNCTION("""COMPUTED_VALUE"""),"katana")</f>
        <v>katana</v>
      </c>
      <c r="C4057" s="2" t="str">
        <f ca="1">IFERROR(__xludf.DUMMYFUNCTION("""COMPUTED_VALUE"""),"dogwifkatana")</f>
        <v>dogwifkatana</v>
      </c>
    </row>
    <row r="4058" spans="1:3" x14ac:dyDescent="0.25">
      <c r="A4058" s="2" t="str">
        <f ca="1">IFERROR(__xludf.DUMMYFUNCTION("""COMPUTED_VALUE"""),"dogwifleg")</f>
        <v>dogwifleg</v>
      </c>
      <c r="B4058" s="2" t="str">
        <f ca="1">IFERROR(__xludf.DUMMYFUNCTION("""COMPUTED_VALUE"""),"leg")</f>
        <v>leg</v>
      </c>
      <c r="C4058" s="2" t="str">
        <f ca="1">IFERROR(__xludf.DUMMYFUNCTION("""COMPUTED_VALUE"""),"dogwifleg")</f>
        <v>dogwifleg</v>
      </c>
    </row>
    <row r="4059" spans="1:3" x14ac:dyDescent="0.25">
      <c r="A4059" s="2" t="str">
        <f ca="1">IFERROR(__xludf.DUMMYFUNCTION("""COMPUTED_VALUE"""),"dogwifnohat")</f>
        <v>dogwifnohat</v>
      </c>
      <c r="B4059" s="2" t="str">
        <f ca="1">IFERROR(__xludf.DUMMYFUNCTION("""COMPUTED_VALUE"""),"nohat")</f>
        <v>nohat</v>
      </c>
      <c r="C4059" s="2" t="str">
        <f ca="1">IFERROR(__xludf.DUMMYFUNCTION("""COMPUTED_VALUE"""),"DogWifNoHat")</f>
        <v>DogWifNoHat</v>
      </c>
    </row>
    <row r="4060" spans="1:3" x14ac:dyDescent="0.25">
      <c r="A4060" s="2" t="str">
        <f ca="1">IFERROR(__xludf.DUMMYFUNCTION("""COMPUTED_VALUE"""),"dog-wif-nuchucks")</f>
        <v>dog-wif-nuchucks</v>
      </c>
      <c r="B4060" s="2" t="str">
        <f ca="1">IFERROR(__xludf.DUMMYFUNCTION("""COMPUTED_VALUE"""),"ninja")</f>
        <v>ninja</v>
      </c>
      <c r="C4060" s="2" t="str">
        <f ca="1">IFERROR(__xludf.DUMMYFUNCTION("""COMPUTED_VALUE"""),"Dog Wif Nunchucks")</f>
        <v>Dog Wif Nunchucks</v>
      </c>
    </row>
    <row r="4061" spans="1:3" x14ac:dyDescent="0.25">
      <c r="A4061" s="2" t="str">
        <f ca="1">IFERROR(__xludf.DUMMYFUNCTION("""COMPUTED_VALUE"""),"dogwifouthat")</f>
        <v>dogwifouthat</v>
      </c>
      <c r="B4061" s="2" t="str">
        <f ca="1">IFERROR(__xludf.DUMMYFUNCTION("""COMPUTED_VALUE"""),"wifout")</f>
        <v>wifout</v>
      </c>
      <c r="C4061" s="2" t="str">
        <f ca="1">IFERROR(__xludf.DUMMYFUNCTION("""COMPUTED_VALUE"""),"dogwifouthat")</f>
        <v>dogwifouthat</v>
      </c>
    </row>
    <row r="4062" spans="1:3" x14ac:dyDescent="0.25">
      <c r="A4062" s="2" t="str">
        <f ca="1">IFERROR(__xludf.DUMMYFUNCTION("""COMPUTED_VALUE"""),"dogwifpants")</f>
        <v>dogwifpants</v>
      </c>
      <c r="B4062" s="2" t="str">
        <f ca="1">IFERROR(__xludf.DUMMYFUNCTION("""COMPUTED_VALUE"""),"pants")</f>
        <v>pants</v>
      </c>
      <c r="C4062" s="2" t="str">
        <f ca="1">IFERROR(__xludf.DUMMYFUNCTION("""COMPUTED_VALUE"""),"dogwifpants")</f>
        <v>dogwifpants</v>
      </c>
    </row>
    <row r="4063" spans="1:3" x14ac:dyDescent="0.25">
      <c r="A4063" s="2" t="str">
        <f ca="1">IFERROR(__xludf.DUMMYFUNCTION("""COMPUTED_VALUE"""),"dog-wif-pixels")</f>
        <v>dog-wif-pixels</v>
      </c>
      <c r="B4063" s="2" t="str">
        <f ca="1">IFERROR(__xludf.DUMMYFUNCTION("""COMPUTED_VALUE"""),"dwp")</f>
        <v>dwp</v>
      </c>
      <c r="C4063" s="2" t="str">
        <f ca="1">IFERROR(__xludf.DUMMYFUNCTION("""COMPUTED_VALUE"""),"Dog Wif Pixels")</f>
        <v>Dog Wif Pixels</v>
      </c>
    </row>
    <row r="4064" spans="1:3" x14ac:dyDescent="0.25">
      <c r="A4064" s="2" t="str">
        <f ca="1">IFERROR(__xludf.DUMMYFUNCTION("""COMPUTED_VALUE"""),"dogwifsaudihat")</f>
        <v>dogwifsaudihat</v>
      </c>
      <c r="B4064" s="2" t="str">
        <f ca="1">IFERROR(__xludf.DUMMYFUNCTION("""COMPUTED_VALUE"""),"wifsa")</f>
        <v>wifsa</v>
      </c>
      <c r="C4064" s="2" t="str">
        <f ca="1">IFERROR(__xludf.DUMMYFUNCTION("""COMPUTED_VALUE"""),"dogwifsaudihat")</f>
        <v>dogwifsaudihat</v>
      </c>
    </row>
    <row r="4065" spans="1:3" x14ac:dyDescent="0.25">
      <c r="A4065" s="2" t="str">
        <f ca="1">IFERROR(__xludf.DUMMYFUNCTION("""COMPUTED_VALUE"""),"dogwifscarf")</f>
        <v>dogwifscarf</v>
      </c>
      <c r="B4065" s="2" t="str">
        <f ca="1">IFERROR(__xludf.DUMMYFUNCTION("""COMPUTED_VALUE"""),"wifs")</f>
        <v>wifs</v>
      </c>
      <c r="C4065" s="2" t="str">
        <f ca="1">IFERROR(__xludf.DUMMYFUNCTION("""COMPUTED_VALUE"""),"dogwifscarf")</f>
        <v>dogwifscarf</v>
      </c>
    </row>
    <row r="4066" spans="1:3" x14ac:dyDescent="0.25">
      <c r="A4066" s="2" t="str">
        <f ca="1">IFERROR(__xludf.DUMMYFUNCTION("""COMPUTED_VALUE"""),"dog-wif-spinning-hat")</f>
        <v>dog-wif-spinning-hat</v>
      </c>
      <c r="B4066" s="2" t="str">
        <f ca="1">IFERROR(__xludf.DUMMYFUNCTION("""COMPUTED_VALUE"""),"sd")</f>
        <v>sd</v>
      </c>
      <c r="C4066" s="2" t="str">
        <f ca="1">IFERROR(__xludf.DUMMYFUNCTION("""COMPUTED_VALUE"""),"dog wif spinning hat")</f>
        <v>dog wif spinning hat</v>
      </c>
    </row>
    <row r="4067" spans="1:3" x14ac:dyDescent="0.25">
      <c r="A4067" s="2" t="str">
        <f ca="1">IFERROR(__xludf.DUMMYFUNCTION("""COMPUTED_VALUE"""),"dog-with-purpose")</f>
        <v>dog-with-purpose</v>
      </c>
      <c r="B4067" s="2" t="str">
        <f ca="1">IFERROR(__xludf.DUMMYFUNCTION("""COMPUTED_VALUE"""),"dopu")</f>
        <v>dopu</v>
      </c>
      <c r="C4067" s="2" t="str">
        <f ca="1">IFERROR(__xludf.DUMMYFUNCTION("""COMPUTED_VALUE"""),"Dog With Purpose")</f>
        <v>Dog With Purpose</v>
      </c>
    </row>
    <row r="4068" spans="1:3" x14ac:dyDescent="0.25">
      <c r="A4068" s="2" t="str">
        <f ca="1">IFERROR(__xludf.DUMMYFUNCTION("""COMPUTED_VALUE"""),"dogy")</f>
        <v>dogy</v>
      </c>
      <c r="B4068" s="2" t="str">
        <f ca="1">IFERROR(__xludf.DUMMYFUNCTION("""COMPUTED_VALUE"""),"dogy")</f>
        <v>dogy</v>
      </c>
      <c r="C4068" s="2" t="str">
        <f ca="1">IFERROR(__xludf.DUMMYFUNCTION("""COMPUTED_VALUE"""),"Dogy")</f>
        <v>Dogy</v>
      </c>
    </row>
    <row r="4069" spans="1:3" x14ac:dyDescent="0.25">
      <c r="A4069" s="2" t="str">
        <f ca="1">IFERROR(__xludf.DUMMYFUNCTION("""COMPUTED_VALUE"""),"dogyrace")</f>
        <v>dogyrace</v>
      </c>
      <c r="B4069" s="2" t="str">
        <f ca="1">IFERROR(__xludf.DUMMYFUNCTION("""COMPUTED_VALUE"""),"dor")</f>
        <v>dor</v>
      </c>
      <c r="C4069" s="2" t="str">
        <f ca="1">IFERROR(__xludf.DUMMYFUNCTION("""COMPUTED_VALUE"""),"DogyRace")</f>
        <v>DogyRace</v>
      </c>
    </row>
    <row r="4070" spans="1:3" x14ac:dyDescent="0.25">
      <c r="A4070" s="2" t="str">
        <f ca="1">IFERROR(__xludf.DUMMYFUNCTION("""COMPUTED_VALUE"""),"dogz")</f>
        <v>dogz</v>
      </c>
      <c r="B4070" s="2" t="str">
        <f ca="1">IFERROR(__xludf.DUMMYFUNCTION("""COMPUTED_VALUE"""),"dogz")</f>
        <v>dogz</v>
      </c>
      <c r="C4070" s="2" t="str">
        <f ca="1">IFERROR(__xludf.DUMMYFUNCTION("""COMPUTED_VALUE"""),"Dogz")</f>
        <v>Dogz</v>
      </c>
    </row>
    <row r="4071" spans="1:3" x14ac:dyDescent="0.25">
      <c r="A4071" s="2" t="str">
        <f ca="1">IFERROR(__xludf.DUMMYFUNCTION("""COMPUTED_VALUE"""),"dohrnii")</f>
        <v>dohrnii</v>
      </c>
      <c r="B4071" s="2" t="str">
        <f ca="1">IFERROR(__xludf.DUMMYFUNCTION("""COMPUTED_VALUE"""),"dhn")</f>
        <v>dhn</v>
      </c>
      <c r="C4071" s="2" t="str">
        <f ca="1">IFERROR(__xludf.DUMMYFUNCTION("""COMPUTED_VALUE"""),"Dohrnii")</f>
        <v>Dohrnii</v>
      </c>
    </row>
    <row r="4072" spans="1:3" x14ac:dyDescent="0.25">
      <c r="A4072" s="2" t="str">
        <f ca="1">IFERROR(__xludf.DUMMYFUNCTION("""COMPUTED_VALUE"""),"doichain")</f>
        <v>doichain</v>
      </c>
      <c r="B4072" s="2" t="str">
        <f ca="1">IFERROR(__xludf.DUMMYFUNCTION("""COMPUTED_VALUE"""),"doi")</f>
        <v>doi</v>
      </c>
      <c r="C4072" s="2" t="str">
        <f ca="1">IFERROR(__xludf.DUMMYFUNCTION("""COMPUTED_VALUE"""),"Doichain")</f>
        <v>Doichain</v>
      </c>
    </row>
    <row r="4073" spans="1:3" x14ac:dyDescent="0.25">
      <c r="A4073" s="2" t="str">
        <f ca="1">IFERROR(__xludf.DUMMYFUNCTION("""COMPUTED_VALUE"""),"dojo")</f>
        <v>dojo</v>
      </c>
      <c r="B4073" s="2" t="str">
        <f ca="1">IFERROR(__xludf.DUMMYFUNCTION("""COMPUTED_VALUE"""),"dojo")</f>
        <v>dojo</v>
      </c>
      <c r="C4073" s="2" t="str">
        <f ca="1">IFERROR(__xludf.DUMMYFUNCTION("""COMPUTED_VALUE"""),"DOJO")</f>
        <v>DOJO</v>
      </c>
    </row>
    <row r="4074" spans="1:3" x14ac:dyDescent="0.25">
      <c r="A4074" s="2" t="str">
        <f ca="1">IFERROR(__xludf.DUMMYFUNCTION("""COMPUTED_VALUE"""),"dojo-2")</f>
        <v>dojo-2</v>
      </c>
      <c r="B4074" s="2" t="str">
        <f ca="1">IFERROR(__xludf.DUMMYFUNCTION("""COMPUTED_VALUE"""),"dojo")</f>
        <v>dojo</v>
      </c>
      <c r="C4074" s="2" t="str">
        <f ca="1">IFERROR(__xludf.DUMMYFUNCTION("""COMPUTED_VALUE"""),"Dojo")</f>
        <v>Dojo</v>
      </c>
    </row>
    <row r="4075" spans="1:3" x14ac:dyDescent="0.25">
      <c r="A4075" s="2" t="str">
        <f ca="1">IFERROR(__xludf.DUMMYFUNCTION("""COMPUTED_VALUE"""),"dojo-protocol")</f>
        <v>dojo-protocol</v>
      </c>
      <c r="B4075" s="2" t="str">
        <f ca="1">IFERROR(__xludf.DUMMYFUNCTION("""COMPUTED_VALUE"""),"doai")</f>
        <v>doai</v>
      </c>
      <c r="C4075" s="2" t="str">
        <f ca="1">IFERROR(__xludf.DUMMYFUNCTION("""COMPUTED_VALUE"""),"Dojo Protocol")</f>
        <v>Dojo Protocol</v>
      </c>
    </row>
    <row r="4076" spans="1:3" x14ac:dyDescent="0.25">
      <c r="A4076" s="2" t="str">
        <f ca="1">IFERROR(__xludf.DUMMYFUNCTION("""COMPUTED_VALUE"""),"dojo-supercomputer")</f>
        <v>dojo-supercomputer</v>
      </c>
      <c r="B4076" s="2" t="str">
        <f ca="1">IFERROR(__xludf.DUMMYFUNCTION("""COMPUTED_VALUE"""),"$dojo")</f>
        <v>$dojo</v>
      </c>
      <c r="C4076" s="2" t="str">
        <f ca="1">IFERROR(__xludf.DUMMYFUNCTION("""COMPUTED_VALUE"""),"Dojo Supercomputer")</f>
        <v>Dojo Supercomputer</v>
      </c>
    </row>
    <row r="4077" spans="1:3" x14ac:dyDescent="0.25">
      <c r="A4077" s="2" t="str">
        <f ca="1">IFERROR(__xludf.DUMMYFUNCTION("""COMPUTED_VALUE"""),"dojo-token")</f>
        <v>dojo-token</v>
      </c>
      <c r="B4077" s="2" t="str">
        <f ca="1">IFERROR(__xludf.DUMMYFUNCTION("""COMPUTED_VALUE"""),"dojo")</f>
        <v>dojo</v>
      </c>
      <c r="C4077" s="2" t="str">
        <f ca="1">IFERROR(__xludf.DUMMYFUNCTION("""COMPUTED_VALUE"""),"Dojo token")</f>
        <v>Dojo token</v>
      </c>
    </row>
    <row r="4078" spans="1:3" x14ac:dyDescent="0.25">
      <c r="A4078" s="2" t="str">
        <f ca="1">IFERROR(__xludf.DUMMYFUNCTION("""COMPUTED_VALUE"""),"doke-inu")</f>
        <v>doke-inu</v>
      </c>
      <c r="B4078" s="2" t="str">
        <f ca="1">IFERROR(__xludf.DUMMYFUNCTION("""COMPUTED_VALUE"""),"doke")</f>
        <v>doke</v>
      </c>
      <c r="C4078" s="2" t="str">
        <f ca="1">IFERROR(__xludf.DUMMYFUNCTION("""COMPUTED_VALUE"""),"Doke Inu")</f>
        <v>Doke Inu</v>
      </c>
    </row>
    <row r="4079" spans="1:3" x14ac:dyDescent="0.25">
      <c r="A4079" s="2" t="str">
        <f ca="1">IFERROR(__xludf.DUMMYFUNCTION("""COMPUTED_VALUE"""),"doki")</f>
        <v>doki</v>
      </c>
      <c r="B4079" s="2" t="str">
        <f ca="1">IFERROR(__xludf.DUMMYFUNCTION("""COMPUTED_VALUE"""),"doki")</f>
        <v>doki</v>
      </c>
      <c r="C4079" s="2" t="str">
        <f ca="1">IFERROR(__xludf.DUMMYFUNCTION("""COMPUTED_VALUE"""),"DOKI")</f>
        <v>DOKI</v>
      </c>
    </row>
    <row r="4080" spans="1:3" x14ac:dyDescent="0.25">
      <c r="A4080" s="2" t="str">
        <f ca="1">IFERROR(__xludf.DUMMYFUNCTION("""COMPUTED_VALUE"""),"dola-borrowing-right")</f>
        <v>dola-borrowing-right</v>
      </c>
      <c r="B4080" s="2" t="str">
        <f ca="1">IFERROR(__xludf.DUMMYFUNCTION("""COMPUTED_VALUE"""),"dbr")</f>
        <v>dbr</v>
      </c>
      <c r="C4080" s="2" t="str">
        <f ca="1">IFERROR(__xludf.DUMMYFUNCTION("""COMPUTED_VALUE"""),"DOLA Borrowing Right")</f>
        <v>DOLA Borrowing Right</v>
      </c>
    </row>
    <row r="4081" spans="1:3" x14ac:dyDescent="0.25">
      <c r="A4081" s="2" t="str">
        <f ca="1">IFERROR(__xludf.DUMMYFUNCTION("""COMPUTED_VALUE"""),"dolan-duck")</f>
        <v>dolan-duck</v>
      </c>
      <c r="B4081" s="2" t="str">
        <f ca="1">IFERROR(__xludf.DUMMYFUNCTION("""COMPUTED_VALUE"""),"dolan")</f>
        <v>dolan</v>
      </c>
      <c r="C4081" s="2" t="str">
        <f ca="1">IFERROR(__xludf.DUMMYFUNCTION("""COMPUTED_VALUE"""),"Dolan Duck")</f>
        <v>Dolan Duck</v>
      </c>
    </row>
    <row r="4082" spans="1:3" x14ac:dyDescent="0.25">
      <c r="A4082" s="2" t="str">
        <f ca="1">IFERROR(__xludf.DUMMYFUNCTION("""COMPUTED_VALUE"""),"dola-usd")</f>
        <v>dola-usd</v>
      </c>
      <c r="B4082" s="2" t="str">
        <f ca="1">IFERROR(__xludf.DUMMYFUNCTION("""COMPUTED_VALUE"""),"dola")</f>
        <v>dola</v>
      </c>
      <c r="C4082" s="2" t="str">
        <f ca="1">IFERROR(__xludf.DUMMYFUNCTION("""COMPUTED_VALUE"""),"DOLA")</f>
        <v>DOLA</v>
      </c>
    </row>
    <row r="4083" spans="1:3" x14ac:dyDescent="0.25">
      <c r="A4083" s="2" t="str">
        <f ca="1">IFERROR(__xludf.DUMMYFUNCTION("""COMPUTED_VALUE"""),"dollar-2")</f>
        <v>dollar-2</v>
      </c>
      <c r="B4083" s="2" t="str">
        <f ca="1">IFERROR(__xludf.DUMMYFUNCTION("""COMPUTED_VALUE"""),"dollar")</f>
        <v>dollar</v>
      </c>
      <c r="C4083" s="2" t="str">
        <f ca="1">IFERROR(__xludf.DUMMYFUNCTION("""COMPUTED_VALUE"""),"Dollar")</f>
        <v>Dollar</v>
      </c>
    </row>
    <row r="4084" spans="1:3" x14ac:dyDescent="0.25">
      <c r="A4084" s="2" t="str">
        <f ca="1">IFERROR(__xludf.DUMMYFUNCTION("""COMPUTED_VALUE"""),"dollarmoon-2")</f>
        <v>dollarmoon-2</v>
      </c>
      <c r="B4084" s="2" t="str">
        <f ca="1">IFERROR(__xludf.DUMMYFUNCTION("""COMPUTED_VALUE"""),"dmoon")</f>
        <v>dmoon</v>
      </c>
      <c r="C4084" s="2" t="str">
        <f ca="1">IFERROR(__xludf.DUMMYFUNCTION("""COMPUTED_VALUE"""),"DollarMoon")</f>
        <v>DollarMoon</v>
      </c>
    </row>
    <row r="4085" spans="1:3" x14ac:dyDescent="0.25">
      <c r="A4085" s="2" t="str">
        <f ca="1">IFERROR(__xludf.DUMMYFUNCTION("""COMPUTED_VALUE"""),"dollar-on-chain")</f>
        <v>dollar-on-chain</v>
      </c>
      <c r="B4085" s="2" t="str">
        <f ca="1">IFERROR(__xludf.DUMMYFUNCTION("""COMPUTED_VALUE"""),"doc")</f>
        <v>doc</v>
      </c>
      <c r="C4085" s="2" t="str">
        <f ca="1">IFERROR(__xludf.DUMMYFUNCTION("""COMPUTED_VALUE"""),"Dollar On Chain")</f>
        <v>Dollar On Chain</v>
      </c>
    </row>
    <row r="4086" spans="1:3" x14ac:dyDescent="0.25">
      <c r="A4086" s="2" t="str">
        <f ca="1">IFERROR(__xludf.DUMMYFUNCTION("""COMPUTED_VALUE"""),"dollarsqueeze")</f>
        <v>dollarsqueeze</v>
      </c>
      <c r="B4086" s="2" t="str">
        <f ca="1">IFERROR(__xludf.DUMMYFUNCTION("""COMPUTED_VALUE"""),"dsq")</f>
        <v>dsq</v>
      </c>
      <c r="C4086" s="2" t="str">
        <f ca="1">IFERROR(__xludf.DUMMYFUNCTION("""COMPUTED_VALUE"""),"DollarSqueeze")</f>
        <v>DollarSqueeze</v>
      </c>
    </row>
    <row r="4087" spans="1:3" x14ac:dyDescent="0.25">
      <c r="A4087" s="2" t="str">
        <f ca="1">IFERROR(__xludf.DUMMYFUNCTION("""COMPUTED_VALUE"""),"dolz-io")</f>
        <v>dolz-io</v>
      </c>
      <c r="B4087" s="2" t="str">
        <f ca="1">IFERROR(__xludf.DUMMYFUNCTION("""COMPUTED_VALUE"""),"dolz")</f>
        <v>dolz</v>
      </c>
      <c r="C4087" s="3" t="str">
        <f ca="1">IFERROR(__xludf.DUMMYFUNCTION("""COMPUTED_VALUE"""),"DOLZ.io")</f>
        <v>DOLZ.io</v>
      </c>
    </row>
    <row r="4088" spans="1:3" x14ac:dyDescent="0.25">
      <c r="A4088" s="2" t="str">
        <f ca="1">IFERROR(__xludf.DUMMYFUNCTION("""COMPUTED_VALUE"""),"domi")</f>
        <v>domi</v>
      </c>
      <c r="B4088" s="2" t="str">
        <f ca="1">IFERROR(__xludf.DUMMYFUNCTION("""COMPUTED_VALUE"""),"domi")</f>
        <v>domi</v>
      </c>
      <c r="C4088" s="2" t="str">
        <f ca="1">IFERROR(__xludf.DUMMYFUNCTION("""COMPUTED_VALUE"""),"Domi")</f>
        <v>Domi</v>
      </c>
    </row>
    <row r="4089" spans="1:3" x14ac:dyDescent="0.25">
      <c r="A4089" s="2" t="str">
        <f ca="1">IFERROR(__xludf.DUMMYFUNCTION("""COMPUTED_VALUE"""),"dominator-domains")</f>
        <v>dominator-domains</v>
      </c>
      <c r="B4089" s="2" t="str">
        <f ca="1">IFERROR(__xludf.DUMMYFUNCTION("""COMPUTED_VALUE"""),"domdom")</f>
        <v>domdom</v>
      </c>
      <c r="C4089" s="2" t="str">
        <f ca="1">IFERROR(__xludf.DUMMYFUNCTION("""COMPUTED_VALUE"""),"Dominator Domains")</f>
        <v>Dominator Domains</v>
      </c>
    </row>
    <row r="4090" spans="1:3" x14ac:dyDescent="0.25">
      <c r="A4090" s="2" t="str">
        <f ca="1">IFERROR(__xludf.DUMMYFUNCTION("""COMPUTED_VALUE"""),"dominica-coin")</f>
        <v>dominica-coin</v>
      </c>
      <c r="B4090" s="2" t="str">
        <f ca="1">IFERROR(__xludf.DUMMYFUNCTION("""COMPUTED_VALUE"""),"dmc")</f>
        <v>dmc</v>
      </c>
      <c r="C4090" s="2" t="str">
        <f ca="1">IFERROR(__xludf.DUMMYFUNCTION("""COMPUTED_VALUE"""),"Dominica Coin")</f>
        <v>Dominica Coin</v>
      </c>
    </row>
    <row r="4091" spans="1:3" x14ac:dyDescent="0.25">
      <c r="A4091" s="2" t="str">
        <f ca="1">IFERROR(__xludf.DUMMYFUNCTION("""COMPUTED_VALUE"""),"dominium-2")</f>
        <v>dominium-2</v>
      </c>
      <c r="B4091" s="2" t="str">
        <f ca="1">IFERROR(__xludf.DUMMYFUNCTION("""COMPUTED_VALUE"""),"dom")</f>
        <v>dom</v>
      </c>
      <c r="C4091" s="2" t="str">
        <f ca="1">IFERROR(__xludf.DUMMYFUNCTION("""COMPUTED_VALUE"""),"Dominium")</f>
        <v>Dominium</v>
      </c>
    </row>
    <row r="4092" spans="1:3" x14ac:dyDescent="0.25">
      <c r="A4092" s="2" t="str">
        <f ca="1">IFERROR(__xludf.DUMMYFUNCTION("""COMPUTED_VALUE"""),"domo")</f>
        <v>domo</v>
      </c>
      <c r="B4092" s="2" t="str">
        <f ca="1">IFERROR(__xludf.DUMMYFUNCTION("""COMPUTED_VALUE"""),"domo")</f>
        <v>domo</v>
      </c>
      <c r="C4092" s="2" t="str">
        <f ca="1">IFERROR(__xludf.DUMMYFUNCTION("""COMPUTED_VALUE"""),"DOMO")</f>
        <v>DOMO</v>
      </c>
    </row>
    <row r="4093" spans="1:3" x14ac:dyDescent="0.25">
      <c r="A4093" s="2" t="str">
        <f ca="1">IFERROR(__xludf.DUMMYFUNCTION("""COMPUTED_VALUE"""),"domus-ai")</f>
        <v>domus-ai</v>
      </c>
      <c r="B4093" s="2" t="str">
        <f ca="1">IFERROR(__xludf.DUMMYFUNCTION("""COMPUTED_VALUE"""),"dom")</f>
        <v>dom</v>
      </c>
      <c r="C4093" s="2" t="str">
        <f ca="1">IFERROR(__xludf.DUMMYFUNCTION("""COMPUTED_VALUE"""),"Domus AI")</f>
        <v>Domus AI</v>
      </c>
    </row>
    <row r="4094" spans="1:3" x14ac:dyDescent="0.25">
      <c r="A4094" s="2" t="str">
        <f ca="1">IFERROR(__xludf.DUMMYFUNCTION("""COMPUTED_VALUE"""),"donablock")</f>
        <v>donablock</v>
      </c>
      <c r="B4094" s="2" t="str">
        <f ca="1">IFERROR(__xludf.DUMMYFUNCTION("""COMPUTED_VALUE"""),"dobo")</f>
        <v>dobo</v>
      </c>
      <c r="C4094" s="2" t="str">
        <f ca="1">IFERROR(__xludf.DUMMYFUNCTION("""COMPUTED_VALUE"""),"DonaBlock")</f>
        <v>DonaBlock</v>
      </c>
    </row>
    <row r="4095" spans="1:3" x14ac:dyDescent="0.25">
      <c r="A4095" s="2" t="str">
        <f ca="1">IFERROR(__xludf.DUMMYFUNCTION("""COMPUTED_VALUE"""),"donaldcat")</f>
        <v>donaldcat</v>
      </c>
      <c r="B4095" s="2" t="str">
        <f ca="1">IFERROR(__xludf.DUMMYFUNCTION("""COMPUTED_VALUE"""),"dc")</f>
        <v>dc</v>
      </c>
      <c r="C4095" s="2" t="str">
        <f ca="1">IFERROR(__xludf.DUMMYFUNCTION("""COMPUTED_VALUE"""),"DONALDCAT")</f>
        <v>DONALDCAT</v>
      </c>
    </row>
    <row r="4096" spans="1:3" x14ac:dyDescent="0.25">
      <c r="A4096" s="2" t="str">
        <f ca="1">IFERROR(__xludf.DUMMYFUNCTION("""COMPUTED_VALUE"""),"donald-tremp")</f>
        <v>donald-tremp</v>
      </c>
      <c r="B4096" s="2" t="str">
        <f ca="1">IFERROR(__xludf.DUMMYFUNCTION("""COMPUTED_VALUE"""),"tremp")</f>
        <v>tremp</v>
      </c>
      <c r="C4096" s="2" t="str">
        <f ca="1">IFERROR(__xludf.DUMMYFUNCTION("""COMPUTED_VALUE"""),"Doland Tremp")</f>
        <v>Doland Tremp</v>
      </c>
    </row>
    <row r="4097" spans="1:3" x14ac:dyDescent="0.25">
      <c r="A4097" s="2" t="str">
        <f ca="1">IFERROR(__xludf.DUMMYFUNCTION("""COMPUTED_VALUE"""),"donaswap")</f>
        <v>donaswap</v>
      </c>
      <c r="B4097" s="2" t="str">
        <f ca="1">IFERROR(__xludf.DUMMYFUNCTION("""COMPUTED_VALUE"""),"dona")</f>
        <v>dona</v>
      </c>
      <c r="C4097" s="2" t="str">
        <f ca="1">IFERROR(__xludf.DUMMYFUNCTION("""COMPUTED_VALUE"""),"Donaswap")</f>
        <v>Donaswap</v>
      </c>
    </row>
    <row r="4098" spans="1:3" x14ac:dyDescent="0.25">
      <c r="A4098" s="2" t="str">
        <f ca="1">IFERROR(__xludf.DUMMYFUNCTION("""COMPUTED_VALUE"""),"don-catblueone")</f>
        <v>don-catblueone</v>
      </c>
      <c r="B4098" s="2" t="str">
        <f ca="1">IFERROR(__xludf.DUMMYFUNCTION("""COMPUTED_VALUE"""),"doncat")</f>
        <v>doncat</v>
      </c>
      <c r="C4098" s="2" t="str">
        <f ca="1">IFERROR(__xludf.DUMMYFUNCTION("""COMPUTED_VALUE"""),"Don Catblueone")</f>
        <v>Don Catblueone</v>
      </c>
    </row>
    <row r="4099" spans="1:3" x14ac:dyDescent="0.25">
      <c r="A4099" s="2" t="str">
        <f ca="1">IFERROR(__xludf.DUMMYFUNCTION("""COMPUTED_VALUE"""),"don-don-donki")</f>
        <v>don-don-donki</v>
      </c>
      <c r="B4099" s="2" t="str">
        <f ca="1">IFERROR(__xludf.DUMMYFUNCTION("""COMPUTED_VALUE"""),"donki")</f>
        <v>donki</v>
      </c>
      <c r="C4099" s="2" t="str">
        <f ca="1">IFERROR(__xludf.DUMMYFUNCTION("""COMPUTED_VALUE"""),"DON DON DONKI")</f>
        <v>DON DON DONKI</v>
      </c>
    </row>
    <row r="4100" spans="1:3" x14ac:dyDescent="0.25">
      <c r="A4100" s="2" t="str">
        <f ca="1">IFERROR(__xludf.DUMMYFUNCTION("""COMPUTED_VALUE"""),"dongcoin")</f>
        <v>dongcoin</v>
      </c>
      <c r="B4100" s="2" t="str">
        <f ca="1">IFERROR(__xludf.DUMMYFUNCTION("""COMPUTED_VALUE"""),"dong")</f>
        <v>dong</v>
      </c>
      <c r="C4100" s="2" t="str">
        <f ca="1">IFERROR(__xludf.DUMMYFUNCTION("""COMPUTED_VALUE"""),"DongCoin")</f>
        <v>DongCoin</v>
      </c>
    </row>
    <row r="4101" spans="1:3" x14ac:dyDescent="0.25">
      <c r="A4101" s="2" t="str">
        <f ca="1">IFERROR(__xludf.DUMMYFUNCTION("""COMPUTED_VALUE"""),"dongdaemun-token")</f>
        <v>dongdaemun-token</v>
      </c>
      <c r="B4101" s="2" t="str">
        <f ca="1">IFERROR(__xludf.DUMMYFUNCTION("""COMPUTED_VALUE"""),"ddmt")</f>
        <v>ddmt</v>
      </c>
      <c r="C4101" s="2" t="str">
        <f ca="1">IFERROR(__xludf.DUMMYFUNCTION("""COMPUTED_VALUE"""),"Dongdaemun Token")</f>
        <v>Dongdaemun Token</v>
      </c>
    </row>
    <row r="4102" spans="1:3" x14ac:dyDescent="0.25">
      <c r="A4102" s="2" t="str">
        <f ca="1">IFERROR(__xludf.DUMMYFUNCTION("""COMPUTED_VALUE"""),"dongo-ai")</f>
        <v>dongo-ai</v>
      </c>
      <c r="B4102" s="2" t="str">
        <f ca="1">IFERROR(__xludf.DUMMYFUNCTION("""COMPUTED_VALUE"""),"dongo")</f>
        <v>dongo</v>
      </c>
      <c r="C4102" s="2" t="str">
        <f ca="1">IFERROR(__xludf.DUMMYFUNCTION("""COMPUTED_VALUE"""),"Dongo AI")</f>
        <v>Dongo AI</v>
      </c>
    </row>
    <row r="4103" spans="1:3" x14ac:dyDescent="0.25">
      <c r="A4103" s="2" t="str">
        <f ca="1">IFERROR(__xludf.DUMMYFUNCTION("""COMPUTED_VALUE"""),"donk")</f>
        <v>donk</v>
      </c>
      <c r="B4103" s="2" t="str">
        <f ca="1">IFERROR(__xludf.DUMMYFUNCTION("""COMPUTED_VALUE"""),"donk")</f>
        <v>donk</v>
      </c>
      <c r="C4103" s="2" t="str">
        <f ca="1">IFERROR(__xludf.DUMMYFUNCTION("""COMPUTED_VALUE"""),"DONK")</f>
        <v>DONK</v>
      </c>
    </row>
    <row r="4104" spans="1:3" x14ac:dyDescent="0.25">
      <c r="A4104" s="2" t="str">
        <f ca="1">IFERROR(__xludf.DUMMYFUNCTION("""COMPUTED_VALUE"""),"donk_apt")</f>
        <v>donk_apt</v>
      </c>
      <c r="B4104" s="2" t="str">
        <f ca="1">IFERROR(__xludf.DUMMYFUNCTION("""COMPUTED_VALUE"""),"donk")</f>
        <v>donk</v>
      </c>
      <c r="C4104" s="2" t="str">
        <f ca="1">IFERROR(__xludf.DUMMYFUNCTION("""COMPUTED_VALUE"""),"Donk")</f>
        <v>Donk</v>
      </c>
    </row>
    <row r="4105" spans="1:3" x14ac:dyDescent="0.25">
      <c r="A4105" s="2" t="str">
        <f ca="1">IFERROR(__xludf.DUMMYFUNCTION("""COMPUTED_VALUE"""),"donke")</f>
        <v>donke</v>
      </c>
      <c r="B4105" s="2" t="str">
        <f ca="1">IFERROR(__xludf.DUMMYFUNCTION("""COMPUTED_VALUE"""),"donke")</f>
        <v>donke</v>
      </c>
      <c r="C4105" s="2" t="str">
        <f ca="1">IFERROR(__xludf.DUMMYFUNCTION("""COMPUTED_VALUE"""),"Donke")</f>
        <v>Donke</v>
      </c>
    </row>
    <row r="4106" spans="1:3" x14ac:dyDescent="0.25">
      <c r="A4106" s="2" t="str">
        <f ca="1">IFERROR(__xludf.DUMMYFUNCTION("""COMPUTED_VALUE"""),"donkee")</f>
        <v>donkee</v>
      </c>
      <c r="B4106" s="2" t="str">
        <f ca="1">IFERROR(__xludf.DUMMYFUNCTION("""COMPUTED_VALUE"""),"donkee")</f>
        <v>donkee</v>
      </c>
      <c r="C4106" s="2" t="str">
        <f ca="1">IFERROR(__xludf.DUMMYFUNCTION("""COMPUTED_VALUE"""),"Donkee")</f>
        <v>Donkee</v>
      </c>
    </row>
    <row r="4107" spans="1:3" x14ac:dyDescent="0.25">
      <c r="A4107" s="2" t="str">
        <f ca="1">IFERROR(__xludf.DUMMYFUNCTION("""COMPUTED_VALUE"""),"donkey")</f>
        <v>donkey</v>
      </c>
      <c r="B4107" s="2" t="str">
        <f ca="1">IFERROR(__xludf.DUMMYFUNCTION("""COMPUTED_VALUE"""),"donk")</f>
        <v>donk</v>
      </c>
      <c r="C4107" s="2" t="str">
        <f ca="1">IFERROR(__xludf.DUMMYFUNCTION("""COMPUTED_VALUE"""),"Donkey")</f>
        <v>Donkey</v>
      </c>
    </row>
    <row r="4108" spans="1:3" x14ac:dyDescent="0.25">
      <c r="A4108" s="2" t="str">
        <f ca="1">IFERROR(__xludf.DUMMYFUNCTION("""COMPUTED_VALUE"""),"don-key")</f>
        <v>don-key</v>
      </c>
      <c r="B4108" s="2" t="str">
        <f ca="1">IFERROR(__xludf.DUMMYFUNCTION("""COMPUTED_VALUE"""),"don")</f>
        <v>don</v>
      </c>
      <c r="C4108" s="2" t="str">
        <f ca="1">IFERROR(__xludf.DUMMYFUNCTION("""COMPUTED_VALUE"""),"Don-key")</f>
        <v>Don-key</v>
      </c>
    </row>
    <row r="4109" spans="1:3" x14ac:dyDescent="0.25">
      <c r="A4109" s="2" t="str">
        <f ca="1">IFERROR(__xludf.DUMMYFUNCTION("""COMPUTED_VALUE"""),"donkey-king")</f>
        <v>donkey-king</v>
      </c>
      <c r="B4109" s="2" t="str">
        <f ca="1">IFERROR(__xludf.DUMMYFUNCTION("""COMPUTED_VALUE"""),"doky")</f>
        <v>doky</v>
      </c>
      <c r="C4109" s="2" t="str">
        <f ca="1">IFERROR(__xludf.DUMMYFUNCTION("""COMPUTED_VALUE"""),"Donkey King")</f>
        <v>Donkey King</v>
      </c>
    </row>
    <row r="4110" spans="1:3" x14ac:dyDescent="0.25">
      <c r="A4110" s="2" t="str">
        <f ca="1">IFERROR(__xludf.DUMMYFUNCTION("""COMPUTED_VALUE"""),"dons")</f>
        <v>dons</v>
      </c>
      <c r="B4110" s="2" t="str">
        <f ca="1">IFERROR(__xludf.DUMMYFUNCTION("""COMPUTED_VALUE"""),"dons")</f>
        <v>dons</v>
      </c>
      <c r="C4110" s="2" t="str">
        <f ca="1">IFERROR(__xludf.DUMMYFUNCTION("""COMPUTED_VALUE"""),"The Dons")</f>
        <v>The Dons</v>
      </c>
    </row>
    <row r="4111" spans="1:3" x14ac:dyDescent="0.25">
      <c r="A4111" s="2" t="str">
        <f ca="1">IFERROR(__xludf.DUMMYFUNCTION("""COMPUTED_VALUE"""),"don-t-buy-inu")</f>
        <v>don-t-buy-inu</v>
      </c>
      <c r="B4111" s="2" t="str">
        <f ca="1">IFERROR(__xludf.DUMMYFUNCTION("""COMPUTED_VALUE"""),"dbi")</f>
        <v>dbi</v>
      </c>
      <c r="C4111" s="2" t="str">
        <f ca="1">IFERROR(__xludf.DUMMYFUNCTION("""COMPUTED_VALUE"""),"Don't Buy Inu")</f>
        <v>Don't Buy Inu</v>
      </c>
    </row>
    <row r="4112" spans="1:3" x14ac:dyDescent="0.25">
      <c r="A4112" s="2" t="str">
        <f ca="1">IFERROR(__xludf.DUMMYFUNCTION("""COMPUTED_VALUE"""),"don-t-sell-your-bitcoin")</f>
        <v>don-t-sell-your-bitcoin</v>
      </c>
      <c r="B4112" s="2" t="str">
        <f ca="1">IFERROR(__xludf.DUMMYFUNCTION("""COMPUTED_VALUE"""),"bitcoin")</f>
        <v>bitcoin</v>
      </c>
      <c r="C4112" s="2" t="str">
        <f ca="1">IFERROR(__xludf.DUMMYFUNCTION("""COMPUTED_VALUE"""),"DON'T SELL YOUR BITCOIN")</f>
        <v>DON'T SELL YOUR BITCOIN</v>
      </c>
    </row>
    <row r="4113" spans="1:3" x14ac:dyDescent="0.25">
      <c r="A4113" s="2" t="str">
        <f ca="1">IFERROR(__xludf.DUMMYFUNCTION("""COMPUTED_VALUE"""),"donut")</f>
        <v>donut</v>
      </c>
      <c r="B4113" s="2" t="str">
        <f ca="1">IFERROR(__xludf.DUMMYFUNCTION("""COMPUTED_VALUE"""),"donut")</f>
        <v>donut</v>
      </c>
      <c r="C4113" s="2" t="str">
        <f ca="1">IFERROR(__xludf.DUMMYFUNCTION("""COMPUTED_VALUE"""),"Donut")</f>
        <v>Donut</v>
      </c>
    </row>
    <row r="4114" spans="1:3" x14ac:dyDescent="0.25">
      <c r="A4114" s="2" t="str">
        <f ca="1">IFERROR(__xludf.DUMMYFUNCTION("""COMPUTED_VALUE"""),"dony-montana")</f>
        <v>dony-montana</v>
      </c>
      <c r="B4114" s="2" t="str">
        <f ca="1">IFERROR(__xludf.DUMMYFUNCTION("""COMPUTED_VALUE"""),"domo")</f>
        <v>domo</v>
      </c>
      <c r="C4114" s="2" t="str">
        <f ca="1">IFERROR(__xludf.DUMMYFUNCTION("""COMPUTED_VALUE"""),"Dony Montana")</f>
        <v>Dony Montana</v>
      </c>
    </row>
    <row r="4115" spans="1:3" x14ac:dyDescent="0.25">
      <c r="A4115" s="2" t="str">
        <f ca="1">IFERROR(__xludf.DUMMYFUNCTION("""COMPUTED_VALUE"""),"doodoo")</f>
        <v>doodoo</v>
      </c>
      <c r="B4115" s="2" t="str">
        <f ca="1">IFERROR(__xludf.DUMMYFUNCTION("""COMPUTED_VALUE"""),"doodoo")</f>
        <v>doodoo</v>
      </c>
      <c r="C4115" s="2" t="str">
        <f ca="1">IFERROR(__xludf.DUMMYFUNCTION("""COMPUTED_VALUE"""),"DooDoo")</f>
        <v>DooDoo</v>
      </c>
    </row>
    <row r="4116" spans="1:3" x14ac:dyDescent="0.25">
      <c r="A4116" s="2" t="str">
        <f ca="1">IFERROR(__xludf.DUMMYFUNCTION("""COMPUTED_VALUE"""),"doogle")</f>
        <v>doogle</v>
      </c>
      <c r="B4116" s="2" t="str">
        <f ca="1">IFERROR(__xludf.DUMMYFUNCTION("""COMPUTED_VALUE"""),"doogle")</f>
        <v>doogle</v>
      </c>
      <c r="C4116" s="2" t="str">
        <f ca="1">IFERROR(__xludf.DUMMYFUNCTION("""COMPUTED_VALUE"""),"Doogle")</f>
        <v>Doogle</v>
      </c>
    </row>
    <row r="4117" spans="1:3" x14ac:dyDescent="0.25">
      <c r="A4117" s="2" t="str">
        <f ca="1">IFERROR(__xludf.DUMMYFUNCTION("""COMPUTED_VALUE"""),"dook")</f>
        <v>dook</v>
      </c>
      <c r="B4117" s="2" t="str">
        <f ca="1">IFERROR(__xludf.DUMMYFUNCTION("""COMPUTED_VALUE"""),"dook")</f>
        <v>dook</v>
      </c>
      <c r="C4117" s="2" t="str">
        <f ca="1">IFERROR(__xludf.DUMMYFUNCTION("""COMPUTED_VALUE"""),"Dook")</f>
        <v>Dook</v>
      </c>
    </row>
    <row r="4118" spans="1:3" x14ac:dyDescent="0.25">
      <c r="A4118" s="2" t="str">
        <f ca="1">IFERROR(__xludf.DUMMYFUNCTION("""COMPUTED_VALUE"""),"doomer-on-base-cto")</f>
        <v>doomer-on-base-cto</v>
      </c>
      <c r="B4118" s="2" t="str">
        <f ca="1">IFERROR(__xludf.DUMMYFUNCTION("""COMPUTED_VALUE"""),"doomer")</f>
        <v>doomer</v>
      </c>
      <c r="C4118" s="2" t="str">
        <f ca="1">IFERROR(__xludf.DUMMYFUNCTION("""COMPUTED_VALUE"""),"DOOMER")</f>
        <v>DOOMER</v>
      </c>
    </row>
    <row r="4119" spans="1:3" x14ac:dyDescent="0.25">
      <c r="A4119" s="2" t="str">
        <f ca="1">IFERROR(__xludf.DUMMYFUNCTION("""COMPUTED_VALUE"""),"doont-buy")</f>
        <v>doont-buy</v>
      </c>
      <c r="B4119" s="2" t="str">
        <f ca="1">IFERROR(__xludf.DUMMYFUNCTION("""COMPUTED_VALUE"""),"dbuy")</f>
        <v>dbuy</v>
      </c>
      <c r="C4119" s="2" t="str">
        <f ca="1">IFERROR(__xludf.DUMMYFUNCTION("""COMPUTED_VALUE"""),"Doont Buy")</f>
        <v>Doont Buy</v>
      </c>
    </row>
    <row r="4120" spans="1:3" x14ac:dyDescent="0.25">
      <c r="A4120" s="2" t="str">
        <f ca="1">IFERROR(__xludf.DUMMYFUNCTION("""COMPUTED_VALUE"""),"dopameme")</f>
        <v>dopameme</v>
      </c>
      <c r="B4120" s="2" t="str">
        <f ca="1">IFERROR(__xludf.DUMMYFUNCTION("""COMPUTED_VALUE"""),"dopa")</f>
        <v>dopa</v>
      </c>
      <c r="C4120" s="2" t="str">
        <f ca="1">IFERROR(__xludf.DUMMYFUNCTION("""COMPUTED_VALUE"""),"DopaMeme")</f>
        <v>DopaMeme</v>
      </c>
    </row>
    <row r="4121" spans="1:3" x14ac:dyDescent="0.25">
      <c r="A4121" s="2" t="str">
        <f ca="1">IFERROR(__xludf.DUMMYFUNCTION("""COMPUTED_VALUE"""),"dopamine")</f>
        <v>dopamine</v>
      </c>
      <c r="B4121" s="2" t="str">
        <f ca="1">IFERROR(__xludf.DUMMYFUNCTION("""COMPUTED_VALUE"""),"dope")</f>
        <v>dope</v>
      </c>
      <c r="C4121" s="2" t="str">
        <f ca="1">IFERROR(__xludf.DUMMYFUNCTION("""COMPUTED_VALUE"""),"Dopamine")</f>
        <v>Dopamine</v>
      </c>
    </row>
    <row r="4122" spans="1:3" x14ac:dyDescent="0.25">
      <c r="A4122" s="2" t="str">
        <f ca="1">IFERROR(__xludf.DUMMYFUNCTION("""COMPUTED_VALUE"""),"dope-wars-paper")</f>
        <v>dope-wars-paper</v>
      </c>
      <c r="B4122" s="2" t="str">
        <f ca="1">IFERROR(__xludf.DUMMYFUNCTION("""COMPUTED_VALUE"""),"paper")</f>
        <v>paper</v>
      </c>
      <c r="C4122" s="2" t="str">
        <f ca="1">IFERROR(__xludf.DUMMYFUNCTION("""COMPUTED_VALUE"""),"Dope Wars Paper")</f>
        <v>Dope Wars Paper</v>
      </c>
    </row>
    <row r="4123" spans="1:3" x14ac:dyDescent="0.25">
      <c r="A4123" s="2" t="str">
        <f ca="1">IFERROR(__xludf.DUMMYFUNCTION("""COMPUTED_VALUE"""),"dopex")</f>
        <v>dopex</v>
      </c>
      <c r="B4123" s="2" t="str">
        <f ca="1">IFERROR(__xludf.DUMMYFUNCTION("""COMPUTED_VALUE"""),"dpx")</f>
        <v>dpx</v>
      </c>
      <c r="C4123" s="2" t="str">
        <f ca="1">IFERROR(__xludf.DUMMYFUNCTION("""COMPUTED_VALUE"""),"Dopex")</f>
        <v>Dopex</v>
      </c>
    </row>
    <row r="4124" spans="1:3" x14ac:dyDescent="0.25">
      <c r="A4124" s="2" t="str">
        <f ca="1">IFERROR(__xludf.DUMMYFUNCTION("""COMPUTED_VALUE"""),"dopex-rebate-token")</f>
        <v>dopex-rebate-token</v>
      </c>
      <c r="B4124" s="2" t="str">
        <f ca="1">IFERROR(__xludf.DUMMYFUNCTION("""COMPUTED_VALUE"""),"rdpx")</f>
        <v>rdpx</v>
      </c>
      <c r="C4124" s="2" t="str">
        <f ca="1">IFERROR(__xludf.DUMMYFUNCTION("""COMPUTED_VALUE"""),"Dopex Rebate")</f>
        <v>Dopex Rebate</v>
      </c>
    </row>
    <row r="4125" spans="1:3" x14ac:dyDescent="0.25">
      <c r="A4125" s="2" t="str">
        <f ca="1">IFERROR(__xludf.DUMMYFUNCTION("""COMPUTED_VALUE"""),"dor")</f>
        <v>dor</v>
      </c>
      <c r="B4125" s="2" t="str">
        <f ca="1">IFERROR(__xludf.DUMMYFUNCTION("""COMPUTED_VALUE"""),"dor")</f>
        <v>dor</v>
      </c>
      <c r="C4125" s="2" t="str">
        <f ca="1">IFERROR(__xludf.DUMMYFUNCTION("""COMPUTED_VALUE"""),"Dor")</f>
        <v>Dor</v>
      </c>
    </row>
    <row r="4126" spans="1:3" x14ac:dyDescent="0.25">
      <c r="A4126" s="2" t="str">
        <f ca="1">IFERROR(__xludf.DUMMYFUNCTION("""COMPUTED_VALUE"""),"dorado-finance")</f>
        <v>dorado-finance</v>
      </c>
      <c r="B4126" s="2" t="str">
        <f ca="1">IFERROR(__xludf.DUMMYFUNCTION("""COMPUTED_VALUE"""),"$dorab")</f>
        <v>$dorab</v>
      </c>
      <c r="C4126" s="2" t="str">
        <f ca="1">IFERROR(__xludf.DUMMYFUNCTION("""COMPUTED_VALUE"""),"Dorado Finance")</f>
        <v>Dorado Finance</v>
      </c>
    </row>
    <row r="4127" spans="1:3" x14ac:dyDescent="0.25">
      <c r="A4127" s="2" t="str">
        <f ca="1">IFERROR(__xludf.DUMMYFUNCTION("""COMPUTED_VALUE"""),"dora-factory")</f>
        <v>dora-factory</v>
      </c>
      <c r="B4127" s="2" t="str">
        <f ca="1">IFERROR(__xludf.DUMMYFUNCTION("""COMPUTED_VALUE"""),"dora")</f>
        <v>dora</v>
      </c>
      <c r="C4127" s="2" t="str">
        <f ca="1">IFERROR(__xludf.DUMMYFUNCTION("""COMPUTED_VALUE"""),"Dora Factory [OLD]")</f>
        <v>Dora Factory [OLD]</v>
      </c>
    </row>
    <row r="4128" spans="1:3" x14ac:dyDescent="0.25">
      <c r="A4128" s="2" t="str">
        <f ca="1">IFERROR(__xludf.DUMMYFUNCTION("""COMPUTED_VALUE"""),"dora-factory-2")</f>
        <v>dora-factory-2</v>
      </c>
      <c r="B4128" s="2" t="str">
        <f ca="1">IFERROR(__xludf.DUMMYFUNCTION("""COMPUTED_VALUE"""),"dora")</f>
        <v>dora</v>
      </c>
      <c r="C4128" s="2" t="str">
        <f ca="1">IFERROR(__xludf.DUMMYFUNCTION("""COMPUTED_VALUE"""),"Dora Factory")</f>
        <v>Dora Factory</v>
      </c>
    </row>
    <row r="4129" spans="1:3" x14ac:dyDescent="0.25">
      <c r="A4129" s="2" t="str">
        <f ca="1">IFERROR(__xludf.DUMMYFUNCTION("""COMPUTED_VALUE"""),"doric-network")</f>
        <v>doric-network</v>
      </c>
      <c r="B4129" s="2" t="str">
        <f ca="1">IFERROR(__xludf.DUMMYFUNCTION("""COMPUTED_VALUE"""),"drc")</f>
        <v>drc</v>
      </c>
      <c r="C4129" s="2" t="str">
        <f ca="1">IFERROR(__xludf.DUMMYFUNCTION("""COMPUTED_VALUE"""),"Doric Network")</f>
        <v>Doric Network</v>
      </c>
    </row>
    <row r="4130" spans="1:3" x14ac:dyDescent="0.25">
      <c r="A4130" s="2" t="str">
        <f ca="1">IFERROR(__xludf.DUMMYFUNCTION("""COMPUTED_VALUE"""),"dork")</f>
        <v>dork</v>
      </c>
      <c r="B4130" s="2" t="str">
        <f ca="1">IFERROR(__xludf.DUMMYFUNCTION("""COMPUTED_VALUE"""),"dork")</f>
        <v>dork</v>
      </c>
      <c r="C4130" s="2" t="str">
        <f ca="1">IFERROR(__xludf.DUMMYFUNCTION("""COMPUTED_VALUE"""),"DORK")</f>
        <v>DORK</v>
      </c>
    </row>
    <row r="4131" spans="1:3" x14ac:dyDescent="0.25">
      <c r="A4131" s="2" t="str">
        <f ca="1">IFERROR(__xludf.DUMMYFUNCTION("""COMPUTED_VALUE"""),"dork-lord")</f>
        <v>dork-lord</v>
      </c>
      <c r="B4131" s="2" t="str">
        <f ca="1">IFERROR(__xludf.DUMMYFUNCTION("""COMPUTED_VALUE"""),"dorkl")</f>
        <v>dorkl</v>
      </c>
      <c r="C4131" s="2" t="str">
        <f ca="1">IFERROR(__xludf.DUMMYFUNCTION("""COMPUTED_VALUE"""),"DORK LORD (ETH)")</f>
        <v>DORK LORD (ETH)</v>
      </c>
    </row>
    <row r="4132" spans="1:3" x14ac:dyDescent="0.25">
      <c r="A4132" s="2" t="str">
        <f ca="1">IFERROR(__xludf.DUMMYFUNCTION("""COMPUTED_VALUE"""),"dork-lord-coin")</f>
        <v>dork-lord-coin</v>
      </c>
      <c r="B4132" s="2" t="str">
        <f ca="1">IFERROR(__xludf.DUMMYFUNCTION("""COMPUTED_VALUE"""),"dlord")</f>
        <v>dlord</v>
      </c>
      <c r="C4132" s="2" t="str">
        <f ca="1">IFERROR(__xludf.DUMMYFUNCTION("""COMPUTED_VALUE"""),"DORK LORD COIN")</f>
        <v>DORK LORD COIN</v>
      </c>
    </row>
    <row r="4133" spans="1:3" x14ac:dyDescent="0.25">
      <c r="A4133" s="2" t="str">
        <f ca="1">IFERROR(__xludf.DUMMYFUNCTION("""COMPUTED_VALUE"""),"dork-lord-eth")</f>
        <v>dork-lord-eth</v>
      </c>
      <c r="B4133" s="2" t="str">
        <f ca="1">IFERROR(__xludf.DUMMYFUNCTION("""COMPUTED_VALUE"""),"dorkl")</f>
        <v>dorkl</v>
      </c>
      <c r="C4133" s="2" t="str">
        <f ca="1">IFERROR(__xludf.DUMMYFUNCTION("""COMPUTED_VALUE"""),"DORK LORD (SOL)")</f>
        <v>DORK LORD (SOL)</v>
      </c>
    </row>
    <row r="4134" spans="1:3" x14ac:dyDescent="0.25">
      <c r="A4134" s="2" t="str">
        <f ca="1">IFERROR(__xludf.DUMMYFUNCTION("""COMPUTED_VALUE"""),"dos-chain")</f>
        <v>dos-chain</v>
      </c>
      <c r="B4134" s="2" t="str">
        <f ca="1">IFERROR(__xludf.DUMMYFUNCTION("""COMPUTED_VALUE"""),"dos")</f>
        <v>dos</v>
      </c>
      <c r="C4134" s="2" t="str">
        <f ca="1">IFERROR(__xludf.DUMMYFUNCTION("""COMPUTED_VALUE"""),"DOS Chain")</f>
        <v>DOS Chain</v>
      </c>
    </row>
    <row r="4135" spans="1:3" x14ac:dyDescent="0.25">
      <c r="A4135" s="2" t="str">
        <f ca="1">IFERROR(__xludf.DUMMYFUNCTION("""COMPUTED_VALUE"""),"dose-token")</f>
        <v>dose-token</v>
      </c>
      <c r="B4135" s="2" t="str">
        <f ca="1">IFERROR(__xludf.DUMMYFUNCTION("""COMPUTED_VALUE"""),"dose")</f>
        <v>dose</v>
      </c>
      <c r="C4135" s="2" t="str">
        <f ca="1">IFERROR(__xludf.DUMMYFUNCTION("""COMPUTED_VALUE"""),"DOSE")</f>
        <v>DOSE</v>
      </c>
    </row>
    <row r="4136" spans="1:3" x14ac:dyDescent="0.25">
      <c r="A4136" s="2" t="str">
        <f ca="1">IFERROR(__xludf.DUMMYFUNCTION("""COMPUTED_VALUE"""),"dos-network")</f>
        <v>dos-network</v>
      </c>
      <c r="B4136" s="2" t="str">
        <f ca="1">IFERROR(__xludf.DUMMYFUNCTION("""COMPUTED_VALUE"""),"dos")</f>
        <v>dos</v>
      </c>
      <c r="C4136" s="2" t="str">
        <f ca="1">IFERROR(__xludf.DUMMYFUNCTION("""COMPUTED_VALUE"""),"DOS Network")</f>
        <v>DOS Network</v>
      </c>
    </row>
    <row r="4137" spans="1:3" x14ac:dyDescent="0.25">
      <c r="A4137" s="2" t="str">
        <f ca="1">IFERROR(__xludf.DUMMYFUNCTION("""COMPUTED_VALUE"""),"dotblox")</f>
        <v>dotblox</v>
      </c>
      <c r="B4137" s="2" t="str">
        <f ca="1">IFERROR(__xludf.DUMMYFUNCTION("""COMPUTED_VALUE"""),"dtbx")</f>
        <v>dtbx</v>
      </c>
      <c r="C4137" s="2" t="str">
        <f ca="1">IFERROR(__xludf.DUMMYFUNCTION("""COMPUTED_VALUE"""),"Dotblox")</f>
        <v>Dotblox</v>
      </c>
    </row>
    <row r="4138" spans="1:3" x14ac:dyDescent="0.25">
      <c r="A4138" s="2" t="str">
        <f ca="1">IFERROR(__xludf.DUMMYFUNCTION("""COMPUTED_VALUE"""),"dot-dot-finance")</f>
        <v>dot-dot-finance</v>
      </c>
      <c r="B4138" s="2" t="str">
        <f ca="1">IFERROR(__xludf.DUMMYFUNCTION("""COMPUTED_VALUE"""),"ddd")</f>
        <v>ddd</v>
      </c>
      <c r="C4138" s="2" t="str">
        <f ca="1">IFERROR(__xludf.DUMMYFUNCTION("""COMPUTED_VALUE"""),"Dot Dot Finance")</f>
        <v>Dot Dot Finance</v>
      </c>
    </row>
    <row r="4139" spans="1:3" x14ac:dyDescent="0.25">
      <c r="A4139" s="2" t="str">
        <f ca="1">IFERROR(__xludf.DUMMYFUNCTION("""COMPUTED_VALUE"""),"dot-finance")</f>
        <v>dot-finance</v>
      </c>
      <c r="B4139" s="2" t="str">
        <f ca="1">IFERROR(__xludf.DUMMYFUNCTION("""COMPUTED_VALUE"""),"pink")</f>
        <v>pink</v>
      </c>
      <c r="C4139" s="2" t="str">
        <f ca="1">IFERROR(__xludf.DUMMYFUNCTION("""COMPUTED_VALUE"""),"Dot Finance")</f>
        <v>Dot Finance</v>
      </c>
    </row>
    <row r="4140" spans="1:3" x14ac:dyDescent="0.25">
      <c r="A4140" s="2" t="str">
        <f ca="1">IFERROR(__xludf.DUMMYFUNCTION("""COMPUTED_VALUE"""),"dot-is-ded")</f>
        <v>dot-is-ded</v>
      </c>
      <c r="B4140" s="2" t="str">
        <f ca="1">IFERROR(__xludf.DUMMYFUNCTION("""COMPUTED_VALUE"""),"ded")</f>
        <v>ded</v>
      </c>
      <c r="C4140" s="2" t="str">
        <f ca="1">IFERROR(__xludf.DUMMYFUNCTION("""COMPUTED_VALUE"""),"DED")</f>
        <v>DED</v>
      </c>
    </row>
    <row r="4141" spans="1:3" x14ac:dyDescent="0.25">
      <c r="A4141" s="2" t="str">
        <f ca="1">IFERROR(__xludf.DUMMYFUNCTION("""COMPUTED_VALUE"""),"dotmoovs")</f>
        <v>dotmoovs</v>
      </c>
      <c r="B4141" s="2" t="str">
        <f ca="1">IFERROR(__xludf.DUMMYFUNCTION("""COMPUTED_VALUE"""),"moov")</f>
        <v>moov</v>
      </c>
      <c r="C4141" s="2" t="str">
        <f ca="1">IFERROR(__xludf.DUMMYFUNCTION("""COMPUTED_VALUE"""),"dotmoovs")</f>
        <v>dotmoovs</v>
      </c>
    </row>
    <row r="4142" spans="1:3" x14ac:dyDescent="0.25">
      <c r="A4142" s="2" t="str">
        <f ca="1">IFERROR(__xludf.DUMMYFUNCTION("""COMPUTED_VALUE"""),"dotz")</f>
        <v>dotz</v>
      </c>
      <c r="B4142" s="2" t="str">
        <f ca="1">IFERROR(__xludf.DUMMYFUNCTION("""COMPUTED_VALUE"""),"dotz")</f>
        <v>dotz</v>
      </c>
      <c r="C4142" s="2" t="str">
        <f ca="1">IFERROR(__xludf.DUMMYFUNCTION("""COMPUTED_VALUE"""),"DOTZ")</f>
        <v>DOTZ</v>
      </c>
    </row>
    <row r="4143" spans="1:3" x14ac:dyDescent="0.25">
      <c r="A4143" s="2" t="str">
        <f ca="1">IFERROR(__xludf.DUMMYFUNCTION("""COMPUTED_VALUE"""),"doug")</f>
        <v>doug</v>
      </c>
      <c r="B4143" s="2" t="str">
        <f ca="1">IFERROR(__xludf.DUMMYFUNCTION("""COMPUTED_VALUE"""),"doug")</f>
        <v>doug</v>
      </c>
      <c r="C4143" s="2" t="str">
        <f ca="1">IFERROR(__xludf.DUMMYFUNCTION("""COMPUTED_VALUE"""),"Doug")</f>
        <v>Doug</v>
      </c>
    </row>
    <row r="4144" spans="1:3" x14ac:dyDescent="0.25">
      <c r="A4144" s="2" t="str">
        <f ca="1">IFERROR(__xludf.DUMMYFUNCTION("""COMPUTED_VALUE"""),"doughge")</f>
        <v>doughge</v>
      </c>
      <c r="B4144" s="2" t="str">
        <f ca="1">IFERROR(__xludf.DUMMYFUNCTION("""COMPUTED_VALUE"""),"$doh")</f>
        <v>$doh</v>
      </c>
      <c r="C4144" s="2" t="str">
        <f ca="1">IFERROR(__xludf.DUMMYFUNCTION("""COMPUTED_VALUE"""),"DOUGHGE")</f>
        <v>DOUGHGE</v>
      </c>
    </row>
    <row r="4145" spans="1:3" x14ac:dyDescent="0.25">
      <c r="A4145" s="2" t="str">
        <f ca="1">IFERROR(__xludf.DUMMYFUNCTION("""COMPUTED_VALUE"""),"douglas-adams")</f>
        <v>douglas-adams</v>
      </c>
      <c r="B4145" s="2" t="str">
        <f ca="1">IFERROR(__xludf.DUMMYFUNCTION("""COMPUTED_VALUE"""),"hhgttg")</f>
        <v>hhgttg</v>
      </c>
      <c r="C4145" s="2" t="str">
        <f ca="1">IFERROR(__xludf.DUMMYFUNCTION("""COMPUTED_VALUE"""),"Douglas Adams")</f>
        <v>Douglas Adams</v>
      </c>
    </row>
    <row r="4146" spans="1:3" x14ac:dyDescent="0.25">
      <c r="A4146" s="2" t="str">
        <f ca="1">IFERROR(__xludf.DUMMYFUNCTION("""COMPUTED_VALUE"""),"doveswap")</f>
        <v>doveswap</v>
      </c>
      <c r="B4146" s="2" t="str">
        <f ca="1">IFERROR(__xludf.DUMMYFUNCTION("""COMPUTED_VALUE"""),"dov")</f>
        <v>dov</v>
      </c>
      <c r="C4146" s="2" t="str">
        <f ca="1">IFERROR(__xludf.DUMMYFUNCTION("""COMPUTED_VALUE"""),"DoveSwap")</f>
        <v>DoveSwap</v>
      </c>
    </row>
    <row r="4147" spans="1:3" x14ac:dyDescent="0.25">
      <c r="A4147" s="2" t="str">
        <f ca="1">IFERROR(__xludf.DUMMYFUNCTION("""COMPUTED_VALUE"""),"dovi")</f>
        <v>dovi</v>
      </c>
      <c r="B4147" s="2" t="str">
        <f ca="1">IFERROR(__xludf.DUMMYFUNCTION("""COMPUTED_VALUE"""),"dovi")</f>
        <v>dovi</v>
      </c>
      <c r="C4147" s="2" t="str">
        <f ca="1">IFERROR(__xludf.DUMMYFUNCTION("""COMPUTED_VALUE"""),"DOVI")</f>
        <v>DOVI</v>
      </c>
    </row>
    <row r="4148" spans="1:3" x14ac:dyDescent="0.25">
      <c r="A4148" s="2" t="str">
        <f ca="1">IFERROR(__xludf.DUMMYFUNCTION("""COMPUTED_VALUE"""),"dovu")</f>
        <v>dovu</v>
      </c>
      <c r="B4148" s="2" t="str">
        <f ca="1">IFERROR(__xludf.DUMMYFUNCTION("""COMPUTED_VALUE"""),"dov")</f>
        <v>dov</v>
      </c>
      <c r="C4148" s="2" t="str">
        <f ca="1">IFERROR(__xludf.DUMMYFUNCTION("""COMPUTED_VALUE"""),"Dovu [OLD]")</f>
        <v>Dovu [OLD]</v>
      </c>
    </row>
    <row r="4149" spans="1:3" x14ac:dyDescent="0.25">
      <c r="A4149" s="2" t="str">
        <f ca="1">IFERROR(__xludf.DUMMYFUNCTION("""COMPUTED_VALUE"""),"dovu-2")</f>
        <v>dovu-2</v>
      </c>
      <c r="B4149" s="2" t="str">
        <f ca="1">IFERROR(__xludf.DUMMYFUNCTION("""COMPUTED_VALUE"""),"dovu")</f>
        <v>dovu</v>
      </c>
      <c r="C4149" s="2" t="str">
        <f ca="1">IFERROR(__xludf.DUMMYFUNCTION("""COMPUTED_VALUE"""),"DOVU")</f>
        <v>DOVU</v>
      </c>
    </row>
    <row r="4150" spans="1:3" x14ac:dyDescent="0.25">
      <c r="A4150" s="2" t="str">
        <f ca="1">IFERROR(__xludf.DUMMYFUNCTION("""COMPUTED_VALUE"""),"doxcoin")</f>
        <v>doxcoin</v>
      </c>
      <c r="B4150" s="2" t="str">
        <f ca="1">IFERROR(__xludf.DUMMYFUNCTION("""COMPUTED_VALUE"""),"dox")</f>
        <v>dox</v>
      </c>
      <c r="C4150" s="2" t="str">
        <f ca="1">IFERROR(__xludf.DUMMYFUNCTION("""COMPUTED_VALUE"""),"DOXcoin")</f>
        <v>DOXcoin</v>
      </c>
    </row>
    <row r="4151" spans="1:3" x14ac:dyDescent="0.25">
      <c r="A4151" s="2" t="str">
        <f ca="1">IFERROR(__xludf.DUMMYFUNCTION("""COMPUTED_VALUE"""),"dozy-ordinals")</f>
        <v>dozy-ordinals</v>
      </c>
      <c r="B4151" s="2" t="str">
        <f ca="1">IFERROR(__xludf.DUMMYFUNCTION("""COMPUTED_VALUE"""),"dozy")</f>
        <v>dozy</v>
      </c>
      <c r="C4151" s="2" t="str">
        <f ca="1">IFERROR(__xludf.DUMMYFUNCTION("""COMPUTED_VALUE"""),"Dozy (Ordinals)")</f>
        <v>Dozy (Ordinals)</v>
      </c>
    </row>
    <row r="4152" spans="1:3" x14ac:dyDescent="0.25">
      <c r="A4152" s="2" t="str">
        <f ca="1">IFERROR(__xludf.DUMMYFUNCTION("""COMPUTED_VALUE"""),"dpex")</f>
        <v>dpex</v>
      </c>
      <c r="B4152" s="2" t="str">
        <f ca="1">IFERROR(__xludf.DUMMYFUNCTION("""COMPUTED_VALUE"""),"dpex")</f>
        <v>dpex</v>
      </c>
      <c r="C4152" s="2" t="str">
        <f ca="1">IFERROR(__xludf.DUMMYFUNCTION("""COMPUTED_VALUE"""),"DPEX")</f>
        <v>DPEX</v>
      </c>
    </row>
    <row r="4153" spans="1:3" x14ac:dyDescent="0.25">
      <c r="A4153" s="2" t="str">
        <f ca="1">IFERROR(__xludf.DUMMYFUNCTION("""COMPUTED_VALUE"""),"dprating")</f>
        <v>dprating</v>
      </c>
      <c r="B4153" s="2" t="str">
        <f ca="1">IFERROR(__xludf.DUMMYFUNCTION("""COMPUTED_VALUE"""),"rating")</f>
        <v>rating</v>
      </c>
      <c r="C4153" s="2" t="str">
        <f ca="1">IFERROR(__xludf.DUMMYFUNCTION("""COMPUTED_VALUE"""),"DPRating")</f>
        <v>DPRating</v>
      </c>
    </row>
    <row r="4154" spans="1:3" x14ac:dyDescent="0.25">
      <c r="A4154" s="2" t="str">
        <f ca="1">IFERROR(__xludf.DUMMYFUNCTION("""COMPUTED_VALUE"""),"dps-doubloon")</f>
        <v>dps-doubloon</v>
      </c>
      <c r="B4154" s="2" t="str">
        <f ca="1">IFERROR(__xludf.DUMMYFUNCTION("""COMPUTED_VALUE"""),"dbl")</f>
        <v>dbl</v>
      </c>
      <c r="C4154" s="2" t="str">
        <f ca="1">IFERROR(__xludf.DUMMYFUNCTION("""COMPUTED_VALUE"""),"DPS Doubloon [OLD]")</f>
        <v>DPS Doubloon [OLD]</v>
      </c>
    </row>
    <row r="4155" spans="1:3" x14ac:dyDescent="0.25">
      <c r="A4155" s="2" t="str">
        <f ca="1">IFERROR(__xludf.DUMMYFUNCTION("""COMPUTED_VALUE"""),"dps-doubloon-2")</f>
        <v>dps-doubloon-2</v>
      </c>
      <c r="B4155" s="2" t="str">
        <f ca="1">IFERROR(__xludf.DUMMYFUNCTION("""COMPUTED_VALUE"""),"dbl")</f>
        <v>dbl</v>
      </c>
      <c r="C4155" s="2" t="str">
        <f ca="1">IFERROR(__xludf.DUMMYFUNCTION("""COMPUTED_VALUE"""),"DPS Doubloon")</f>
        <v>DPS Doubloon</v>
      </c>
    </row>
    <row r="4156" spans="1:3" x14ac:dyDescent="0.25">
      <c r="A4156" s="2" t="str">
        <f ca="1">IFERROR(__xludf.DUMMYFUNCTION("""COMPUTED_VALUE"""),"dracarys-token")</f>
        <v>dracarys-token</v>
      </c>
      <c r="B4156" s="2" t="str">
        <f ca="1">IFERROR(__xludf.DUMMYFUNCTION("""COMPUTED_VALUE"""),"dra")</f>
        <v>dra</v>
      </c>
      <c r="C4156" s="2" t="str">
        <f ca="1">IFERROR(__xludf.DUMMYFUNCTION("""COMPUTED_VALUE"""),"Dracarys Token")</f>
        <v>Dracarys Token</v>
      </c>
    </row>
    <row r="4157" spans="1:3" x14ac:dyDescent="0.25">
      <c r="A4157" s="2" t="str">
        <f ca="1">IFERROR(__xludf.DUMMYFUNCTION("""COMPUTED_VALUE"""),"drac-network")</f>
        <v>drac-network</v>
      </c>
      <c r="B4157" s="2" t="str">
        <f ca="1">IFERROR(__xludf.DUMMYFUNCTION("""COMPUTED_VALUE"""),"drac")</f>
        <v>drac</v>
      </c>
      <c r="C4157" s="2" t="str">
        <f ca="1">IFERROR(__xludf.DUMMYFUNCTION("""COMPUTED_VALUE"""),"DRAC Network")</f>
        <v>DRAC Network</v>
      </c>
    </row>
    <row r="4158" spans="1:3" x14ac:dyDescent="0.25">
      <c r="A4158" s="2" t="str">
        <f ca="1">IFERROR(__xludf.DUMMYFUNCTION("""COMPUTED_VALUE"""),"dracoo-point")</f>
        <v>dracoo-point</v>
      </c>
      <c r="B4158" s="2" t="str">
        <f ca="1">IFERROR(__xludf.DUMMYFUNCTION("""COMPUTED_VALUE"""),"dra")</f>
        <v>dra</v>
      </c>
      <c r="C4158" s="2" t="str">
        <f ca="1">IFERROR(__xludf.DUMMYFUNCTION("""COMPUTED_VALUE"""),"Dracoo Point")</f>
        <v>Dracoo Point</v>
      </c>
    </row>
    <row r="4159" spans="1:3" x14ac:dyDescent="0.25">
      <c r="A4159" s="2" t="str">
        <f ca="1">IFERROR(__xludf.DUMMYFUNCTION("""COMPUTED_VALUE"""),"drac-ordinals")</f>
        <v>drac-ordinals</v>
      </c>
      <c r="B4159" s="2" t="str">
        <f ca="1">IFERROR(__xludf.DUMMYFUNCTION("""COMPUTED_VALUE"""),"drac")</f>
        <v>drac</v>
      </c>
      <c r="C4159" s="2" t="str">
        <f ca="1">IFERROR(__xludf.DUMMYFUNCTION("""COMPUTED_VALUE"""),"DRAC (Ordinals)")</f>
        <v>DRAC (Ordinals)</v>
      </c>
    </row>
    <row r="4160" spans="1:3" x14ac:dyDescent="0.25">
      <c r="A4160" s="2" t="str">
        <f ca="1">IFERROR(__xludf.DUMMYFUNCTION("""COMPUTED_VALUE"""),"dracula-fi")</f>
        <v>dracula-fi</v>
      </c>
      <c r="B4160" s="2" t="str">
        <f ca="1">IFERROR(__xludf.DUMMYFUNCTION("""COMPUTED_VALUE"""),"fang")</f>
        <v>fang</v>
      </c>
      <c r="C4160" s="2" t="str">
        <f ca="1">IFERROR(__xludf.DUMMYFUNCTION("""COMPUTED_VALUE"""),"Dracula Fi")</f>
        <v>Dracula Fi</v>
      </c>
    </row>
    <row r="4161" spans="1:3" x14ac:dyDescent="0.25">
      <c r="A4161" s="2" t="str">
        <f ca="1">IFERROR(__xludf.DUMMYFUNCTION("""COMPUTED_VALUE"""),"draggin-karma-points")</f>
        <v>draggin-karma-points</v>
      </c>
      <c r="B4161" s="2" t="str">
        <f ca="1">IFERROR(__xludf.DUMMYFUNCTION("""COMPUTED_VALUE"""),"dkp")</f>
        <v>dkp</v>
      </c>
      <c r="C4161" s="2" t="str">
        <f ca="1">IFERROR(__xludf.DUMMYFUNCTION("""COMPUTED_VALUE"""),"Draggin Karma Points")</f>
        <v>Draggin Karma Points</v>
      </c>
    </row>
    <row r="4162" spans="1:3" x14ac:dyDescent="0.25">
      <c r="A4162" s="2" t="str">
        <f ca="1">IFERROR(__xludf.DUMMYFUNCTION("""COMPUTED_VALUE"""),"draggy-0x62")</f>
        <v>draggy-0x62</v>
      </c>
      <c r="B4162" s="2" t="str">
        <f ca="1">IFERROR(__xludf.DUMMYFUNCTION("""COMPUTED_VALUE"""),"draggy0x62")</f>
        <v>draggy0x62</v>
      </c>
      <c r="C4162" s="2" t="str">
        <f ca="1">IFERROR(__xludf.DUMMYFUNCTION("""COMPUTED_VALUE"""),"Draggy 0x62")</f>
        <v>Draggy 0x62</v>
      </c>
    </row>
    <row r="4163" spans="1:3" x14ac:dyDescent="0.25">
      <c r="A4163" s="2" t="str">
        <f ca="1">IFERROR(__xludf.DUMMYFUNCTION("""COMPUTED_VALUE"""),"draggy-cto")</f>
        <v>draggy-cto</v>
      </c>
      <c r="B4163" s="2" t="str">
        <f ca="1">IFERROR(__xludf.DUMMYFUNCTION("""COMPUTED_VALUE"""),"draggy")</f>
        <v>draggy</v>
      </c>
      <c r="C4163" s="2" t="str">
        <f ca="1">IFERROR(__xludf.DUMMYFUNCTION("""COMPUTED_VALUE"""),"Draggy CTO")</f>
        <v>Draggy CTO</v>
      </c>
    </row>
    <row r="4164" spans="1:3" x14ac:dyDescent="0.25">
      <c r="A4164" s="2" t="str">
        <f ca="1">IFERROR(__xludf.DUMMYFUNCTION("""COMPUTED_VALUE"""),"drago")</f>
        <v>drago</v>
      </c>
      <c r="B4164" s="2" t="str">
        <f ca="1">IFERROR(__xludf.DUMMYFUNCTION("""COMPUTED_VALUE"""),"drago")</f>
        <v>drago</v>
      </c>
      <c r="C4164" s="2" t="str">
        <f ca="1">IFERROR(__xludf.DUMMYFUNCTION("""COMPUTED_VALUE"""),"Drago")</f>
        <v>Drago</v>
      </c>
    </row>
    <row r="4165" spans="1:3" x14ac:dyDescent="0.25">
      <c r="A4165" s="2" t="str">
        <f ca="1">IFERROR(__xludf.DUMMYFUNCTION("""COMPUTED_VALUE"""),"dragoma")</f>
        <v>dragoma</v>
      </c>
      <c r="B4165" s="2" t="str">
        <f ca="1">IFERROR(__xludf.DUMMYFUNCTION("""COMPUTED_VALUE"""),"dma")</f>
        <v>dma</v>
      </c>
      <c r="C4165" s="2" t="str">
        <f ca="1">IFERROR(__xludf.DUMMYFUNCTION("""COMPUTED_VALUE"""),"Dragoma")</f>
        <v>Dragoma</v>
      </c>
    </row>
    <row r="4166" spans="1:3" x14ac:dyDescent="0.25">
      <c r="A4166" s="2" t="str">
        <f ca="1">IFERROR(__xludf.DUMMYFUNCTION("""COMPUTED_VALUE"""),"dragonchain")</f>
        <v>dragonchain</v>
      </c>
      <c r="B4166" s="2" t="str">
        <f ca="1">IFERROR(__xludf.DUMMYFUNCTION("""COMPUTED_VALUE"""),"drgn")</f>
        <v>drgn</v>
      </c>
      <c r="C4166" s="2" t="str">
        <f ca="1">IFERROR(__xludf.DUMMYFUNCTION("""COMPUTED_VALUE"""),"Dragonchain")</f>
        <v>Dragonchain</v>
      </c>
    </row>
    <row r="4167" spans="1:3" x14ac:dyDescent="0.25">
      <c r="A4167" s="2" t="str">
        <f ca="1">IFERROR(__xludf.DUMMYFUNCTION("""COMPUTED_VALUE"""),"dragoncoin")</f>
        <v>dragoncoin</v>
      </c>
      <c r="B4167" s="2" t="str">
        <f ca="1">IFERROR(__xludf.DUMMYFUNCTION("""COMPUTED_VALUE"""),"dragon")</f>
        <v>dragon</v>
      </c>
      <c r="C4167" s="2" t="str">
        <f ca="1">IFERROR(__xludf.DUMMYFUNCTION("""COMPUTED_VALUE"""),"DragonCoin")</f>
        <v>DragonCoin</v>
      </c>
    </row>
    <row r="4168" spans="1:3" x14ac:dyDescent="0.25">
      <c r="A4168" s="2" t="str">
        <f ca="1">IFERROR(__xludf.DUMMYFUNCTION("""COMPUTED_VALUE"""),"dragon-coin-bsc")</f>
        <v>dragon-coin-bsc</v>
      </c>
      <c r="B4168" s="2" t="str">
        <f ca="1">IFERROR(__xludf.DUMMYFUNCTION("""COMPUTED_VALUE"""),"dragon")</f>
        <v>dragon</v>
      </c>
      <c r="C4168" s="2" t="str">
        <f ca="1">IFERROR(__xludf.DUMMYFUNCTION("""COMPUTED_VALUE"""),"Dragon Coin BSC")</f>
        <v>Dragon Coin BSC</v>
      </c>
    </row>
    <row r="4169" spans="1:3" x14ac:dyDescent="0.25">
      <c r="A4169" s="2" t="str">
        <f ca="1">IFERROR(__xludf.DUMMYFUNCTION("""COMPUTED_VALUE"""),"dragon-crypto-aurum")</f>
        <v>dragon-crypto-aurum</v>
      </c>
      <c r="B4169" s="2" t="str">
        <f ca="1">IFERROR(__xludf.DUMMYFUNCTION("""COMPUTED_VALUE"""),"dcau")</f>
        <v>dcau</v>
      </c>
      <c r="C4169" s="2" t="str">
        <f ca="1">IFERROR(__xludf.DUMMYFUNCTION("""COMPUTED_VALUE"""),"Dragon Crypto Aurum")</f>
        <v>Dragon Crypto Aurum</v>
      </c>
    </row>
    <row r="4170" spans="1:3" x14ac:dyDescent="0.25">
      <c r="A4170" s="2" t="str">
        <f ca="1">IFERROR(__xludf.DUMMYFUNCTION("""COMPUTED_VALUE"""),"dragonking")</f>
        <v>dragonking</v>
      </c>
      <c r="B4170" s="2" t="str">
        <f ca="1">IFERROR(__xludf.DUMMYFUNCTION("""COMPUTED_VALUE"""),"dragonking")</f>
        <v>dragonking</v>
      </c>
      <c r="C4170" s="2" t="str">
        <f ca="1">IFERROR(__xludf.DUMMYFUNCTION("""COMPUTED_VALUE"""),"DragonKing")</f>
        <v>DragonKing</v>
      </c>
    </row>
    <row r="4171" spans="1:3" x14ac:dyDescent="0.25">
      <c r="A4171" s="2" t="str">
        <f ca="1">IFERROR(__xludf.DUMMYFUNCTION("""COMPUTED_VALUE"""),"dragon-licat")</f>
        <v>dragon-licat</v>
      </c>
      <c r="B4171" s="2" t="str">
        <f ca="1">IFERROR(__xludf.DUMMYFUNCTION("""COMPUTED_VALUE"""),"licat")</f>
        <v>licat</v>
      </c>
      <c r="C4171" s="2" t="str">
        <f ca="1">IFERROR(__xludf.DUMMYFUNCTION("""COMPUTED_VALUE"""),"Dragon Licat")</f>
        <v>Dragon Licat</v>
      </c>
    </row>
    <row r="4172" spans="1:3" x14ac:dyDescent="0.25">
      <c r="A4172" s="2" t="str">
        <f ca="1">IFERROR(__xludf.DUMMYFUNCTION("""COMPUTED_VALUE"""),"dragon-mainland-shards")</f>
        <v>dragon-mainland-shards</v>
      </c>
      <c r="B4172" s="2" t="str">
        <f ca="1">IFERROR(__xludf.DUMMYFUNCTION("""COMPUTED_VALUE"""),"dms")</f>
        <v>dms</v>
      </c>
      <c r="C4172" s="2" t="str">
        <f ca="1">IFERROR(__xludf.DUMMYFUNCTION("""COMPUTED_VALUE"""),"Dragon Mainland Shards")</f>
        <v>Dragon Mainland Shards</v>
      </c>
    </row>
    <row r="4173" spans="1:3" x14ac:dyDescent="0.25">
      <c r="A4173" s="2" t="str">
        <f ca="1">IFERROR(__xludf.DUMMYFUNCTION("""COMPUTED_VALUE"""),"dragonmaster-token")</f>
        <v>dragonmaster-token</v>
      </c>
      <c r="B4173" s="2" t="str">
        <f ca="1">IFERROR(__xludf.DUMMYFUNCTION("""COMPUTED_VALUE"""),"dmt")</f>
        <v>dmt</v>
      </c>
      <c r="C4173" s="2" t="str">
        <f ca="1">IFERROR(__xludf.DUMMYFUNCTION("""COMPUTED_VALUE"""),"DragonMaster")</f>
        <v>DragonMaster</v>
      </c>
    </row>
    <row r="4174" spans="1:3" x14ac:dyDescent="0.25">
      <c r="A4174" s="2" t="str">
        <f ca="1">IFERROR(__xludf.DUMMYFUNCTION("""COMPUTED_VALUE"""),"dragonmaster-totem")</f>
        <v>dragonmaster-totem</v>
      </c>
      <c r="B4174" s="2" t="str">
        <f ca="1">IFERROR(__xludf.DUMMYFUNCTION("""COMPUTED_VALUE"""),"totem")</f>
        <v>totem</v>
      </c>
      <c r="C4174" s="2" t="str">
        <f ca="1">IFERROR(__xludf.DUMMYFUNCTION("""COMPUTED_VALUE"""),"DragonMaster Totem")</f>
        <v>DragonMaster Totem</v>
      </c>
    </row>
    <row r="4175" spans="1:3" x14ac:dyDescent="0.25">
      <c r="A4175" s="2" t="str">
        <f ca="1">IFERROR(__xludf.DUMMYFUNCTION("""COMPUTED_VALUE"""),"dragon-soul-token")</f>
        <v>dragon-soul-token</v>
      </c>
      <c r="B4175" s="2" t="str">
        <f ca="1">IFERROR(__xludf.DUMMYFUNCTION("""COMPUTED_VALUE"""),"dst")</f>
        <v>dst</v>
      </c>
      <c r="C4175" s="2" t="str">
        <f ca="1">IFERROR(__xludf.DUMMYFUNCTION("""COMPUTED_VALUE"""),"Dragon Soul Token")</f>
        <v>Dragon Soul Token</v>
      </c>
    </row>
    <row r="4176" spans="1:3" x14ac:dyDescent="0.25">
      <c r="A4176" s="2" t="str">
        <f ca="1">IFERROR(__xludf.DUMMYFUNCTION("""COMPUTED_VALUE"""),"dragon-s-quick")</f>
        <v>dragon-s-quick</v>
      </c>
      <c r="B4176" s="2" t="str">
        <f ca="1">IFERROR(__xludf.DUMMYFUNCTION("""COMPUTED_VALUE"""),"dquick")</f>
        <v>dquick</v>
      </c>
      <c r="C4176" s="2" t="str">
        <f ca="1">IFERROR(__xludf.DUMMYFUNCTION("""COMPUTED_VALUE"""),"Dragon's Quick")</f>
        <v>Dragon's Quick</v>
      </c>
    </row>
    <row r="4177" spans="1:3" x14ac:dyDescent="0.25">
      <c r="A4177" s="2" t="str">
        <f ca="1">IFERROR(__xludf.DUMMYFUNCTION("""COMPUTED_VALUE"""),"dragons-quick")</f>
        <v>dragons-quick</v>
      </c>
      <c r="B4177" s="2" t="str">
        <f ca="1">IFERROR(__xludf.DUMMYFUNCTION("""COMPUTED_VALUE"""),"dquick")</f>
        <v>dquick</v>
      </c>
      <c r="C4177" s="2" t="str">
        <f ca="1">IFERROR(__xludf.DUMMYFUNCTION("""COMPUTED_VALUE"""),"Dragon's Quick")</f>
        <v>Dragon's Quick</v>
      </c>
    </row>
    <row r="4178" spans="1:3" x14ac:dyDescent="0.25">
      <c r="A4178" s="2" t="str">
        <f ca="1">IFERROR(__xludf.DUMMYFUNCTION("""COMPUTED_VALUE"""),"dragon-sun")</f>
        <v>dragon-sun</v>
      </c>
      <c r="B4178" s="2" t="str">
        <f ca="1">IFERROR(__xludf.DUMMYFUNCTION("""COMPUTED_VALUE"""),"drgn")</f>
        <v>drgn</v>
      </c>
      <c r="C4178" s="2" t="str">
        <f ca="1">IFERROR(__xludf.DUMMYFUNCTION("""COMPUTED_VALUE"""),"Dragon Sun")</f>
        <v>Dragon Sun</v>
      </c>
    </row>
    <row r="4179" spans="1:3" x14ac:dyDescent="0.25">
      <c r="A4179" s="2" t="str">
        <f ca="1">IFERROR(__xludf.DUMMYFUNCTION("""COMPUTED_VALUE"""),"dragon-wif-hat")</f>
        <v>dragon-wif-hat</v>
      </c>
      <c r="B4179" s="2" t="str">
        <f ca="1">IFERROR(__xludf.DUMMYFUNCTION("""COMPUTED_VALUE"""),"dwif")</f>
        <v>dwif</v>
      </c>
      <c r="C4179" s="2" t="str">
        <f ca="1">IFERROR(__xludf.DUMMYFUNCTION("""COMPUTED_VALUE"""),"dragon wif hat")</f>
        <v>dragon wif hat</v>
      </c>
    </row>
    <row r="4180" spans="1:3" x14ac:dyDescent="0.25">
      <c r="A4180" s="2" t="str">
        <f ca="1">IFERROR(__xludf.DUMMYFUNCTION("""COMPUTED_VALUE"""),"dragonx-2")</f>
        <v>dragonx-2</v>
      </c>
      <c r="B4180" s="2" t="str">
        <f ca="1">IFERROR(__xludf.DUMMYFUNCTION("""COMPUTED_VALUE"""),"drgx")</f>
        <v>drgx</v>
      </c>
      <c r="C4180" s="2" t="str">
        <f ca="1">IFERROR(__xludf.DUMMYFUNCTION("""COMPUTED_VALUE"""),"DragonX")</f>
        <v>DragonX</v>
      </c>
    </row>
    <row r="4181" spans="1:3" x14ac:dyDescent="0.25">
      <c r="A4181" s="2" t="str">
        <f ca="1">IFERROR(__xludf.DUMMYFUNCTION("""COMPUTED_VALUE"""),"dragonx-win")</f>
        <v>dragonx-win</v>
      </c>
      <c r="B4181" s="2" t="str">
        <f ca="1">IFERROR(__xludf.DUMMYFUNCTION("""COMPUTED_VALUE"""),"dragonx")</f>
        <v>dragonx</v>
      </c>
      <c r="C4181" s="2" t="str">
        <f ca="1">IFERROR(__xludf.DUMMYFUNCTION("""COMPUTED_VALUE"""),"DragonX.win")</f>
        <v>DragonX.win</v>
      </c>
    </row>
    <row r="4182" spans="1:3" x14ac:dyDescent="0.25">
      <c r="A4182" s="2" t="str">
        <f ca="1">IFERROR(__xludf.DUMMYFUNCTION("""COMPUTED_VALUE"""),"dragunova-bot")</f>
        <v>dragunova-bot</v>
      </c>
      <c r="B4182" s="2" t="str">
        <f ca="1">IFERROR(__xludf.DUMMYFUNCTION("""COMPUTED_VALUE"""),"nova")</f>
        <v>nova</v>
      </c>
      <c r="C4182" s="2" t="str">
        <f ca="1">IFERROR(__xludf.DUMMYFUNCTION("""COMPUTED_VALUE"""),"Dragunova Bot")</f>
        <v>Dragunova Bot</v>
      </c>
    </row>
    <row r="4183" spans="1:3" x14ac:dyDescent="0.25">
      <c r="A4183" s="2" t="str">
        <f ca="1">IFERROR(__xludf.DUMMYFUNCTION("""COMPUTED_VALUE"""),"dragy")</f>
        <v>dragy</v>
      </c>
      <c r="B4183" s="2" t="str">
        <f ca="1">IFERROR(__xludf.DUMMYFUNCTION("""COMPUTED_VALUE"""),"dragy")</f>
        <v>dragy</v>
      </c>
      <c r="C4183" s="2" t="str">
        <f ca="1">IFERROR(__xludf.DUMMYFUNCTION("""COMPUTED_VALUE"""),"Dragy")</f>
        <v>Dragy</v>
      </c>
    </row>
    <row r="4184" spans="1:3" x14ac:dyDescent="0.25">
      <c r="A4184" s="2" t="str">
        <f ca="1">IFERROR(__xludf.DUMMYFUNCTION("""COMPUTED_VALUE"""),"drake-s-dog")</f>
        <v>drake-s-dog</v>
      </c>
      <c r="B4184" s="2" t="str">
        <f ca="1">IFERROR(__xludf.DUMMYFUNCTION("""COMPUTED_VALUE"""),"diamond")</f>
        <v>diamond</v>
      </c>
      <c r="C4184" s="2" t="str">
        <f ca="1">IFERROR(__xludf.DUMMYFUNCTION("""COMPUTED_VALUE"""),"Drake's Dog")</f>
        <v>Drake's Dog</v>
      </c>
    </row>
    <row r="4185" spans="1:3" x14ac:dyDescent="0.25">
      <c r="A4185" s="2" t="str">
        <f ca="1">IFERROR(__xludf.DUMMYFUNCTION("""COMPUTED_VALUE"""),"drako")</f>
        <v>drako</v>
      </c>
      <c r="B4185" s="2" t="str">
        <f ca="1">IFERROR(__xludf.DUMMYFUNCTION("""COMPUTED_VALUE"""),"drako")</f>
        <v>drako</v>
      </c>
      <c r="C4185" s="2" t="str">
        <f ca="1">IFERROR(__xludf.DUMMYFUNCTION("""COMPUTED_VALUE"""),"Drako")</f>
        <v>Drako</v>
      </c>
    </row>
    <row r="4186" spans="1:3" x14ac:dyDescent="0.25">
      <c r="A4186" s="2" t="str">
        <f ca="1">IFERROR(__xludf.DUMMYFUNCTION("""COMPUTED_VALUE"""),"dramatic-chipmunk")</f>
        <v>dramatic-chipmunk</v>
      </c>
      <c r="B4186" s="2" t="str">
        <f ca="1">IFERROR(__xludf.DUMMYFUNCTION("""COMPUTED_VALUE"""),"munk")</f>
        <v>munk</v>
      </c>
      <c r="C4186" s="2" t="str">
        <f ca="1">IFERROR(__xludf.DUMMYFUNCTION("""COMPUTED_VALUE"""),"Dramatic Chipmunk")</f>
        <v>Dramatic Chipmunk</v>
      </c>
    </row>
    <row r="4187" spans="1:3" x14ac:dyDescent="0.25">
      <c r="A4187" s="2" t="str">
        <f ca="1">IFERROR(__xludf.DUMMYFUNCTION("""COMPUTED_VALUE"""),"drawshop-kingdom-reverse-joystick")</f>
        <v>drawshop-kingdom-reverse-joystick</v>
      </c>
      <c r="B4187" s="2" t="str">
        <f ca="1">IFERROR(__xludf.DUMMYFUNCTION("""COMPUTED_VALUE"""),"joy")</f>
        <v>joy</v>
      </c>
      <c r="C4187" s="2" t="str">
        <f ca="1">IFERROR(__xludf.DUMMYFUNCTION("""COMPUTED_VALUE"""),"Drawshop Kingdom Reverse Joystick")</f>
        <v>Drawshop Kingdom Reverse Joystick</v>
      </c>
    </row>
    <row r="4188" spans="1:3" x14ac:dyDescent="0.25">
      <c r="A4188" s="2" t="str">
        <f ca="1">IFERROR(__xludf.DUMMYFUNCTION("""COMPUTED_VALUE"""),"dream-machine-token")</f>
        <v>dream-machine-token</v>
      </c>
      <c r="B4188" s="2" t="str">
        <f ca="1">IFERROR(__xludf.DUMMYFUNCTION("""COMPUTED_VALUE"""),"dmt")</f>
        <v>dmt</v>
      </c>
      <c r="C4188" s="2" t="str">
        <f ca="1">IFERROR(__xludf.DUMMYFUNCTION("""COMPUTED_VALUE"""),"Dream Machine Token")</f>
        <v>Dream Machine Token</v>
      </c>
    </row>
    <row r="4189" spans="1:3" x14ac:dyDescent="0.25">
      <c r="A4189" s="2" t="str">
        <f ca="1">IFERROR(__xludf.DUMMYFUNCTION("""COMPUTED_VALUE"""),"dream-play-liquidity-medallion")</f>
        <v>dream-play-liquidity-medallion</v>
      </c>
      <c r="B4189" s="2" t="str">
        <f ca="1">IFERROR(__xludf.DUMMYFUNCTION("""COMPUTED_VALUE"""),"dpliq")</f>
        <v>dpliq</v>
      </c>
      <c r="C4189" s="2" t="str">
        <f ca="1">IFERROR(__xludf.DUMMYFUNCTION("""COMPUTED_VALUE"""),"Dream Play Liquidity Medallion")</f>
        <v>Dream Play Liquidity Medallion</v>
      </c>
    </row>
    <row r="4190" spans="1:3" x14ac:dyDescent="0.25">
      <c r="A4190" s="2" t="str">
        <f ca="1">IFERROR(__xludf.DUMMYFUNCTION("""COMPUTED_VALUE"""),"dreamscoin")</f>
        <v>dreamscoin</v>
      </c>
      <c r="B4190" s="2" t="str">
        <f ca="1">IFERROR(__xludf.DUMMYFUNCTION("""COMPUTED_VALUE"""),"dream")</f>
        <v>dream</v>
      </c>
      <c r="C4190" s="2" t="str">
        <f ca="1">IFERROR(__xludf.DUMMYFUNCTION("""COMPUTED_VALUE"""),"DreamsCoin")</f>
        <v>DreamsCoin</v>
      </c>
    </row>
    <row r="4191" spans="1:3" x14ac:dyDescent="0.25">
      <c r="A4191" s="2" t="str">
        <f ca="1">IFERROR(__xludf.DUMMYFUNCTION("""COMPUTED_VALUE"""),"dreams-quest")</f>
        <v>dreams-quest</v>
      </c>
      <c r="B4191" s="2" t="str">
        <f ca="1">IFERROR(__xludf.DUMMYFUNCTION("""COMPUTED_VALUE"""),"dreams")</f>
        <v>dreams</v>
      </c>
      <c r="C4191" s="2" t="str">
        <f ca="1">IFERROR(__xludf.DUMMYFUNCTION("""COMPUTED_VALUE"""),"Dreams Quest")</f>
        <v>Dreams Quest</v>
      </c>
    </row>
    <row r="4192" spans="1:3" x14ac:dyDescent="0.25">
      <c r="A4192" s="2" t="str">
        <f ca="1">IFERROR(__xludf.DUMMYFUNCTION("""COMPUTED_VALUE"""),"dream-token")</f>
        <v>dream-token</v>
      </c>
      <c r="B4192" s="2" t="str">
        <f ca="1">IFERROR(__xludf.DUMMYFUNCTION("""COMPUTED_VALUE"""),"dream")</f>
        <v>dream</v>
      </c>
      <c r="C4192" s="2" t="str">
        <f ca="1">IFERROR(__xludf.DUMMYFUNCTION("""COMPUTED_VALUE"""),"Dream")</f>
        <v>Dream</v>
      </c>
    </row>
    <row r="4193" spans="1:3" x14ac:dyDescent="0.25">
      <c r="A4193" s="2" t="str">
        <f ca="1">IFERROR(__xludf.DUMMYFUNCTION("""COMPUTED_VALUE"""),"dreamverse")</f>
        <v>dreamverse</v>
      </c>
      <c r="B4193" s="2" t="str">
        <f ca="1">IFERROR(__xludf.DUMMYFUNCTION("""COMPUTED_VALUE"""),"dv")</f>
        <v>dv</v>
      </c>
      <c r="C4193" s="2" t="str">
        <f ca="1">IFERROR(__xludf.DUMMYFUNCTION("""COMPUTED_VALUE"""),"Dreamverse")</f>
        <v>Dreamverse</v>
      </c>
    </row>
    <row r="4194" spans="1:3" x14ac:dyDescent="0.25">
      <c r="A4194" s="2" t="str">
        <f ca="1">IFERROR(__xludf.DUMMYFUNCTION("""COMPUTED_VALUE"""),"drep-new")</f>
        <v>drep-new</v>
      </c>
      <c r="B4194" s="2" t="str">
        <f ca="1">IFERROR(__xludf.DUMMYFUNCTION("""COMPUTED_VALUE"""),"drep")</f>
        <v>drep</v>
      </c>
      <c r="C4194" s="2" t="str">
        <f ca="1">IFERROR(__xludf.DUMMYFUNCTION("""COMPUTED_VALUE"""),"Drep")</f>
        <v>Drep</v>
      </c>
    </row>
    <row r="4195" spans="1:3" x14ac:dyDescent="0.25">
      <c r="A4195" s="2" t="str">
        <f ca="1">IFERROR(__xludf.DUMMYFUNCTION("""COMPUTED_VALUE"""),"drife")</f>
        <v>drife</v>
      </c>
      <c r="B4195" s="2" t="str">
        <f ca="1">IFERROR(__xludf.DUMMYFUNCTION("""COMPUTED_VALUE"""),"drf")</f>
        <v>drf</v>
      </c>
      <c r="C4195" s="2" t="str">
        <f ca="1">IFERROR(__xludf.DUMMYFUNCTION("""COMPUTED_VALUE"""),"Drife")</f>
        <v>Drife</v>
      </c>
    </row>
    <row r="4196" spans="1:3" x14ac:dyDescent="0.25">
      <c r="A4196" s="2" t="str">
        <f ca="1">IFERROR(__xludf.DUMMYFUNCTION("""COMPUTED_VALUE"""),"driftin-cat")</f>
        <v>driftin-cat</v>
      </c>
      <c r="B4196" s="2" t="str">
        <f ca="1">IFERROR(__xludf.DUMMYFUNCTION("""COMPUTED_VALUE"""),"drifty")</f>
        <v>drifty</v>
      </c>
      <c r="C4196" s="2" t="str">
        <f ca="1">IFERROR(__xludf.DUMMYFUNCTION("""COMPUTED_VALUE"""),"Driftin Cat")</f>
        <v>Driftin Cat</v>
      </c>
    </row>
    <row r="4197" spans="1:3" x14ac:dyDescent="0.25">
      <c r="A4197" s="2" t="str">
        <f ca="1">IFERROR(__xludf.DUMMYFUNCTION("""COMPUTED_VALUE"""),"drift-protocol")</f>
        <v>drift-protocol</v>
      </c>
      <c r="B4197" s="2" t="str">
        <f ca="1">IFERROR(__xludf.DUMMYFUNCTION("""COMPUTED_VALUE"""),"drift")</f>
        <v>drift</v>
      </c>
      <c r="C4197" s="2" t="str">
        <f ca="1">IFERROR(__xludf.DUMMYFUNCTION("""COMPUTED_VALUE"""),"Drift Protocol")</f>
        <v>Drift Protocol</v>
      </c>
    </row>
    <row r="4198" spans="1:3" x14ac:dyDescent="0.25">
      <c r="A4198" s="2" t="str">
        <f ca="1">IFERROR(__xludf.DUMMYFUNCTION("""COMPUTED_VALUE"""),"drift-staked-sol")</f>
        <v>drift-staked-sol</v>
      </c>
      <c r="B4198" s="2" t="str">
        <f ca="1">IFERROR(__xludf.DUMMYFUNCTION("""COMPUTED_VALUE"""),"dsol")</f>
        <v>dsol</v>
      </c>
      <c r="C4198" s="2" t="str">
        <f ca="1">IFERROR(__xludf.DUMMYFUNCTION("""COMPUTED_VALUE"""),"Drift Staked SOL")</f>
        <v>Drift Staked SOL</v>
      </c>
    </row>
    <row r="4199" spans="1:3" x14ac:dyDescent="0.25">
      <c r="A4199" s="2" t="str">
        <f ca="1">IFERROR(__xludf.DUMMYFUNCTION("""COMPUTED_VALUE"""),"drift-token")</f>
        <v>drift-token</v>
      </c>
      <c r="B4199" s="2" t="str">
        <f ca="1">IFERROR(__xludf.DUMMYFUNCTION("""COMPUTED_VALUE"""),"drift")</f>
        <v>drift</v>
      </c>
      <c r="C4199" s="2" t="str">
        <f ca="1">IFERROR(__xludf.DUMMYFUNCTION("""COMPUTED_VALUE"""),"Drift Token")</f>
        <v>Drift Token</v>
      </c>
    </row>
    <row r="4200" spans="1:3" x14ac:dyDescent="0.25">
      <c r="A4200" s="2" t="str">
        <f ca="1">IFERROR(__xludf.DUMMYFUNCTION("""COMPUTED_VALUE"""),"drink")</f>
        <v>drink</v>
      </c>
      <c r="B4200" s="2" t="str">
        <f ca="1">IFERROR(__xludf.DUMMYFUNCTION("""COMPUTED_VALUE"""),"drink")</f>
        <v>drink</v>
      </c>
      <c r="C4200" s="2" t="str">
        <f ca="1">IFERROR(__xludf.DUMMYFUNCTION("""COMPUTED_VALUE"""),"DRINK")</f>
        <v>DRINK</v>
      </c>
    </row>
    <row r="4201" spans="1:3" x14ac:dyDescent="0.25">
      <c r="A4201" s="2" t="str">
        <f ca="1">IFERROR(__xludf.DUMMYFUNCTION("""COMPUTED_VALUE"""),"dripdropz")</f>
        <v>dripdropz</v>
      </c>
      <c r="B4201" s="2" t="str">
        <f ca="1">IFERROR(__xludf.DUMMYFUNCTION("""COMPUTED_VALUE"""),"drip")</f>
        <v>drip</v>
      </c>
      <c r="C4201" s="2" t="str">
        <f ca="1">IFERROR(__xludf.DUMMYFUNCTION("""COMPUTED_VALUE"""),"DripDropz")</f>
        <v>DripDropz</v>
      </c>
    </row>
    <row r="4202" spans="1:3" x14ac:dyDescent="0.25">
      <c r="A4202" s="2" t="str">
        <f ca="1">IFERROR(__xludf.DUMMYFUNCTION("""COMPUTED_VALUE"""),"drip-network")</f>
        <v>drip-network</v>
      </c>
      <c r="B4202" s="2" t="str">
        <f ca="1">IFERROR(__xludf.DUMMYFUNCTION("""COMPUTED_VALUE"""),"drip")</f>
        <v>drip</v>
      </c>
      <c r="C4202" s="2" t="str">
        <f ca="1">IFERROR(__xludf.DUMMYFUNCTION("""COMPUTED_VALUE"""),"Drip Network")</f>
        <v>Drip Network</v>
      </c>
    </row>
    <row r="4203" spans="1:3" x14ac:dyDescent="0.25">
      <c r="A4203" s="2" t="str">
        <f ca="1">IFERROR(__xludf.DUMMYFUNCTION("""COMPUTED_VALUE"""),"drive3")</f>
        <v>drive3</v>
      </c>
      <c r="B4203" s="2" t="str">
        <f ca="1">IFERROR(__xludf.DUMMYFUNCTION("""COMPUTED_VALUE"""),"drv3")</f>
        <v>drv3</v>
      </c>
      <c r="C4203" s="2" t="str">
        <f ca="1">IFERROR(__xludf.DUMMYFUNCTION("""COMPUTED_VALUE"""),"DRIVE3")</f>
        <v>DRIVE3</v>
      </c>
    </row>
    <row r="4204" spans="1:3" x14ac:dyDescent="0.25">
      <c r="A4204" s="2" t="str">
        <f ca="1">IFERROR(__xludf.DUMMYFUNCTION("""COMPUTED_VALUE"""),"drone")</f>
        <v>drone</v>
      </c>
      <c r="B4204" s="2" t="str">
        <f ca="1">IFERROR(__xludf.DUMMYFUNCTION("""COMPUTED_VALUE"""),"drone")</f>
        <v>drone</v>
      </c>
      <c r="C4204" s="2" t="str">
        <f ca="1">IFERROR(__xludf.DUMMYFUNCTION("""COMPUTED_VALUE"""),"Drone")</f>
        <v>Drone</v>
      </c>
    </row>
    <row r="4205" spans="1:3" x14ac:dyDescent="0.25">
      <c r="A4205" s="2" t="str">
        <f ca="1">IFERROR(__xludf.DUMMYFUNCTION("""COMPUTED_VALUE"""),"drop")</f>
        <v>drop</v>
      </c>
      <c r="B4205" s="2" t="str">
        <f ca="1">IFERROR(__xludf.DUMMYFUNCTION("""COMPUTED_VALUE"""),"drop")</f>
        <v>drop</v>
      </c>
      <c r="C4205" s="2" t="str">
        <f ca="1">IFERROR(__xludf.DUMMYFUNCTION("""COMPUTED_VALUE"""),"Drop")</f>
        <v>Drop</v>
      </c>
    </row>
    <row r="4206" spans="1:3" x14ac:dyDescent="0.25">
      <c r="A4206" s="2" t="str">
        <f ca="1">IFERROR(__xludf.DUMMYFUNCTION("""COMPUTED_VALUE"""),"dropcoin-club")</f>
        <v>dropcoin-club</v>
      </c>
      <c r="B4206" s="2" t="str">
        <f ca="1">IFERROR(__xludf.DUMMYFUNCTION("""COMPUTED_VALUE"""),"drop")</f>
        <v>drop</v>
      </c>
      <c r="C4206" s="2" t="str">
        <f ca="1">IFERROR(__xludf.DUMMYFUNCTION("""COMPUTED_VALUE"""),"DropCoin")</f>
        <v>DropCoin</v>
      </c>
    </row>
    <row r="4207" spans="1:3" x14ac:dyDescent="0.25">
      <c r="A4207" s="2" t="str">
        <f ca="1">IFERROR(__xludf.DUMMYFUNCTION("""COMPUTED_VALUE"""),"drops")</f>
        <v>drops</v>
      </c>
      <c r="B4207" s="2" t="str">
        <f ca="1">IFERROR(__xludf.DUMMYFUNCTION("""COMPUTED_VALUE"""),"drops")</f>
        <v>drops</v>
      </c>
      <c r="C4207" s="2" t="str">
        <f ca="1">IFERROR(__xludf.DUMMYFUNCTION("""COMPUTED_VALUE"""),"Drops")</f>
        <v>Drops</v>
      </c>
    </row>
    <row r="4208" spans="1:3" x14ac:dyDescent="0.25">
      <c r="A4208" s="2" t="str">
        <f ca="1">IFERROR(__xludf.DUMMYFUNCTION("""COMPUTED_VALUE"""),"drops-ownership-power")</f>
        <v>drops-ownership-power</v>
      </c>
      <c r="B4208" s="2" t="str">
        <f ca="1">IFERROR(__xludf.DUMMYFUNCTION("""COMPUTED_VALUE"""),"dop")</f>
        <v>dop</v>
      </c>
      <c r="C4208" s="2" t="str">
        <f ca="1">IFERROR(__xludf.DUMMYFUNCTION("""COMPUTED_VALUE"""),"Drops Ownership Power")</f>
        <v>Drops Ownership Power</v>
      </c>
    </row>
    <row r="4209" spans="1:3" x14ac:dyDescent="0.25">
      <c r="A4209" s="2" t="str">
        <f ca="1">IFERROR(__xludf.DUMMYFUNCTION("""COMPUTED_VALUE"""),"drop-staked-atom")</f>
        <v>drop-staked-atom</v>
      </c>
      <c r="B4209" s="2" t="str">
        <f ca="1">IFERROR(__xludf.DUMMYFUNCTION("""COMPUTED_VALUE"""),"datom")</f>
        <v>datom</v>
      </c>
      <c r="C4209" s="2" t="str">
        <f ca="1">IFERROR(__xludf.DUMMYFUNCTION("""COMPUTED_VALUE"""),"Drop Staked ATOM")</f>
        <v>Drop Staked ATOM</v>
      </c>
    </row>
    <row r="4210" spans="1:3" x14ac:dyDescent="0.25">
      <c r="A4210" s="2" t="str">
        <f ca="1">IFERROR(__xludf.DUMMYFUNCTION("""COMPUTED_VALUE"""),"drop-wireless-infrastructure")</f>
        <v>drop-wireless-infrastructure</v>
      </c>
      <c r="B4210" s="2" t="str">
        <f ca="1">IFERROR(__xludf.DUMMYFUNCTION("""COMPUTED_VALUE"""),"dwin")</f>
        <v>dwin</v>
      </c>
      <c r="C4210" s="2" t="str">
        <f ca="1">IFERROR(__xludf.DUMMYFUNCTION("""COMPUTED_VALUE"""),"Drop Wireless Infrastructure")</f>
        <v>Drop Wireless Infrastructure</v>
      </c>
    </row>
    <row r="4211" spans="1:3" x14ac:dyDescent="0.25">
      <c r="A4211" s="2" t="str">
        <f ca="1">IFERROR(__xludf.DUMMYFUNCTION("""COMPUTED_VALUE"""),"dr-solwitz")</f>
        <v>dr-solwitz</v>
      </c>
      <c r="B4211" s="2" t="str">
        <f ca="1">IFERROR(__xludf.DUMMYFUNCTION("""COMPUTED_VALUE"""),"doctor")</f>
        <v>doctor</v>
      </c>
      <c r="C4211" s="2" t="str">
        <f ca="1">IFERROR(__xludf.DUMMYFUNCTION("""COMPUTED_VALUE"""),"Dr Solwitz")</f>
        <v>Dr Solwitz</v>
      </c>
    </row>
    <row r="4212" spans="1:3" x14ac:dyDescent="0.25">
      <c r="A4212" s="2" t="str">
        <f ca="1">IFERROR(__xludf.DUMMYFUNCTION("""COMPUTED_VALUE"""),"drunk-chicken-centipede")</f>
        <v>drunk-chicken-centipede</v>
      </c>
      <c r="B4212" s="2" t="str">
        <f ca="1">IFERROR(__xludf.DUMMYFUNCTION("""COMPUTED_VALUE"""),"dcc")</f>
        <v>dcc</v>
      </c>
      <c r="C4212" s="2" t="str">
        <f ca="1">IFERROR(__xludf.DUMMYFUNCTION("""COMPUTED_VALUE"""),"Drunk Chicken Centipede")</f>
        <v>Drunk Chicken Centipede</v>
      </c>
    </row>
    <row r="4213" spans="1:3" x14ac:dyDescent="0.25">
      <c r="A4213" s="2" t="str">
        <f ca="1">IFERROR(__xludf.DUMMYFUNCTION("""COMPUTED_VALUE"""),"drunk-robots")</f>
        <v>drunk-robots</v>
      </c>
      <c r="B4213" s="2" t="str">
        <f ca="1">IFERROR(__xludf.DUMMYFUNCTION("""COMPUTED_VALUE"""),"metal")</f>
        <v>metal</v>
      </c>
      <c r="C4213" s="2" t="str">
        <f ca="1">IFERROR(__xludf.DUMMYFUNCTION("""COMPUTED_VALUE"""),"Badmad Robots")</f>
        <v>Badmad Robots</v>
      </c>
    </row>
    <row r="4214" spans="1:3" x14ac:dyDescent="0.25">
      <c r="A4214" s="2" t="str">
        <f ca="1">IFERROR(__xludf.DUMMYFUNCTION("""COMPUTED_VALUE"""),"dsc")</f>
        <v>dsc</v>
      </c>
      <c r="B4214" s="2" t="str">
        <f ca="1">IFERROR(__xludf.DUMMYFUNCTION("""COMPUTED_VALUE"""),"dsc")</f>
        <v>dsc</v>
      </c>
      <c r="C4214" s="2" t="str">
        <f ca="1">IFERROR(__xludf.DUMMYFUNCTION("""COMPUTED_VALUE"""),"DSC")</f>
        <v>DSC</v>
      </c>
    </row>
    <row r="4215" spans="1:3" x14ac:dyDescent="0.25">
      <c r="A4215" s="2" t="str">
        <f ca="1">IFERROR(__xludf.DUMMYFUNCTION("""COMPUTED_VALUE"""),"dsc-mix")</f>
        <v>dsc-mix</v>
      </c>
      <c r="B4215" s="2" t="str">
        <f ca="1">IFERROR(__xludf.DUMMYFUNCTION("""COMPUTED_VALUE"""),"mix")</f>
        <v>mix</v>
      </c>
      <c r="C4215" s="2" t="str">
        <f ca="1">IFERROR(__xludf.DUMMYFUNCTION("""COMPUTED_VALUE"""),"DSC Mix")</f>
        <v>DSC Mix</v>
      </c>
    </row>
    <row r="4216" spans="1:3" x14ac:dyDescent="0.25">
      <c r="A4216" s="2" t="str">
        <f ca="1">IFERROR(__xludf.DUMMYFUNCTION("""COMPUTED_VALUE"""),"dsun-token")</f>
        <v>dsun-token</v>
      </c>
      <c r="B4216" s="2" t="str">
        <f ca="1">IFERROR(__xludf.DUMMYFUNCTION("""COMPUTED_VALUE"""),"dsun")</f>
        <v>dsun</v>
      </c>
      <c r="C4216" s="2" t="str">
        <f ca="1">IFERROR(__xludf.DUMMYFUNCTION("""COMPUTED_VALUE"""),"Dsun Token")</f>
        <v>Dsun Token</v>
      </c>
    </row>
    <row r="4217" spans="1:3" x14ac:dyDescent="0.25">
      <c r="A4217" s="2" t="str">
        <f ca="1">IFERROR(__xludf.DUMMYFUNCTION("""COMPUTED_VALUE"""),"dtec-token")</f>
        <v>dtec-token</v>
      </c>
      <c r="B4217" s="2" t="str">
        <f ca="1">IFERROR(__xludf.DUMMYFUNCTION("""COMPUTED_VALUE"""),"dtec")</f>
        <v>dtec</v>
      </c>
      <c r="C4217" s="2" t="str">
        <f ca="1">IFERROR(__xludf.DUMMYFUNCTION("""COMPUTED_VALUE"""),"Dtec token")</f>
        <v>Dtec token</v>
      </c>
    </row>
    <row r="4218" spans="1:3" x14ac:dyDescent="0.25">
      <c r="A4218" s="2" t="str">
        <f ca="1">IFERROR(__xludf.DUMMYFUNCTION("""COMPUTED_VALUE"""),"dt-inu")</f>
        <v>dt-inu</v>
      </c>
      <c r="B4218" s="2" t="str">
        <f ca="1">IFERROR(__xludf.DUMMYFUNCTION("""COMPUTED_VALUE"""),"dti")</f>
        <v>dti</v>
      </c>
      <c r="C4218" s="2" t="str">
        <f ca="1">IFERROR(__xludf.DUMMYFUNCTION("""COMPUTED_VALUE"""),"DT Inu")</f>
        <v>DT Inu</v>
      </c>
    </row>
    <row r="4219" spans="1:3" x14ac:dyDescent="0.25">
      <c r="A4219" s="2" t="str">
        <f ca="1">IFERROR(__xludf.DUMMYFUNCTION("""COMPUTED_VALUE"""),"dtng")</f>
        <v>dtng</v>
      </c>
      <c r="B4219" s="2" t="str">
        <f ca="1">IFERROR(__xludf.DUMMYFUNCTION("""COMPUTED_VALUE"""),"dtng")</f>
        <v>dtng</v>
      </c>
      <c r="C4219" s="2" t="str">
        <f ca="1">IFERROR(__xludf.DUMMYFUNCTION("""COMPUTED_VALUE"""),"DTNG")</f>
        <v>DTNG</v>
      </c>
    </row>
    <row r="4220" spans="1:3" x14ac:dyDescent="0.25">
      <c r="A4220" s="2" t="str">
        <f ca="1">IFERROR(__xludf.DUMMYFUNCTION("""COMPUTED_VALUE"""),"dtravel")</f>
        <v>dtravel</v>
      </c>
      <c r="B4220" s="2" t="str">
        <f ca="1">IFERROR(__xludf.DUMMYFUNCTION("""COMPUTED_VALUE"""),"trvl")</f>
        <v>trvl</v>
      </c>
      <c r="C4220" s="2" t="str">
        <f ca="1">IFERROR(__xludf.DUMMYFUNCTION("""COMPUTED_VALUE"""),"TRVL")</f>
        <v>TRVL</v>
      </c>
    </row>
    <row r="4221" spans="1:3" x14ac:dyDescent="0.25">
      <c r="A4221" s="2" t="str">
        <f ca="1">IFERROR(__xludf.DUMMYFUNCTION("""COMPUTED_VALUE"""),"dtsla")</f>
        <v>dtsla</v>
      </c>
      <c r="B4221" s="2" t="str">
        <f ca="1">IFERROR(__xludf.DUMMYFUNCTION("""COMPUTED_VALUE"""),"dtsla")</f>
        <v>dtsla</v>
      </c>
      <c r="C4221" s="2" t="str">
        <f ca="1">IFERROR(__xludf.DUMMYFUNCTION("""COMPUTED_VALUE"""),"Tesla Tokenized Stock Defichain")</f>
        <v>Tesla Tokenized Stock Defichain</v>
      </c>
    </row>
    <row r="4222" spans="1:3" x14ac:dyDescent="0.25">
      <c r="A4222" s="2" t="str">
        <f ca="1">IFERROR(__xludf.DUMMYFUNCTION("""COMPUTED_VALUE"""),"dual-finance")</f>
        <v>dual-finance</v>
      </c>
      <c r="B4222" s="2" t="str">
        <f ca="1">IFERROR(__xludf.DUMMYFUNCTION("""COMPUTED_VALUE"""),"dual")</f>
        <v>dual</v>
      </c>
      <c r="C4222" s="2" t="str">
        <f ca="1">IFERROR(__xludf.DUMMYFUNCTION("""COMPUTED_VALUE"""),"Dual Finance")</f>
        <v>Dual Finance</v>
      </c>
    </row>
    <row r="4223" spans="1:3" x14ac:dyDescent="0.25">
      <c r="A4223" s="2" t="str">
        <f ca="1">IFERROR(__xludf.DUMMYFUNCTION("""COMPUTED_VALUE"""),"dua-token")</f>
        <v>dua-token</v>
      </c>
      <c r="B4223" s="2" t="str">
        <f ca="1">IFERROR(__xludf.DUMMYFUNCTION("""COMPUTED_VALUE"""),"dua")</f>
        <v>dua</v>
      </c>
      <c r="C4223" s="2" t="str">
        <f ca="1">IFERROR(__xludf.DUMMYFUNCTION("""COMPUTED_VALUE"""),"Brillion")</f>
        <v>Brillion</v>
      </c>
    </row>
    <row r="4224" spans="1:3" x14ac:dyDescent="0.25">
      <c r="A4224" s="2" t="str">
        <f ca="1">IFERROR(__xludf.DUMMYFUNCTION("""COMPUTED_VALUE"""),"dubbz")</f>
        <v>dubbz</v>
      </c>
      <c r="B4224" s="2" t="str">
        <f ca="1">IFERROR(__xludf.DUMMYFUNCTION("""COMPUTED_VALUE"""),"dubbz")</f>
        <v>dubbz</v>
      </c>
      <c r="C4224" s="2" t="str">
        <f ca="1">IFERROR(__xludf.DUMMYFUNCTION("""COMPUTED_VALUE"""),"Dubbz")</f>
        <v>Dubbz</v>
      </c>
    </row>
    <row r="4225" spans="1:3" x14ac:dyDescent="0.25">
      <c r="A4225" s="2" t="str">
        <f ca="1">IFERROR(__xludf.DUMMYFUNCTION("""COMPUTED_VALUE"""),"dubcat")</f>
        <v>dubcat</v>
      </c>
      <c r="B4225" s="2" t="str">
        <f ca="1">IFERROR(__xludf.DUMMYFUNCTION("""COMPUTED_VALUE"""),"dubcat")</f>
        <v>dubcat</v>
      </c>
      <c r="C4225" s="2" t="str">
        <f ca="1">IFERROR(__xludf.DUMMYFUNCTION("""COMPUTED_VALUE"""),"Dubcat")</f>
        <v>Dubcat</v>
      </c>
    </row>
    <row r="4226" spans="1:3" x14ac:dyDescent="0.25">
      <c r="A4226" s="2" t="str">
        <f ca="1">IFERROR(__xludf.DUMMYFUNCTION("""COMPUTED_VALUE"""),"dub-duck")</f>
        <v>dub-duck</v>
      </c>
      <c r="B4226" s="2" t="str">
        <f ca="1">IFERROR(__xludf.DUMMYFUNCTION("""COMPUTED_VALUE"""),"$dub")</f>
        <v>$dub</v>
      </c>
      <c r="C4226" s="2" t="str">
        <f ca="1">IFERROR(__xludf.DUMMYFUNCTION("""COMPUTED_VALUE"""),"dub duck")</f>
        <v>dub duck</v>
      </c>
    </row>
    <row r="4227" spans="1:3" x14ac:dyDescent="0.25">
      <c r="A4227" s="2" t="str">
        <f ca="1">IFERROR(__xludf.DUMMYFUNCTION("""COMPUTED_VALUE"""),"dubx")</f>
        <v>dubx</v>
      </c>
      <c r="B4227" s="2" t="str">
        <f ca="1">IFERROR(__xludf.DUMMYFUNCTION("""COMPUTED_VALUE"""),"dub")</f>
        <v>dub</v>
      </c>
      <c r="C4227" s="2" t="str">
        <f ca="1">IFERROR(__xludf.DUMMYFUNCTION("""COMPUTED_VALUE"""),"DUBX")</f>
        <v>DUBX</v>
      </c>
    </row>
    <row r="4228" spans="1:3" x14ac:dyDescent="0.25">
      <c r="A4228" s="2" t="str">
        <f ca="1">IFERROR(__xludf.DUMMYFUNCTION("""COMPUTED_VALUE"""),"ducatus")</f>
        <v>ducatus</v>
      </c>
      <c r="B4228" s="2" t="str">
        <f ca="1">IFERROR(__xludf.DUMMYFUNCTION("""COMPUTED_VALUE"""),"ducx")</f>
        <v>ducx</v>
      </c>
      <c r="C4228" s="2" t="str">
        <f ca="1">IFERROR(__xludf.DUMMYFUNCTION("""COMPUTED_VALUE"""),"DucatusX")</f>
        <v>DucatusX</v>
      </c>
    </row>
    <row r="4229" spans="1:3" x14ac:dyDescent="0.25">
      <c r="A4229" s="2" t="str">
        <f ca="1">IFERROR(__xludf.DUMMYFUNCTION("""COMPUTED_VALUE"""),"duckcoin")</f>
        <v>duckcoin</v>
      </c>
      <c r="B4229" s="2" t="str">
        <f ca="1">IFERROR(__xludf.DUMMYFUNCTION("""COMPUTED_VALUE"""),"duck")</f>
        <v>duck</v>
      </c>
      <c r="C4229" s="2" t="str">
        <f ca="1">IFERROR(__xludf.DUMMYFUNCTION("""COMPUTED_VALUE"""),"DuckCoin")</f>
        <v>DuckCoin</v>
      </c>
    </row>
    <row r="4230" spans="1:3" x14ac:dyDescent="0.25">
      <c r="A4230" s="2" t="str">
        <f ca="1">IFERROR(__xludf.DUMMYFUNCTION("""COMPUTED_VALUE"""),"duckdao")</f>
        <v>duckdao</v>
      </c>
      <c r="B4230" s="2" t="str">
        <f ca="1">IFERROR(__xludf.DUMMYFUNCTION("""COMPUTED_VALUE"""),"dd")</f>
        <v>dd</v>
      </c>
      <c r="C4230" s="2" t="str">
        <f ca="1">IFERROR(__xludf.DUMMYFUNCTION("""COMPUTED_VALUE"""),"DuckDAO")</f>
        <v>DuckDAO</v>
      </c>
    </row>
    <row r="4231" spans="1:3" x14ac:dyDescent="0.25">
      <c r="A4231" s="2" t="str">
        <f ca="1">IFERROR(__xludf.DUMMYFUNCTION("""COMPUTED_VALUE"""),"duckdaodime")</f>
        <v>duckdaodime</v>
      </c>
      <c r="B4231" s="2" t="str">
        <f ca="1">IFERROR(__xludf.DUMMYFUNCTION("""COMPUTED_VALUE"""),"ddim")</f>
        <v>ddim</v>
      </c>
      <c r="C4231" s="2" t="str">
        <f ca="1">IFERROR(__xludf.DUMMYFUNCTION("""COMPUTED_VALUE"""),"DuckDaoDime")</f>
        <v>DuckDaoDime</v>
      </c>
    </row>
    <row r="4232" spans="1:3" x14ac:dyDescent="0.25">
      <c r="A4232" s="2" t="str">
        <f ca="1">IFERROR(__xludf.DUMMYFUNCTION("""COMPUTED_VALUE"""),"duckduck-token")</f>
        <v>duckduck-token</v>
      </c>
      <c r="B4232" s="2" t="str">
        <f ca="1">IFERROR(__xludf.DUMMYFUNCTION("""COMPUTED_VALUE"""),"duck")</f>
        <v>duck</v>
      </c>
      <c r="C4232" s="2" t="str">
        <f ca="1">IFERROR(__xludf.DUMMYFUNCTION("""COMPUTED_VALUE"""),"DuckDuck")</f>
        <v>DuckDuck</v>
      </c>
    </row>
    <row r="4233" spans="1:3" x14ac:dyDescent="0.25">
      <c r="A4233" s="2" t="str">
        <f ca="1">IFERROR(__xludf.DUMMYFUNCTION("""COMPUTED_VALUE"""),"ducker")</f>
        <v>ducker</v>
      </c>
      <c r="B4233" s="2" t="str">
        <f ca="1">IFERROR(__xludf.DUMMYFUNCTION("""COMPUTED_VALUE"""),"ducker")</f>
        <v>ducker</v>
      </c>
      <c r="C4233" s="2" t="str">
        <f ca="1">IFERROR(__xludf.DUMMYFUNCTION("""COMPUTED_VALUE"""),"Ducker")</f>
        <v>Ducker</v>
      </c>
    </row>
    <row r="4234" spans="1:3" x14ac:dyDescent="0.25">
      <c r="A4234" s="2" t="str">
        <f ca="1">IFERROR(__xludf.DUMMYFUNCTION("""COMPUTED_VALUE"""),"duckereum")</f>
        <v>duckereum</v>
      </c>
      <c r="B4234" s="2" t="str">
        <f ca="1">IFERROR(__xludf.DUMMYFUNCTION("""COMPUTED_VALUE"""),"ducker")</f>
        <v>ducker</v>
      </c>
      <c r="C4234" s="2" t="str">
        <f ca="1">IFERROR(__xludf.DUMMYFUNCTION("""COMPUTED_VALUE"""),"Duckereum")</f>
        <v>Duckereum</v>
      </c>
    </row>
    <row r="4235" spans="1:3" x14ac:dyDescent="0.25">
      <c r="A4235" s="2" t="str">
        <f ca="1">IFERROR(__xludf.DUMMYFUNCTION("""COMPUTED_VALUE"""),"duckie-land-multi-metaverse")</f>
        <v>duckie-land-multi-metaverse</v>
      </c>
      <c r="B4235" s="2" t="str">
        <f ca="1">IFERROR(__xludf.DUMMYFUNCTION("""COMPUTED_VALUE"""),"mmeta")</f>
        <v>mmeta</v>
      </c>
      <c r="C4235" s="2" t="str">
        <f ca="1">IFERROR(__xludf.DUMMYFUNCTION("""COMPUTED_VALUE"""),"Duckie Land Multi Metaverse")</f>
        <v>Duckie Land Multi Metaverse</v>
      </c>
    </row>
    <row r="4236" spans="1:3" x14ac:dyDescent="0.25">
      <c r="A4236" s="2" t="str">
        <f ca="1">IFERROR(__xludf.DUMMYFUNCTION("""COMPUTED_VALUE"""),"duckies")</f>
        <v>duckies</v>
      </c>
      <c r="B4236" s="2" t="str">
        <f ca="1">IFERROR(__xludf.DUMMYFUNCTION("""COMPUTED_VALUE"""),"duckies")</f>
        <v>duckies</v>
      </c>
      <c r="C4236" s="2" t="str">
        <f ca="1">IFERROR(__xludf.DUMMYFUNCTION("""COMPUTED_VALUE"""),"Yellow Duckies")</f>
        <v>Yellow Duckies</v>
      </c>
    </row>
    <row r="4237" spans="1:3" x14ac:dyDescent="0.25">
      <c r="A4237" s="2" t="str">
        <f ca="1">IFERROR(__xludf.DUMMYFUNCTION("""COMPUTED_VALUE"""),"duckie-the-meme-token")</f>
        <v>duckie-the-meme-token</v>
      </c>
      <c r="B4237" s="2" t="str">
        <f ca="1">IFERROR(__xludf.DUMMYFUNCTION("""COMPUTED_VALUE"""),"$duckie")</f>
        <v>$duckie</v>
      </c>
      <c r="C4237" s="2" t="str">
        <f ca="1">IFERROR(__xludf.DUMMYFUNCTION("""COMPUTED_VALUE"""),"Duckie The Meme Token")</f>
        <v>Duckie The Meme Token</v>
      </c>
    </row>
    <row r="4238" spans="1:3" x14ac:dyDescent="0.25">
      <c r="A4238" s="2" t="str">
        <f ca="1">IFERROR(__xludf.DUMMYFUNCTION("""COMPUTED_VALUE"""),"duck-in-a-truck")</f>
        <v>duck-in-a-truck</v>
      </c>
      <c r="B4238" s="2" t="str">
        <f ca="1">IFERROR(__xludf.DUMMYFUNCTION("""COMPUTED_VALUE"""),"diat")</f>
        <v>diat</v>
      </c>
      <c r="C4238" s="2" t="str">
        <f ca="1">IFERROR(__xludf.DUMMYFUNCTION("""COMPUTED_VALUE"""),"Duck In A Truck")</f>
        <v>Duck In A Truck</v>
      </c>
    </row>
    <row r="4239" spans="1:3" x14ac:dyDescent="0.25">
      <c r="A4239" s="2" t="str">
        <f ca="1">IFERROR(__xludf.DUMMYFUNCTION("""COMPUTED_VALUE"""),"ducks")</f>
        <v>ducks</v>
      </c>
      <c r="B4239" s="2" t="str">
        <f ca="1">IFERROR(__xludf.DUMMYFUNCTION("""COMPUTED_VALUE"""),"ducks")</f>
        <v>ducks</v>
      </c>
      <c r="C4239" s="2" t="str">
        <f ca="1">IFERROR(__xludf.DUMMYFUNCTION("""COMPUTED_VALUE"""),"Ducks")</f>
        <v>Ducks</v>
      </c>
    </row>
    <row r="4240" spans="1:3" x14ac:dyDescent="0.25">
      <c r="A4240" s="2" t="str">
        <f ca="1">IFERROR(__xludf.DUMMYFUNCTION("""COMPUTED_VALUE"""),"duck-the-doug")</f>
        <v>duck-the-doug</v>
      </c>
      <c r="B4240" s="2" t="str">
        <f ca="1">IFERROR(__xludf.DUMMYFUNCTION("""COMPUTED_VALUE"""),"doug")</f>
        <v>doug</v>
      </c>
      <c r="C4240" s="2" t="str">
        <f ca="1">IFERROR(__xludf.DUMMYFUNCTION("""COMPUTED_VALUE"""),"Doug the Duck")</f>
        <v>Doug the Duck</v>
      </c>
    </row>
    <row r="4241" spans="1:3" x14ac:dyDescent="0.25">
      <c r="A4241" s="2" t="str">
        <f ca="1">IFERROR(__xludf.DUMMYFUNCTION("""COMPUTED_VALUE"""),"ducky-city")</f>
        <v>ducky-city</v>
      </c>
      <c r="B4241" s="2" t="str">
        <f ca="1">IFERROR(__xludf.DUMMYFUNCTION("""COMPUTED_VALUE"""),"dcm")</f>
        <v>dcm</v>
      </c>
      <c r="C4241" s="2" t="str">
        <f ca="1">IFERROR(__xludf.DUMMYFUNCTION("""COMPUTED_VALUE"""),"Ducky City")</f>
        <v>Ducky City</v>
      </c>
    </row>
    <row r="4242" spans="1:3" x14ac:dyDescent="0.25">
      <c r="A4242" s="2" t="str">
        <f ca="1">IFERROR(__xludf.DUMMYFUNCTION("""COMPUTED_VALUE"""),"ducky-city-earn")</f>
        <v>ducky-city-earn</v>
      </c>
      <c r="B4242" s="2" t="str">
        <f ca="1">IFERROR(__xludf.DUMMYFUNCTION("""COMPUTED_VALUE"""),"dce")</f>
        <v>dce</v>
      </c>
      <c r="C4242" s="2" t="str">
        <f ca="1">IFERROR(__xludf.DUMMYFUNCTION("""COMPUTED_VALUE"""),"Ducky City Earn")</f>
        <v>Ducky City Earn</v>
      </c>
    </row>
    <row r="4243" spans="1:3" x14ac:dyDescent="0.25">
      <c r="A4243" s="2" t="str">
        <f ca="1">IFERROR(__xludf.DUMMYFUNCTION("""COMPUTED_VALUE"""),"duckydefi")</f>
        <v>duckydefi</v>
      </c>
      <c r="B4243" s="2" t="str">
        <f ca="1">IFERROR(__xludf.DUMMYFUNCTION("""COMPUTED_VALUE"""),"degg")</f>
        <v>degg</v>
      </c>
      <c r="C4243" s="2" t="str">
        <f ca="1">IFERROR(__xludf.DUMMYFUNCTION("""COMPUTED_VALUE"""),"DuckyDefi")</f>
        <v>DuckyDefi</v>
      </c>
    </row>
    <row r="4244" spans="1:3" x14ac:dyDescent="0.25">
      <c r="A4244" s="2" t="str">
        <f ca="1">IFERROR(__xludf.DUMMYFUNCTION("""COMPUTED_VALUE"""),"duckyduck")</f>
        <v>duckyduck</v>
      </c>
      <c r="B4244" s="2" t="str">
        <f ca="1">IFERROR(__xludf.DUMMYFUNCTION("""COMPUTED_VALUE"""),"ducky")</f>
        <v>ducky</v>
      </c>
      <c r="C4244" s="2" t="str">
        <f ca="1">IFERROR(__xludf.DUMMYFUNCTION("""COMPUTED_VALUE"""),"DuckyDuck")</f>
        <v>DuckyDuck</v>
      </c>
    </row>
    <row r="4245" spans="1:3" x14ac:dyDescent="0.25">
      <c r="A4245" s="2" t="str">
        <f ca="1">IFERROR(__xludf.DUMMYFUNCTION("""COMPUTED_VALUE"""),"du-coin")</f>
        <v>du-coin</v>
      </c>
      <c r="B4245" s="2" t="str">
        <f ca="1">IFERROR(__xludf.DUMMYFUNCTION("""COMPUTED_VALUE"""),"du")</f>
        <v>du</v>
      </c>
      <c r="C4245" s="2" t="str">
        <f ca="1">IFERROR(__xludf.DUMMYFUNCTION("""COMPUTED_VALUE"""),"DU Coin")</f>
        <v>DU Coin</v>
      </c>
    </row>
    <row r="4246" spans="1:3" x14ac:dyDescent="0.25">
      <c r="A4246" s="2" t="str">
        <f ca="1">IFERROR(__xludf.DUMMYFUNCTION("""COMPUTED_VALUE"""),"dudegen")</f>
        <v>dudegen</v>
      </c>
      <c r="B4246" s="2" t="str">
        <f ca="1">IFERROR(__xludf.DUMMYFUNCTION("""COMPUTED_VALUE"""),"dudegen")</f>
        <v>dudegen</v>
      </c>
      <c r="C4246" s="2" t="str">
        <f ca="1">IFERROR(__xludf.DUMMYFUNCTION("""COMPUTED_VALUE"""),"DUDEGEN")</f>
        <v>DUDEGEN</v>
      </c>
    </row>
    <row r="4247" spans="1:3" x14ac:dyDescent="0.25">
      <c r="A4247" s="2" t="str">
        <f ca="1">IFERROR(__xludf.DUMMYFUNCTION("""COMPUTED_VALUE"""),"dude-injective")</f>
        <v>dude-injective</v>
      </c>
      <c r="B4247" s="2" t="str">
        <f ca="1">IFERROR(__xludf.DUMMYFUNCTION("""COMPUTED_VALUE"""),"dude")</f>
        <v>dude</v>
      </c>
      <c r="C4247" s="2" t="str">
        <f ca="1">IFERROR(__xludf.DUMMYFUNCTION("""COMPUTED_VALUE"""),"DUDE (Injective)")</f>
        <v>DUDE (Injective)</v>
      </c>
    </row>
    <row r="4248" spans="1:3" x14ac:dyDescent="0.25">
      <c r="A4248" s="2" t="str">
        <f ca="1">IFERROR(__xludf.DUMMYFUNCTION("""COMPUTED_VALUE"""),"dudiez-meme-token")</f>
        <v>dudiez-meme-token</v>
      </c>
      <c r="B4248" s="2" t="str">
        <f ca="1">IFERROR(__xludf.DUMMYFUNCTION("""COMPUTED_VALUE"""),"dudiez")</f>
        <v>dudiez</v>
      </c>
      <c r="C4248" s="2" t="str">
        <f ca="1">IFERROR(__xludf.DUMMYFUNCTION("""COMPUTED_VALUE"""),"Dudiez Meme Token")</f>
        <v>Dudiez Meme Token</v>
      </c>
    </row>
    <row r="4249" spans="1:3" x14ac:dyDescent="0.25">
      <c r="A4249" s="2" t="str">
        <f ca="1">IFERROR(__xludf.DUMMYFUNCTION("""COMPUTED_VALUE"""),"duet-protocol")</f>
        <v>duet-protocol</v>
      </c>
      <c r="B4249" s="2" t="str">
        <f ca="1">IFERROR(__xludf.DUMMYFUNCTION("""COMPUTED_VALUE"""),"duet")</f>
        <v>duet</v>
      </c>
      <c r="C4249" s="2" t="str">
        <f ca="1">IFERROR(__xludf.DUMMYFUNCTION("""COMPUTED_VALUE"""),"Duet Protocol")</f>
        <v>Duet Protocol</v>
      </c>
    </row>
    <row r="4250" spans="1:3" x14ac:dyDescent="0.25">
      <c r="A4250" s="2" t="str">
        <f ca="1">IFERROR(__xludf.DUMMYFUNCTION("""COMPUTED_VALUE"""),"duge")</f>
        <v>duge</v>
      </c>
      <c r="B4250" s="2" t="str">
        <f ca="1">IFERROR(__xludf.DUMMYFUNCTION("""COMPUTED_VALUE"""),"duge")</f>
        <v>duge</v>
      </c>
      <c r="C4250" s="2" t="str">
        <f ca="1">IFERROR(__xludf.DUMMYFUNCTION("""COMPUTED_VALUE"""),"Duge")</f>
        <v>Duge</v>
      </c>
    </row>
    <row r="4251" spans="1:3" x14ac:dyDescent="0.25">
      <c r="A4251" s="2" t="str">
        <f ca="1">IFERROR(__xludf.DUMMYFUNCTION("""COMPUTED_VALUE"""),"duh")</f>
        <v>duh</v>
      </c>
      <c r="B4251" s="2" t="str">
        <f ca="1">IFERROR(__xludf.DUMMYFUNCTION("""COMPUTED_VALUE"""),"duh")</f>
        <v>duh</v>
      </c>
      <c r="C4251" s="2" t="str">
        <f ca="1">IFERROR(__xludf.DUMMYFUNCTION("""COMPUTED_VALUE"""),"Duh")</f>
        <v>Duh</v>
      </c>
    </row>
    <row r="4252" spans="1:3" x14ac:dyDescent="0.25">
      <c r="A4252" s="2" t="str">
        <f ca="1">IFERROR(__xludf.DUMMYFUNCTION("""COMPUTED_VALUE"""),"duk")</f>
        <v>duk</v>
      </c>
      <c r="B4252" s="2" t="str">
        <f ca="1">IFERROR(__xludf.DUMMYFUNCTION("""COMPUTED_VALUE"""),"duk")</f>
        <v>duk</v>
      </c>
      <c r="C4252" s="2" t="str">
        <f ca="1">IFERROR(__xludf.DUMMYFUNCTION("""COMPUTED_VALUE"""),"Duk")</f>
        <v>Duk</v>
      </c>
    </row>
    <row r="4253" spans="1:3" x14ac:dyDescent="0.25">
      <c r="A4253" s="2" t="str">
        <f ca="1">IFERROR(__xludf.DUMMYFUNCTION("""COMPUTED_VALUE"""),"duke-inu-token")</f>
        <v>duke-inu-token</v>
      </c>
      <c r="B4253" s="2" t="str">
        <f ca="1">IFERROR(__xludf.DUMMYFUNCTION("""COMPUTED_VALUE"""),"duke")</f>
        <v>duke</v>
      </c>
      <c r="C4253" s="2" t="str">
        <f ca="1">IFERROR(__xludf.DUMMYFUNCTION("""COMPUTED_VALUE"""),"Duke Inu")</f>
        <v>Duke Inu</v>
      </c>
    </row>
    <row r="4254" spans="1:3" x14ac:dyDescent="0.25">
      <c r="A4254" s="2" t="str">
        <f ca="1">IFERROR(__xludf.DUMMYFUNCTION("""COMPUTED_VALUE"""),"duko")</f>
        <v>duko</v>
      </c>
      <c r="B4254" s="2" t="str">
        <f ca="1">IFERROR(__xludf.DUMMYFUNCTION("""COMPUTED_VALUE"""),"duko")</f>
        <v>duko</v>
      </c>
      <c r="C4254" s="2" t="str">
        <f ca="1">IFERROR(__xludf.DUMMYFUNCTION("""COMPUTED_VALUE"""),"DUKO")</f>
        <v>DUKO</v>
      </c>
    </row>
    <row r="4255" spans="1:3" x14ac:dyDescent="0.25">
      <c r="A4255" s="2" t="str">
        <f ca="1">IFERROR(__xludf.DUMMYFUNCTION("""COMPUTED_VALUE"""),"duk-on-sol")</f>
        <v>duk-on-sol</v>
      </c>
      <c r="B4255" s="2" t="str">
        <f ca="1">IFERROR(__xludf.DUMMYFUNCTION("""COMPUTED_VALUE"""),"duk")</f>
        <v>duk</v>
      </c>
      <c r="C4255" s="2" t="str">
        <f ca="1">IFERROR(__xludf.DUMMYFUNCTION("""COMPUTED_VALUE"""),"duk")</f>
        <v>duk</v>
      </c>
    </row>
    <row r="4256" spans="1:3" x14ac:dyDescent="0.25">
      <c r="A4256" s="2" t="str">
        <f ca="1">IFERROR(__xludf.DUMMYFUNCTION("""COMPUTED_VALUE"""),"dumbmoney")</f>
        <v>dumbmoney</v>
      </c>
      <c r="B4256" s="2" t="str">
        <f ca="1">IFERROR(__xludf.DUMMYFUNCTION("""COMPUTED_VALUE"""),"gme")</f>
        <v>gme</v>
      </c>
      <c r="C4256" s="2" t="str">
        <f ca="1">IFERROR(__xludf.DUMMYFUNCTION("""COMPUTED_VALUE"""),"DumbMoney")</f>
        <v>DumbMoney</v>
      </c>
    </row>
    <row r="4257" spans="1:3" x14ac:dyDescent="0.25">
      <c r="A4257" s="2" t="str">
        <f ca="1">IFERROR(__xludf.DUMMYFUNCTION("""COMPUTED_VALUE"""),"dumbmoney-2")</f>
        <v>dumbmoney-2</v>
      </c>
      <c r="B4257" s="2" t="str">
        <f ca="1">IFERROR(__xludf.DUMMYFUNCTION("""COMPUTED_VALUE"""),"gme")</f>
        <v>gme</v>
      </c>
      <c r="C4257" s="2" t="str">
        <f ca="1">IFERROR(__xludf.DUMMYFUNCTION("""COMPUTED_VALUE"""),"DumbMoney")</f>
        <v>DumbMoney</v>
      </c>
    </row>
    <row r="4258" spans="1:3" x14ac:dyDescent="0.25">
      <c r="A4258" s="2" t="str">
        <f ca="1">IFERROR(__xludf.DUMMYFUNCTION("""COMPUTED_VALUE"""),"dummy")</f>
        <v>dummy</v>
      </c>
      <c r="B4258" s="2" t="str">
        <f ca="1">IFERROR(__xludf.DUMMYFUNCTION("""COMPUTED_VALUE"""),"dummy")</f>
        <v>dummy</v>
      </c>
      <c r="C4258" s="2" t="str">
        <f ca="1">IFERROR(__xludf.DUMMYFUNCTION("""COMPUTED_VALUE"""),"DUMMY")</f>
        <v>DUMMY</v>
      </c>
    </row>
    <row r="4259" spans="1:3" x14ac:dyDescent="0.25">
      <c r="A4259" s="2" t="str">
        <f ca="1">IFERROR(__xludf.DUMMYFUNCTION("""COMPUTED_VALUE"""),"dump-trade")</f>
        <v>dump-trade</v>
      </c>
      <c r="B4259" s="2" t="str">
        <f ca="1">IFERROR(__xludf.DUMMYFUNCTION("""COMPUTED_VALUE"""),"dump")</f>
        <v>dump</v>
      </c>
      <c r="C4259" s="2" t="str">
        <f ca="1">IFERROR(__xludf.DUMMYFUNCTION("""COMPUTED_VALUE"""),"dump.trade")</f>
        <v>dump.trade</v>
      </c>
    </row>
    <row r="4260" spans="1:3" x14ac:dyDescent="0.25">
      <c r="A4260" s="2" t="str">
        <f ca="1">IFERROR(__xludf.DUMMYFUNCTION("""COMPUTED_VALUE"""),"dune404")</f>
        <v>dune404</v>
      </c>
      <c r="B4260" s="2" t="str">
        <f ca="1">IFERROR(__xludf.DUMMYFUNCTION("""COMPUTED_VALUE"""),"dune")</f>
        <v>dune</v>
      </c>
      <c r="C4260" s="2" t="str">
        <f ca="1">IFERROR(__xludf.DUMMYFUNCTION("""COMPUTED_VALUE"""),"DUNE404")</f>
        <v>DUNE404</v>
      </c>
    </row>
    <row r="4261" spans="1:3" x14ac:dyDescent="0.25">
      <c r="A4261" s="2" t="str">
        <f ca="1">IFERROR(__xludf.DUMMYFUNCTION("""COMPUTED_VALUE"""),"dungeonswap")</f>
        <v>dungeonswap</v>
      </c>
      <c r="B4261" s="2" t="str">
        <f ca="1">IFERROR(__xludf.DUMMYFUNCTION("""COMPUTED_VALUE"""),"dnd")</f>
        <v>dnd</v>
      </c>
      <c r="C4261" s="2" t="str">
        <f ca="1">IFERROR(__xludf.DUMMYFUNCTION("""COMPUTED_VALUE"""),"DungeonSwap")</f>
        <v>DungeonSwap</v>
      </c>
    </row>
    <row r="4262" spans="1:3" x14ac:dyDescent="0.25">
      <c r="A4262" s="2" t="str">
        <f ca="1">IFERROR(__xludf.DUMMYFUNCTION("""COMPUTED_VALUE"""),"dungeon-token")</f>
        <v>dungeon-token</v>
      </c>
      <c r="B4262" s="2" t="str">
        <f ca="1">IFERROR(__xludf.DUMMYFUNCTION("""COMPUTED_VALUE"""),"grow")</f>
        <v>grow</v>
      </c>
      <c r="C4262" s="2" t="str">
        <f ca="1">IFERROR(__xludf.DUMMYFUNCTION("""COMPUTED_VALUE"""),"Triathon")</f>
        <v>Triathon</v>
      </c>
    </row>
    <row r="4263" spans="1:3" x14ac:dyDescent="0.25">
      <c r="A4263" s="2" t="str">
        <f ca="1">IFERROR(__xludf.DUMMYFUNCTION("""COMPUTED_VALUE"""),"dupebot")</f>
        <v>dupebot</v>
      </c>
      <c r="B4263" s="2" t="str">
        <f ca="1">IFERROR(__xludf.DUMMYFUNCTION("""COMPUTED_VALUE"""),"dupe")</f>
        <v>dupe</v>
      </c>
      <c r="C4263" s="2" t="str">
        <f ca="1">IFERROR(__xludf.DUMMYFUNCTION("""COMPUTED_VALUE"""),"DupeBot")</f>
        <v>DupeBot</v>
      </c>
    </row>
    <row r="4264" spans="1:3" x14ac:dyDescent="0.25">
      <c r="A4264" s="2" t="str">
        <f ca="1">IFERROR(__xludf.DUMMYFUNCTION("""COMPUTED_VALUE"""),"dupe-the-duck")</f>
        <v>dupe-the-duck</v>
      </c>
      <c r="B4264" s="2" t="str">
        <f ca="1">IFERROR(__xludf.DUMMYFUNCTION("""COMPUTED_VALUE"""),"dupe")</f>
        <v>dupe</v>
      </c>
      <c r="C4264" s="2" t="str">
        <f ca="1">IFERROR(__xludf.DUMMYFUNCTION("""COMPUTED_VALUE"""),"Dupe The Duck")</f>
        <v>Dupe The Duck</v>
      </c>
    </row>
    <row r="4265" spans="1:3" x14ac:dyDescent="0.25">
      <c r="A4265" s="2" t="str">
        <f ca="1">IFERROR(__xludf.DUMMYFUNCTION("""COMPUTED_VALUE"""),"du-rove-s-wall")</f>
        <v>du-rove-s-wall</v>
      </c>
      <c r="B4265" s="2" t="str">
        <f ca="1">IFERROR(__xludf.DUMMYFUNCTION("""COMPUTED_VALUE"""),"$wall")</f>
        <v>$wall</v>
      </c>
      <c r="C4265" s="2" t="str">
        <f ca="1">IFERROR(__xludf.DUMMYFUNCTION("""COMPUTED_VALUE"""),"Du Rove’s Wall")</f>
        <v>Du Rove’s Wall</v>
      </c>
    </row>
    <row r="4266" spans="1:3" x14ac:dyDescent="0.25">
      <c r="A4266" s="2" t="str">
        <f ca="1">IFERROR(__xludf.DUMMYFUNCTION("""COMPUTED_VALUE"""),"dusd")</f>
        <v>dusd</v>
      </c>
      <c r="B4266" s="2" t="str">
        <f ca="1">IFERROR(__xludf.DUMMYFUNCTION("""COMPUTED_VALUE"""),"dusd")</f>
        <v>dusd</v>
      </c>
      <c r="C4266" s="2" t="str">
        <f ca="1">IFERROR(__xludf.DUMMYFUNCTION("""COMPUTED_VALUE"""),"DUSD")</f>
        <v>DUSD</v>
      </c>
    </row>
    <row r="4267" spans="1:3" x14ac:dyDescent="0.25">
      <c r="A4267" s="2" t="str">
        <f ca="1">IFERROR(__xludf.DUMMYFUNCTION("""COMPUTED_VALUE"""),"dusk-network")</f>
        <v>dusk-network</v>
      </c>
      <c r="B4267" s="2" t="str">
        <f ca="1">IFERROR(__xludf.DUMMYFUNCTION("""COMPUTED_VALUE"""),"dusk")</f>
        <v>dusk</v>
      </c>
      <c r="C4267" s="2" t="str">
        <f ca="1">IFERROR(__xludf.DUMMYFUNCTION("""COMPUTED_VALUE"""),"Dusk")</f>
        <v>Dusk</v>
      </c>
    </row>
    <row r="4268" spans="1:3" x14ac:dyDescent="0.25">
      <c r="A4268" s="2" t="str">
        <f ca="1">IFERROR(__xludf.DUMMYFUNCTION("""COMPUTED_VALUE"""),"dust-city-nectar")</f>
        <v>dust-city-nectar</v>
      </c>
      <c r="B4268" s="2" t="str">
        <f ca="1">IFERROR(__xludf.DUMMYFUNCTION("""COMPUTED_VALUE"""),"nctr")</f>
        <v>nctr</v>
      </c>
      <c r="C4268" s="2" t="str">
        <f ca="1">IFERROR(__xludf.DUMMYFUNCTION("""COMPUTED_VALUE"""),"Nectar")</f>
        <v>Nectar</v>
      </c>
    </row>
    <row r="4269" spans="1:3" x14ac:dyDescent="0.25">
      <c r="A4269" s="2" t="str">
        <f ca="1">IFERROR(__xludf.DUMMYFUNCTION("""COMPUTED_VALUE"""),"dust-protocol")</f>
        <v>dust-protocol</v>
      </c>
      <c r="B4269" s="2" t="str">
        <f ca="1">IFERROR(__xludf.DUMMYFUNCTION("""COMPUTED_VALUE"""),"dust")</f>
        <v>dust</v>
      </c>
      <c r="C4269" s="2" t="str">
        <f ca="1">IFERROR(__xludf.DUMMYFUNCTION("""COMPUTED_VALUE"""),"Dust Protocol")</f>
        <v>Dust Protocol</v>
      </c>
    </row>
    <row r="4270" spans="1:3" x14ac:dyDescent="0.25">
      <c r="A4270" s="2" t="str">
        <f ca="1">IFERROR(__xludf.DUMMYFUNCTION("""COMPUTED_VALUE"""),"dvision-network")</f>
        <v>dvision-network</v>
      </c>
      <c r="B4270" s="2" t="str">
        <f ca="1">IFERROR(__xludf.DUMMYFUNCTION("""COMPUTED_VALUE"""),"dvi")</f>
        <v>dvi</v>
      </c>
      <c r="C4270" s="2" t="str">
        <f ca="1">IFERROR(__xludf.DUMMYFUNCTION("""COMPUTED_VALUE"""),"Dvision Network")</f>
        <v>Dvision Network</v>
      </c>
    </row>
    <row r="4271" spans="1:3" x14ac:dyDescent="0.25">
      <c r="A4271" s="2" t="str">
        <f ca="1">IFERROR(__xludf.DUMMYFUNCTION("""COMPUTED_VALUE"""),"dvpn-network")</f>
        <v>dvpn-network</v>
      </c>
      <c r="B4271" s="2" t="str">
        <f ca="1">IFERROR(__xludf.DUMMYFUNCTION("""COMPUTED_VALUE"""),"dvpn")</f>
        <v>dvpn</v>
      </c>
      <c r="C4271" s="2" t="str">
        <f ca="1">IFERROR(__xludf.DUMMYFUNCTION("""COMPUTED_VALUE"""),"DVPN Network")</f>
        <v>DVPN Network</v>
      </c>
    </row>
    <row r="4272" spans="1:3" x14ac:dyDescent="0.25">
      <c r="A4272" s="2" t="str">
        <f ca="1">IFERROR(__xludf.DUMMYFUNCTION("""COMPUTED_VALUE"""),"dwake-on-sol")</f>
        <v>dwake-on-sol</v>
      </c>
      <c r="B4272" s="2" t="str">
        <f ca="1">IFERROR(__xludf.DUMMYFUNCTION("""COMPUTED_VALUE"""),"dwake")</f>
        <v>dwake</v>
      </c>
      <c r="C4272" s="2" t="str">
        <f ca="1">IFERROR(__xludf.DUMMYFUNCTION("""COMPUTED_VALUE"""),"Dwake On Sol")</f>
        <v>Dwake On Sol</v>
      </c>
    </row>
    <row r="4273" spans="1:3" x14ac:dyDescent="0.25">
      <c r="A4273" s="2" t="str">
        <f ca="1">IFERROR(__xludf.DUMMYFUNCTION("""COMPUTED_VALUE"""),"dwog-the-dog")</f>
        <v>dwog-the-dog</v>
      </c>
      <c r="B4273" s="2" t="str">
        <f ca="1">IFERROR(__xludf.DUMMYFUNCTION("""COMPUTED_VALUE"""),"dwog")</f>
        <v>dwog</v>
      </c>
      <c r="C4273" s="2" t="str">
        <f ca="1">IFERROR(__xludf.DUMMYFUNCTION("""COMPUTED_VALUE"""),"DWOG THE DOG")</f>
        <v>DWOG THE DOG</v>
      </c>
    </row>
    <row r="4274" spans="1:3" x14ac:dyDescent="0.25">
      <c r="A4274" s="2" t="str">
        <f ca="1">IFERROR(__xludf.DUMMYFUNCTION("""COMPUTED_VALUE"""),"dxchain")</f>
        <v>dxchain</v>
      </c>
      <c r="B4274" s="2" t="str">
        <f ca="1">IFERROR(__xludf.DUMMYFUNCTION("""COMPUTED_VALUE"""),"dx")</f>
        <v>dx</v>
      </c>
      <c r="C4274" s="2" t="str">
        <f ca="1">IFERROR(__xludf.DUMMYFUNCTION("""COMPUTED_VALUE"""),"DxChain")</f>
        <v>DxChain</v>
      </c>
    </row>
    <row r="4275" spans="1:3" x14ac:dyDescent="0.25">
      <c r="A4275" s="2" t="str">
        <f ca="1">IFERROR(__xludf.DUMMYFUNCTION("""COMPUTED_VALUE"""),"dxdao")</f>
        <v>dxdao</v>
      </c>
      <c r="B4275" s="2" t="str">
        <f ca="1">IFERROR(__xludf.DUMMYFUNCTION("""COMPUTED_VALUE"""),"dxd")</f>
        <v>dxd</v>
      </c>
      <c r="C4275" s="2" t="str">
        <f ca="1">IFERROR(__xludf.DUMMYFUNCTION("""COMPUTED_VALUE"""),"DXdao")</f>
        <v>DXdao</v>
      </c>
    </row>
    <row r="4276" spans="1:3" x14ac:dyDescent="0.25">
      <c r="A4276" s="2" t="str">
        <f ca="1">IFERROR(__xludf.DUMMYFUNCTION("""COMPUTED_VALUE"""),"dyad")</f>
        <v>dyad</v>
      </c>
      <c r="B4276" s="2" t="str">
        <f ca="1">IFERROR(__xludf.DUMMYFUNCTION("""COMPUTED_VALUE"""),"dyad")</f>
        <v>dyad</v>
      </c>
      <c r="C4276" s="2" t="str">
        <f ca="1">IFERROR(__xludf.DUMMYFUNCTION("""COMPUTED_VALUE"""),"Dyad")</f>
        <v>Dyad</v>
      </c>
    </row>
    <row r="4277" spans="1:3" x14ac:dyDescent="0.25">
      <c r="A4277" s="2" t="str">
        <f ca="1">IFERROR(__xludf.DUMMYFUNCTION("""COMPUTED_VALUE"""),"dydx")</f>
        <v>dydx</v>
      </c>
      <c r="B4277" s="2" t="str">
        <f ca="1">IFERROR(__xludf.DUMMYFUNCTION("""COMPUTED_VALUE"""),"ethdydx")</f>
        <v>ethdydx</v>
      </c>
      <c r="C4277" s="2" t="str">
        <f ca="1">IFERROR(__xludf.DUMMYFUNCTION("""COMPUTED_VALUE"""),"dYdX")</f>
        <v>dYdX</v>
      </c>
    </row>
    <row r="4278" spans="1:3" x14ac:dyDescent="0.25">
      <c r="A4278" s="2" t="str">
        <f ca="1">IFERROR(__xludf.DUMMYFUNCTION("""COMPUTED_VALUE"""),"dydx-chain")</f>
        <v>dydx-chain</v>
      </c>
      <c r="B4278" s="2" t="str">
        <f ca="1">IFERROR(__xludf.DUMMYFUNCTION("""COMPUTED_VALUE"""),"dydx")</f>
        <v>dydx</v>
      </c>
      <c r="C4278" s="2" t="str">
        <f ca="1">IFERROR(__xludf.DUMMYFUNCTION("""COMPUTED_VALUE"""),"dYdX")</f>
        <v>dYdX</v>
      </c>
    </row>
    <row r="4279" spans="1:3" x14ac:dyDescent="0.25">
      <c r="A4279" s="2" t="str">
        <f ca="1">IFERROR(__xludf.DUMMYFUNCTION("""COMPUTED_VALUE"""),"dydx-wethdydx")</f>
        <v>dydx-wethdydx</v>
      </c>
      <c r="B4279" s="2" t="str">
        <f ca="1">IFERROR(__xludf.DUMMYFUNCTION("""COMPUTED_VALUE"""),"wethdydx")</f>
        <v>wethdydx</v>
      </c>
      <c r="C4279" s="2" t="str">
        <f ca="1">IFERROR(__xludf.DUMMYFUNCTION("""COMPUTED_VALUE"""),"dYdX")</f>
        <v>dYdX</v>
      </c>
    </row>
    <row r="4280" spans="1:3" x14ac:dyDescent="0.25">
      <c r="A4280" s="2" t="str">
        <f ca="1">IFERROR(__xludf.DUMMYFUNCTION("""COMPUTED_VALUE"""),"dydx-wormhole")</f>
        <v>dydx-wormhole</v>
      </c>
      <c r="B4280" s="2" t="str">
        <f ca="1">IFERROR(__xludf.DUMMYFUNCTION("""COMPUTED_VALUE"""),"dydx")</f>
        <v>dydx</v>
      </c>
      <c r="C4280" s="2" t="str">
        <f ca="1">IFERROR(__xludf.DUMMYFUNCTION("""COMPUTED_VALUE"""),"dYdX (Wormhole)")</f>
        <v>dYdX (Wormhole)</v>
      </c>
    </row>
    <row r="4281" spans="1:3" x14ac:dyDescent="0.25">
      <c r="A4281" s="2" t="str">
        <f ca="1">IFERROR(__xludf.DUMMYFUNCTION("""COMPUTED_VALUE"""),"dyl")</f>
        <v>dyl</v>
      </c>
      <c r="B4281" s="2" t="str">
        <f ca="1">IFERROR(__xludf.DUMMYFUNCTION("""COMPUTED_VALUE"""),"dyl")</f>
        <v>dyl</v>
      </c>
      <c r="C4281" s="2" t="str">
        <f ca="1">IFERROR(__xludf.DUMMYFUNCTION("""COMPUTED_VALUE"""),"Dyl")</f>
        <v>Dyl</v>
      </c>
    </row>
    <row r="4282" spans="1:3" x14ac:dyDescent="0.25">
      <c r="A4282" s="2" t="str">
        <f ca="1">IFERROR(__xludf.DUMMYFUNCTION("""COMPUTED_VALUE"""),"dymension")</f>
        <v>dymension</v>
      </c>
      <c r="B4282" s="2" t="str">
        <f ca="1">IFERROR(__xludf.DUMMYFUNCTION("""COMPUTED_VALUE"""),"dym")</f>
        <v>dym</v>
      </c>
      <c r="C4282" s="2" t="str">
        <f ca="1">IFERROR(__xludf.DUMMYFUNCTION("""COMPUTED_VALUE"""),"Dymension")</f>
        <v>Dymension</v>
      </c>
    </row>
    <row r="4283" spans="1:3" x14ac:dyDescent="0.25">
      <c r="A4283" s="2" t="str">
        <f ca="1">IFERROR(__xludf.DUMMYFUNCTION("""COMPUTED_VALUE"""),"dymmax")</f>
        <v>dymmax</v>
      </c>
      <c r="B4283" s="2" t="str">
        <f ca="1">IFERROR(__xludf.DUMMYFUNCTION("""COMPUTED_VALUE"""),"dmx")</f>
        <v>dmx</v>
      </c>
      <c r="C4283" s="2" t="str">
        <f ca="1">IFERROR(__xludf.DUMMYFUNCTION("""COMPUTED_VALUE"""),"Dymmax")</f>
        <v>Dymmax</v>
      </c>
    </row>
    <row r="4284" spans="1:3" x14ac:dyDescent="0.25">
      <c r="A4284" s="2" t="str">
        <f ca="1">IFERROR(__xludf.DUMMYFUNCTION("""COMPUTED_VALUE"""),"dynachain")</f>
        <v>dynachain</v>
      </c>
      <c r="B4284" s="2" t="str">
        <f ca="1">IFERROR(__xludf.DUMMYFUNCTION("""COMPUTED_VALUE"""),"dyna")</f>
        <v>dyna</v>
      </c>
      <c r="C4284" s="2" t="str">
        <f ca="1">IFERROR(__xludf.DUMMYFUNCTION("""COMPUTED_VALUE"""),"Dynachain")</f>
        <v>Dynachain</v>
      </c>
    </row>
    <row r="4285" spans="1:3" x14ac:dyDescent="0.25">
      <c r="A4285" s="2" t="str">
        <f ca="1">IFERROR(__xludf.DUMMYFUNCTION("""COMPUTED_VALUE"""),"dynamic-crypto-index")</f>
        <v>dynamic-crypto-index</v>
      </c>
      <c r="B4285" s="2" t="str">
        <f ca="1">IFERROR(__xludf.DUMMYFUNCTION("""COMPUTED_VALUE"""),"dci")</f>
        <v>dci</v>
      </c>
      <c r="C4285" s="2" t="str">
        <f ca="1">IFERROR(__xludf.DUMMYFUNCTION("""COMPUTED_VALUE"""),"Dynamic Crypto Index")</f>
        <v>Dynamic Crypto Index</v>
      </c>
    </row>
    <row r="4286" spans="1:3" x14ac:dyDescent="0.25">
      <c r="A4286" s="2" t="str">
        <f ca="1">IFERROR(__xludf.DUMMYFUNCTION("""COMPUTED_VALUE"""),"dynamite-token")</f>
        <v>dynamite-token</v>
      </c>
      <c r="B4286" s="2" t="str">
        <f ca="1">IFERROR(__xludf.DUMMYFUNCTION("""COMPUTED_VALUE"""),"dynmt")</f>
        <v>dynmt</v>
      </c>
      <c r="C4286" s="2" t="str">
        <f ca="1">IFERROR(__xludf.DUMMYFUNCTION("""COMPUTED_VALUE"""),"Dynamite")</f>
        <v>Dynamite</v>
      </c>
    </row>
    <row r="4287" spans="1:3" x14ac:dyDescent="0.25">
      <c r="A4287" s="2" t="str">
        <f ca="1">IFERROR(__xludf.DUMMYFUNCTION("""COMPUTED_VALUE"""),"dynamix")</f>
        <v>dynamix</v>
      </c>
      <c r="B4287" s="2" t="str">
        <f ca="1">IFERROR(__xludf.DUMMYFUNCTION("""COMPUTED_VALUE"""),"dyna")</f>
        <v>dyna</v>
      </c>
      <c r="C4287" s="2" t="str">
        <f ca="1">IFERROR(__xludf.DUMMYFUNCTION("""COMPUTED_VALUE"""),"Dynamix")</f>
        <v>Dynamix</v>
      </c>
    </row>
    <row r="4288" spans="1:3" x14ac:dyDescent="0.25">
      <c r="A4288" s="2" t="str">
        <f ca="1">IFERROR(__xludf.DUMMYFUNCTION("""COMPUTED_VALUE"""),"dynasty-coin")</f>
        <v>dynasty-coin</v>
      </c>
      <c r="B4288" s="2" t="str">
        <f ca="1">IFERROR(__xludf.DUMMYFUNCTION("""COMPUTED_VALUE"""),"dny")</f>
        <v>dny</v>
      </c>
      <c r="C4288" s="2" t="str">
        <f ca="1">IFERROR(__xludf.DUMMYFUNCTION("""COMPUTED_VALUE"""),"Dynasty Coin")</f>
        <v>Dynasty Coin</v>
      </c>
    </row>
    <row r="4289" spans="1:3" x14ac:dyDescent="0.25">
      <c r="A4289" s="2" t="str">
        <f ca="1">IFERROR(__xludf.DUMMYFUNCTION("""COMPUTED_VALUE"""),"dynex")</f>
        <v>dynex</v>
      </c>
      <c r="B4289" s="2" t="str">
        <f ca="1">IFERROR(__xludf.DUMMYFUNCTION("""COMPUTED_VALUE"""),"dnx")</f>
        <v>dnx</v>
      </c>
      <c r="C4289" s="2" t="str">
        <f ca="1">IFERROR(__xludf.DUMMYFUNCTION("""COMPUTED_VALUE"""),"Dynex")</f>
        <v>Dynex</v>
      </c>
    </row>
    <row r="4290" spans="1:3" x14ac:dyDescent="0.25">
      <c r="A4290" s="2" t="str">
        <f ca="1">IFERROR(__xludf.DUMMYFUNCTION("""COMPUTED_VALUE"""),"dyor")</f>
        <v>dyor</v>
      </c>
      <c r="B4290" s="2" t="str">
        <f ca="1">IFERROR(__xludf.DUMMYFUNCTION("""COMPUTED_VALUE"""),"dyor")</f>
        <v>dyor</v>
      </c>
      <c r="C4290" s="2" t="str">
        <f ca="1">IFERROR(__xludf.DUMMYFUNCTION("""COMPUTED_VALUE"""),"DYOR")</f>
        <v>DYOR</v>
      </c>
    </row>
    <row r="4291" spans="1:3" x14ac:dyDescent="0.25">
      <c r="A4291" s="2" t="str">
        <f ca="1">IFERROR(__xludf.DUMMYFUNCTION("""COMPUTED_VALUE"""),"dyor-token-2")</f>
        <v>dyor-token-2</v>
      </c>
      <c r="B4291" s="2" t="str">
        <f ca="1">IFERROR(__xludf.DUMMYFUNCTION("""COMPUTED_VALUE"""),"dyor")</f>
        <v>dyor</v>
      </c>
      <c r="C4291" s="2" t="str">
        <f ca="1">IFERROR(__xludf.DUMMYFUNCTION("""COMPUTED_VALUE"""),"DYOR")</f>
        <v>DYOR</v>
      </c>
    </row>
    <row r="4292" spans="1:3" x14ac:dyDescent="0.25">
      <c r="A4292" s="2" t="str">
        <f ca="1">IFERROR(__xludf.DUMMYFUNCTION("""COMPUTED_VALUE"""),"dypius")</f>
        <v>dypius</v>
      </c>
      <c r="B4292" s="2" t="str">
        <f ca="1">IFERROR(__xludf.DUMMYFUNCTION("""COMPUTED_VALUE"""),"dyp")</f>
        <v>dyp</v>
      </c>
      <c r="C4292" s="2" t="str">
        <f ca="1">IFERROR(__xludf.DUMMYFUNCTION("""COMPUTED_VALUE"""),"Dypius")</f>
        <v>Dypius</v>
      </c>
    </row>
    <row r="4293" spans="1:3" x14ac:dyDescent="0.25">
      <c r="A4293" s="2" t="str">
        <f ca="1">IFERROR(__xludf.DUMMYFUNCTION("""COMPUTED_VALUE"""),"dystopia")</f>
        <v>dystopia</v>
      </c>
      <c r="B4293" s="2" t="str">
        <f ca="1">IFERROR(__xludf.DUMMYFUNCTION("""COMPUTED_VALUE"""),"dyst")</f>
        <v>dyst</v>
      </c>
      <c r="C4293" s="2" t="str">
        <f ca="1">IFERROR(__xludf.DUMMYFUNCTION("""COMPUTED_VALUE"""),"Dystopia")</f>
        <v>Dystopia</v>
      </c>
    </row>
    <row r="4294" spans="1:3" x14ac:dyDescent="0.25">
      <c r="A4294" s="2" t="str">
        <f ca="1">IFERROR(__xludf.DUMMYFUNCTION("""COMPUTED_VALUE"""),"dystoworld-ai")</f>
        <v>dystoworld-ai</v>
      </c>
      <c r="B4294" s="2" t="str">
        <f ca="1">IFERROR(__xludf.DUMMYFUNCTION("""COMPUTED_VALUE"""),"dysto")</f>
        <v>dysto</v>
      </c>
      <c r="C4294" s="2" t="str">
        <f ca="1">IFERROR(__xludf.DUMMYFUNCTION("""COMPUTED_VALUE"""),"DystoWorld AI")</f>
        <v>DystoWorld AI</v>
      </c>
    </row>
    <row r="4295" spans="1:3" x14ac:dyDescent="0.25">
      <c r="A4295" s="2" t="str">
        <f ca="1">IFERROR(__xludf.DUMMYFUNCTION("""COMPUTED_VALUE"""),"dyzilla")</f>
        <v>dyzilla</v>
      </c>
      <c r="B4295" s="2" t="str">
        <f ca="1">IFERROR(__xludf.DUMMYFUNCTION("""COMPUTED_VALUE"""),"dyzilla")</f>
        <v>dyzilla</v>
      </c>
      <c r="C4295" s="2" t="str">
        <f ca="1">IFERROR(__xludf.DUMMYFUNCTION("""COMPUTED_VALUE"""),"DYZilla")</f>
        <v>DYZilla</v>
      </c>
    </row>
    <row r="4296" spans="1:3" x14ac:dyDescent="0.25">
      <c r="A4296" s="2" t="str">
        <f ca="1">IFERROR(__xludf.DUMMYFUNCTION("""COMPUTED_VALUE"""),"eagle-ai")</f>
        <v>eagle-ai</v>
      </c>
      <c r="B4296" s="2" t="str">
        <f ca="1">IFERROR(__xludf.DUMMYFUNCTION("""COMPUTED_VALUE"""),"eai")</f>
        <v>eai</v>
      </c>
      <c r="C4296" s="2" t="str">
        <f ca="1">IFERROR(__xludf.DUMMYFUNCTION("""COMPUTED_VALUE"""),"Eagle AI")</f>
        <v>Eagle AI</v>
      </c>
    </row>
    <row r="4297" spans="1:3" x14ac:dyDescent="0.25">
      <c r="A4297" s="2" t="str">
        <f ca="1">IFERROR(__xludf.DUMMYFUNCTION("""COMPUTED_VALUE"""),"eagle-of-truth")</f>
        <v>eagle-of-truth</v>
      </c>
      <c r="B4297" s="2" t="str">
        <f ca="1">IFERROR(__xludf.DUMMYFUNCTION("""COMPUTED_VALUE"""),"egl")</f>
        <v>egl</v>
      </c>
      <c r="C4297" s="2" t="str">
        <f ca="1">IFERROR(__xludf.DUMMYFUNCTION("""COMPUTED_VALUE"""),"Eagle of Truth")</f>
        <v>Eagle of Truth</v>
      </c>
    </row>
    <row r="4298" spans="1:3" x14ac:dyDescent="0.25">
      <c r="A4298" s="2" t="str">
        <f ca="1">IFERROR(__xludf.DUMMYFUNCTION("""COMPUTED_VALUE"""),"early")</f>
        <v>early</v>
      </c>
      <c r="B4298" s="2" t="str">
        <f ca="1">IFERROR(__xludf.DUMMYFUNCTION("""COMPUTED_VALUE"""),"early")</f>
        <v>early</v>
      </c>
      <c r="C4298" s="2" t="str">
        <f ca="1">IFERROR(__xludf.DUMMYFUNCTION("""COMPUTED_VALUE"""),"EarlyFans")</f>
        <v>EarlyFans</v>
      </c>
    </row>
    <row r="4299" spans="1:3" x14ac:dyDescent="0.25">
      <c r="A4299" s="2" t="str">
        <f ca="1">IFERROR(__xludf.DUMMYFUNCTION("""COMPUTED_VALUE"""),"early-radix")</f>
        <v>early-radix</v>
      </c>
      <c r="B4299" s="2" t="str">
        <f ca="1">IFERROR(__xludf.DUMMYFUNCTION("""COMPUTED_VALUE"""),"early")</f>
        <v>early</v>
      </c>
      <c r="C4299" s="2" t="str">
        <f ca="1">IFERROR(__xludf.DUMMYFUNCTION("""COMPUTED_VALUE"""),"EARLY Radix")</f>
        <v>EARLY Radix</v>
      </c>
    </row>
    <row r="4300" spans="1:3" x14ac:dyDescent="0.25">
      <c r="A4300" s="2" t="str">
        <f ca="1">IFERROR(__xludf.DUMMYFUNCTION("""COMPUTED_VALUE"""),"early-risers")</f>
        <v>early-risers</v>
      </c>
      <c r="B4300" s="2" t="str">
        <f ca="1">IFERROR(__xludf.DUMMYFUNCTION("""COMPUTED_VALUE"""),"early")</f>
        <v>early</v>
      </c>
      <c r="C4300" s="2" t="str">
        <f ca="1">IFERROR(__xludf.DUMMYFUNCTION("""COMPUTED_VALUE"""),"Early Risers")</f>
        <v>Early Risers</v>
      </c>
    </row>
    <row r="4301" spans="1:3" x14ac:dyDescent="0.25">
      <c r="A4301" s="2" t="str">
        <f ca="1">IFERROR(__xludf.DUMMYFUNCTION("""COMPUTED_VALUE"""),"earnbet")</f>
        <v>earnbet</v>
      </c>
      <c r="B4301" s="2" t="str">
        <f ca="1">IFERROR(__xludf.DUMMYFUNCTION("""COMPUTED_VALUE"""),"ebet")</f>
        <v>ebet</v>
      </c>
      <c r="C4301" s="2" t="str">
        <f ca="1">IFERROR(__xludf.DUMMYFUNCTION("""COMPUTED_VALUE"""),"EarnBet")</f>
        <v>EarnBet</v>
      </c>
    </row>
    <row r="4302" spans="1:3" x14ac:dyDescent="0.25">
      <c r="A4302" s="2" t="str">
        <f ca="1">IFERROR(__xludf.DUMMYFUNCTION("""COMPUTED_VALUE"""),"earn-network-2")</f>
        <v>earn-network-2</v>
      </c>
      <c r="B4302" s="2" t="str">
        <f ca="1">IFERROR(__xludf.DUMMYFUNCTION("""COMPUTED_VALUE"""),"earn")</f>
        <v>earn</v>
      </c>
      <c r="C4302" s="2" t="str">
        <f ca="1">IFERROR(__xludf.DUMMYFUNCTION("""COMPUTED_VALUE"""),"Earn Network")</f>
        <v>Earn Network</v>
      </c>
    </row>
    <row r="4303" spans="1:3" x14ac:dyDescent="0.25">
      <c r="A4303" s="2" t="str">
        <f ca="1">IFERROR(__xludf.DUMMYFUNCTION("""COMPUTED_VALUE"""),"earntv")</f>
        <v>earntv</v>
      </c>
      <c r="B4303" s="2" t="str">
        <f ca="1">IFERROR(__xludf.DUMMYFUNCTION("""COMPUTED_VALUE"""),"etv")</f>
        <v>etv</v>
      </c>
      <c r="C4303" s="2" t="str">
        <f ca="1">IFERROR(__xludf.DUMMYFUNCTION("""COMPUTED_VALUE"""),"EarnTV")</f>
        <v>EarnTV</v>
      </c>
    </row>
    <row r="4304" spans="1:3" x14ac:dyDescent="0.25">
      <c r="A4304" s="2" t="str">
        <f ca="1">IFERROR(__xludf.DUMMYFUNCTION("""COMPUTED_VALUE"""),"earth-2-essence")</f>
        <v>earth-2-essence</v>
      </c>
      <c r="B4304" s="2" t="str">
        <f ca="1">IFERROR(__xludf.DUMMYFUNCTION("""COMPUTED_VALUE"""),"ess")</f>
        <v>ess</v>
      </c>
      <c r="C4304" s="2" t="str">
        <f ca="1">IFERROR(__xludf.DUMMYFUNCTION("""COMPUTED_VALUE"""),"Earth 2 Essence")</f>
        <v>Earth 2 Essence</v>
      </c>
    </row>
    <row r="4305" spans="1:3" x14ac:dyDescent="0.25">
      <c r="A4305" s="2" t="str">
        <f ca="1">IFERROR(__xludf.DUMMYFUNCTION("""COMPUTED_VALUE"""),"earthbyt")</f>
        <v>earthbyt</v>
      </c>
      <c r="B4305" s="2" t="str">
        <f ca="1">IFERROR(__xludf.DUMMYFUNCTION("""COMPUTED_VALUE"""),"ebyt")</f>
        <v>ebyt</v>
      </c>
      <c r="C4305" s="2" t="str">
        <f ca="1">IFERROR(__xludf.DUMMYFUNCTION("""COMPUTED_VALUE"""),"EarthByt")</f>
        <v>EarthByt</v>
      </c>
    </row>
    <row r="4306" spans="1:3" x14ac:dyDescent="0.25">
      <c r="A4306" s="2" t="str">
        <f ca="1">IFERROR(__xludf.DUMMYFUNCTION("""COMPUTED_VALUE"""),"earthfund")</f>
        <v>earthfund</v>
      </c>
      <c r="B4306" s="2" t="str">
        <f ca="1">IFERROR(__xludf.DUMMYFUNCTION("""COMPUTED_VALUE"""),"1earth")</f>
        <v>1earth</v>
      </c>
      <c r="C4306" s="2" t="str">
        <f ca="1">IFERROR(__xludf.DUMMYFUNCTION("""COMPUTED_VALUE"""),"EarthFund")</f>
        <v>EarthFund</v>
      </c>
    </row>
    <row r="4307" spans="1:3" x14ac:dyDescent="0.25">
      <c r="A4307" s="2" t="str">
        <f ca="1">IFERROR(__xludf.DUMMYFUNCTION("""COMPUTED_VALUE"""),"earthmeta")</f>
        <v>earthmeta</v>
      </c>
      <c r="B4307" s="2" t="str">
        <f ca="1">IFERROR(__xludf.DUMMYFUNCTION("""COMPUTED_VALUE"""),"emt")</f>
        <v>emt</v>
      </c>
      <c r="C4307" s="2" t="str">
        <f ca="1">IFERROR(__xludf.DUMMYFUNCTION("""COMPUTED_VALUE"""),"EarthMeta")</f>
        <v>EarthMeta</v>
      </c>
    </row>
    <row r="4308" spans="1:3" x14ac:dyDescent="0.25">
      <c r="A4308" s="2" t="str">
        <f ca="1">IFERROR(__xludf.DUMMYFUNCTION("""COMPUTED_VALUE"""),"easyfi")</f>
        <v>easyfi</v>
      </c>
      <c r="B4308" s="2" t="str">
        <f ca="1">IFERROR(__xludf.DUMMYFUNCTION("""COMPUTED_VALUE"""),"ez")</f>
        <v>ez</v>
      </c>
      <c r="C4308" s="2" t="str">
        <f ca="1">IFERROR(__xludf.DUMMYFUNCTION("""COMPUTED_VALUE"""),"EasyFi V2")</f>
        <v>EasyFi V2</v>
      </c>
    </row>
    <row r="4309" spans="1:3" x14ac:dyDescent="0.25">
      <c r="A4309" s="2" t="str">
        <f ca="1">IFERROR(__xludf.DUMMYFUNCTION("""COMPUTED_VALUE"""),"easy-swap-bot")</f>
        <v>easy-swap-bot</v>
      </c>
      <c r="B4309" s="2" t="str">
        <f ca="1">IFERROR(__xludf.DUMMYFUNCTION("""COMPUTED_VALUE"""),"ezswap")</f>
        <v>ezswap</v>
      </c>
      <c r="C4309" s="2" t="str">
        <f ca="1">IFERROR(__xludf.DUMMYFUNCTION("""COMPUTED_VALUE"""),"Easy Swap Bot")</f>
        <v>Easy Swap Bot</v>
      </c>
    </row>
    <row r="4310" spans="1:3" x14ac:dyDescent="0.25">
      <c r="A4310" s="2" t="str">
        <f ca="1">IFERROR(__xludf.DUMMYFUNCTION("""COMPUTED_VALUE"""),"eaveai")</f>
        <v>eaveai</v>
      </c>
      <c r="B4310" s="2" t="str">
        <f ca="1">IFERROR(__xludf.DUMMYFUNCTION("""COMPUTED_VALUE"""),"eave")</f>
        <v>eave</v>
      </c>
      <c r="C4310" s="2" t="str">
        <f ca="1">IFERROR(__xludf.DUMMYFUNCTION("""COMPUTED_VALUE"""),"EaveAI")</f>
        <v>EaveAI</v>
      </c>
    </row>
    <row r="4311" spans="1:3" x14ac:dyDescent="0.25">
      <c r="A4311" s="2" t="str">
        <f ca="1">IFERROR(__xludf.DUMMYFUNCTION("""COMPUTED_VALUE"""),"eazyswap-token")</f>
        <v>eazyswap-token</v>
      </c>
      <c r="B4311" s="2" t="str">
        <f ca="1">IFERROR(__xludf.DUMMYFUNCTION("""COMPUTED_VALUE"""),"eazy")</f>
        <v>eazy</v>
      </c>
      <c r="C4311" s="2" t="str">
        <f ca="1">IFERROR(__xludf.DUMMYFUNCTION("""COMPUTED_VALUE"""),"EazySwap Token")</f>
        <v>EazySwap Token</v>
      </c>
    </row>
    <row r="4312" spans="1:3" x14ac:dyDescent="0.25">
      <c r="A4312" s="2" t="str">
        <f ca="1">IFERROR(__xludf.DUMMYFUNCTION("""COMPUTED_VALUE"""),"ebabil-io")</f>
        <v>ebabil-io</v>
      </c>
      <c r="B4312" s="2" t="str">
        <f ca="1">IFERROR(__xludf.DUMMYFUNCTION("""COMPUTED_VALUE"""),"ebabil")</f>
        <v>ebabil</v>
      </c>
      <c r="C4312" s="2" t="str">
        <f ca="1">IFERROR(__xludf.DUMMYFUNCTION("""COMPUTED_VALUE"""),"Ebabil IO")</f>
        <v>Ebabil IO</v>
      </c>
    </row>
    <row r="4313" spans="1:3" x14ac:dyDescent="0.25">
      <c r="A4313" s="2" t="str">
        <f ca="1">IFERROR(__xludf.DUMMYFUNCTION("""COMPUTED_VALUE"""),"ebisusbay-fortune")</f>
        <v>ebisusbay-fortune</v>
      </c>
      <c r="B4313" s="2" t="str">
        <f ca="1">IFERROR(__xludf.DUMMYFUNCTION("""COMPUTED_VALUE"""),"frtn")</f>
        <v>frtn</v>
      </c>
      <c r="C4313" s="2" t="str">
        <f ca="1">IFERROR(__xludf.DUMMYFUNCTION("""COMPUTED_VALUE"""),"Fortune Token")</f>
        <v>Fortune Token</v>
      </c>
    </row>
    <row r="4314" spans="1:3" x14ac:dyDescent="0.25">
      <c r="A4314" s="2" t="str">
        <f ca="1">IFERROR(__xludf.DUMMYFUNCTION("""COMPUTED_VALUE"""),"ebit-2")</f>
        <v>ebit-2</v>
      </c>
      <c r="B4314" s="2" t="str">
        <f ca="1">IFERROR(__xludf.DUMMYFUNCTION("""COMPUTED_VALUE"""),"ebit")</f>
        <v>ebit</v>
      </c>
      <c r="C4314" s="2" t="str">
        <f ca="1">IFERROR(__xludf.DUMMYFUNCTION("""COMPUTED_VALUE"""),"eBit")</f>
        <v>eBit</v>
      </c>
    </row>
    <row r="4315" spans="1:3" x14ac:dyDescent="0.25">
      <c r="A4315" s="2" t="str">
        <f ca="1">IFERROR(__xludf.DUMMYFUNCTION("""COMPUTED_VALUE"""),"eblockstock")</f>
        <v>eblockstock</v>
      </c>
      <c r="B4315" s="2" t="str">
        <f ca="1">IFERROR(__xludf.DUMMYFUNCTION("""COMPUTED_VALUE"""),"ebso")</f>
        <v>ebso</v>
      </c>
      <c r="C4315" s="2" t="str">
        <f ca="1">IFERROR(__xludf.DUMMYFUNCTION("""COMPUTED_VALUE"""),"eBlockStock")</f>
        <v>eBlockStock</v>
      </c>
    </row>
    <row r="4316" spans="1:3" x14ac:dyDescent="0.25">
      <c r="A4316" s="2" t="str">
        <f ca="1">IFERROR(__xludf.DUMMYFUNCTION("""COMPUTED_VALUE"""),"ebox")</f>
        <v>ebox</v>
      </c>
      <c r="B4316" s="2" t="str">
        <f ca="1">IFERROR(__xludf.DUMMYFUNCTION("""COMPUTED_VALUE"""),"ebox")</f>
        <v>ebox</v>
      </c>
      <c r="C4316" s="2" t="str">
        <f ca="1">IFERROR(__xludf.DUMMYFUNCTION("""COMPUTED_VALUE"""),"Ebox")</f>
        <v>Ebox</v>
      </c>
    </row>
    <row r="4317" spans="1:3" x14ac:dyDescent="0.25">
      <c r="A4317" s="2" t="str">
        <f ca="1">IFERROR(__xludf.DUMMYFUNCTION("""COMPUTED_VALUE"""),"ebtc")</f>
        <v>ebtc</v>
      </c>
      <c r="B4317" s="2" t="str">
        <f ca="1">IFERROR(__xludf.DUMMYFUNCTION("""COMPUTED_VALUE"""),"ebtc")</f>
        <v>ebtc</v>
      </c>
      <c r="C4317" s="2" t="str">
        <f ca="1">IFERROR(__xludf.DUMMYFUNCTION("""COMPUTED_VALUE"""),"eBTC")</f>
        <v>eBTC</v>
      </c>
    </row>
    <row r="4318" spans="1:3" x14ac:dyDescent="0.25">
      <c r="A4318" s="2" t="str">
        <f ca="1">IFERROR(__xludf.DUMMYFUNCTION("""COMPUTED_VALUE"""),"ecash")</f>
        <v>ecash</v>
      </c>
      <c r="B4318" s="2" t="str">
        <f ca="1">IFERROR(__xludf.DUMMYFUNCTION("""COMPUTED_VALUE"""),"xec")</f>
        <v>xec</v>
      </c>
      <c r="C4318" s="2" t="str">
        <f ca="1">IFERROR(__xludf.DUMMYFUNCTION("""COMPUTED_VALUE"""),"eCash")</f>
        <v>eCash</v>
      </c>
    </row>
    <row r="4319" spans="1:3" x14ac:dyDescent="0.25">
      <c r="A4319" s="2" t="str">
        <f ca="1">IFERROR(__xludf.DUMMYFUNCTION("""COMPUTED_VALUE"""),"echain-network")</f>
        <v>echain-network</v>
      </c>
      <c r="B4319" s="2" t="str">
        <f ca="1">IFERROR(__xludf.DUMMYFUNCTION("""COMPUTED_VALUE"""),"ect")</f>
        <v>ect</v>
      </c>
      <c r="C4319" s="2" t="str">
        <f ca="1">IFERROR(__xludf.DUMMYFUNCTION("""COMPUTED_VALUE"""),"Echain Network")</f>
        <v>Echain Network</v>
      </c>
    </row>
    <row r="4320" spans="1:3" x14ac:dyDescent="0.25">
      <c r="A4320" s="2" t="str">
        <f ca="1">IFERROR(__xludf.DUMMYFUNCTION("""COMPUTED_VALUE"""),"echelon-prime")</f>
        <v>echelon-prime</v>
      </c>
      <c r="B4320" s="2" t="str">
        <f ca="1">IFERROR(__xludf.DUMMYFUNCTION("""COMPUTED_VALUE"""),"prime")</f>
        <v>prime</v>
      </c>
      <c r="C4320" s="2" t="str">
        <f ca="1">IFERROR(__xludf.DUMMYFUNCTION("""COMPUTED_VALUE"""),"Echelon Prime")</f>
        <v>Echelon Prime</v>
      </c>
    </row>
    <row r="4321" spans="1:3" x14ac:dyDescent="0.25">
      <c r="A4321" s="2" t="str">
        <f ca="1">IFERROR(__xludf.DUMMYFUNCTION("""COMPUTED_VALUE"""),"echo-bot")</f>
        <v>echo-bot</v>
      </c>
      <c r="B4321" s="2" t="str">
        <f ca="1">IFERROR(__xludf.DUMMYFUNCTION("""COMPUTED_VALUE"""),"echo")</f>
        <v>echo</v>
      </c>
      <c r="C4321" s="2" t="str">
        <f ca="1">IFERROR(__xludf.DUMMYFUNCTION("""COMPUTED_VALUE"""),"Echo Bot")</f>
        <v>Echo Bot</v>
      </c>
    </row>
    <row r="4322" spans="1:3" x14ac:dyDescent="0.25">
      <c r="A4322" s="2" t="str">
        <f ca="1">IFERROR(__xludf.DUMMYFUNCTION("""COMPUTED_VALUE"""),"echodex-community-portion")</f>
        <v>echodex-community-portion</v>
      </c>
      <c r="B4322" s="2" t="str">
        <f ca="1">IFERROR(__xludf.DUMMYFUNCTION("""COMPUTED_VALUE"""),"ecp")</f>
        <v>ecp</v>
      </c>
      <c r="C4322" s="2" t="str">
        <f ca="1">IFERROR(__xludf.DUMMYFUNCTION("""COMPUTED_VALUE"""),"EchoDEX Community Portion")</f>
        <v>EchoDEX Community Portion</v>
      </c>
    </row>
    <row r="4323" spans="1:3" x14ac:dyDescent="0.25">
      <c r="A4323" s="2" t="str">
        <f ca="1">IFERROR(__xludf.DUMMYFUNCTION("""COMPUTED_VALUE"""),"echolink-2")</f>
        <v>echolink-2</v>
      </c>
      <c r="B4323" s="2" t="str">
        <f ca="1">IFERROR(__xludf.DUMMYFUNCTION("""COMPUTED_VALUE"""),"eko")</f>
        <v>eko</v>
      </c>
      <c r="C4323" s="2" t="str">
        <f ca="1">IFERROR(__xludf.DUMMYFUNCTION("""COMPUTED_VALUE"""),"EchoLink")</f>
        <v>EchoLink</v>
      </c>
    </row>
    <row r="4324" spans="1:3" x14ac:dyDescent="0.25">
      <c r="A4324" s="2" t="str">
        <f ca="1">IFERROR(__xludf.DUMMYFUNCTION("""COMPUTED_VALUE"""),"echo-of-the-horizon")</f>
        <v>echo-of-the-horizon</v>
      </c>
      <c r="B4324" s="2" t="str">
        <f ca="1">IFERROR(__xludf.DUMMYFUNCTION("""COMPUTED_VALUE"""),"eoth")</f>
        <v>eoth</v>
      </c>
      <c r="C4324" s="2" t="str">
        <f ca="1">IFERROR(__xludf.DUMMYFUNCTION("""COMPUTED_VALUE"""),"Echo Of The Horizon")</f>
        <v>Echo Of The Horizon</v>
      </c>
    </row>
    <row r="4325" spans="1:3" x14ac:dyDescent="0.25">
      <c r="A4325" s="2" t="str">
        <f ca="1">IFERROR(__xludf.DUMMYFUNCTION("""COMPUTED_VALUE"""),"e-c-inu")</f>
        <v>e-c-inu</v>
      </c>
      <c r="B4325" s="2" t="str">
        <f ca="1">IFERROR(__xludf.DUMMYFUNCTION("""COMPUTED_VALUE"""),"eci")</f>
        <v>eci</v>
      </c>
      <c r="C4325" s="2" t="str">
        <f ca="1">IFERROR(__xludf.DUMMYFUNCTION("""COMPUTED_VALUE"""),"E C Inu")</f>
        <v>E C Inu</v>
      </c>
    </row>
    <row r="4326" spans="1:3" x14ac:dyDescent="0.25">
      <c r="A4326" s="2" t="str">
        <f ca="1">IFERROR(__xludf.DUMMYFUNCTION("""COMPUTED_VALUE"""),"ecl")</f>
        <v>ecl</v>
      </c>
      <c r="B4326" s="2" t="str">
        <f ca="1">IFERROR(__xludf.DUMMYFUNCTION("""COMPUTED_VALUE"""),"ecl")</f>
        <v>ecl</v>
      </c>
      <c r="C4326" s="2" t="str">
        <f ca="1">IFERROR(__xludf.DUMMYFUNCTION("""COMPUTED_VALUE"""),"ECL")</f>
        <v>ECL</v>
      </c>
    </row>
    <row r="4327" spans="1:3" x14ac:dyDescent="0.25">
      <c r="A4327" s="2" t="str">
        <f ca="1">IFERROR(__xludf.DUMMYFUNCTION("""COMPUTED_VALUE"""),"eclipse-fi")</f>
        <v>eclipse-fi</v>
      </c>
      <c r="B4327" s="2" t="str">
        <f ca="1">IFERROR(__xludf.DUMMYFUNCTION("""COMPUTED_VALUE"""),"eclip")</f>
        <v>eclip</v>
      </c>
      <c r="C4327" s="2" t="str">
        <f ca="1">IFERROR(__xludf.DUMMYFUNCTION("""COMPUTED_VALUE"""),"Eclipse Fi")</f>
        <v>Eclipse Fi</v>
      </c>
    </row>
    <row r="4328" spans="1:3" x14ac:dyDescent="0.25">
      <c r="A4328" s="2" t="str">
        <f ca="1">IFERROR(__xludf.DUMMYFUNCTION("""COMPUTED_VALUE"""),"eco")</f>
        <v>eco</v>
      </c>
      <c r="B4328" s="2" t="str">
        <f ca="1">IFERROR(__xludf.DUMMYFUNCTION("""COMPUTED_VALUE"""),"eco")</f>
        <v>eco</v>
      </c>
      <c r="C4328" s="2" t="str">
        <f ca="1">IFERROR(__xludf.DUMMYFUNCTION("""COMPUTED_VALUE"""),"ECO")</f>
        <v>ECO</v>
      </c>
    </row>
    <row r="4329" spans="1:3" x14ac:dyDescent="0.25">
      <c r="A4329" s="2" t="str">
        <f ca="1">IFERROR(__xludf.DUMMYFUNCTION("""COMPUTED_VALUE"""),"ecobal")</f>
        <v>ecobal</v>
      </c>
      <c r="B4329" s="2" t="str">
        <f ca="1">IFERROR(__xludf.DUMMYFUNCTION("""COMPUTED_VALUE"""),"ecb")</f>
        <v>ecb</v>
      </c>
      <c r="C4329" s="2" t="str">
        <f ca="1">IFERROR(__xludf.DUMMYFUNCTION("""COMPUTED_VALUE"""),"Ecobal")</f>
        <v>Ecobal</v>
      </c>
    </row>
    <row r="4330" spans="1:3" x14ac:dyDescent="0.25">
      <c r="A4330" s="2" t="str">
        <f ca="1">IFERROR(__xludf.DUMMYFUNCTION("""COMPUTED_VALUE"""),"ecochain-2")</f>
        <v>ecochain-2</v>
      </c>
      <c r="B4330" s="2" t="str">
        <f ca="1">IFERROR(__xludf.DUMMYFUNCTION("""COMPUTED_VALUE"""),"eco")</f>
        <v>eco</v>
      </c>
      <c r="C4330" s="2" t="str">
        <f ca="1">IFERROR(__xludf.DUMMYFUNCTION("""COMPUTED_VALUE"""),"Ecochain")</f>
        <v>Ecochain</v>
      </c>
    </row>
    <row r="4331" spans="1:3" x14ac:dyDescent="0.25">
      <c r="A4331" s="2" t="str">
        <f ca="1">IFERROR(__xludf.DUMMYFUNCTION("""COMPUTED_VALUE"""),"ecochain-token")</f>
        <v>ecochain-token</v>
      </c>
      <c r="B4331" s="2" t="str">
        <f ca="1">IFERROR(__xludf.DUMMYFUNCTION("""COMPUTED_VALUE"""),"ect")</f>
        <v>ect</v>
      </c>
      <c r="C4331" s="2" t="str">
        <f ca="1">IFERROR(__xludf.DUMMYFUNCTION("""COMPUTED_VALUE"""),"Ecochain Finance")</f>
        <v>Ecochain Finance</v>
      </c>
    </row>
    <row r="4332" spans="1:3" x14ac:dyDescent="0.25">
      <c r="A4332" s="2" t="str">
        <f ca="1">IFERROR(__xludf.DUMMYFUNCTION("""COMPUTED_VALUE"""),"ecoin-2")</f>
        <v>ecoin-2</v>
      </c>
      <c r="B4332" s="2" t="str">
        <f ca="1">IFERROR(__xludf.DUMMYFUNCTION("""COMPUTED_VALUE"""),"ecoin")</f>
        <v>ecoin</v>
      </c>
      <c r="C4332" s="2" t="str">
        <f ca="1">IFERROR(__xludf.DUMMYFUNCTION("""COMPUTED_VALUE"""),"Ecoin")</f>
        <v>Ecoin</v>
      </c>
    </row>
    <row r="4333" spans="1:3" x14ac:dyDescent="0.25">
      <c r="A4333" s="2" t="str">
        <f ca="1">IFERROR(__xludf.DUMMYFUNCTION("""COMPUTED_VALUE"""),"ecoin-finance")</f>
        <v>ecoin-finance</v>
      </c>
      <c r="B4333" s="2" t="str">
        <f ca="1">IFERROR(__xludf.DUMMYFUNCTION("""COMPUTED_VALUE"""),"ecoin")</f>
        <v>ecoin</v>
      </c>
      <c r="C4333" s="2" t="str">
        <f ca="1">IFERROR(__xludf.DUMMYFUNCTION("""COMPUTED_VALUE"""),"Ecoin Finance")</f>
        <v>Ecoin Finance</v>
      </c>
    </row>
    <row r="4334" spans="1:3" x14ac:dyDescent="0.25">
      <c r="A4334" s="2" t="str">
        <f ca="1">IFERROR(__xludf.DUMMYFUNCTION("""COMPUTED_VALUE"""),"ecomi")</f>
        <v>ecomi</v>
      </c>
      <c r="B4334" s="2" t="str">
        <f ca="1">IFERROR(__xludf.DUMMYFUNCTION("""COMPUTED_VALUE"""),"omi")</f>
        <v>omi</v>
      </c>
      <c r="C4334" s="2" t="str">
        <f ca="1">IFERROR(__xludf.DUMMYFUNCTION("""COMPUTED_VALUE"""),"ECOMI")</f>
        <v>ECOMI</v>
      </c>
    </row>
    <row r="4335" spans="1:3" x14ac:dyDescent="0.25">
      <c r="A4335" s="2" t="str">
        <f ca="1">IFERROR(__xludf.DUMMYFUNCTION("""COMPUTED_VALUE"""),"ecoreal-estate")</f>
        <v>ecoreal-estate</v>
      </c>
      <c r="B4335" s="2" t="str">
        <f ca="1">IFERROR(__xludf.DUMMYFUNCTION("""COMPUTED_VALUE"""),"ecoreal")</f>
        <v>ecoreal</v>
      </c>
      <c r="C4335" s="2" t="str">
        <f ca="1">IFERROR(__xludf.DUMMYFUNCTION("""COMPUTED_VALUE"""),"Ecoreal Estate")</f>
        <v>Ecoreal Estate</v>
      </c>
    </row>
    <row r="4336" spans="1:3" x14ac:dyDescent="0.25">
      <c r="A4336" s="2" t="str">
        <f ca="1">IFERROR(__xludf.DUMMYFUNCTION("""COMPUTED_VALUE"""),"ecoterra")</f>
        <v>ecoterra</v>
      </c>
      <c r="B4336" s="2" t="str">
        <f ca="1">IFERROR(__xludf.DUMMYFUNCTION("""COMPUTED_VALUE"""),"ecoterra")</f>
        <v>ecoterra</v>
      </c>
      <c r="C4336" s="2" t="str">
        <f ca="1">IFERROR(__xludf.DUMMYFUNCTION("""COMPUTED_VALUE"""),"Ecoterra")</f>
        <v>Ecoterra</v>
      </c>
    </row>
    <row r="4337" spans="1:3" x14ac:dyDescent="0.25">
      <c r="A4337" s="2" t="str">
        <f ca="1">IFERROR(__xludf.DUMMYFUNCTION("""COMPUTED_VALUE"""),"ecox")</f>
        <v>ecox</v>
      </c>
      <c r="B4337" s="2" t="str">
        <f ca="1">IFERROR(__xludf.DUMMYFUNCTION("""COMPUTED_VALUE"""),"ecox")</f>
        <v>ecox</v>
      </c>
      <c r="C4337" s="2" t="str">
        <f ca="1">IFERROR(__xludf.DUMMYFUNCTION("""COMPUTED_VALUE"""),"ECOx")</f>
        <v>ECOx</v>
      </c>
    </row>
    <row r="4338" spans="1:3" x14ac:dyDescent="0.25">
      <c r="A4338" s="2" t="str">
        <f ca="1">IFERROR(__xludf.DUMMYFUNCTION("""COMPUTED_VALUE"""),"e-c-vitoria-fan-token")</f>
        <v>e-c-vitoria-fan-token</v>
      </c>
      <c r="B4338" s="2" t="str">
        <f ca="1">IFERROR(__xludf.DUMMYFUNCTION("""COMPUTED_VALUE"""),"vtra")</f>
        <v>vtra</v>
      </c>
      <c r="C4338" s="2" t="str">
        <f ca="1">IFERROR(__xludf.DUMMYFUNCTION("""COMPUTED_VALUE"""),"E.C. Vitoria Fan Token")</f>
        <v>E.C. Vitoria Fan Token</v>
      </c>
    </row>
    <row r="4339" spans="1:3" x14ac:dyDescent="0.25">
      <c r="A4339" s="2" t="str">
        <f ca="1">IFERROR(__xludf.DUMMYFUNCTION("""COMPUTED_VALUE"""),"edain")</f>
        <v>edain</v>
      </c>
      <c r="B4339" s="2" t="str">
        <f ca="1">IFERROR(__xludf.DUMMYFUNCTION("""COMPUTED_VALUE"""),"eai")</f>
        <v>eai</v>
      </c>
      <c r="C4339" s="2" t="str">
        <f ca="1">IFERROR(__xludf.DUMMYFUNCTION("""COMPUTED_VALUE"""),"Edain")</f>
        <v>Edain</v>
      </c>
    </row>
    <row r="4340" spans="1:3" x14ac:dyDescent="0.25">
      <c r="A4340" s="2" t="str">
        <f ca="1">IFERROR(__xludf.DUMMYFUNCTION("""COMPUTED_VALUE"""),"eddaswap")</f>
        <v>eddaswap</v>
      </c>
      <c r="B4340" s="2" t="str">
        <f ca="1">IFERROR(__xludf.DUMMYFUNCTION("""COMPUTED_VALUE"""),"edda")</f>
        <v>edda</v>
      </c>
      <c r="C4340" s="2" t="str">
        <f ca="1">IFERROR(__xludf.DUMMYFUNCTION("""COMPUTED_VALUE"""),"EDDASwap")</f>
        <v>EDDASwap</v>
      </c>
    </row>
    <row r="4341" spans="1:3" x14ac:dyDescent="0.25">
      <c r="A4341" s="2" t="str">
        <f ca="1">IFERROR(__xludf.DUMMYFUNCTION("""COMPUTED_VALUE"""),"eddie-seal")</f>
        <v>eddie-seal</v>
      </c>
      <c r="B4341" s="2" t="str">
        <f ca="1">IFERROR(__xludf.DUMMYFUNCTION("""COMPUTED_VALUE"""),"edse")</f>
        <v>edse</v>
      </c>
      <c r="C4341" s="2" t="str">
        <f ca="1">IFERROR(__xludf.DUMMYFUNCTION("""COMPUTED_VALUE"""),"Eddie Seal")</f>
        <v>Eddie Seal</v>
      </c>
    </row>
    <row r="4342" spans="1:3" x14ac:dyDescent="0.25">
      <c r="A4342" s="2" t="str">
        <f ca="1">IFERROR(__xludf.DUMMYFUNCTION("""COMPUTED_VALUE"""),"edelcoin")</f>
        <v>edelcoin</v>
      </c>
      <c r="B4342" s="2" t="str">
        <f ca="1">IFERROR(__xludf.DUMMYFUNCTION("""COMPUTED_VALUE"""),"edlc")</f>
        <v>edlc</v>
      </c>
      <c r="C4342" s="2" t="str">
        <f ca="1">IFERROR(__xludf.DUMMYFUNCTION("""COMPUTED_VALUE"""),"Edelcoin")</f>
        <v>Edelcoin</v>
      </c>
    </row>
    <row r="4343" spans="1:3" x14ac:dyDescent="0.25">
      <c r="A4343" s="2" t="str">
        <f ca="1">IFERROR(__xludf.DUMMYFUNCTION("""COMPUTED_VALUE"""),"eden")</f>
        <v>eden</v>
      </c>
      <c r="B4343" s="2" t="str">
        <f ca="1">IFERROR(__xludf.DUMMYFUNCTION("""COMPUTED_VALUE"""),"eden")</f>
        <v>eden</v>
      </c>
      <c r="C4343" s="2" t="str">
        <f ca="1">IFERROR(__xludf.DUMMYFUNCTION("""COMPUTED_VALUE"""),"EDEN")</f>
        <v>EDEN</v>
      </c>
    </row>
    <row r="4344" spans="1:3" x14ac:dyDescent="0.25">
      <c r="A4344" s="2" t="str">
        <f ca="1">IFERROR(__xludf.DUMMYFUNCTION("""COMPUTED_VALUE"""),"edge")</f>
        <v>edge</v>
      </c>
      <c r="B4344" s="2" t="str">
        <f ca="1">IFERROR(__xludf.DUMMYFUNCTION("""COMPUTED_VALUE"""),"edge")</f>
        <v>edge</v>
      </c>
      <c r="C4344" s="2" t="str">
        <f ca="1">IFERROR(__xludf.DUMMYFUNCTION("""COMPUTED_VALUE"""),"Edge")</f>
        <v>Edge</v>
      </c>
    </row>
    <row r="4345" spans="1:3" x14ac:dyDescent="0.25">
      <c r="A4345" s="2" t="str">
        <f ca="1">IFERROR(__xludf.DUMMYFUNCTION("""COMPUTED_VALUE"""),"edge-matrix-computing")</f>
        <v>edge-matrix-computing</v>
      </c>
      <c r="B4345" s="2" t="str">
        <f ca="1">IFERROR(__xludf.DUMMYFUNCTION("""COMPUTED_VALUE"""),"emc")</f>
        <v>emc</v>
      </c>
      <c r="C4345" s="2" t="str">
        <f ca="1">IFERROR(__xludf.DUMMYFUNCTION("""COMPUTED_VALUE"""),"Edge Matrix Computing")</f>
        <v>Edge Matrix Computing</v>
      </c>
    </row>
    <row r="4346" spans="1:3" x14ac:dyDescent="0.25">
      <c r="A4346" s="2" t="str">
        <f ca="1">IFERROR(__xludf.DUMMYFUNCTION("""COMPUTED_VALUE"""),"edgeswap")</f>
        <v>edgeswap</v>
      </c>
      <c r="B4346" s="2" t="str">
        <f ca="1">IFERROR(__xludf.DUMMYFUNCTION("""COMPUTED_VALUE"""),"egs")</f>
        <v>egs</v>
      </c>
      <c r="C4346" s="2" t="str">
        <f ca="1">IFERROR(__xludf.DUMMYFUNCTION("""COMPUTED_VALUE"""),"EdgeSwap")</f>
        <v>EdgeSwap</v>
      </c>
    </row>
    <row r="4347" spans="1:3" x14ac:dyDescent="0.25">
      <c r="A4347" s="2" t="str">
        <f ca="1">IFERROR(__xludf.DUMMYFUNCTION("""COMPUTED_VALUE"""),"edgevana-staked-sol")</f>
        <v>edgevana-staked-sol</v>
      </c>
      <c r="B4347" s="2" t="str">
        <f ca="1">IFERROR(__xludf.DUMMYFUNCTION("""COMPUTED_VALUE"""),"edgesol")</f>
        <v>edgesol</v>
      </c>
      <c r="C4347" s="2" t="str">
        <f ca="1">IFERROR(__xludf.DUMMYFUNCTION("""COMPUTED_VALUE"""),"Edgevana Staked SOL")</f>
        <v>Edgevana Staked SOL</v>
      </c>
    </row>
    <row r="4348" spans="1:3" x14ac:dyDescent="0.25">
      <c r="A4348" s="2" t="str">
        <f ca="1">IFERROR(__xludf.DUMMYFUNCTION("""COMPUTED_VALUE"""),"edge-video-ai")</f>
        <v>edge-video-ai</v>
      </c>
      <c r="B4348" s="2" t="str">
        <f ca="1">IFERROR(__xludf.DUMMYFUNCTION("""COMPUTED_VALUE"""),"fast")</f>
        <v>fast</v>
      </c>
      <c r="C4348" s="2" t="str">
        <f ca="1">IFERROR(__xludf.DUMMYFUNCTION("""COMPUTED_VALUE"""),"Edge Video AI")</f>
        <v>Edge Video AI</v>
      </c>
    </row>
    <row r="4349" spans="1:3" x14ac:dyDescent="0.25">
      <c r="A4349" s="2" t="str">
        <f ca="1">IFERROR(__xludf.DUMMYFUNCTION("""COMPUTED_VALUE"""),"edgeware")</f>
        <v>edgeware</v>
      </c>
      <c r="B4349" s="2" t="str">
        <f ca="1">IFERROR(__xludf.DUMMYFUNCTION("""COMPUTED_VALUE"""),"edg")</f>
        <v>edg</v>
      </c>
      <c r="C4349" s="2" t="str">
        <f ca="1">IFERROR(__xludf.DUMMYFUNCTION("""COMPUTED_VALUE"""),"Edgeware")</f>
        <v>Edgeware</v>
      </c>
    </row>
    <row r="4350" spans="1:3" x14ac:dyDescent="0.25">
      <c r="A4350" s="2" t="str">
        <f ca="1">IFERROR(__xludf.DUMMYFUNCTION("""COMPUTED_VALUE"""),"edison-bored")</f>
        <v>edison-bored</v>
      </c>
      <c r="B4350" s="2" t="str">
        <f ca="1">IFERROR(__xludf.DUMMYFUNCTION("""COMPUTED_VALUE"""),"bored")</f>
        <v>bored</v>
      </c>
      <c r="C4350" s="2" t="str">
        <f ca="1">IFERROR(__xludf.DUMMYFUNCTION("""COMPUTED_VALUE"""),"BORED")</f>
        <v>BORED</v>
      </c>
    </row>
    <row r="4351" spans="1:3" x14ac:dyDescent="0.25">
      <c r="A4351" s="2" t="str">
        <f ca="1">IFERROR(__xludf.DUMMYFUNCTION("""COMPUTED_VALUE"""),"edm")</f>
        <v>edm</v>
      </c>
      <c r="B4351" s="2" t="str">
        <f ca="1">IFERROR(__xludf.DUMMYFUNCTION("""COMPUTED_VALUE"""),"edm")</f>
        <v>edm</v>
      </c>
      <c r="C4351" s="2" t="str">
        <f ca="1">IFERROR(__xludf.DUMMYFUNCTION("""COMPUTED_VALUE"""),"Electric Dog Modish")</f>
        <v>Electric Dog Modish</v>
      </c>
    </row>
    <row r="4352" spans="1:3" x14ac:dyDescent="0.25">
      <c r="A4352" s="2" t="str">
        <f ca="1">IFERROR(__xludf.DUMMYFUNCTION("""COMPUTED_VALUE"""),"edoverse-zeni")</f>
        <v>edoverse-zeni</v>
      </c>
      <c r="B4352" s="2" t="str">
        <f ca="1">IFERROR(__xludf.DUMMYFUNCTION("""COMPUTED_VALUE"""),"zeni")</f>
        <v>zeni</v>
      </c>
      <c r="C4352" s="2" t="str">
        <f ca="1">IFERROR(__xludf.DUMMYFUNCTION("""COMPUTED_VALUE"""),"Edoverse Zeni")</f>
        <v>Edoverse Zeni</v>
      </c>
    </row>
    <row r="4353" spans="1:3" x14ac:dyDescent="0.25">
      <c r="A4353" s="2" t="str">
        <f ca="1">IFERROR(__xludf.DUMMYFUNCTION("""COMPUTED_VALUE"""),"edu3labs")</f>
        <v>edu3labs</v>
      </c>
      <c r="B4353" s="2" t="str">
        <f ca="1">IFERROR(__xludf.DUMMYFUNCTION("""COMPUTED_VALUE"""),"nfe")</f>
        <v>nfe</v>
      </c>
      <c r="C4353" s="2" t="str">
        <f ca="1">IFERROR(__xludf.DUMMYFUNCTION("""COMPUTED_VALUE"""),"Edu3Labs")</f>
        <v>Edu3Labs</v>
      </c>
    </row>
    <row r="4354" spans="1:3" x14ac:dyDescent="0.25">
      <c r="A4354" s="2" t="str">
        <f ca="1">IFERROR(__xludf.DUMMYFUNCTION("""COMPUTED_VALUE"""),"edu-coin")</f>
        <v>edu-coin</v>
      </c>
      <c r="B4354" s="2" t="str">
        <f ca="1">IFERROR(__xludf.DUMMYFUNCTION("""COMPUTED_VALUE"""),"edu")</f>
        <v>edu</v>
      </c>
      <c r="C4354" s="2" t="str">
        <f ca="1">IFERROR(__xludf.DUMMYFUNCTION("""COMPUTED_VALUE"""),"Open Campus")</f>
        <v>Open Campus</v>
      </c>
    </row>
    <row r="4355" spans="1:3" x14ac:dyDescent="0.25">
      <c r="A4355" s="2" t="str">
        <f ca="1">IFERROR(__xludf.DUMMYFUNCTION("""COMPUTED_VALUE"""),"edufex")</f>
        <v>edufex</v>
      </c>
      <c r="B4355" s="2" t="str">
        <f ca="1">IFERROR(__xludf.DUMMYFUNCTION("""COMPUTED_VALUE"""),"edux")</f>
        <v>edux</v>
      </c>
      <c r="C4355" s="2" t="str">
        <f ca="1">IFERROR(__xludf.DUMMYFUNCTION("""COMPUTED_VALUE"""),"Edufex")</f>
        <v>Edufex</v>
      </c>
    </row>
    <row r="4356" spans="1:3" x14ac:dyDescent="0.25">
      <c r="A4356" s="2" t="str">
        <f ca="1">IFERROR(__xludf.DUMMYFUNCTION("""COMPUTED_VALUE"""),"edum")</f>
        <v>edum</v>
      </c>
      <c r="B4356" s="2" t="str">
        <f ca="1">IFERROR(__xludf.DUMMYFUNCTION("""COMPUTED_VALUE"""),"edum")</f>
        <v>edum</v>
      </c>
      <c r="C4356" s="2" t="str">
        <f ca="1">IFERROR(__xludf.DUMMYFUNCTION("""COMPUTED_VALUE"""),"EDUM")</f>
        <v>EDUM</v>
      </c>
    </row>
    <row r="4357" spans="1:3" x14ac:dyDescent="0.25">
      <c r="A4357" s="2" t="str">
        <f ca="1">IFERROR(__xludf.DUMMYFUNCTION("""COMPUTED_VALUE"""),"eeg")</f>
        <v>eeg</v>
      </c>
      <c r="B4357" s="2" t="str">
        <f ca="1">IFERROR(__xludf.DUMMYFUNCTION("""COMPUTED_VALUE"""),"eeg")</f>
        <v>eeg</v>
      </c>
      <c r="C4357" s="2" t="str">
        <f ca="1">IFERROR(__xludf.DUMMYFUNCTION("""COMPUTED_VALUE"""),"EEG")</f>
        <v>EEG</v>
      </c>
    </row>
    <row r="4358" spans="1:3" x14ac:dyDescent="0.25">
      <c r="A4358" s="2" t="str">
        <f ca="1">IFERROR(__xludf.DUMMYFUNCTION("""COMPUTED_VALUE"""),"eesee")</f>
        <v>eesee</v>
      </c>
      <c r="B4358" s="2" t="str">
        <f ca="1">IFERROR(__xludf.DUMMYFUNCTION("""COMPUTED_VALUE"""),"ese")</f>
        <v>ese</v>
      </c>
      <c r="C4358" s="2" t="str">
        <f ca="1">IFERROR(__xludf.DUMMYFUNCTION("""COMPUTED_VALUE"""),"Eesee")</f>
        <v>Eesee</v>
      </c>
    </row>
    <row r="4359" spans="1:3" x14ac:dyDescent="0.25">
      <c r="A4359" s="2" t="str">
        <f ca="1">IFERROR(__xludf.DUMMYFUNCTION("""COMPUTED_VALUE"""),"eeyor")</f>
        <v>eeyor</v>
      </c>
      <c r="B4359" s="2" t="str">
        <f ca="1">IFERROR(__xludf.DUMMYFUNCTION("""COMPUTED_VALUE"""),"eeyor")</f>
        <v>eeyor</v>
      </c>
      <c r="C4359" s="2" t="str">
        <f ca="1">IFERROR(__xludf.DUMMYFUNCTION("""COMPUTED_VALUE"""),"Eeyor")</f>
        <v>Eeyor</v>
      </c>
    </row>
    <row r="4360" spans="1:3" x14ac:dyDescent="0.25">
      <c r="A4360" s="2" t="str">
        <f ca="1">IFERROR(__xludf.DUMMYFUNCTION("""COMPUTED_VALUE"""),"effect-network")</f>
        <v>effect-network</v>
      </c>
      <c r="B4360" s="2" t="str">
        <f ca="1">IFERROR(__xludf.DUMMYFUNCTION("""COMPUTED_VALUE"""),"efx")</f>
        <v>efx</v>
      </c>
      <c r="C4360" s="2" t="str">
        <f ca="1">IFERROR(__xludf.DUMMYFUNCTION("""COMPUTED_VALUE"""),"Effect AI")</f>
        <v>Effect AI</v>
      </c>
    </row>
    <row r="4361" spans="1:3" x14ac:dyDescent="0.25">
      <c r="A4361" s="2" t="str">
        <f ca="1">IFERROR(__xludf.DUMMYFUNCTION("""COMPUTED_VALUE"""),"efinity")</f>
        <v>efinity</v>
      </c>
      <c r="B4361" s="2" t="str">
        <f ca="1">IFERROR(__xludf.DUMMYFUNCTION("""COMPUTED_VALUE"""),"efi")</f>
        <v>efi</v>
      </c>
      <c r="C4361" s="2" t="str">
        <f ca="1">IFERROR(__xludf.DUMMYFUNCTION("""COMPUTED_VALUE"""),"Efinity")</f>
        <v>Efinity</v>
      </c>
    </row>
    <row r="4362" spans="1:3" x14ac:dyDescent="0.25">
      <c r="A4362" s="2" t="str">
        <f ca="1">IFERROR(__xludf.DUMMYFUNCTION("""COMPUTED_VALUE"""),"efk-token")</f>
        <v>efk-token</v>
      </c>
      <c r="B4362" s="2" t="str">
        <f ca="1">IFERROR(__xludf.DUMMYFUNCTION("""COMPUTED_VALUE"""),"efk")</f>
        <v>efk</v>
      </c>
      <c r="C4362" s="2" t="str">
        <f ca="1">IFERROR(__xludf.DUMMYFUNCTION("""COMPUTED_VALUE"""),"EFK Token")</f>
        <v>EFK Token</v>
      </c>
    </row>
    <row r="4363" spans="1:3" x14ac:dyDescent="0.25">
      <c r="A4363" s="2" t="str">
        <f ca="1">IFERROR(__xludf.DUMMYFUNCTION("""COMPUTED_VALUE"""),"eflancer")</f>
        <v>eflancer</v>
      </c>
      <c r="B4363" s="2" t="str">
        <f ca="1">IFERROR(__xludf.DUMMYFUNCTION("""COMPUTED_VALUE"""),"efcr")</f>
        <v>efcr</v>
      </c>
      <c r="C4363" s="2" t="str">
        <f ca="1">IFERROR(__xludf.DUMMYFUNCTION("""COMPUTED_VALUE"""),"EFLANCER")</f>
        <v>EFLANCER</v>
      </c>
    </row>
    <row r="4364" spans="1:3" x14ac:dyDescent="0.25">
      <c r="A4364" s="2" t="str">
        <f ca="1">IFERROR(__xludf.DUMMYFUNCTION("""COMPUTED_VALUE"""),"efun")</f>
        <v>efun</v>
      </c>
      <c r="B4364" s="2" t="str">
        <f ca="1">IFERROR(__xludf.DUMMYFUNCTION("""COMPUTED_VALUE"""),"efun")</f>
        <v>efun</v>
      </c>
      <c r="C4364" s="2" t="str">
        <f ca="1">IFERROR(__xludf.DUMMYFUNCTION("""COMPUTED_VALUE"""),"EFUN")</f>
        <v>EFUN</v>
      </c>
    </row>
    <row r="4365" spans="1:3" x14ac:dyDescent="0.25">
      <c r="A4365" s="2" t="str">
        <f ca="1">IFERROR(__xludf.DUMMYFUNCTION("""COMPUTED_VALUE"""),"egaz")</f>
        <v>egaz</v>
      </c>
      <c r="B4365" s="2" t="str">
        <f ca="1">IFERROR(__xludf.DUMMYFUNCTION("""COMPUTED_VALUE"""),"egaz")</f>
        <v>egaz</v>
      </c>
      <c r="C4365" s="2" t="str">
        <f ca="1">IFERROR(__xludf.DUMMYFUNCTION("""COMPUTED_VALUE"""),"EGAZ")</f>
        <v>EGAZ</v>
      </c>
    </row>
    <row r="4366" spans="1:3" x14ac:dyDescent="0.25">
      <c r="A4366" s="2" t="str">
        <f ca="1">IFERROR(__xludf.DUMMYFUNCTION("""COMPUTED_VALUE"""),"egg")</f>
        <v>egg</v>
      </c>
      <c r="B4366" s="2" t="str">
        <f ca="1">IFERROR(__xludf.DUMMYFUNCTION("""COMPUTED_VALUE"""),"egg")</f>
        <v>egg</v>
      </c>
      <c r="C4366" s="2" t="str">
        <f ca="1">IFERROR(__xludf.DUMMYFUNCTION("""COMPUTED_VALUE"""),"EGG")</f>
        <v>EGG</v>
      </c>
    </row>
    <row r="4367" spans="1:3" x14ac:dyDescent="0.25">
      <c r="A4367" s="2" t="str">
        <f ca="1">IFERROR(__xludf.DUMMYFUNCTION("""COMPUTED_VALUE"""),"eggdog")</f>
        <v>eggdog</v>
      </c>
      <c r="B4367" s="2" t="str">
        <f ca="1">IFERROR(__xludf.DUMMYFUNCTION("""COMPUTED_VALUE"""),"egg")</f>
        <v>egg</v>
      </c>
      <c r="C4367" s="2" t="str">
        <f ca="1">IFERROR(__xludf.DUMMYFUNCTION("""COMPUTED_VALUE"""),"Eggdog")</f>
        <v>Eggdog</v>
      </c>
    </row>
    <row r="4368" spans="1:3" x14ac:dyDescent="0.25">
      <c r="A4368" s="2" t="str">
        <f ca="1">IFERROR(__xludf.DUMMYFUNCTION("""COMPUTED_VALUE"""),"egg-eth")</f>
        <v>egg-eth</v>
      </c>
      <c r="B4368" s="2" t="str">
        <f ca="1">IFERROR(__xludf.DUMMYFUNCTION("""COMPUTED_VALUE"""),"egg")</f>
        <v>egg</v>
      </c>
      <c r="C4368" s="2" t="str">
        <f ca="1">IFERROR(__xludf.DUMMYFUNCTION("""COMPUTED_VALUE"""),"EGG ETH")</f>
        <v>EGG ETH</v>
      </c>
    </row>
    <row r="4369" spans="1:3" x14ac:dyDescent="0.25">
      <c r="A4369" s="2" t="str">
        <f ca="1">IFERROR(__xludf.DUMMYFUNCTION("""COMPUTED_VALUE"""),"egg-n-partners")</f>
        <v>egg-n-partners</v>
      </c>
      <c r="B4369" s="2" t="str">
        <f ca="1">IFERROR(__xludf.DUMMYFUNCTION("""COMPUTED_VALUE"""),"eggt")</f>
        <v>eggt</v>
      </c>
      <c r="C4369" s="2" t="str">
        <f ca="1">IFERROR(__xludf.DUMMYFUNCTION("""COMPUTED_VALUE"""),"Egg N Partners")</f>
        <v>Egg N Partners</v>
      </c>
    </row>
    <row r="4370" spans="1:3" x14ac:dyDescent="0.25">
      <c r="A4370" s="2" t="str">
        <f ca="1">IFERROR(__xludf.DUMMYFUNCTION("""COMPUTED_VALUE"""),"eggplant-finance")</f>
        <v>eggplant-finance</v>
      </c>
      <c r="B4370" s="2" t="str">
        <f ca="1">IFERROR(__xludf.DUMMYFUNCTION("""COMPUTED_VALUE"""),"eggp")</f>
        <v>eggp</v>
      </c>
      <c r="C4370" s="2" t="str">
        <f ca="1">IFERROR(__xludf.DUMMYFUNCTION("""COMPUTED_VALUE"""),"Eggplant Finance")</f>
        <v>Eggplant Finance</v>
      </c>
    </row>
    <row r="4371" spans="1:3" x14ac:dyDescent="0.25">
      <c r="A4371" s="2" t="str">
        <f ca="1">IFERROR(__xludf.DUMMYFUNCTION("""COMPUTED_VALUE"""),"eggs")</f>
        <v>eggs</v>
      </c>
      <c r="B4371" s="2" t="str">
        <f ca="1">IFERROR(__xludf.DUMMYFUNCTION("""COMPUTED_VALUE"""),"eggs")</f>
        <v>eggs</v>
      </c>
      <c r="C4371" s="2" t="str">
        <f ca="1">IFERROR(__xludf.DUMMYFUNCTION("""COMPUTED_VALUE"""),"Eggs")</f>
        <v>Eggs</v>
      </c>
    </row>
    <row r="4372" spans="1:3" x14ac:dyDescent="0.25">
      <c r="A4372" s="2" t="str">
        <f ca="1">IFERROR(__xludf.DUMMYFUNCTION("""COMPUTED_VALUE"""),"eggy")</f>
        <v>eggy</v>
      </c>
      <c r="B4372" s="2" t="str">
        <f ca="1">IFERROR(__xludf.DUMMYFUNCTION("""COMPUTED_VALUE"""),"eggy")</f>
        <v>eggy</v>
      </c>
      <c r="C4372" s="2" t="str">
        <f ca="1">IFERROR(__xludf.DUMMYFUNCTION("""COMPUTED_VALUE"""),"Eggy")</f>
        <v>Eggy</v>
      </c>
    </row>
    <row r="4373" spans="1:3" x14ac:dyDescent="0.25">
      <c r="A4373" s="2" t="str">
        <f ca="1">IFERROR(__xludf.DUMMYFUNCTION("""COMPUTED_VALUE"""),"eggybsc")</f>
        <v>eggybsc</v>
      </c>
      <c r="B4373" s="2" t="str">
        <f ca="1">IFERROR(__xludf.DUMMYFUNCTION("""COMPUTED_VALUE"""),"eggy")</f>
        <v>eggy</v>
      </c>
      <c r="C4373" s="2" t="str">
        <f ca="1">IFERROR(__xludf.DUMMYFUNCTION("""COMPUTED_VALUE"""),"EGGY")</f>
        <v>EGGY</v>
      </c>
    </row>
    <row r="4374" spans="1:3" x14ac:dyDescent="0.25">
      <c r="A4374" s="2" t="str">
        <f ca="1">IFERROR(__xludf.DUMMYFUNCTION("""COMPUTED_VALUE"""),"eggy-the-pet-egg")</f>
        <v>eggy-the-pet-egg</v>
      </c>
      <c r="B4374" s="2" t="str">
        <f ca="1">IFERROR(__xludf.DUMMYFUNCTION("""COMPUTED_VALUE"""),"eggy")</f>
        <v>eggy</v>
      </c>
      <c r="C4374" s="2" t="str">
        <f ca="1">IFERROR(__xludf.DUMMYFUNCTION("""COMPUTED_VALUE"""),"Eggy The Pet Egg")</f>
        <v>Eggy The Pet Egg</v>
      </c>
    </row>
    <row r="4375" spans="1:3" x14ac:dyDescent="0.25">
      <c r="A4375" s="2" t="str">
        <f ca="1">IFERROR(__xludf.DUMMYFUNCTION("""COMPUTED_VALUE"""),"egochain")</f>
        <v>egochain</v>
      </c>
      <c r="B4375" s="2" t="str">
        <f ca="1">IFERROR(__xludf.DUMMYFUNCTION("""COMPUTED_VALUE"""),"egax")</f>
        <v>egax</v>
      </c>
      <c r="C4375" s="2" t="str">
        <f ca="1">IFERROR(__xludf.DUMMYFUNCTION("""COMPUTED_VALUE"""),"Egochain")</f>
        <v>Egochain</v>
      </c>
    </row>
    <row r="4376" spans="1:3" x14ac:dyDescent="0.25">
      <c r="A4376" s="2" t="str">
        <f ca="1">IFERROR(__xludf.DUMMYFUNCTION("""COMPUTED_VALUE"""),"egodcoin")</f>
        <v>egodcoin</v>
      </c>
      <c r="B4376" s="2" t="str">
        <f ca="1">IFERROR(__xludf.DUMMYFUNCTION("""COMPUTED_VALUE"""),"egod")</f>
        <v>egod</v>
      </c>
      <c r="C4376" s="2" t="str">
        <f ca="1">IFERROR(__xludf.DUMMYFUNCTION("""COMPUTED_VALUE"""),"EgodCoin")</f>
        <v>EgodCoin</v>
      </c>
    </row>
    <row r="4377" spans="1:3" x14ac:dyDescent="0.25">
      <c r="A4377" s="2" t="str">
        <f ca="1">IFERROR(__xludf.DUMMYFUNCTION("""COMPUTED_VALUE"""),"egold-project")</f>
        <v>egold-project</v>
      </c>
      <c r="B4377" s="2" t="str">
        <f ca="1">IFERROR(__xludf.DUMMYFUNCTION("""COMPUTED_VALUE"""),"egold")</f>
        <v>egold</v>
      </c>
      <c r="C4377" s="2" t="str">
        <f ca="1">IFERROR(__xludf.DUMMYFUNCTION("""COMPUTED_VALUE"""),"EGold Project (OLD)")</f>
        <v>EGold Project (OLD)</v>
      </c>
    </row>
    <row r="4378" spans="1:3" x14ac:dyDescent="0.25">
      <c r="A4378" s="2" t="str">
        <f ca="1">IFERROR(__xludf.DUMMYFUNCTION("""COMPUTED_VALUE"""),"egold-project-2")</f>
        <v>egold-project-2</v>
      </c>
      <c r="B4378" s="2" t="str">
        <f ca="1">IFERROR(__xludf.DUMMYFUNCTION("""COMPUTED_VALUE"""),"egold")</f>
        <v>egold</v>
      </c>
      <c r="C4378" s="2" t="str">
        <f ca="1">IFERROR(__xludf.DUMMYFUNCTION("""COMPUTED_VALUE"""),"EGold Project")</f>
        <v>EGold Project</v>
      </c>
    </row>
    <row r="4379" spans="1:3" x14ac:dyDescent="0.25">
      <c r="A4379" s="2" t="str">
        <f ca="1">IFERROR(__xludf.DUMMYFUNCTION("""COMPUTED_VALUE"""),"egoncoin")</f>
        <v>egoncoin</v>
      </c>
      <c r="B4379" s="2" t="str">
        <f ca="1">IFERROR(__xludf.DUMMYFUNCTION("""COMPUTED_VALUE"""),"egon")</f>
        <v>egon</v>
      </c>
      <c r="C4379" s="2" t="str">
        <f ca="1">IFERROR(__xludf.DUMMYFUNCTION("""COMPUTED_VALUE"""),"EgonCoin")</f>
        <v>EgonCoin</v>
      </c>
    </row>
    <row r="4380" spans="1:3" x14ac:dyDescent="0.25">
      <c r="A4380" s="2" t="str">
        <f ca="1">IFERROR(__xludf.DUMMYFUNCTION("""COMPUTED_VALUE"""),"egoras-credit")</f>
        <v>egoras-credit</v>
      </c>
      <c r="B4380" s="2" t="str">
        <f ca="1">IFERROR(__xludf.DUMMYFUNCTION("""COMPUTED_VALUE"""),"egc")</f>
        <v>egc</v>
      </c>
      <c r="C4380" s="2" t="str">
        <f ca="1">IFERROR(__xludf.DUMMYFUNCTION("""COMPUTED_VALUE"""),"Egoras Credit")</f>
        <v>Egoras Credit</v>
      </c>
    </row>
    <row r="4381" spans="1:3" x14ac:dyDescent="0.25">
      <c r="A4381" s="2" t="str">
        <f ca="1">IFERROR(__xludf.DUMMYFUNCTION("""COMPUTED_VALUE"""),"eg-token")</f>
        <v>eg-token</v>
      </c>
      <c r="B4381" s="2" t="str">
        <f ca="1">IFERROR(__xludf.DUMMYFUNCTION("""COMPUTED_VALUE"""),"eg")</f>
        <v>eg</v>
      </c>
      <c r="C4381" s="2" t="str">
        <f ca="1">IFERROR(__xludf.DUMMYFUNCTION("""COMPUTED_VALUE"""),"EG Token")</f>
        <v>EG Token</v>
      </c>
    </row>
    <row r="4382" spans="1:3" x14ac:dyDescent="0.25">
      <c r="A4382" s="2" t="str">
        <f ca="1">IFERROR(__xludf.DUMMYFUNCTION("""COMPUTED_VALUE"""),"egypt-cat")</f>
        <v>egypt-cat</v>
      </c>
      <c r="B4382" s="2" t="str">
        <f ca="1">IFERROR(__xludf.DUMMYFUNCTION("""COMPUTED_VALUE"""),"sphynx")</f>
        <v>sphynx</v>
      </c>
      <c r="C4382" s="2" t="str">
        <f ca="1">IFERROR(__xludf.DUMMYFUNCTION("""COMPUTED_VALUE"""),"Egypt Cat")</f>
        <v>Egypt Cat</v>
      </c>
    </row>
    <row r="4383" spans="1:3" x14ac:dyDescent="0.25">
      <c r="A4383" s="2" t="str">
        <f ca="1">IFERROR(__xludf.DUMMYFUNCTION("""COMPUTED_VALUE"""),"ehash")</f>
        <v>ehash</v>
      </c>
      <c r="B4383" s="2" t="str">
        <f ca="1">IFERROR(__xludf.DUMMYFUNCTION("""COMPUTED_VALUE"""),"ehash")</f>
        <v>ehash</v>
      </c>
      <c r="C4383" s="2" t="str">
        <f ca="1">IFERROR(__xludf.DUMMYFUNCTION("""COMPUTED_VALUE"""),"EHash")</f>
        <v>EHash</v>
      </c>
    </row>
    <row r="4384" spans="1:3" x14ac:dyDescent="0.25">
      <c r="A4384" s="2" t="str">
        <f ca="1">IFERROR(__xludf.DUMMYFUNCTION("""COMPUTED_VALUE"""),"eigenelephant")</f>
        <v>eigenelephant</v>
      </c>
      <c r="B4384" s="2" t="str">
        <f ca="1">IFERROR(__xludf.DUMMYFUNCTION("""COMPUTED_VALUE"""),"ele")</f>
        <v>ele</v>
      </c>
      <c r="C4384" s="2" t="str">
        <f ca="1">IFERROR(__xludf.DUMMYFUNCTION("""COMPUTED_VALUE"""),"EigenElephant")</f>
        <v>EigenElephant</v>
      </c>
    </row>
    <row r="4385" spans="1:3" x14ac:dyDescent="0.25">
      <c r="A4385" s="2" t="str">
        <f ca="1">IFERROR(__xludf.DUMMYFUNCTION("""COMPUTED_VALUE"""),"eigenlayer")</f>
        <v>eigenlayer</v>
      </c>
      <c r="B4385" s="2" t="str">
        <f ca="1">IFERROR(__xludf.DUMMYFUNCTION("""COMPUTED_VALUE"""),"eigen")</f>
        <v>eigen</v>
      </c>
      <c r="C4385" s="2" t="str">
        <f ca="1">IFERROR(__xludf.DUMMYFUNCTION("""COMPUTED_VALUE"""),"Eigenlayer")</f>
        <v>Eigenlayer</v>
      </c>
    </row>
    <row r="4386" spans="1:3" x14ac:dyDescent="0.25">
      <c r="A4386" s="2" t="str">
        <f ca="1">IFERROR(__xludf.DUMMYFUNCTION("""COMPUTED_VALUE"""),"eigenpie")</f>
        <v>eigenpie</v>
      </c>
      <c r="B4386" s="2" t="str">
        <f ca="1">IFERROR(__xludf.DUMMYFUNCTION("""COMPUTED_VALUE"""),"egp")</f>
        <v>egp</v>
      </c>
      <c r="C4386" s="2" t="str">
        <f ca="1">IFERROR(__xludf.DUMMYFUNCTION("""COMPUTED_VALUE"""),"Eigenpie")</f>
        <v>Eigenpie</v>
      </c>
    </row>
    <row r="4387" spans="1:3" x14ac:dyDescent="0.25">
      <c r="A4387" s="2" t="str">
        <f ca="1">IFERROR(__xludf.DUMMYFUNCTION("""COMPUTED_VALUE"""),"eigenpie-ankreth")</f>
        <v>eigenpie-ankreth</v>
      </c>
      <c r="B4387" s="2" t="str">
        <f ca="1">IFERROR(__xludf.DUMMYFUNCTION("""COMPUTED_VALUE"""),"mankreth")</f>
        <v>mankreth</v>
      </c>
      <c r="C4387" s="2" t="str">
        <f ca="1">IFERROR(__xludf.DUMMYFUNCTION("""COMPUTED_VALUE"""),"Eigenpie ankrETH")</f>
        <v>Eigenpie ankrETH</v>
      </c>
    </row>
    <row r="4388" spans="1:3" x14ac:dyDescent="0.25">
      <c r="A4388" s="2" t="str">
        <f ca="1">IFERROR(__xludf.DUMMYFUNCTION("""COMPUTED_VALUE"""),"eigenpie-cbeth")</f>
        <v>eigenpie-cbeth</v>
      </c>
      <c r="B4388" s="2" t="str">
        <f ca="1">IFERROR(__xludf.DUMMYFUNCTION("""COMPUTED_VALUE"""),"mcbeth")</f>
        <v>mcbeth</v>
      </c>
      <c r="C4388" s="2" t="str">
        <f ca="1">IFERROR(__xludf.DUMMYFUNCTION("""COMPUTED_VALUE"""),"Eigenpie cbETH")</f>
        <v>Eigenpie cbETH</v>
      </c>
    </row>
    <row r="4389" spans="1:3" x14ac:dyDescent="0.25">
      <c r="A4389" s="2" t="str">
        <f ca="1">IFERROR(__xludf.DUMMYFUNCTION("""COMPUTED_VALUE"""),"eigenpie-ethx")</f>
        <v>eigenpie-ethx</v>
      </c>
      <c r="B4389" s="2" t="str">
        <f ca="1">IFERROR(__xludf.DUMMYFUNCTION("""COMPUTED_VALUE"""),"methx")</f>
        <v>methx</v>
      </c>
      <c r="C4389" s="2" t="str">
        <f ca="1">IFERROR(__xludf.DUMMYFUNCTION("""COMPUTED_VALUE"""),"Eigenpie ETHx")</f>
        <v>Eigenpie ETHx</v>
      </c>
    </row>
    <row r="4390" spans="1:3" x14ac:dyDescent="0.25">
      <c r="A4390" s="2" t="str">
        <f ca="1">IFERROR(__xludf.DUMMYFUNCTION("""COMPUTED_VALUE"""),"eigenpie-frxeth")</f>
        <v>eigenpie-frxeth</v>
      </c>
      <c r="B4390" s="2" t="str">
        <f ca="1">IFERROR(__xludf.DUMMYFUNCTION("""COMPUTED_VALUE"""),"msfrxeth")</f>
        <v>msfrxeth</v>
      </c>
      <c r="C4390" s="2" t="str">
        <f ca="1">IFERROR(__xludf.DUMMYFUNCTION("""COMPUTED_VALUE"""),"Eigenpie frxETH")</f>
        <v>Eigenpie frxETH</v>
      </c>
    </row>
    <row r="4391" spans="1:3" x14ac:dyDescent="0.25">
      <c r="A4391" s="2" t="str">
        <f ca="1">IFERROR(__xludf.DUMMYFUNCTION("""COMPUTED_VALUE"""),"eigenpie-lseth")</f>
        <v>eigenpie-lseth</v>
      </c>
      <c r="B4391" s="2" t="str">
        <f ca="1">IFERROR(__xludf.DUMMYFUNCTION("""COMPUTED_VALUE"""),"mlseth")</f>
        <v>mlseth</v>
      </c>
      <c r="C4391" s="2" t="str">
        <f ca="1">IFERROR(__xludf.DUMMYFUNCTION("""COMPUTED_VALUE"""),"Eigenpie LsETH")</f>
        <v>Eigenpie LsETH</v>
      </c>
    </row>
    <row r="4392" spans="1:3" x14ac:dyDescent="0.25">
      <c r="A4392" s="2" t="str">
        <f ca="1">IFERROR(__xludf.DUMMYFUNCTION("""COMPUTED_VALUE"""),"eigenpie-meth")</f>
        <v>eigenpie-meth</v>
      </c>
      <c r="B4392" s="2" t="str">
        <f ca="1">IFERROR(__xludf.DUMMYFUNCTION("""COMPUTED_VALUE"""),"mmeth")</f>
        <v>mmeth</v>
      </c>
      <c r="C4392" s="2" t="str">
        <f ca="1">IFERROR(__xludf.DUMMYFUNCTION("""COMPUTED_VALUE"""),"Eigenpie mETH")</f>
        <v>Eigenpie mETH</v>
      </c>
    </row>
    <row r="4393" spans="1:3" x14ac:dyDescent="0.25">
      <c r="A4393" s="2" t="str">
        <f ca="1">IFERROR(__xludf.DUMMYFUNCTION("""COMPUTED_VALUE"""),"eigenpie-msteth")</f>
        <v>eigenpie-msteth</v>
      </c>
      <c r="B4393" s="2" t="str">
        <f ca="1">IFERROR(__xludf.DUMMYFUNCTION("""COMPUTED_VALUE"""),"msteth")</f>
        <v>msteth</v>
      </c>
      <c r="C4393" s="2" t="str">
        <f ca="1">IFERROR(__xludf.DUMMYFUNCTION("""COMPUTED_VALUE"""),"Eigenpie mstETH")</f>
        <v>Eigenpie mstETH</v>
      </c>
    </row>
    <row r="4394" spans="1:3" x14ac:dyDescent="0.25">
      <c r="A4394" s="2" t="str">
        <f ca="1">IFERROR(__xludf.DUMMYFUNCTION("""COMPUTED_VALUE"""),"eigenpie-oeth")</f>
        <v>eigenpie-oeth</v>
      </c>
      <c r="B4394" s="2" t="str">
        <f ca="1">IFERROR(__xludf.DUMMYFUNCTION("""COMPUTED_VALUE"""),"moeth")</f>
        <v>moeth</v>
      </c>
      <c r="C4394" s="2" t="str">
        <f ca="1">IFERROR(__xludf.DUMMYFUNCTION("""COMPUTED_VALUE"""),"Eigenpie oETH")</f>
        <v>Eigenpie oETH</v>
      </c>
    </row>
    <row r="4395" spans="1:3" x14ac:dyDescent="0.25">
      <c r="A4395" s="2" t="str">
        <f ca="1">IFERROR(__xludf.DUMMYFUNCTION("""COMPUTED_VALUE"""),"eigenpie-oseth")</f>
        <v>eigenpie-oseth</v>
      </c>
      <c r="B4395" s="2" t="str">
        <f ca="1">IFERROR(__xludf.DUMMYFUNCTION("""COMPUTED_VALUE"""),"moseth")</f>
        <v>moseth</v>
      </c>
      <c r="C4395" s="2" t="str">
        <f ca="1">IFERROR(__xludf.DUMMYFUNCTION("""COMPUTED_VALUE"""),"Eigenpie OsETH")</f>
        <v>Eigenpie OsETH</v>
      </c>
    </row>
    <row r="4396" spans="1:3" x14ac:dyDescent="0.25">
      <c r="A4396" s="2" t="str">
        <f ca="1">IFERROR(__xludf.DUMMYFUNCTION("""COMPUTED_VALUE"""),"eigenpie-reth")</f>
        <v>eigenpie-reth</v>
      </c>
      <c r="B4396" s="2" t="str">
        <f ca="1">IFERROR(__xludf.DUMMYFUNCTION("""COMPUTED_VALUE"""),"mreth")</f>
        <v>mreth</v>
      </c>
      <c r="C4396" s="2" t="str">
        <f ca="1">IFERROR(__xludf.DUMMYFUNCTION("""COMPUTED_VALUE"""),"Eigenpie rETH")</f>
        <v>Eigenpie rETH</v>
      </c>
    </row>
    <row r="4397" spans="1:3" x14ac:dyDescent="0.25">
      <c r="A4397" s="2" t="str">
        <f ca="1">IFERROR(__xludf.DUMMYFUNCTION("""COMPUTED_VALUE"""),"eigenpie-sweth")</f>
        <v>eigenpie-sweth</v>
      </c>
      <c r="B4397" s="2" t="str">
        <f ca="1">IFERROR(__xludf.DUMMYFUNCTION("""COMPUTED_VALUE"""),"msweth")</f>
        <v>msweth</v>
      </c>
      <c r="C4397" s="2" t="str">
        <f ca="1">IFERROR(__xludf.DUMMYFUNCTION("""COMPUTED_VALUE"""),"Eigenpie swETH")</f>
        <v>Eigenpie swETH</v>
      </c>
    </row>
    <row r="4398" spans="1:3" x14ac:dyDescent="0.25">
      <c r="A4398" s="2" t="str">
        <f ca="1">IFERROR(__xludf.DUMMYFUNCTION("""COMPUTED_VALUE"""),"eigenpie-wbeth")</f>
        <v>eigenpie-wbeth</v>
      </c>
      <c r="B4398" s="2" t="str">
        <f ca="1">IFERROR(__xludf.DUMMYFUNCTION("""COMPUTED_VALUE"""),"mwbeth")</f>
        <v>mwbeth</v>
      </c>
      <c r="C4398" s="2" t="str">
        <f ca="1">IFERROR(__xludf.DUMMYFUNCTION("""COMPUTED_VALUE"""),"Eigenpie wBETH")</f>
        <v>Eigenpie wBETH</v>
      </c>
    </row>
    <row r="4399" spans="1:3" x14ac:dyDescent="0.25">
      <c r="A4399" s="2" t="str">
        <f ca="1">IFERROR(__xludf.DUMMYFUNCTION("""COMPUTED_VALUE"""),"einsteinium")</f>
        <v>einsteinium</v>
      </c>
      <c r="B4399" s="2" t="str">
        <f ca="1">IFERROR(__xludf.DUMMYFUNCTION("""COMPUTED_VALUE"""),"emc2")</f>
        <v>emc2</v>
      </c>
      <c r="C4399" s="2" t="str">
        <f ca="1">IFERROR(__xludf.DUMMYFUNCTION("""COMPUTED_VALUE"""),"Einsteinium")</f>
        <v>Einsteinium</v>
      </c>
    </row>
    <row r="4400" spans="1:3" x14ac:dyDescent="0.25">
      <c r="A4400" s="2" t="str">
        <f ca="1">IFERROR(__xludf.DUMMYFUNCTION("""COMPUTED_VALUE"""),"eiob")</f>
        <v>eiob</v>
      </c>
      <c r="B4400" s="2" t="str">
        <f ca="1">IFERROR(__xludf.DUMMYFUNCTION("""COMPUTED_VALUE"""),"eiob")</f>
        <v>eiob</v>
      </c>
      <c r="C4400" s="2" t="str">
        <f ca="1">IFERROR(__xludf.DUMMYFUNCTION("""COMPUTED_VALUE"""),"EIOB")</f>
        <v>EIOB</v>
      </c>
    </row>
    <row r="4401" spans="1:3" x14ac:dyDescent="0.25">
      <c r="A4401" s="2" t="str">
        <f ca="1">IFERROR(__xludf.DUMMYFUNCTION("""COMPUTED_VALUE"""),"eiqt-token")</f>
        <v>eiqt-token</v>
      </c>
      <c r="B4401" s="2" t="str">
        <f ca="1">IFERROR(__xludf.DUMMYFUNCTION("""COMPUTED_VALUE"""),"eiqt")</f>
        <v>eiqt</v>
      </c>
      <c r="C4401" s="2" t="str">
        <f ca="1">IFERROR(__xludf.DUMMYFUNCTION("""COMPUTED_VALUE"""),"eIQT Token")</f>
        <v>eIQT Token</v>
      </c>
    </row>
    <row r="4402" spans="1:3" x14ac:dyDescent="0.25">
      <c r="A4402" s="2" t="str">
        <f ca="1">IFERROR(__xludf.DUMMYFUNCTION("""COMPUTED_VALUE"""),"eiyaro")</f>
        <v>eiyaro</v>
      </c>
      <c r="B4402" s="2" t="str">
        <f ca="1">IFERROR(__xludf.DUMMYFUNCTION("""COMPUTED_VALUE"""),"ey")</f>
        <v>ey</v>
      </c>
      <c r="C4402" s="2" t="str">
        <f ca="1">IFERROR(__xludf.DUMMYFUNCTION("""COMPUTED_VALUE"""),"Eiyaro")</f>
        <v>Eiyaro</v>
      </c>
    </row>
    <row r="4403" spans="1:3" x14ac:dyDescent="0.25">
      <c r="A4403" s="2" t="str">
        <f ca="1">IFERROR(__xludf.DUMMYFUNCTION("""COMPUTED_VALUE"""),"ekta-2")</f>
        <v>ekta-2</v>
      </c>
      <c r="B4403" s="2" t="str">
        <f ca="1">IFERROR(__xludf.DUMMYFUNCTION("""COMPUTED_VALUE"""),"ekta")</f>
        <v>ekta</v>
      </c>
      <c r="C4403" s="2" t="str">
        <f ca="1">IFERROR(__xludf.DUMMYFUNCTION("""COMPUTED_VALUE"""),"Ekta")</f>
        <v>Ekta</v>
      </c>
    </row>
    <row r="4404" spans="1:3" x14ac:dyDescent="0.25">
      <c r="A4404" s="2" t="str">
        <f ca="1">IFERROR(__xludf.DUMMYFUNCTION("""COMPUTED_VALUE"""),"ekubo-protocol")</f>
        <v>ekubo-protocol</v>
      </c>
      <c r="B4404" s="2" t="str">
        <f ca="1">IFERROR(__xludf.DUMMYFUNCTION("""COMPUTED_VALUE"""),"ekubo")</f>
        <v>ekubo</v>
      </c>
      <c r="C4404" s="2" t="str">
        <f ca="1">IFERROR(__xludf.DUMMYFUNCTION("""COMPUTED_VALUE"""),"Ekubo Protocol")</f>
        <v>Ekubo Protocol</v>
      </c>
    </row>
    <row r="4405" spans="1:3" x14ac:dyDescent="0.25">
      <c r="A4405" s="2" t="str">
        <f ca="1">IFERROR(__xludf.DUMMYFUNCTION("""COMPUTED_VALUE"""),"elastic-finance-token")</f>
        <v>elastic-finance-token</v>
      </c>
      <c r="B4405" s="2" t="str">
        <f ca="1">IFERROR(__xludf.DUMMYFUNCTION("""COMPUTED_VALUE"""),"eefi")</f>
        <v>eefi</v>
      </c>
      <c r="C4405" s="2" t="str">
        <f ca="1">IFERROR(__xludf.DUMMYFUNCTION("""COMPUTED_VALUE"""),"Elastic Finance Token")</f>
        <v>Elastic Finance Token</v>
      </c>
    </row>
    <row r="4406" spans="1:3" x14ac:dyDescent="0.25">
      <c r="A4406" s="2" t="str">
        <f ca="1">IFERROR(__xludf.DUMMYFUNCTION("""COMPUTED_VALUE"""),"elastos")</f>
        <v>elastos</v>
      </c>
      <c r="B4406" s="2" t="str">
        <f ca="1">IFERROR(__xludf.DUMMYFUNCTION("""COMPUTED_VALUE"""),"ela")</f>
        <v>ela</v>
      </c>
      <c r="C4406" s="2" t="str">
        <f ca="1">IFERROR(__xludf.DUMMYFUNCTION("""COMPUTED_VALUE"""),"Elastos")</f>
        <v>Elastos</v>
      </c>
    </row>
    <row r="4407" spans="1:3" x14ac:dyDescent="0.25">
      <c r="A4407" s="2" t="str">
        <f ca="1">IFERROR(__xludf.DUMMYFUNCTION("""COMPUTED_VALUE"""),"elawn-moosk")</f>
        <v>elawn-moosk</v>
      </c>
      <c r="B4407" s="2" t="str">
        <f ca="1">IFERROR(__xludf.DUMMYFUNCTION("""COMPUTED_VALUE"""),"moosk")</f>
        <v>moosk</v>
      </c>
      <c r="C4407" s="2" t="str">
        <f ca="1">IFERROR(__xludf.DUMMYFUNCTION("""COMPUTED_VALUE"""),"Elawn Moosk")</f>
        <v>Elawn Moosk</v>
      </c>
    </row>
    <row r="4408" spans="1:3" x14ac:dyDescent="0.25">
      <c r="A4408" s="2" t="str">
        <f ca="1">IFERROR(__xludf.DUMMYFUNCTION("""COMPUTED_VALUE"""),"el-changuito")</f>
        <v>el-changuito</v>
      </c>
      <c r="B4408" s="2" t="str">
        <f ca="1">IFERROR(__xludf.DUMMYFUNCTION("""COMPUTED_VALUE"""),"chango")</f>
        <v>chango</v>
      </c>
      <c r="C4408" s="2" t="str">
        <f ca="1">IFERROR(__xludf.DUMMYFUNCTION("""COMPUTED_VALUE"""),"EL CHANGUITO")</f>
        <v>EL CHANGUITO</v>
      </c>
    </row>
    <row r="4409" spans="1:3" x14ac:dyDescent="0.25">
      <c r="A4409" s="2" t="str">
        <f ca="1">IFERROR(__xludf.DUMMYFUNCTION("""COMPUTED_VALUE"""),"eldarune")</f>
        <v>eldarune</v>
      </c>
      <c r="B4409" s="2" t="str">
        <f ca="1">IFERROR(__xludf.DUMMYFUNCTION("""COMPUTED_VALUE"""),"elda")</f>
        <v>elda</v>
      </c>
      <c r="C4409" s="2" t="str">
        <f ca="1">IFERROR(__xludf.DUMMYFUNCTION("""COMPUTED_VALUE"""),"Eldarune")</f>
        <v>Eldarune</v>
      </c>
    </row>
    <row r="4410" spans="1:3" x14ac:dyDescent="0.25">
      <c r="A4410" s="2" t="str">
        <f ca="1">IFERROR(__xludf.DUMMYFUNCTION("""COMPUTED_VALUE"""),"el-dorado-exchange-base")</f>
        <v>el-dorado-exchange-base</v>
      </c>
      <c r="B4410" s="2" t="str">
        <f ca="1">IFERROR(__xludf.DUMMYFUNCTION("""COMPUTED_VALUE"""),"ede")</f>
        <v>ede</v>
      </c>
      <c r="C4410" s="2" t="str">
        <f ca="1">IFERROR(__xludf.DUMMYFUNCTION("""COMPUTED_VALUE"""),"El Dorado Exchange (Base)")</f>
        <v>El Dorado Exchange (Base)</v>
      </c>
    </row>
    <row r="4411" spans="1:3" x14ac:dyDescent="0.25">
      <c r="A4411" s="2" t="str">
        <f ca="1">IFERROR(__xludf.DUMMYFUNCTION("""COMPUTED_VALUE"""),"electra")</f>
        <v>electra</v>
      </c>
      <c r="B4411" s="2" t="str">
        <f ca="1">IFERROR(__xludf.DUMMYFUNCTION("""COMPUTED_VALUE"""),"eca")</f>
        <v>eca</v>
      </c>
      <c r="C4411" s="2" t="str">
        <f ca="1">IFERROR(__xludf.DUMMYFUNCTION("""COMPUTED_VALUE"""),"Electra")</f>
        <v>Electra</v>
      </c>
    </row>
    <row r="4412" spans="1:3" x14ac:dyDescent="0.25">
      <c r="A4412" s="2" t="str">
        <f ca="1">IFERROR(__xludf.DUMMYFUNCTION("""COMPUTED_VALUE"""),"electra-protocol")</f>
        <v>electra-protocol</v>
      </c>
      <c r="B4412" s="2" t="str">
        <f ca="1">IFERROR(__xludf.DUMMYFUNCTION("""COMPUTED_VALUE"""),"xep")</f>
        <v>xep</v>
      </c>
      <c r="C4412" s="2" t="str">
        <f ca="1">IFERROR(__xludf.DUMMYFUNCTION("""COMPUTED_VALUE"""),"Electra Protocol")</f>
        <v>Electra Protocol</v>
      </c>
    </row>
    <row r="4413" spans="1:3" x14ac:dyDescent="0.25">
      <c r="A4413" s="2" t="str">
        <f ca="1">IFERROR(__xludf.DUMMYFUNCTION("""COMPUTED_VALUE"""),"electric-cash")</f>
        <v>electric-cash</v>
      </c>
      <c r="B4413" s="2" t="str">
        <f ca="1">IFERROR(__xludf.DUMMYFUNCTION("""COMPUTED_VALUE"""),"elcash")</f>
        <v>elcash</v>
      </c>
      <c r="C4413" s="2" t="str">
        <f ca="1">IFERROR(__xludf.DUMMYFUNCTION("""COMPUTED_VALUE"""),"Electric Cash")</f>
        <v>Electric Cash</v>
      </c>
    </row>
    <row r="4414" spans="1:3" x14ac:dyDescent="0.25">
      <c r="A4414" s="2" t="str">
        <f ca="1">IFERROR(__xludf.DUMMYFUNCTION("""COMPUTED_VALUE"""),"electric-vehicle-direct-currency")</f>
        <v>electric-vehicle-direct-currency</v>
      </c>
      <c r="B4414" s="2" t="str">
        <f ca="1">IFERROR(__xludf.DUMMYFUNCTION("""COMPUTED_VALUE"""),"evdc")</f>
        <v>evdc</v>
      </c>
      <c r="C4414" s="2" t="str">
        <f ca="1">IFERROR(__xludf.DUMMYFUNCTION("""COMPUTED_VALUE"""),"Electric Vehicle Direct Currency")</f>
        <v>Electric Vehicle Direct Currency</v>
      </c>
    </row>
    <row r="4415" spans="1:3" x14ac:dyDescent="0.25">
      <c r="A4415" s="2" t="str">
        <f ca="1">IFERROR(__xludf.DUMMYFUNCTION("""COMPUTED_VALUE"""),"electric-vehicle-zone")</f>
        <v>electric-vehicle-zone</v>
      </c>
      <c r="B4415" s="2" t="str">
        <f ca="1">IFERROR(__xludf.DUMMYFUNCTION("""COMPUTED_VALUE"""),"evz")</f>
        <v>evz</v>
      </c>
      <c r="C4415" s="2" t="str">
        <f ca="1">IFERROR(__xludf.DUMMYFUNCTION("""COMPUTED_VALUE"""),"Electric Vehicle Zone")</f>
        <v>Electric Vehicle Zone</v>
      </c>
    </row>
    <row r="4416" spans="1:3" x14ac:dyDescent="0.25">
      <c r="A4416" s="2" t="str">
        <f ca="1">IFERROR(__xludf.DUMMYFUNCTION("""COMPUTED_VALUE"""),"electrify-asia")</f>
        <v>electrify-asia</v>
      </c>
      <c r="B4416" s="2" t="str">
        <f ca="1">IFERROR(__xludf.DUMMYFUNCTION("""COMPUTED_VALUE"""),"elec")</f>
        <v>elec</v>
      </c>
      <c r="C4416" s="3" t="str">
        <f ca="1">IFERROR(__xludf.DUMMYFUNCTION("""COMPUTED_VALUE"""),"Electrify.Asia")</f>
        <v>Electrify.Asia</v>
      </c>
    </row>
    <row r="4417" spans="1:3" x14ac:dyDescent="0.25">
      <c r="A4417" s="2" t="str">
        <f ca="1">IFERROR(__xludf.DUMMYFUNCTION("""COMPUTED_VALUE"""),"electron-arc-20")</f>
        <v>electron-arc-20</v>
      </c>
      <c r="B4417" s="2" t="str">
        <f ca="1">IFERROR(__xludf.DUMMYFUNCTION("""COMPUTED_VALUE"""),"electron")</f>
        <v>electron</v>
      </c>
      <c r="C4417" s="2" t="str">
        <f ca="1">IFERROR(__xludf.DUMMYFUNCTION("""COMPUTED_VALUE"""),"Electron (ARC-20)")</f>
        <v>Electron (ARC-20)</v>
      </c>
    </row>
    <row r="4418" spans="1:3" x14ac:dyDescent="0.25">
      <c r="A4418" s="2" t="str">
        <f ca="1">IFERROR(__xludf.DUMMYFUNCTION("""COMPUTED_VALUE"""),"electroneum")</f>
        <v>electroneum</v>
      </c>
      <c r="B4418" s="2" t="str">
        <f ca="1">IFERROR(__xludf.DUMMYFUNCTION("""COMPUTED_VALUE"""),"etn")</f>
        <v>etn</v>
      </c>
      <c r="C4418" s="2" t="str">
        <f ca="1">IFERROR(__xludf.DUMMYFUNCTION("""COMPUTED_VALUE"""),"Electroneum")</f>
        <v>Electroneum</v>
      </c>
    </row>
    <row r="4419" spans="1:3" x14ac:dyDescent="0.25">
      <c r="A4419" s="2" t="str">
        <f ca="1">IFERROR(__xludf.DUMMYFUNCTION("""COMPUTED_VALUE"""),"electronicgulden")</f>
        <v>electronicgulden</v>
      </c>
      <c r="B4419" s="2" t="str">
        <f ca="1">IFERROR(__xludf.DUMMYFUNCTION("""COMPUTED_VALUE"""),"efl")</f>
        <v>efl</v>
      </c>
      <c r="C4419" s="2" t="str">
        <f ca="1">IFERROR(__xludf.DUMMYFUNCTION("""COMPUTED_VALUE"""),"Electronic Gulden")</f>
        <v>Electronic Gulden</v>
      </c>
    </row>
    <row r="4420" spans="1:3" x14ac:dyDescent="0.25">
      <c r="A4420" s="2" t="str">
        <f ca="1">IFERROR(__xludf.DUMMYFUNCTION("""COMPUTED_VALUE"""),"electronic-usd")</f>
        <v>electronic-usd</v>
      </c>
      <c r="B4420" s="2" t="str">
        <f ca="1">IFERROR(__xludf.DUMMYFUNCTION("""COMPUTED_VALUE"""),"eusd")</f>
        <v>eusd</v>
      </c>
      <c r="C4420" s="2" t="str">
        <f ca="1">IFERROR(__xludf.DUMMYFUNCTION("""COMPUTED_VALUE"""),"Electronic USD")</f>
        <v>Electronic USD</v>
      </c>
    </row>
    <row r="4421" spans="1:3" x14ac:dyDescent="0.25">
      <c r="A4421" s="2" t="str">
        <f ca="1">IFERROR(__xludf.DUMMYFUNCTION("""COMPUTED_VALUE"""),"electron-protocol")</f>
        <v>electron-protocol</v>
      </c>
      <c r="B4421" s="2" t="str">
        <f ca="1">IFERROR(__xludf.DUMMYFUNCTION("""COMPUTED_VALUE"""),"ele")</f>
        <v>ele</v>
      </c>
      <c r="C4421" s="2" t="str">
        <f ca="1">IFERROR(__xludf.DUMMYFUNCTION("""COMPUTED_VALUE"""),"Electron Protocol")</f>
        <v>Electron Protocol</v>
      </c>
    </row>
    <row r="4422" spans="1:3" x14ac:dyDescent="0.25">
      <c r="A4422" s="2" t="str">
        <f ca="1">IFERROR(__xludf.DUMMYFUNCTION("""COMPUTED_VALUE"""),"elefant")</f>
        <v>elefant</v>
      </c>
      <c r="B4422" s="2" t="str">
        <f ca="1">IFERROR(__xludf.DUMMYFUNCTION("""COMPUTED_VALUE"""),"ele")</f>
        <v>ele</v>
      </c>
      <c r="C4422" s="2" t="str">
        <f ca="1">IFERROR(__xludf.DUMMYFUNCTION("""COMPUTED_VALUE"""),"Elefant")</f>
        <v>Elefant</v>
      </c>
    </row>
    <row r="4423" spans="1:3" x14ac:dyDescent="0.25">
      <c r="A4423" s="2" t="str">
        <f ca="1">IFERROR(__xludf.DUMMYFUNCTION("""COMPUTED_VALUE"""),"elektrik")</f>
        <v>elektrik</v>
      </c>
      <c r="B4423" s="2" t="str">
        <f ca="1">IFERROR(__xludf.DUMMYFUNCTION("""COMPUTED_VALUE"""),"eltk")</f>
        <v>eltk</v>
      </c>
      <c r="C4423" s="2" t="str">
        <f ca="1">IFERROR(__xludf.DUMMYFUNCTION("""COMPUTED_VALUE"""),"Elektrik")</f>
        <v>Elektrik</v>
      </c>
    </row>
    <row r="4424" spans="1:3" x14ac:dyDescent="0.25">
      <c r="A4424" s="2" t="str">
        <f ca="1">IFERROR(__xludf.DUMMYFUNCTION("""COMPUTED_VALUE"""),"element")</f>
        <v>element</v>
      </c>
      <c r="B4424" s="2" t="str">
        <f ca="1">IFERROR(__xludf.DUMMYFUNCTION("""COMPUTED_VALUE"""),"elmt")</f>
        <v>elmt</v>
      </c>
      <c r="C4424" s="2" t="str">
        <f ca="1">IFERROR(__xludf.DUMMYFUNCTION("""COMPUTED_VALUE"""),"Element")</f>
        <v>Element</v>
      </c>
    </row>
    <row r="4425" spans="1:3" x14ac:dyDescent="0.25">
      <c r="A4425" s="2" t="str">
        <f ca="1">IFERROR(__xludf.DUMMYFUNCTION("""COMPUTED_VALUE"""),"elemental-story")</f>
        <v>elemental-story</v>
      </c>
      <c r="B4425" s="2" t="str">
        <f ca="1">IFERROR(__xludf.DUMMYFUNCTION("""COMPUTED_VALUE"""),"pgt")</f>
        <v>pgt</v>
      </c>
      <c r="C4425" s="2" t="str">
        <f ca="1">IFERROR(__xludf.DUMMYFUNCTION("""COMPUTED_VALUE"""),"Elemental Story")</f>
        <v>Elemental Story</v>
      </c>
    </row>
    <row r="4426" spans="1:3" x14ac:dyDescent="0.25">
      <c r="A4426" s="2" t="str">
        <f ca="1">IFERROR(__xludf.DUMMYFUNCTION("""COMPUTED_VALUE"""),"elephant-money")</f>
        <v>elephant-money</v>
      </c>
      <c r="B4426" s="2" t="str">
        <f ca="1">IFERROR(__xludf.DUMMYFUNCTION("""COMPUTED_VALUE"""),"elephant")</f>
        <v>elephant</v>
      </c>
      <c r="C4426" s="2" t="str">
        <f ca="1">IFERROR(__xludf.DUMMYFUNCTION("""COMPUTED_VALUE"""),"Elephant Money")</f>
        <v>Elephant Money</v>
      </c>
    </row>
    <row r="4427" spans="1:3" x14ac:dyDescent="0.25">
      <c r="A4427" s="2" t="str">
        <f ca="1">IFERROR(__xludf.DUMMYFUNCTION("""COMPUTED_VALUE"""),"elephant-money-trunk")</f>
        <v>elephant-money-trunk</v>
      </c>
      <c r="B4427" s="2" t="str">
        <f ca="1">IFERROR(__xludf.DUMMYFUNCTION("""COMPUTED_VALUE"""),"trunk")</f>
        <v>trunk</v>
      </c>
      <c r="C4427" s="2" t="str">
        <f ca="1">IFERROR(__xludf.DUMMYFUNCTION("""COMPUTED_VALUE"""),"Elephant Money (TRUNK)")</f>
        <v>Elephant Money (TRUNK)</v>
      </c>
    </row>
    <row r="4428" spans="1:3" x14ac:dyDescent="0.25">
      <c r="A4428" s="2" t="str">
        <f ca="1">IFERROR(__xludf.DUMMYFUNCTION("""COMPUTED_VALUE"""),"elephantpepe")</f>
        <v>elephantpepe</v>
      </c>
      <c r="B4428" s="2" t="str">
        <f ca="1">IFERROR(__xludf.DUMMYFUNCTION("""COMPUTED_VALUE"""),"elepepe")</f>
        <v>elepepe</v>
      </c>
      <c r="C4428" s="2" t="str">
        <f ca="1">IFERROR(__xludf.DUMMYFUNCTION("""COMPUTED_VALUE"""),"ElephantPepe")</f>
        <v>ElephantPepe</v>
      </c>
    </row>
    <row r="4429" spans="1:3" x14ac:dyDescent="0.25">
      <c r="A4429" s="2" t="str">
        <f ca="1">IFERROR(__xludf.DUMMYFUNCTION("""COMPUTED_VALUE"""),"elevate-bridged-dai-metis-andromeda")</f>
        <v>elevate-bridged-dai-metis-andromeda</v>
      </c>
      <c r="B4429" s="2" t="str">
        <f ca="1">IFERROR(__xludf.DUMMYFUNCTION("""COMPUTED_VALUE"""),"dai")</f>
        <v>dai</v>
      </c>
      <c r="C4429" s="2" t="str">
        <f ca="1">IFERROR(__xludf.DUMMYFUNCTION("""COMPUTED_VALUE"""),"Elevate Bridged DAI (Metis Andromeda)")</f>
        <v>Elevate Bridged DAI (Metis Andromeda)</v>
      </c>
    </row>
    <row r="4430" spans="1:3" x14ac:dyDescent="0.25">
      <c r="A4430" s="2" t="str">
        <f ca="1">IFERROR(__xludf.DUMMYFUNCTION("""COMPUTED_VALUE"""),"elevate-token")</f>
        <v>elevate-token</v>
      </c>
      <c r="B4430" s="2" t="str">
        <f ca="1">IFERROR(__xludf.DUMMYFUNCTION("""COMPUTED_VALUE"""),"$elev")</f>
        <v>$elev</v>
      </c>
      <c r="C4430" s="2" t="str">
        <f ca="1">IFERROR(__xludf.DUMMYFUNCTION("""COMPUTED_VALUE"""),"Elevate Token")</f>
        <v>Elevate Token</v>
      </c>
    </row>
    <row r="4431" spans="1:3" x14ac:dyDescent="0.25">
      <c r="A4431" s="2" t="str">
        <f ca="1">IFERROR(__xludf.DUMMYFUNCTION("""COMPUTED_VALUE"""),"el-gato")</f>
        <v>el-gato</v>
      </c>
      <c r="B4431" s="2" t="str">
        <f ca="1">IFERROR(__xludf.DUMMYFUNCTION("""COMPUTED_VALUE"""),"elgato")</f>
        <v>elgato</v>
      </c>
      <c r="C4431" s="2" t="str">
        <f ca="1">IFERROR(__xludf.DUMMYFUNCTION("""COMPUTED_VALUE"""),"el gato")</f>
        <v>el gato</v>
      </c>
    </row>
    <row r="4432" spans="1:3" x14ac:dyDescent="0.25">
      <c r="A4432" s="2" t="str">
        <f ca="1">IFERROR(__xludf.DUMMYFUNCTION("""COMPUTED_VALUE"""),"el-gato-2")</f>
        <v>el-gato-2</v>
      </c>
      <c r="B4432" s="2" t="str">
        <f ca="1">IFERROR(__xludf.DUMMYFUNCTION("""COMPUTED_VALUE"""),"elgato")</f>
        <v>elgato</v>
      </c>
      <c r="C4432" s="2" t="str">
        <f ca="1">IFERROR(__xludf.DUMMYFUNCTION("""COMPUTED_VALUE"""),"EL GATO")</f>
        <v>EL GATO</v>
      </c>
    </row>
    <row r="4433" spans="1:3" x14ac:dyDescent="0.25">
      <c r="A4433" s="2" t="str">
        <f ca="1">IFERROR(__xludf.DUMMYFUNCTION("""COMPUTED_VALUE"""),"el-hippo")</f>
        <v>el-hippo</v>
      </c>
      <c r="B4433" s="2" t="str">
        <f ca="1">IFERROR(__xludf.DUMMYFUNCTION("""COMPUTED_VALUE"""),"hipp")</f>
        <v>hipp</v>
      </c>
      <c r="C4433" s="2" t="str">
        <f ca="1">IFERROR(__xludf.DUMMYFUNCTION("""COMPUTED_VALUE"""),"El Hippo")</f>
        <v>El Hippo</v>
      </c>
    </row>
    <row r="4434" spans="1:3" x14ac:dyDescent="0.25">
      <c r="A4434" s="2" t="str">
        <f ca="1">IFERROR(__xludf.DUMMYFUNCTION("""COMPUTED_VALUE"""),"eligma")</f>
        <v>eligma</v>
      </c>
      <c r="B4434" s="2" t="str">
        <f ca="1">IFERROR(__xludf.DUMMYFUNCTION("""COMPUTED_VALUE"""),"goc")</f>
        <v>goc</v>
      </c>
      <c r="C4434" s="2" t="str">
        <f ca="1">IFERROR(__xludf.DUMMYFUNCTION("""COMPUTED_VALUE"""),"GoCrypto")</f>
        <v>GoCrypto</v>
      </c>
    </row>
    <row r="4435" spans="1:3" x14ac:dyDescent="0.25">
      <c r="A4435" s="2" t="str">
        <f ca="1">IFERROR(__xludf.DUMMYFUNCTION("""COMPUTED_VALUE"""),"elis")</f>
        <v>elis</v>
      </c>
      <c r="B4435" s="2" t="str">
        <f ca="1">IFERROR(__xludf.DUMMYFUNCTION("""COMPUTED_VALUE"""),"xls")</f>
        <v>xls</v>
      </c>
      <c r="C4435" s="2" t="str">
        <f ca="1">IFERROR(__xludf.DUMMYFUNCTION("""COMPUTED_VALUE"""),"ELIS")</f>
        <v>ELIS</v>
      </c>
    </row>
    <row r="4436" spans="1:3" x14ac:dyDescent="0.25">
      <c r="A4436" s="2" t="str">
        <f ca="1">IFERROR(__xludf.DUMMYFUNCTION("""COMPUTED_VALUE"""),"elixir-deusd")</f>
        <v>elixir-deusd</v>
      </c>
      <c r="B4436" s="2" t="str">
        <f ca="1">IFERROR(__xludf.DUMMYFUNCTION("""COMPUTED_VALUE"""),"deusd")</f>
        <v>deusd</v>
      </c>
      <c r="C4436" s="2" t="str">
        <f ca="1">IFERROR(__xludf.DUMMYFUNCTION("""COMPUTED_VALUE"""),"Elixir deUSD")</f>
        <v>Elixir deUSD</v>
      </c>
    </row>
    <row r="4437" spans="1:3" x14ac:dyDescent="0.25">
      <c r="A4437" s="2" t="str">
        <f ca="1">IFERROR(__xludf.DUMMYFUNCTION("""COMPUTED_VALUE"""),"elixir-finance")</f>
        <v>elixir-finance</v>
      </c>
      <c r="B4437" s="2" t="str">
        <f ca="1">IFERROR(__xludf.DUMMYFUNCTION("""COMPUTED_VALUE"""),"elxr")</f>
        <v>elxr</v>
      </c>
      <c r="C4437" s="2" t="str">
        <f ca="1">IFERROR(__xludf.DUMMYFUNCTION("""COMPUTED_VALUE"""),"Elixir")</f>
        <v>Elixir</v>
      </c>
    </row>
    <row r="4438" spans="1:3" x14ac:dyDescent="0.25">
      <c r="A4438" s="2" t="str">
        <f ca="1">IFERROR(__xludf.DUMMYFUNCTION("""COMPUTED_VALUE"""),"elixir-token")</f>
        <v>elixir-token</v>
      </c>
      <c r="B4438" s="2" t="str">
        <f ca="1">IFERROR(__xludf.DUMMYFUNCTION("""COMPUTED_VALUE"""),"elix")</f>
        <v>elix</v>
      </c>
      <c r="C4438" s="2" t="str">
        <f ca="1">IFERROR(__xludf.DUMMYFUNCTION("""COMPUTED_VALUE"""),"Elixir Games")</f>
        <v>Elixir Games</v>
      </c>
    </row>
    <row r="4439" spans="1:3" x14ac:dyDescent="0.25">
      <c r="A4439" s="2" t="str">
        <f ca="1">IFERROR(__xludf.DUMMYFUNCTION("""COMPUTED_VALUE"""),"elizabath-whoren")</f>
        <v>elizabath-whoren</v>
      </c>
      <c r="B4439" s="2" t="str">
        <f ca="1">IFERROR(__xludf.DUMMYFUNCTION("""COMPUTED_VALUE"""),"whoren")</f>
        <v>whoren</v>
      </c>
      <c r="C4439" s="2" t="str">
        <f ca="1">IFERROR(__xludf.DUMMYFUNCTION("""COMPUTED_VALUE"""),"elizabath whoren")</f>
        <v>elizabath whoren</v>
      </c>
    </row>
    <row r="4440" spans="1:3" x14ac:dyDescent="0.25">
      <c r="A4440" s="2" t="str">
        <f ca="1">IFERROR(__xludf.DUMMYFUNCTION("""COMPUTED_VALUE"""),"elk-finance")</f>
        <v>elk-finance</v>
      </c>
      <c r="B4440" s="2" t="str">
        <f ca="1">IFERROR(__xludf.DUMMYFUNCTION("""COMPUTED_VALUE"""),"elk")</f>
        <v>elk</v>
      </c>
      <c r="C4440" s="2" t="str">
        <f ca="1">IFERROR(__xludf.DUMMYFUNCTION("""COMPUTED_VALUE"""),"Elk Finance")</f>
        <v>Elk Finance</v>
      </c>
    </row>
    <row r="4441" spans="1:3" x14ac:dyDescent="0.25">
      <c r="A4441" s="2" t="str">
        <f ca="1">IFERROR(__xludf.DUMMYFUNCTION("""COMPUTED_VALUE"""),"ellerium")</f>
        <v>ellerium</v>
      </c>
      <c r="B4441" s="2" t="str">
        <f ca="1">IFERROR(__xludf.DUMMYFUNCTION("""COMPUTED_VALUE"""),"elm")</f>
        <v>elm</v>
      </c>
      <c r="C4441" s="2" t="str">
        <f ca="1">IFERROR(__xludf.DUMMYFUNCTION("""COMPUTED_VALUE"""),"ELLERIUM")</f>
        <v>ELLERIUM</v>
      </c>
    </row>
    <row r="4442" spans="1:3" x14ac:dyDescent="0.25">
      <c r="A4442" s="2" t="str">
        <f ca="1">IFERROR(__xludf.DUMMYFUNCTION("""COMPUTED_VALUE"""),"ellipsis")</f>
        <v>ellipsis</v>
      </c>
      <c r="B4442" s="2" t="str">
        <f ca="1">IFERROR(__xludf.DUMMYFUNCTION("""COMPUTED_VALUE"""),"eps")</f>
        <v>eps</v>
      </c>
      <c r="C4442" s="2" t="str">
        <f ca="1">IFERROR(__xludf.DUMMYFUNCTION("""COMPUTED_VALUE"""),"Ellipsis [OLD]")</f>
        <v>Ellipsis [OLD]</v>
      </c>
    </row>
    <row r="4443" spans="1:3" x14ac:dyDescent="0.25">
      <c r="A4443" s="2" t="str">
        <f ca="1">IFERROR(__xludf.DUMMYFUNCTION("""COMPUTED_VALUE"""),"ellipsis-x")</f>
        <v>ellipsis-x</v>
      </c>
      <c r="B4443" s="2" t="str">
        <f ca="1">IFERROR(__xludf.DUMMYFUNCTION("""COMPUTED_VALUE"""),"epx")</f>
        <v>epx</v>
      </c>
      <c r="C4443" s="2" t="str">
        <f ca="1">IFERROR(__xludf.DUMMYFUNCTION("""COMPUTED_VALUE"""),"Ellipsis X")</f>
        <v>Ellipsis X</v>
      </c>
    </row>
    <row r="4444" spans="1:3" x14ac:dyDescent="0.25">
      <c r="A4444" s="2" t="str">
        <f ca="1">IFERROR(__xludf.DUMMYFUNCTION("""COMPUTED_VALUE"""),"elmoerc")</f>
        <v>elmoerc</v>
      </c>
      <c r="B4444" s="2" t="str">
        <f ca="1">IFERROR(__xludf.DUMMYFUNCTION("""COMPUTED_VALUE"""),"elmo")</f>
        <v>elmo</v>
      </c>
      <c r="C4444" s="2" t="str">
        <f ca="1">IFERROR(__xludf.DUMMYFUNCTION("""COMPUTED_VALUE"""),"ElmoERC")</f>
        <v>ElmoERC</v>
      </c>
    </row>
    <row r="4445" spans="1:3" x14ac:dyDescent="0.25">
      <c r="A4445" s="2" t="str">
        <f ca="1">IFERROR(__xludf.DUMMYFUNCTION("""COMPUTED_VALUE"""),"eloin")</f>
        <v>eloin</v>
      </c>
      <c r="B4445" s="2" t="str">
        <f ca="1">IFERROR(__xludf.DUMMYFUNCTION("""COMPUTED_VALUE"""),"eloin")</f>
        <v>eloin</v>
      </c>
      <c r="C4445" s="2" t="str">
        <f ca="1">IFERROR(__xludf.DUMMYFUNCTION("""COMPUTED_VALUE"""),"Eloin")</f>
        <v>Eloin</v>
      </c>
    </row>
    <row r="4446" spans="1:3" x14ac:dyDescent="0.25">
      <c r="A4446" s="2" t="str">
        <f ca="1">IFERROR(__xludf.DUMMYFUNCTION("""COMPUTED_VALUE"""),"elon")</f>
        <v>elon</v>
      </c>
      <c r="B4446" s="2" t="str">
        <f ca="1">IFERROR(__xludf.DUMMYFUNCTION("""COMPUTED_VALUE"""),"$elon")</f>
        <v>$elon</v>
      </c>
      <c r="C4446" s="2" t="str">
        <f ca="1">IFERROR(__xludf.DUMMYFUNCTION("""COMPUTED_VALUE"""),"Elon")</f>
        <v>Elon</v>
      </c>
    </row>
    <row r="4447" spans="1:3" x14ac:dyDescent="0.25">
      <c r="A4447" s="2" t="str">
        <f ca="1">IFERROR(__xludf.DUMMYFUNCTION("""COMPUTED_VALUE"""),"elon-2024")</f>
        <v>elon-2024</v>
      </c>
      <c r="B4447" s="2" t="str">
        <f ca="1">IFERROR(__xludf.DUMMYFUNCTION("""COMPUTED_VALUE"""),"elon2024")</f>
        <v>elon2024</v>
      </c>
      <c r="C4447" s="2" t="str">
        <f ca="1">IFERROR(__xludf.DUMMYFUNCTION("""COMPUTED_VALUE"""),"ELON 2024")</f>
        <v>ELON 2024</v>
      </c>
    </row>
    <row r="4448" spans="1:3" x14ac:dyDescent="0.25">
      <c r="A4448" s="2" t="str">
        <f ca="1">IFERROR(__xludf.DUMMYFUNCTION("""COMPUTED_VALUE"""),"elon-cat")</f>
        <v>elon-cat</v>
      </c>
      <c r="B4448" s="2" t="str">
        <f ca="1">IFERROR(__xludf.DUMMYFUNCTION("""COMPUTED_VALUE"""),"schrodinge")</f>
        <v>schrodinge</v>
      </c>
      <c r="C4448" s="2" t="str">
        <f ca="1">IFERROR(__xludf.DUMMYFUNCTION("""COMPUTED_VALUE"""),"Elon Cat")</f>
        <v>Elon Cat</v>
      </c>
    </row>
    <row r="4449" spans="1:3" x14ac:dyDescent="0.25">
      <c r="A4449" s="2" t="str">
        <f ca="1">IFERROR(__xludf.DUMMYFUNCTION("""COMPUTED_VALUE"""),"elon-cat-2")</f>
        <v>elon-cat-2</v>
      </c>
      <c r="B4449" s="2" t="str">
        <f ca="1">IFERROR(__xludf.DUMMYFUNCTION("""COMPUTED_VALUE"""),"eloncat")</f>
        <v>eloncat</v>
      </c>
      <c r="C4449" s="2" t="str">
        <f ca="1">IFERROR(__xludf.DUMMYFUNCTION("""COMPUTED_VALUE"""),"Elon Cat")</f>
        <v>Elon Cat</v>
      </c>
    </row>
    <row r="4450" spans="1:3" x14ac:dyDescent="0.25">
      <c r="A4450" s="2" t="str">
        <f ca="1">IFERROR(__xludf.DUMMYFUNCTION("""COMPUTED_VALUE"""),"elon-cat-finance")</f>
        <v>elon-cat-finance</v>
      </c>
      <c r="B4450" s="2" t="str">
        <f ca="1">IFERROR(__xludf.DUMMYFUNCTION("""COMPUTED_VALUE"""),"ecat")</f>
        <v>ecat</v>
      </c>
      <c r="C4450" s="2" t="str">
        <f ca="1">IFERROR(__xludf.DUMMYFUNCTION("""COMPUTED_VALUE"""),"ELON CAT FINANCE")</f>
        <v>ELON CAT FINANCE</v>
      </c>
    </row>
    <row r="4451" spans="1:3" x14ac:dyDescent="0.25">
      <c r="A4451" s="2" t="str">
        <f ca="1">IFERROR(__xludf.DUMMYFUNCTION("""COMPUTED_VALUE"""),"elon-doge-token")</f>
        <v>elon-doge-token</v>
      </c>
      <c r="B4451" s="2" t="str">
        <f ca="1">IFERROR(__xludf.DUMMYFUNCTION("""COMPUTED_VALUE"""),"edoge")</f>
        <v>edoge</v>
      </c>
      <c r="C4451" s="3" t="str">
        <f ca="1">IFERROR(__xludf.DUMMYFUNCTION("""COMPUTED_VALUE"""),"ElonDoge.io")</f>
        <v>ElonDoge.io</v>
      </c>
    </row>
    <row r="4452" spans="1:3" x14ac:dyDescent="0.25">
      <c r="A4452" s="2" t="str">
        <f ca="1">IFERROR(__xludf.DUMMYFUNCTION("""COMPUTED_VALUE"""),"elon-goat")</f>
        <v>elon-goat</v>
      </c>
      <c r="B4452" s="2" t="str">
        <f ca="1">IFERROR(__xludf.DUMMYFUNCTION("""COMPUTED_VALUE"""),"egt")</f>
        <v>egt</v>
      </c>
      <c r="C4452" s="2" t="str">
        <f ca="1">IFERROR(__xludf.DUMMYFUNCTION("""COMPUTED_VALUE"""),"Elon GOAT")</f>
        <v>Elon GOAT</v>
      </c>
    </row>
    <row r="4453" spans="1:3" x14ac:dyDescent="0.25">
      <c r="A4453" s="2" t="str">
        <f ca="1">IFERROR(__xludf.DUMMYFUNCTION("""COMPUTED_VALUE"""),"elon-mars")</f>
        <v>elon-mars</v>
      </c>
      <c r="B4453" s="2" t="str">
        <f ca="1">IFERROR(__xludf.DUMMYFUNCTION("""COMPUTED_VALUE"""),"elonmars")</f>
        <v>elonmars</v>
      </c>
      <c r="C4453" s="2" t="str">
        <f ca="1">IFERROR(__xludf.DUMMYFUNCTION("""COMPUTED_VALUE"""),"Elon Mars")</f>
        <v>Elon Mars</v>
      </c>
    </row>
    <row r="4454" spans="1:3" x14ac:dyDescent="0.25">
      <c r="A4454" s="2" t="str">
        <f ca="1">IFERROR(__xludf.DUMMYFUNCTION("""COMPUTED_VALUE"""),"elonrwa")</f>
        <v>elonrwa</v>
      </c>
      <c r="B4454" s="2" t="str">
        <f ca="1">IFERROR(__xludf.DUMMYFUNCTION("""COMPUTED_VALUE"""),"elonrwa")</f>
        <v>elonrwa</v>
      </c>
      <c r="C4454" s="2" t="str">
        <f ca="1">IFERROR(__xludf.DUMMYFUNCTION("""COMPUTED_VALUE"""),"ElonRWA")</f>
        <v>ElonRWA</v>
      </c>
    </row>
    <row r="4455" spans="1:3" x14ac:dyDescent="0.25">
      <c r="A4455" s="2" t="str">
        <f ca="1">IFERROR(__xludf.DUMMYFUNCTION("""COMPUTED_VALUE"""),"elon-s-cat")</f>
        <v>elon-s-cat</v>
      </c>
      <c r="B4455" s="2" t="str">
        <f ca="1">IFERROR(__xludf.DUMMYFUNCTION("""COMPUTED_VALUE"""),"catme")</f>
        <v>catme</v>
      </c>
      <c r="C4455" s="2" t="str">
        <f ca="1">IFERROR(__xludf.DUMMYFUNCTION("""COMPUTED_VALUE"""),"Elon's Cat")</f>
        <v>Elon's Cat</v>
      </c>
    </row>
    <row r="4456" spans="1:3" x14ac:dyDescent="0.25">
      <c r="A4456" s="2" t="str">
        <f ca="1">IFERROR(__xludf.DUMMYFUNCTION("""COMPUTED_VALUE"""),"elon-trump")</f>
        <v>elon-trump</v>
      </c>
      <c r="B4456" s="2" t="str">
        <f ca="1">IFERROR(__xludf.DUMMYFUNCTION("""COMPUTED_VALUE"""),"et")</f>
        <v>et</v>
      </c>
      <c r="C4456" s="2" t="str">
        <f ca="1">IFERROR(__xludf.DUMMYFUNCTION("""COMPUTED_VALUE"""),"Elon Trump")</f>
        <v>Elon Trump</v>
      </c>
    </row>
    <row r="4457" spans="1:3" x14ac:dyDescent="0.25">
      <c r="A4457" s="2" t="str">
        <f ca="1">IFERROR(__xludf.DUMMYFUNCTION("""COMPUTED_VALUE"""),"elon-xmas")</f>
        <v>elon-xmas</v>
      </c>
      <c r="B4457" s="2" t="str">
        <f ca="1">IFERROR(__xludf.DUMMYFUNCTION("""COMPUTED_VALUE"""),"xmas")</f>
        <v>xmas</v>
      </c>
      <c r="C4457" s="2" t="str">
        <f ca="1">IFERROR(__xludf.DUMMYFUNCTION("""COMPUTED_VALUE"""),"Elon Xmas")</f>
        <v>Elon Xmas</v>
      </c>
    </row>
    <row r="4458" spans="1:3" x14ac:dyDescent="0.25">
      <c r="A4458" s="2" t="str">
        <f ca="1">IFERROR(__xludf.DUMMYFUNCTION("""COMPUTED_VALUE"""),"elosys")</f>
        <v>elosys</v>
      </c>
      <c r="B4458" s="2" t="str">
        <f ca="1">IFERROR(__xludf.DUMMYFUNCTION("""COMPUTED_VALUE"""),"elo")</f>
        <v>elo</v>
      </c>
      <c r="C4458" s="2" t="str">
        <f ca="1">IFERROR(__xludf.DUMMYFUNCTION("""COMPUTED_VALUE"""),"Elosys")</f>
        <v>Elosys</v>
      </c>
    </row>
    <row r="4459" spans="1:3" x14ac:dyDescent="0.25">
      <c r="A4459" s="2" t="str">
        <f ca="1">IFERROR(__xludf.DUMMYFUNCTION("""COMPUTED_VALUE"""),"el-risitas")</f>
        <v>el-risitas</v>
      </c>
      <c r="B4459" s="2" t="str">
        <f ca="1">IFERROR(__xludf.DUMMYFUNCTION("""COMPUTED_VALUE"""),"kek")</f>
        <v>kek</v>
      </c>
      <c r="C4459" s="2" t="str">
        <f ca="1">IFERROR(__xludf.DUMMYFUNCTION("""COMPUTED_VALUE"""),"El Risitas")</f>
        <v>El Risitas</v>
      </c>
    </row>
    <row r="4460" spans="1:3" x14ac:dyDescent="0.25">
      <c r="A4460" s="2" t="str">
        <f ca="1">IFERROR(__xludf.DUMMYFUNCTION("""COMPUTED_VALUE"""),"elrond-erd-2")</f>
        <v>elrond-erd-2</v>
      </c>
      <c r="B4460" s="2" t="str">
        <f ca="1">IFERROR(__xludf.DUMMYFUNCTION("""COMPUTED_VALUE"""),"egld")</f>
        <v>egld</v>
      </c>
      <c r="C4460" s="2" t="str">
        <f ca="1">IFERROR(__xludf.DUMMYFUNCTION("""COMPUTED_VALUE"""),"MultiversX")</f>
        <v>MultiversX</v>
      </c>
    </row>
    <row r="4461" spans="1:3" x14ac:dyDescent="0.25">
      <c r="A4461" s="2" t="str">
        <f ca="1">IFERROR(__xludf.DUMMYFUNCTION("""COMPUTED_VALUE"""),"elseverse-world")</f>
        <v>elseverse-world</v>
      </c>
      <c r="B4461" s="2" t="str">
        <f ca="1">IFERROR(__xludf.DUMMYFUNCTION("""COMPUTED_VALUE"""),"ells")</f>
        <v>ells</v>
      </c>
      <c r="C4461" s="2" t="str">
        <f ca="1">IFERROR(__xludf.DUMMYFUNCTION("""COMPUTED_VALUE"""),"ElseVerse World")</f>
        <v>ElseVerse World</v>
      </c>
    </row>
    <row r="4462" spans="1:3" x14ac:dyDescent="0.25">
      <c r="A4462" s="2" t="str">
        <f ca="1">IFERROR(__xludf.DUMMYFUNCTION("""COMPUTED_VALUE"""),"elucks")</f>
        <v>elucks</v>
      </c>
      <c r="B4462" s="2" t="str">
        <f ca="1">IFERROR(__xludf.DUMMYFUNCTION("""COMPUTED_VALUE"""),"elux")</f>
        <v>elux</v>
      </c>
      <c r="C4462" s="2" t="str">
        <f ca="1">IFERROR(__xludf.DUMMYFUNCTION("""COMPUTED_VALUE"""),"ELUCKS")</f>
        <v>ELUCKS</v>
      </c>
    </row>
    <row r="4463" spans="1:3" x14ac:dyDescent="0.25">
      <c r="A4463" s="2" t="str">
        <f ca="1">IFERROR(__xludf.DUMMYFUNCTION("""COMPUTED_VALUE"""),"elumia")</f>
        <v>elumia</v>
      </c>
      <c r="B4463" s="2" t="str">
        <f ca="1">IFERROR(__xludf.DUMMYFUNCTION("""COMPUTED_VALUE"""),"elu")</f>
        <v>elu</v>
      </c>
      <c r="C4463" s="2" t="str">
        <f ca="1">IFERROR(__xludf.DUMMYFUNCTION("""COMPUTED_VALUE"""),"Elumia")</f>
        <v>Elumia</v>
      </c>
    </row>
    <row r="4464" spans="1:3" x14ac:dyDescent="0.25">
      <c r="A4464" s="2" t="str">
        <f ca="1">IFERROR(__xludf.DUMMYFUNCTION("""COMPUTED_VALUE"""),"elvishmagic")</f>
        <v>elvishmagic</v>
      </c>
      <c r="B4464" s="2" t="str">
        <f ca="1">IFERROR(__xludf.DUMMYFUNCTION("""COMPUTED_VALUE"""),"emagic")</f>
        <v>emagic</v>
      </c>
      <c r="C4464" s="2" t="str">
        <f ca="1">IFERROR(__xludf.DUMMYFUNCTION("""COMPUTED_VALUE"""),"ElvishMagic")</f>
        <v>ElvishMagic</v>
      </c>
    </row>
    <row r="4465" spans="1:3" x14ac:dyDescent="0.25">
      <c r="A4465" s="2" t="str">
        <f ca="1">IFERROR(__xludf.DUMMYFUNCTION("""COMPUTED_VALUE"""),"el-wiwi")</f>
        <v>el-wiwi</v>
      </c>
      <c r="B4465" s="2" t="str">
        <f ca="1">IFERROR(__xludf.DUMMYFUNCTION("""COMPUTED_VALUE"""),"wiwi")</f>
        <v>wiwi</v>
      </c>
      <c r="C4465" s="2" t="str">
        <f ca="1">IFERROR(__xludf.DUMMYFUNCTION("""COMPUTED_VALUE"""),"El Wiwi")</f>
        <v>El Wiwi</v>
      </c>
    </row>
    <row r="4466" spans="1:3" x14ac:dyDescent="0.25">
      <c r="A4466" s="2" t="str">
        <f ca="1">IFERROR(__xludf.DUMMYFUNCTION("""COMPUTED_VALUE"""),"elyfi")</f>
        <v>elyfi</v>
      </c>
      <c r="B4466" s="2" t="str">
        <f ca="1">IFERROR(__xludf.DUMMYFUNCTION("""COMPUTED_VALUE"""),"elfi")</f>
        <v>elfi</v>
      </c>
      <c r="C4466" s="2" t="str">
        <f ca="1">IFERROR(__xludf.DUMMYFUNCTION("""COMPUTED_VALUE"""),"ELYFI")</f>
        <v>ELYFI</v>
      </c>
    </row>
    <row r="4467" spans="1:3" x14ac:dyDescent="0.25">
      <c r="A4467" s="2" t="str">
        <f ca="1">IFERROR(__xludf.DUMMYFUNCTION("""COMPUTED_VALUE"""),"elysia")</f>
        <v>elysia</v>
      </c>
      <c r="B4467" s="2" t="str">
        <f ca="1">IFERROR(__xludf.DUMMYFUNCTION("""COMPUTED_VALUE"""),"el")</f>
        <v>el</v>
      </c>
      <c r="C4467" s="2" t="str">
        <f ca="1">IFERROR(__xludf.DUMMYFUNCTION("""COMPUTED_VALUE"""),"ELYSIA")</f>
        <v>ELYSIA</v>
      </c>
    </row>
    <row r="4468" spans="1:3" x14ac:dyDescent="0.25">
      <c r="A4468" s="2" t="str">
        <f ca="1">IFERROR(__xludf.DUMMYFUNCTION("""COMPUTED_VALUE"""),"elysiant-token")</f>
        <v>elysiant-token</v>
      </c>
      <c r="B4468" s="2" t="str">
        <f ca="1">IFERROR(__xludf.DUMMYFUNCTION("""COMPUTED_VALUE"""),"els")</f>
        <v>els</v>
      </c>
      <c r="C4468" s="2" t="str">
        <f ca="1">IFERROR(__xludf.DUMMYFUNCTION("""COMPUTED_VALUE"""),"Elysian ELS")</f>
        <v>Elysian ELS</v>
      </c>
    </row>
    <row r="4469" spans="1:3" x14ac:dyDescent="0.25">
      <c r="A4469" s="2" t="str">
        <f ca="1">IFERROR(__xludf.DUMMYFUNCTION("""COMPUTED_VALUE"""),"elysiumg")</f>
        <v>elysiumg</v>
      </c>
      <c r="B4469" s="2" t="str">
        <f ca="1">IFERROR(__xludf.DUMMYFUNCTION("""COMPUTED_VALUE"""),"lcmg")</f>
        <v>lcmg</v>
      </c>
      <c r="C4469" s="2" t="str">
        <f ca="1">IFERROR(__xludf.DUMMYFUNCTION("""COMPUTED_VALUE"""),"ElysiumG")</f>
        <v>ElysiumG</v>
      </c>
    </row>
    <row r="4470" spans="1:3" x14ac:dyDescent="0.25">
      <c r="A4470" s="2" t="str">
        <f ca="1">IFERROR(__xludf.DUMMYFUNCTION("""COMPUTED_VALUE"""),"elysium-royale")</f>
        <v>elysium-royale</v>
      </c>
      <c r="B4470" s="2" t="str">
        <f ca="1">IFERROR(__xludf.DUMMYFUNCTION("""COMPUTED_VALUE"""),"royal")</f>
        <v>royal</v>
      </c>
      <c r="C4470" s="2" t="str">
        <f ca="1">IFERROR(__xludf.DUMMYFUNCTION("""COMPUTED_VALUE"""),"Elysium Royale")</f>
        <v>Elysium Royale</v>
      </c>
    </row>
    <row r="4471" spans="1:3" x14ac:dyDescent="0.25">
      <c r="A4471" s="2" t="str">
        <f ca="1">IFERROR(__xludf.DUMMYFUNCTION("""COMPUTED_VALUE"""),"elys-network")</f>
        <v>elys-network</v>
      </c>
      <c r="B4471" s="2" t="str">
        <f ca="1">IFERROR(__xludf.DUMMYFUNCTION("""COMPUTED_VALUE"""),"elys")</f>
        <v>elys</v>
      </c>
      <c r="C4471" s="2" t="str">
        <f ca="1">IFERROR(__xludf.DUMMYFUNCTION("""COMPUTED_VALUE"""),"Elys")</f>
        <v>Elys</v>
      </c>
    </row>
    <row r="4472" spans="1:3" x14ac:dyDescent="0.25">
      <c r="A4472" s="2" t="str">
        <f ca="1">IFERROR(__xludf.DUMMYFUNCTION("""COMPUTED_VALUE"""),"elyssa")</f>
        <v>elyssa</v>
      </c>
      <c r="B4472" s="2" t="str">
        <f ca="1">IFERROR(__xludf.DUMMYFUNCTION("""COMPUTED_VALUE"""),"ely")</f>
        <v>ely</v>
      </c>
      <c r="C4472" s="2" t="str">
        <f ca="1">IFERROR(__xludf.DUMMYFUNCTION("""COMPUTED_VALUE"""),"Elyssa")</f>
        <v>Elyssa</v>
      </c>
    </row>
    <row r="4473" spans="1:3" x14ac:dyDescent="0.25">
      <c r="A4473" s="2" t="str">
        <f ca="1">IFERROR(__xludf.DUMMYFUNCTION("""COMPUTED_VALUE"""),"email-token")</f>
        <v>email-token</v>
      </c>
      <c r="B4473" s="2" t="str">
        <f ca="1">IFERROR(__xludf.DUMMYFUNCTION("""COMPUTED_VALUE"""),"emt")</f>
        <v>emt</v>
      </c>
      <c r="C4473" s="2" t="str">
        <f ca="1">IFERROR(__xludf.DUMMYFUNCTION("""COMPUTED_VALUE"""),"EMAIL Token")</f>
        <v>EMAIL Token</v>
      </c>
    </row>
    <row r="4474" spans="1:3" x14ac:dyDescent="0.25">
      <c r="A4474" s="2" t="str">
        <f ca="1">IFERROR(__xludf.DUMMYFUNCTION("""COMPUTED_VALUE"""),"ember")</f>
        <v>ember</v>
      </c>
      <c r="B4474" s="2" t="str">
        <f ca="1">IFERROR(__xludf.DUMMYFUNCTION("""COMPUTED_VALUE"""),"ember")</f>
        <v>ember</v>
      </c>
      <c r="C4474" s="2" t="str">
        <f ca="1">IFERROR(__xludf.DUMMYFUNCTION("""COMPUTED_VALUE"""),"Ember")</f>
        <v>Ember</v>
      </c>
    </row>
    <row r="4475" spans="1:3" x14ac:dyDescent="0.25">
      <c r="A4475" s="2" t="str">
        <f ca="1">IFERROR(__xludf.DUMMYFUNCTION("""COMPUTED_VALUE"""),"ember-sword")</f>
        <v>ember-sword</v>
      </c>
      <c r="B4475" s="2" t="str">
        <f ca="1">IFERROR(__xludf.DUMMYFUNCTION("""COMPUTED_VALUE"""),"ember")</f>
        <v>ember</v>
      </c>
      <c r="C4475" s="2" t="str">
        <f ca="1">IFERROR(__xludf.DUMMYFUNCTION("""COMPUTED_VALUE"""),"Ember Sword")</f>
        <v>Ember Sword</v>
      </c>
    </row>
    <row r="4476" spans="1:3" x14ac:dyDescent="0.25">
      <c r="A4476" s="2" t="str">
        <f ca="1">IFERROR(__xludf.DUMMYFUNCTION("""COMPUTED_VALUE"""),"emdx")</f>
        <v>emdx</v>
      </c>
      <c r="B4476" s="2" t="str">
        <f ca="1">IFERROR(__xludf.DUMMYFUNCTION("""COMPUTED_VALUE"""),"emdx")</f>
        <v>emdx</v>
      </c>
      <c r="C4476" s="2" t="str">
        <f ca="1">IFERROR(__xludf.DUMMYFUNCTION("""COMPUTED_VALUE"""),"EMDX")</f>
        <v>EMDX</v>
      </c>
    </row>
    <row r="4477" spans="1:3" x14ac:dyDescent="0.25">
      <c r="A4477" s="2" t="str">
        <f ca="1">IFERROR(__xludf.DUMMYFUNCTION("""COMPUTED_VALUE"""),"emercoin")</f>
        <v>emercoin</v>
      </c>
      <c r="B4477" s="2" t="str">
        <f ca="1">IFERROR(__xludf.DUMMYFUNCTION("""COMPUTED_VALUE"""),"emc")</f>
        <v>emc</v>
      </c>
      <c r="C4477" s="2" t="str">
        <f ca="1">IFERROR(__xludf.DUMMYFUNCTION("""COMPUTED_VALUE"""),"EmerCoin")</f>
        <v>EmerCoin</v>
      </c>
    </row>
    <row r="4478" spans="1:3" x14ac:dyDescent="0.25">
      <c r="A4478" s="2" t="str">
        <f ca="1">IFERROR(__xludf.DUMMYFUNCTION("""COMPUTED_VALUE"""),"emerging-assets-group")</f>
        <v>emerging-assets-group</v>
      </c>
      <c r="B4478" s="2" t="str">
        <f ca="1">IFERROR(__xludf.DUMMYFUNCTION("""COMPUTED_VALUE"""),"eag")</f>
        <v>eag</v>
      </c>
      <c r="C4478" s="2" t="str">
        <f ca="1">IFERROR(__xludf.DUMMYFUNCTION("""COMPUTED_VALUE"""),"Emerging Assets Group")</f>
        <v>Emerging Assets Group</v>
      </c>
    </row>
    <row r="4479" spans="1:3" x14ac:dyDescent="0.25">
      <c r="A4479" s="2" t="str">
        <f ca="1">IFERROR(__xludf.DUMMYFUNCTION("""COMPUTED_VALUE"""),"eminer")</f>
        <v>eminer</v>
      </c>
      <c r="B4479" s="2" t="str">
        <f ca="1">IFERROR(__xludf.DUMMYFUNCTION("""COMPUTED_VALUE"""),"em")</f>
        <v>em</v>
      </c>
      <c r="C4479" s="2" t="str">
        <f ca="1">IFERROR(__xludf.DUMMYFUNCTION("""COMPUTED_VALUE"""),"Eminer")</f>
        <v>Eminer</v>
      </c>
    </row>
    <row r="4480" spans="1:3" x14ac:dyDescent="0.25">
      <c r="A4480" s="2" t="str">
        <f ca="1">IFERROR(__xludf.DUMMYFUNCTION("""COMPUTED_VALUE"""),"emingunsirer")</f>
        <v>emingunsirer</v>
      </c>
      <c r="B4480" s="2" t="str">
        <f ca="1">IFERROR(__xludf.DUMMYFUNCTION("""COMPUTED_VALUE"""),"egs")</f>
        <v>egs</v>
      </c>
      <c r="C4480" s="2" t="str">
        <f ca="1">IFERROR(__xludf.DUMMYFUNCTION("""COMPUTED_VALUE"""),"EminGunSirer")</f>
        <v>EminGunSirer</v>
      </c>
    </row>
    <row r="4481" spans="1:3" x14ac:dyDescent="0.25">
      <c r="A4481" s="2" t="str">
        <f ca="1">IFERROR(__xludf.DUMMYFUNCTION("""COMPUTED_VALUE"""),"emit")</f>
        <v>emit</v>
      </c>
      <c r="B4481" s="2" t="str">
        <f ca="1">IFERROR(__xludf.DUMMYFUNCTION("""COMPUTED_VALUE"""),"emit")</f>
        <v>emit</v>
      </c>
      <c r="C4481" s="2" t="str">
        <f ca="1">IFERROR(__xludf.DUMMYFUNCTION("""COMPUTED_VALUE"""),"Emit")</f>
        <v>Emit</v>
      </c>
    </row>
    <row r="4482" spans="1:3" x14ac:dyDescent="0.25">
      <c r="A4482" s="2" t="str">
        <f ca="1">IFERROR(__xludf.DUMMYFUNCTION("""COMPUTED_VALUE"""),"eml-protocol")</f>
        <v>eml-protocol</v>
      </c>
      <c r="B4482" s="2" t="str">
        <f ca="1">IFERROR(__xludf.DUMMYFUNCTION("""COMPUTED_VALUE"""),"eml")</f>
        <v>eml</v>
      </c>
      <c r="C4482" s="2" t="str">
        <f ca="1">IFERROR(__xludf.DUMMYFUNCTION("""COMPUTED_VALUE"""),"EML Protocol")</f>
        <v>EML Protocol</v>
      </c>
    </row>
    <row r="4483" spans="1:3" x14ac:dyDescent="0.25">
      <c r="A4483" s="2" t="str">
        <f ca="1">IFERROR(__xludf.DUMMYFUNCTION("""COMPUTED_VALUE"""),"emma")</f>
        <v>emma</v>
      </c>
      <c r="B4483" s="2" t="str">
        <f ca="1">IFERROR(__xludf.DUMMYFUNCTION("""COMPUTED_VALUE"""),"emma")</f>
        <v>emma</v>
      </c>
      <c r="C4483" s="2" t="str">
        <f ca="1">IFERROR(__xludf.DUMMYFUNCTION("""COMPUTED_VALUE"""),"EMMA")</f>
        <v>EMMA</v>
      </c>
    </row>
    <row r="4484" spans="1:3" x14ac:dyDescent="0.25">
      <c r="A4484" s="2" t="str">
        <f ca="1">IFERROR(__xludf.DUMMYFUNCTION("""COMPUTED_VALUE"""),"emmy")</f>
        <v>emmy</v>
      </c>
      <c r="B4484" s="2" t="str">
        <f ca="1">IFERROR(__xludf.DUMMYFUNCTION("""COMPUTED_VALUE"""),"emmy")</f>
        <v>emmy</v>
      </c>
      <c r="C4484" s="2" t="str">
        <f ca="1">IFERROR(__xludf.DUMMYFUNCTION("""COMPUTED_VALUE"""),"Emmy")</f>
        <v>Emmy</v>
      </c>
    </row>
    <row r="4485" spans="1:3" x14ac:dyDescent="0.25">
      <c r="A4485" s="2" t="str">
        <f ca="1">IFERROR(__xludf.DUMMYFUNCTION("""COMPUTED_VALUE"""),"emoji-erc20")</f>
        <v>emoji-erc20</v>
      </c>
      <c r="B4485" s="2" t="str">
        <f ca="1">IFERROR(__xludf.DUMMYFUNCTION("""COMPUTED_VALUE"""),"$emoji")</f>
        <v>$emoji</v>
      </c>
      <c r="C4485" s="2" t="str">
        <f ca="1">IFERROR(__xludf.DUMMYFUNCTION("""COMPUTED_VALUE"""),"emoji ERC20")</f>
        <v>emoji ERC20</v>
      </c>
    </row>
    <row r="4486" spans="1:3" x14ac:dyDescent="0.25">
      <c r="A4486" s="2" t="str">
        <f ca="1">IFERROR(__xludf.DUMMYFUNCTION("""COMPUTED_VALUE"""),"e-money")</f>
        <v>e-money</v>
      </c>
      <c r="B4486" s="2" t="str">
        <f ca="1">IFERROR(__xludf.DUMMYFUNCTION("""COMPUTED_VALUE"""),"ngm")</f>
        <v>ngm</v>
      </c>
      <c r="C4486" s="2" t="str">
        <f ca="1">IFERROR(__xludf.DUMMYFUNCTION("""COMPUTED_VALUE"""),"e-Money")</f>
        <v>e-Money</v>
      </c>
    </row>
    <row r="4487" spans="1:3" x14ac:dyDescent="0.25">
      <c r="A4487" s="2" t="str">
        <f ca="1">IFERROR(__xludf.DUMMYFUNCTION("""COMPUTED_VALUE"""),"e-money-eur")</f>
        <v>e-money-eur</v>
      </c>
      <c r="B4487" s="2" t="str">
        <f ca="1">IFERROR(__xludf.DUMMYFUNCTION("""COMPUTED_VALUE"""),"eeur")</f>
        <v>eeur</v>
      </c>
      <c r="C4487" s="2" t="str">
        <f ca="1">IFERROR(__xludf.DUMMYFUNCTION("""COMPUTED_VALUE"""),"e-Money EUR")</f>
        <v>e-Money EUR</v>
      </c>
    </row>
    <row r="4488" spans="1:3" x14ac:dyDescent="0.25">
      <c r="A4488" s="2" t="str">
        <f ca="1">IFERROR(__xludf.DUMMYFUNCTION("""COMPUTED_VALUE"""),"emorya-finance")</f>
        <v>emorya-finance</v>
      </c>
      <c r="B4488" s="2" t="str">
        <f ca="1">IFERROR(__xludf.DUMMYFUNCTION("""COMPUTED_VALUE"""),"emr")</f>
        <v>emr</v>
      </c>
      <c r="C4488" s="2" t="str">
        <f ca="1">IFERROR(__xludf.DUMMYFUNCTION("""COMPUTED_VALUE"""),"Emorya Finance")</f>
        <v>Emorya Finance</v>
      </c>
    </row>
    <row r="4489" spans="1:3" x14ac:dyDescent="0.25">
      <c r="A4489" s="2" t="str">
        <f ca="1">IFERROR(__xludf.DUMMYFUNCTION("""COMPUTED_VALUE"""),"emoticoin")</f>
        <v>emoticoin</v>
      </c>
      <c r="B4489" s="2" t="str">
        <f ca="1">IFERROR(__xludf.DUMMYFUNCTION("""COMPUTED_VALUE"""),"emoti")</f>
        <v>emoti</v>
      </c>
      <c r="C4489" s="2" t="str">
        <f ca="1">IFERROR(__xludf.DUMMYFUNCTION("""COMPUTED_VALUE"""),"EmotiCoin")</f>
        <v>EmotiCoin</v>
      </c>
    </row>
    <row r="4490" spans="1:3" x14ac:dyDescent="0.25">
      <c r="A4490" s="2" t="str">
        <f ca="1">IFERROR(__xludf.DUMMYFUNCTION("""COMPUTED_VALUE"""),"empire-token")</f>
        <v>empire-token</v>
      </c>
      <c r="B4490" s="2" t="str">
        <f ca="1">IFERROR(__xludf.DUMMYFUNCTION("""COMPUTED_VALUE"""),"empire")</f>
        <v>empire</v>
      </c>
      <c r="C4490" s="2" t="str">
        <f ca="1">IFERROR(__xludf.DUMMYFUNCTION("""COMPUTED_VALUE"""),"Empire")</f>
        <v>Empire</v>
      </c>
    </row>
    <row r="4491" spans="1:3" x14ac:dyDescent="0.25">
      <c r="A4491" s="2" t="str">
        <f ca="1">IFERROR(__xludf.DUMMYFUNCTION("""COMPUTED_VALUE"""),"emp-money")</f>
        <v>emp-money</v>
      </c>
      <c r="B4491" s="2" t="str">
        <f ca="1">IFERROR(__xludf.DUMMYFUNCTION("""COMPUTED_VALUE"""),"emp")</f>
        <v>emp</v>
      </c>
      <c r="C4491" s="2" t="str">
        <f ca="1">IFERROR(__xludf.DUMMYFUNCTION("""COMPUTED_VALUE"""),"Emp Money")</f>
        <v>Emp Money</v>
      </c>
    </row>
    <row r="4492" spans="1:3" x14ac:dyDescent="0.25">
      <c r="A4492" s="2" t="str">
        <f ca="1">IFERROR(__xludf.DUMMYFUNCTION("""COMPUTED_VALUE"""),"empowa")</f>
        <v>empowa</v>
      </c>
      <c r="B4492" s="2" t="str">
        <f ca="1">IFERROR(__xludf.DUMMYFUNCTION("""COMPUTED_VALUE"""),"emp")</f>
        <v>emp</v>
      </c>
      <c r="C4492" s="2" t="str">
        <f ca="1">IFERROR(__xludf.DUMMYFUNCTION("""COMPUTED_VALUE"""),"Empowa")</f>
        <v>Empowa</v>
      </c>
    </row>
    <row r="4493" spans="1:3" x14ac:dyDescent="0.25">
      <c r="A4493" s="2" t="str">
        <f ca="1">IFERROR(__xludf.DUMMYFUNCTION("""COMPUTED_VALUE"""),"emp-shares-v2")</f>
        <v>emp-shares-v2</v>
      </c>
      <c r="B4493" s="2" t="str">
        <f ca="1">IFERROR(__xludf.DUMMYFUNCTION("""COMPUTED_VALUE"""),"eshare v2")</f>
        <v>eshare v2</v>
      </c>
      <c r="C4493" s="2" t="str">
        <f ca="1">IFERROR(__xludf.DUMMYFUNCTION("""COMPUTED_VALUE"""),"EMP Shares")</f>
        <v>EMP Shares</v>
      </c>
    </row>
    <row r="4494" spans="1:3" x14ac:dyDescent="0.25">
      <c r="A4494" s="2" t="str">
        <f ca="1">IFERROR(__xludf.DUMMYFUNCTION("""COMPUTED_VALUE"""),"empyreal")</f>
        <v>empyreal</v>
      </c>
      <c r="B4494" s="2" t="str">
        <f ca="1">IFERROR(__xludf.DUMMYFUNCTION("""COMPUTED_VALUE"""),"emp")</f>
        <v>emp</v>
      </c>
      <c r="C4494" s="2" t="str">
        <f ca="1">IFERROR(__xludf.DUMMYFUNCTION("""COMPUTED_VALUE"""),"Empyreal")</f>
        <v>Empyreal</v>
      </c>
    </row>
    <row r="4495" spans="1:3" x14ac:dyDescent="0.25">
      <c r="A4495" s="2" t="str">
        <f ca="1">IFERROR(__xludf.DUMMYFUNCTION("""COMPUTED_VALUE"""),"encoins")</f>
        <v>encoins</v>
      </c>
      <c r="B4495" s="2" t="str">
        <f ca="1">IFERROR(__xludf.DUMMYFUNCTION("""COMPUTED_VALUE"""),"encs")</f>
        <v>encs</v>
      </c>
      <c r="C4495" s="2" t="str">
        <f ca="1">IFERROR(__xludf.DUMMYFUNCTION("""COMPUTED_VALUE"""),"Encoins")</f>
        <v>Encoins</v>
      </c>
    </row>
    <row r="4496" spans="1:3" x14ac:dyDescent="0.25">
      <c r="A4496" s="2" t="str">
        <f ca="1">IFERROR(__xludf.DUMMYFUNCTION("""COMPUTED_VALUE"""),"encrypgen")</f>
        <v>encrypgen</v>
      </c>
      <c r="B4496" s="2" t="str">
        <f ca="1">IFERROR(__xludf.DUMMYFUNCTION("""COMPUTED_VALUE"""),"dna")</f>
        <v>dna</v>
      </c>
      <c r="C4496" s="2" t="str">
        <f ca="1">IFERROR(__xludf.DUMMYFUNCTION("""COMPUTED_VALUE"""),"EncrypGen")</f>
        <v>EncrypGen</v>
      </c>
    </row>
    <row r="4497" spans="1:3" x14ac:dyDescent="0.25">
      <c r="A4497" s="2" t="str">
        <f ca="1">IFERROR(__xludf.DUMMYFUNCTION("""COMPUTED_VALUE"""),"endblock")</f>
        <v>endblock</v>
      </c>
      <c r="B4497" s="2" t="str">
        <f ca="1">IFERROR(__xludf.DUMMYFUNCTION("""COMPUTED_VALUE"""),"end")</f>
        <v>end</v>
      </c>
      <c r="C4497" s="2" t="str">
        <f ca="1">IFERROR(__xludf.DUMMYFUNCTION("""COMPUTED_VALUE"""),"Endblock")</f>
        <v>Endblock</v>
      </c>
    </row>
    <row r="4498" spans="1:3" x14ac:dyDescent="0.25">
      <c r="A4498" s="2" t="str">
        <f ca="1">IFERROR(__xludf.DUMMYFUNCTION("""COMPUTED_VALUE"""),"endpoint-cex-fan-token")</f>
        <v>endpoint-cex-fan-token</v>
      </c>
      <c r="B4498" s="2" t="str">
        <f ca="1">IFERROR(__xludf.DUMMYFUNCTION("""COMPUTED_VALUE"""),"endcex")</f>
        <v>endcex</v>
      </c>
      <c r="C4498" s="2" t="str">
        <f ca="1">IFERROR(__xludf.DUMMYFUNCTION("""COMPUTED_VALUE"""),"Endpoint Cex Fan Token")</f>
        <v>Endpoint Cex Fan Token</v>
      </c>
    </row>
    <row r="4499" spans="1:3" x14ac:dyDescent="0.25">
      <c r="A4499" s="2" t="str">
        <f ca="1">IFERROR(__xludf.DUMMYFUNCTION("""COMPUTED_VALUE"""),"endurance")</f>
        <v>endurance</v>
      </c>
      <c r="B4499" s="2" t="str">
        <f ca="1">IFERROR(__xludf.DUMMYFUNCTION("""COMPUTED_VALUE"""),"ace")</f>
        <v>ace</v>
      </c>
      <c r="C4499" s="2" t="str">
        <f ca="1">IFERROR(__xludf.DUMMYFUNCTION("""COMPUTED_VALUE"""),"Fusionist")</f>
        <v>Fusionist</v>
      </c>
    </row>
    <row r="4500" spans="1:3" x14ac:dyDescent="0.25">
      <c r="A4500" s="2" t="str">
        <f ca="1">IFERROR(__xludf.DUMMYFUNCTION("""COMPUTED_VALUE"""),"enegra")</f>
        <v>enegra</v>
      </c>
      <c r="B4500" s="2" t="str">
        <f ca="1">IFERROR(__xludf.DUMMYFUNCTION("""COMPUTED_VALUE"""),"egx")</f>
        <v>egx</v>
      </c>
      <c r="C4500" s="2" t="str">
        <f ca="1">IFERROR(__xludf.DUMMYFUNCTION("""COMPUTED_VALUE"""),"Enegra")</f>
        <v>Enegra</v>
      </c>
    </row>
    <row r="4501" spans="1:3" x14ac:dyDescent="0.25">
      <c r="A4501" s="2" t="str">
        <f ca="1">IFERROR(__xludf.DUMMYFUNCTION("""COMPUTED_VALUE"""),"energi")</f>
        <v>energi</v>
      </c>
      <c r="B4501" s="2" t="str">
        <f ca="1">IFERROR(__xludf.DUMMYFUNCTION("""COMPUTED_VALUE"""),"nrg")</f>
        <v>nrg</v>
      </c>
      <c r="C4501" s="2" t="str">
        <f ca="1">IFERROR(__xludf.DUMMYFUNCTION("""COMPUTED_VALUE"""),"Energi")</f>
        <v>Energi</v>
      </c>
    </row>
    <row r="4502" spans="1:3" x14ac:dyDescent="0.25">
      <c r="A4502" s="2" t="str">
        <f ca="1">IFERROR(__xludf.DUMMYFUNCTION("""COMPUTED_VALUE"""),"energi-bridged-usdc-energi")</f>
        <v>energi-bridged-usdc-energi</v>
      </c>
      <c r="B4502" s="2" t="str">
        <f ca="1">IFERROR(__xludf.DUMMYFUNCTION("""COMPUTED_VALUE"""),"usdc")</f>
        <v>usdc</v>
      </c>
      <c r="C4502" s="2" t="str">
        <f ca="1">IFERROR(__xludf.DUMMYFUNCTION("""COMPUTED_VALUE"""),"Energi Bridged USDC (Energi)")</f>
        <v>Energi Bridged USDC (Energi)</v>
      </c>
    </row>
    <row r="4503" spans="1:3" x14ac:dyDescent="0.25">
      <c r="A4503" s="2" t="str">
        <f ca="1">IFERROR(__xludf.DUMMYFUNCTION("""COMPUTED_VALUE"""),"energi-dollar")</f>
        <v>energi-dollar</v>
      </c>
      <c r="B4503" s="2" t="str">
        <f ca="1">IFERROR(__xludf.DUMMYFUNCTION("""COMPUTED_VALUE"""),"usde")</f>
        <v>usde</v>
      </c>
      <c r="C4503" s="2" t="str">
        <f ca="1">IFERROR(__xludf.DUMMYFUNCTION("""COMPUTED_VALUE"""),"Energi Dollar")</f>
        <v>Energi Dollar</v>
      </c>
    </row>
    <row r="4504" spans="1:3" x14ac:dyDescent="0.25">
      <c r="A4504" s="2" t="str">
        <f ca="1">IFERROR(__xludf.DUMMYFUNCTION("""COMPUTED_VALUE"""),"energiswap-sol-energi")</f>
        <v>energiswap-sol-energi</v>
      </c>
      <c r="B4504" s="2" t="str">
        <f ca="1">IFERROR(__xludf.DUMMYFUNCTION("""COMPUTED_VALUE"""),"esol")</f>
        <v>esol</v>
      </c>
      <c r="C4504" s="2" t="str">
        <f ca="1">IFERROR(__xludf.DUMMYFUNCTION("""COMPUTED_VALUE"""),"Energiswap SOL (Energi)")</f>
        <v>Energiswap SOL (Energi)</v>
      </c>
    </row>
    <row r="4505" spans="1:3" x14ac:dyDescent="0.25">
      <c r="A4505" s="2" t="str">
        <f ca="1">IFERROR(__xludf.DUMMYFUNCTION("""COMPUTED_VALUE"""),"energo")</f>
        <v>energo</v>
      </c>
      <c r="B4505" s="2" t="str">
        <f ca="1">IFERROR(__xludf.DUMMYFUNCTION("""COMPUTED_VALUE"""),"tsl")</f>
        <v>tsl</v>
      </c>
      <c r="C4505" s="2" t="str">
        <f ca="1">IFERROR(__xludf.DUMMYFUNCTION("""COMPUTED_VALUE"""),"Tesla TSL")</f>
        <v>Tesla TSL</v>
      </c>
    </row>
    <row r="4506" spans="1:3" x14ac:dyDescent="0.25">
      <c r="A4506" s="2" t="str">
        <f ca="1">IFERROR(__xludf.DUMMYFUNCTION("""COMPUTED_VALUE"""),"energreen")</f>
        <v>energreen</v>
      </c>
      <c r="B4506" s="2" t="str">
        <f ca="1">IFERROR(__xludf.DUMMYFUNCTION("""COMPUTED_VALUE"""),"egrn")</f>
        <v>egrn</v>
      </c>
      <c r="C4506" s="2" t="str">
        <f ca="1">IFERROR(__xludf.DUMMYFUNCTION("""COMPUTED_VALUE"""),"Energreen")</f>
        <v>Energreen</v>
      </c>
    </row>
    <row r="4507" spans="1:3" x14ac:dyDescent="0.25">
      <c r="A4507" s="2" t="str">
        <f ca="1">IFERROR(__xludf.DUMMYFUNCTION("""COMPUTED_VALUE"""),"energy8")</f>
        <v>energy8</v>
      </c>
      <c r="B4507" s="2" t="str">
        <f ca="1">IFERROR(__xludf.DUMMYFUNCTION("""COMPUTED_VALUE"""),"e8")</f>
        <v>e8</v>
      </c>
      <c r="C4507" s="2" t="str">
        <f ca="1">IFERROR(__xludf.DUMMYFUNCTION("""COMPUTED_VALUE"""),"Energy8")</f>
        <v>Energy8</v>
      </c>
    </row>
    <row r="4508" spans="1:3" x14ac:dyDescent="0.25">
      <c r="A4508" s="2" t="str">
        <f ca="1">IFERROR(__xludf.DUMMYFUNCTION("""COMPUTED_VALUE"""),"energy-efficient-mortgage-tokenized-stock-defichain")</f>
        <v>energy-efficient-mortgage-tokenized-stock-defichain</v>
      </c>
      <c r="B4508" s="2" t="str">
        <f ca="1">IFERROR(__xludf.DUMMYFUNCTION("""COMPUTED_VALUE"""),"deem")</f>
        <v>deem</v>
      </c>
      <c r="C4508" s="2" t="str">
        <f ca="1">IFERROR(__xludf.DUMMYFUNCTION("""COMPUTED_VALUE"""),"iShares MSCI Emerging Markets ETF Defichain")</f>
        <v>iShares MSCI Emerging Markets ETF Defichain</v>
      </c>
    </row>
    <row r="4509" spans="1:3" x14ac:dyDescent="0.25">
      <c r="A4509" s="2" t="str">
        <f ca="1">IFERROR(__xludf.DUMMYFUNCTION("""COMPUTED_VALUE"""),"energyfi")</f>
        <v>energyfi</v>
      </c>
      <c r="B4509" s="2" t="str">
        <f ca="1">IFERROR(__xludf.DUMMYFUNCTION("""COMPUTED_VALUE"""),"eft")</f>
        <v>eft</v>
      </c>
      <c r="C4509" s="2" t="str">
        <f ca="1">IFERROR(__xludf.DUMMYFUNCTION("""COMPUTED_VALUE"""),"Energyfi")</f>
        <v>Energyfi</v>
      </c>
    </row>
    <row r="4510" spans="1:3" x14ac:dyDescent="0.25">
      <c r="A4510" s="2" t="str">
        <f ca="1">IFERROR(__xludf.DUMMYFUNCTION("""COMPUTED_VALUE"""),"energy-token")</f>
        <v>energy-token</v>
      </c>
      <c r="B4510" s="2" t="str">
        <f ca="1">IFERROR(__xludf.DUMMYFUNCTION("""COMPUTED_VALUE"""),"nrg")</f>
        <v>nrg</v>
      </c>
      <c r="C4510" s="2" t="str">
        <f ca="1">IFERROR(__xludf.DUMMYFUNCTION("""COMPUTED_VALUE"""),"Energy Token")</f>
        <v>Energy Token</v>
      </c>
    </row>
    <row r="4511" spans="1:3" x14ac:dyDescent="0.25">
      <c r="A4511" s="2" t="str">
        <f ca="1">IFERROR(__xludf.DUMMYFUNCTION("""COMPUTED_VALUE"""),"energy-web-token")</f>
        <v>energy-web-token</v>
      </c>
      <c r="B4511" s="2" t="str">
        <f ca="1">IFERROR(__xludf.DUMMYFUNCTION("""COMPUTED_VALUE"""),"ewt")</f>
        <v>ewt</v>
      </c>
      <c r="C4511" s="2" t="str">
        <f ca="1">IFERROR(__xludf.DUMMYFUNCTION("""COMPUTED_VALUE"""),"Energy Web")</f>
        <v>Energy Web</v>
      </c>
    </row>
    <row r="4512" spans="1:3" x14ac:dyDescent="0.25">
      <c r="A4512" s="2" t="str">
        <f ca="1">IFERROR(__xludf.DUMMYFUNCTION("""COMPUTED_VALUE"""),"enfineo")</f>
        <v>enfineo</v>
      </c>
      <c r="B4512" s="2" t="str">
        <f ca="1">IFERROR(__xludf.DUMMYFUNCTION("""COMPUTED_VALUE"""),"enf")</f>
        <v>enf</v>
      </c>
      <c r="C4512" s="2" t="str">
        <f ca="1">IFERROR(__xludf.DUMMYFUNCTION("""COMPUTED_VALUE"""),"enfineo")</f>
        <v>enfineo</v>
      </c>
    </row>
    <row r="4513" spans="1:3" x14ac:dyDescent="0.25">
      <c r="A4513" s="2" t="str">
        <f ca="1">IFERROR(__xludf.DUMMYFUNCTION("""COMPUTED_VALUE"""),"eng-crypto")</f>
        <v>eng-crypto</v>
      </c>
      <c r="B4513" s="2" t="str">
        <f ca="1">IFERROR(__xludf.DUMMYFUNCTION("""COMPUTED_VALUE"""),"eng")</f>
        <v>eng</v>
      </c>
      <c r="C4513" s="2" t="str">
        <f ca="1">IFERROR(__xludf.DUMMYFUNCTION("""COMPUTED_VALUE"""),"Eng Crypto")</f>
        <v>Eng Crypto</v>
      </c>
    </row>
    <row r="4514" spans="1:3" x14ac:dyDescent="0.25">
      <c r="A4514" s="2" t="str">
        <f ca="1">IFERROR(__xludf.DUMMYFUNCTION("""COMPUTED_VALUE"""),"engines-of-fury")</f>
        <v>engines-of-fury</v>
      </c>
      <c r="B4514" s="2" t="str">
        <f ca="1">IFERROR(__xludf.DUMMYFUNCTION("""COMPUTED_VALUE"""),"fury")</f>
        <v>fury</v>
      </c>
      <c r="C4514" s="2" t="str">
        <f ca="1">IFERROR(__xludf.DUMMYFUNCTION("""COMPUTED_VALUE"""),"Engines of Fury")</f>
        <v>Engines of Fury</v>
      </c>
    </row>
    <row r="4515" spans="1:3" x14ac:dyDescent="0.25">
      <c r="A4515" s="2" t="str">
        <f ca="1">IFERROR(__xludf.DUMMYFUNCTION("""COMPUTED_VALUE"""),"england-coin")</f>
        <v>england-coin</v>
      </c>
      <c r="B4515" s="2" t="str">
        <f ca="1">IFERROR(__xludf.DUMMYFUNCTION("""COMPUTED_VALUE"""),"eng")</f>
        <v>eng</v>
      </c>
      <c r="C4515" s="2" t="str">
        <f ca="1">IFERROR(__xludf.DUMMYFUNCTION("""COMPUTED_VALUE"""),"England Coin")</f>
        <v>England Coin</v>
      </c>
    </row>
    <row r="4516" spans="1:3" x14ac:dyDescent="0.25">
      <c r="A4516" s="2" t="str">
        <f ca="1">IFERROR(__xludf.DUMMYFUNCTION("""COMPUTED_VALUE"""),"enigma")</f>
        <v>enigma</v>
      </c>
      <c r="B4516" s="2" t="str">
        <f ca="1">IFERROR(__xludf.DUMMYFUNCTION("""COMPUTED_VALUE"""),"eng")</f>
        <v>eng</v>
      </c>
      <c r="C4516" s="2" t="str">
        <f ca="1">IFERROR(__xludf.DUMMYFUNCTION("""COMPUTED_VALUE"""),"Enigma")</f>
        <v>Enigma</v>
      </c>
    </row>
    <row r="4517" spans="1:3" x14ac:dyDescent="0.25">
      <c r="A4517" s="2" t="str">
        <f ca="1">IFERROR(__xludf.DUMMYFUNCTION("""COMPUTED_VALUE"""),"enigma-gaming")</f>
        <v>enigma-gaming</v>
      </c>
      <c r="B4517" s="2" t="str">
        <f ca="1">IFERROR(__xludf.DUMMYFUNCTION("""COMPUTED_VALUE"""),"eng")</f>
        <v>eng</v>
      </c>
      <c r="C4517" s="2" t="str">
        <f ca="1">IFERROR(__xludf.DUMMYFUNCTION("""COMPUTED_VALUE"""),"Enigma Gaming")</f>
        <v>Enigma Gaming</v>
      </c>
    </row>
    <row r="4518" spans="1:3" x14ac:dyDescent="0.25">
      <c r="A4518" s="2" t="str">
        <f ca="1">IFERROR(__xludf.DUMMYFUNCTION("""COMPUTED_VALUE"""),"enjincoin")</f>
        <v>enjincoin</v>
      </c>
      <c r="B4518" s="2" t="str">
        <f ca="1">IFERROR(__xludf.DUMMYFUNCTION("""COMPUTED_VALUE"""),"enj")</f>
        <v>enj</v>
      </c>
      <c r="C4518" s="2" t="str">
        <f ca="1">IFERROR(__xludf.DUMMYFUNCTION("""COMPUTED_VALUE"""),"Enjin Coin")</f>
        <v>Enjin Coin</v>
      </c>
    </row>
    <row r="4519" spans="1:3" x14ac:dyDescent="0.25">
      <c r="A4519" s="2" t="str">
        <f ca="1">IFERROR(__xludf.DUMMYFUNCTION("""COMPUTED_VALUE"""),"enjinstarter")</f>
        <v>enjinstarter</v>
      </c>
      <c r="B4519" s="2" t="str">
        <f ca="1">IFERROR(__xludf.DUMMYFUNCTION("""COMPUTED_VALUE"""),"ejs")</f>
        <v>ejs</v>
      </c>
      <c r="C4519" s="2" t="str">
        <f ca="1">IFERROR(__xludf.DUMMYFUNCTION("""COMPUTED_VALUE"""),"Enjinstarter")</f>
        <v>Enjinstarter</v>
      </c>
    </row>
    <row r="4520" spans="1:3" x14ac:dyDescent="0.25">
      <c r="A4520" s="2" t="str">
        <f ca="1">IFERROR(__xludf.DUMMYFUNCTION("""COMPUTED_VALUE"""),"enjoy")</f>
        <v>enjoy</v>
      </c>
      <c r="B4520" s="2" t="str">
        <f ca="1">IFERROR(__xludf.DUMMYFUNCTION("""COMPUTED_VALUE"""),"enjoy")</f>
        <v>enjoy</v>
      </c>
      <c r="C4520" s="2" t="str">
        <f ca="1">IFERROR(__xludf.DUMMYFUNCTION("""COMPUTED_VALUE"""),"Enjoy")</f>
        <v>Enjoy</v>
      </c>
    </row>
    <row r="4521" spans="1:3" x14ac:dyDescent="0.25">
      <c r="A4521" s="2" t="str">
        <f ca="1">IFERROR(__xludf.DUMMYFUNCTION("""COMPUTED_VALUE"""),"enki-protocol")</f>
        <v>enki-protocol</v>
      </c>
      <c r="B4521" s="2" t="str">
        <f ca="1">IFERROR(__xludf.DUMMYFUNCTION("""COMPUTED_VALUE"""),"enki")</f>
        <v>enki</v>
      </c>
      <c r="C4521" s="2" t="str">
        <f ca="1">IFERROR(__xludf.DUMMYFUNCTION("""COMPUTED_VALUE"""),"ENKI Protocol")</f>
        <v>ENKI Protocol</v>
      </c>
    </row>
    <row r="4522" spans="1:3" x14ac:dyDescent="0.25">
      <c r="A4522" s="2" t="str">
        <f ca="1">IFERROR(__xludf.DUMMYFUNCTION("""COMPUTED_VALUE"""),"enno-cash")</f>
        <v>enno-cash</v>
      </c>
      <c r="B4522" s="2" t="str">
        <f ca="1">IFERROR(__xludf.DUMMYFUNCTION("""COMPUTED_VALUE"""),"enno")</f>
        <v>enno</v>
      </c>
      <c r="C4522" s="2" t="str">
        <f ca="1">IFERROR(__xludf.DUMMYFUNCTION("""COMPUTED_VALUE"""),"ENNO Cash")</f>
        <v>ENNO Cash</v>
      </c>
    </row>
    <row r="4523" spans="1:3" x14ac:dyDescent="0.25">
      <c r="A4523" s="2" t="str">
        <f ca="1">IFERROR(__xludf.DUMMYFUNCTION("""COMPUTED_VALUE"""),"eno")</f>
        <v>eno</v>
      </c>
      <c r="B4523" s="2" t="str">
        <f ca="1">IFERROR(__xludf.DUMMYFUNCTION("""COMPUTED_VALUE"""),"eno")</f>
        <v>eno</v>
      </c>
      <c r="C4523" s="2" t="str">
        <f ca="1">IFERROR(__xludf.DUMMYFUNCTION("""COMPUTED_VALUE"""),"ENO")</f>
        <v>ENO</v>
      </c>
    </row>
    <row r="4524" spans="1:3" x14ac:dyDescent="0.25">
      <c r="A4524" s="2" t="str">
        <f ca="1">IFERROR(__xludf.DUMMYFUNCTION("""COMPUTED_VALUE"""),"enoch")</f>
        <v>enoch</v>
      </c>
      <c r="B4524" s="2" t="str">
        <f ca="1">IFERROR(__xludf.DUMMYFUNCTION("""COMPUTED_VALUE"""),"enoch")</f>
        <v>enoch</v>
      </c>
      <c r="C4524" s="2" t="str">
        <f ca="1">IFERROR(__xludf.DUMMYFUNCTION("""COMPUTED_VALUE"""),"Enoch")</f>
        <v>Enoch</v>
      </c>
    </row>
    <row r="4525" spans="1:3" x14ac:dyDescent="0.25">
      <c r="A4525" s="2" t="str">
        <f ca="1">IFERROR(__xludf.DUMMYFUNCTION("""COMPUTED_VALUE"""),"enosys")</f>
        <v>enosys</v>
      </c>
      <c r="B4525" s="2" t="str">
        <f ca="1">IFERROR(__xludf.DUMMYFUNCTION("""COMPUTED_VALUE"""),"hln")</f>
        <v>hln</v>
      </c>
      <c r="C4525" s="2" t="str">
        <f ca="1">IFERROR(__xludf.DUMMYFUNCTION("""COMPUTED_VALUE"""),"Ēnosys")</f>
        <v>Ēnosys</v>
      </c>
    </row>
    <row r="4526" spans="1:3" x14ac:dyDescent="0.25">
      <c r="A4526" s="2" t="str">
        <f ca="1">IFERROR(__xludf.DUMMYFUNCTION("""COMPUTED_VALUE"""),"enosys-usdt")</f>
        <v>enosys-usdt</v>
      </c>
      <c r="B4526" s="2" t="str">
        <f ca="1">IFERROR(__xludf.DUMMYFUNCTION("""COMPUTED_VALUE"""),"eusdt")</f>
        <v>eusdt</v>
      </c>
      <c r="C4526" s="2" t="str">
        <f ca="1">IFERROR(__xludf.DUMMYFUNCTION("""COMPUTED_VALUE"""),"Enosys USDT")</f>
        <v>Enosys USDT</v>
      </c>
    </row>
    <row r="4527" spans="1:3" x14ac:dyDescent="0.25">
      <c r="A4527" s="2" t="str">
        <f ca="1">IFERROR(__xludf.DUMMYFUNCTION("""COMPUTED_VALUE"""),"enq-enecuum")</f>
        <v>enq-enecuum</v>
      </c>
      <c r="B4527" s="2" t="str">
        <f ca="1">IFERROR(__xludf.DUMMYFUNCTION("""COMPUTED_VALUE"""),"enq")</f>
        <v>enq</v>
      </c>
      <c r="C4527" s="2" t="str">
        <f ca="1">IFERROR(__xludf.DUMMYFUNCTION("""COMPUTED_VALUE"""),"Enecuum")</f>
        <v>Enecuum</v>
      </c>
    </row>
    <row r="4528" spans="1:3" x14ac:dyDescent="0.25">
      <c r="A4528" s="2" t="str">
        <f ca="1">IFERROR(__xludf.DUMMYFUNCTION("""COMPUTED_VALUE"""),"enreachdao")</f>
        <v>enreachdao</v>
      </c>
      <c r="B4528" s="2" t="str">
        <f ca="1">IFERROR(__xludf.DUMMYFUNCTION("""COMPUTED_VALUE"""),"nrch")</f>
        <v>nrch</v>
      </c>
      <c r="C4528" s="2" t="str">
        <f ca="1">IFERROR(__xludf.DUMMYFUNCTION("""COMPUTED_VALUE"""),"Enreach")</f>
        <v>Enreach</v>
      </c>
    </row>
    <row r="4529" spans="1:3" x14ac:dyDescent="0.25">
      <c r="A4529" s="2" t="str">
        <f ca="1">IFERROR(__xludf.DUMMYFUNCTION("""COMPUTED_VALUE"""),"enrex")</f>
        <v>enrex</v>
      </c>
      <c r="B4529" s="2" t="str">
        <f ca="1">IFERROR(__xludf.DUMMYFUNCTION("""COMPUTED_VALUE"""),"enrx")</f>
        <v>enrx</v>
      </c>
      <c r="C4529" s="2" t="str">
        <f ca="1">IFERROR(__xludf.DUMMYFUNCTION("""COMPUTED_VALUE"""),"Enrex")</f>
        <v>Enrex</v>
      </c>
    </row>
    <row r="4530" spans="1:3" x14ac:dyDescent="0.25">
      <c r="A4530" s="2" t="str">
        <f ca="1">IFERROR(__xludf.DUMMYFUNCTION("""COMPUTED_VALUE"""),"ensue")</f>
        <v>ensue</v>
      </c>
      <c r="B4530" s="2" t="str">
        <f ca="1">IFERROR(__xludf.DUMMYFUNCTION("""COMPUTED_VALUE"""),"ensue")</f>
        <v>ensue</v>
      </c>
      <c r="C4530" s="2" t="str">
        <f ca="1">IFERROR(__xludf.DUMMYFUNCTION("""COMPUTED_VALUE"""),"Ensue")</f>
        <v>Ensue</v>
      </c>
    </row>
    <row r="4531" spans="1:3" x14ac:dyDescent="0.25">
      <c r="A4531" s="2" t="str">
        <f ca="1">IFERROR(__xludf.DUMMYFUNCTION("""COMPUTED_VALUE"""),"entangle")</f>
        <v>entangle</v>
      </c>
      <c r="B4531" s="2" t="str">
        <f ca="1">IFERROR(__xludf.DUMMYFUNCTION("""COMPUTED_VALUE"""),"ngl")</f>
        <v>ngl</v>
      </c>
      <c r="C4531" s="2" t="str">
        <f ca="1">IFERROR(__xludf.DUMMYFUNCTION("""COMPUTED_VALUE"""),"Entangle")</f>
        <v>Entangle</v>
      </c>
    </row>
    <row r="4532" spans="1:3" x14ac:dyDescent="0.25">
      <c r="A4532" s="2" t="str">
        <f ca="1">IFERROR(__xludf.DUMMYFUNCTION("""COMPUTED_VALUE"""),"enter")</f>
        <v>enter</v>
      </c>
      <c r="B4532" s="2" t="str">
        <f ca="1">IFERROR(__xludf.DUMMYFUNCTION("""COMPUTED_VALUE"""),"enter")</f>
        <v>enter</v>
      </c>
      <c r="C4532" s="2" t="str">
        <f ca="1">IFERROR(__xludf.DUMMYFUNCTION("""COMPUTED_VALUE"""),"ENTER")</f>
        <v>ENTER</v>
      </c>
    </row>
    <row r="4533" spans="1:3" x14ac:dyDescent="0.25">
      <c r="A4533" s="2" t="str">
        <f ca="1">IFERROR(__xludf.DUMMYFUNCTION("""COMPUTED_VALUE"""),"enterdao")</f>
        <v>enterdao</v>
      </c>
      <c r="B4533" s="2" t="str">
        <f ca="1">IFERROR(__xludf.DUMMYFUNCTION("""COMPUTED_VALUE"""),"entr")</f>
        <v>entr</v>
      </c>
      <c r="C4533" s="2" t="str">
        <f ca="1">IFERROR(__xludf.DUMMYFUNCTION("""COMPUTED_VALUE"""),"EnterDAO")</f>
        <v>EnterDAO</v>
      </c>
    </row>
    <row r="4534" spans="1:3" x14ac:dyDescent="0.25">
      <c r="A4534" s="2" t="str">
        <f ca="1">IFERROR(__xludf.DUMMYFUNCTION("""COMPUTED_VALUE"""),"ents")</f>
        <v>ents</v>
      </c>
      <c r="B4534" s="2" t="str">
        <f ca="1">IFERROR(__xludf.DUMMYFUNCTION("""COMPUTED_VALUE"""),"ents")</f>
        <v>ents</v>
      </c>
      <c r="C4534" s="2" t="str">
        <f ca="1">IFERROR(__xludf.DUMMYFUNCTION("""COMPUTED_VALUE"""),"Ents")</f>
        <v>Ents</v>
      </c>
    </row>
    <row r="4535" spans="1:3" x14ac:dyDescent="0.25">
      <c r="A4535" s="2" t="str">
        <f ca="1">IFERROR(__xludf.DUMMYFUNCTION("""COMPUTED_VALUE"""),"envida")</f>
        <v>envida</v>
      </c>
      <c r="B4535" s="2" t="str">
        <f ca="1">IFERROR(__xludf.DUMMYFUNCTION("""COMPUTED_VALUE"""),"edat")</f>
        <v>edat</v>
      </c>
      <c r="C4535" s="2" t="str">
        <f ca="1">IFERROR(__xludf.DUMMYFUNCTION("""COMPUTED_VALUE"""),"EnviDa")</f>
        <v>EnviDa</v>
      </c>
    </row>
    <row r="4536" spans="1:3" x14ac:dyDescent="0.25">
      <c r="A4536" s="2" t="str">
        <f ca="1">IFERROR(__xludf.DUMMYFUNCTION("""COMPUTED_VALUE"""),"envi-foundation")</f>
        <v>envi-foundation</v>
      </c>
      <c r="B4536" s="2" t="str">
        <f ca="1">IFERROR(__xludf.DUMMYFUNCTION("""COMPUTED_VALUE"""),"envi")</f>
        <v>envi</v>
      </c>
      <c r="C4536" s="2" t="str">
        <f ca="1">IFERROR(__xludf.DUMMYFUNCTION("""COMPUTED_VALUE"""),"Envi Coin")</f>
        <v>Envi Coin</v>
      </c>
    </row>
    <row r="4537" spans="1:3" x14ac:dyDescent="0.25">
      <c r="A4537" s="2" t="str">
        <f ca="1">IFERROR(__xludf.DUMMYFUNCTION("""COMPUTED_VALUE"""),"envision-2")</f>
        <v>envision-2</v>
      </c>
      <c r="B4537" s="2" t="str">
        <f ca="1">IFERROR(__xludf.DUMMYFUNCTION("""COMPUTED_VALUE"""),"vis")</f>
        <v>vis</v>
      </c>
      <c r="C4537" s="2" t="str">
        <f ca="1">IFERROR(__xludf.DUMMYFUNCTION("""COMPUTED_VALUE"""),"Envision Labs")</f>
        <v>Envision Labs</v>
      </c>
    </row>
    <row r="4538" spans="1:3" x14ac:dyDescent="0.25">
      <c r="A4538" s="2" t="str">
        <f ca="1">IFERROR(__xludf.DUMMYFUNCTION("""COMPUTED_VALUE"""),"eon-marketplace")</f>
        <v>eon-marketplace</v>
      </c>
      <c r="B4538" s="2" t="str">
        <f ca="1">IFERROR(__xludf.DUMMYFUNCTION("""COMPUTED_VALUE"""),"eon")</f>
        <v>eon</v>
      </c>
      <c r="C4538" s="2" t="str">
        <f ca="1">IFERROR(__xludf.DUMMYFUNCTION("""COMPUTED_VALUE"""),"EON Marketplace")</f>
        <v>EON Marketplace</v>
      </c>
    </row>
    <row r="4539" spans="1:3" x14ac:dyDescent="0.25">
      <c r="A4539" s="2" t="str">
        <f ca="1">IFERROR(__xludf.DUMMYFUNCTION("""COMPUTED_VALUE"""),"eos")</f>
        <v>eos</v>
      </c>
      <c r="B4539" s="2" t="str">
        <f ca="1">IFERROR(__xludf.DUMMYFUNCTION("""COMPUTED_VALUE"""),"eos")</f>
        <v>eos</v>
      </c>
      <c r="C4539" s="2" t="str">
        <f ca="1">IFERROR(__xludf.DUMMYFUNCTION("""COMPUTED_VALUE"""),"EOS")</f>
        <v>EOS</v>
      </c>
    </row>
    <row r="4540" spans="1:3" x14ac:dyDescent="0.25">
      <c r="A4540" s="2" t="str">
        <f ca="1">IFERROR(__xludf.DUMMYFUNCTION("""COMPUTED_VALUE"""),"eosdac")</f>
        <v>eosdac</v>
      </c>
      <c r="B4540" s="2" t="str">
        <f ca="1">IFERROR(__xludf.DUMMYFUNCTION("""COMPUTED_VALUE"""),"eosdac")</f>
        <v>eosdac</v>
      </c>
      <c r="C4540" s="2" t="str">
        <f ca="1">IFERROR(__xludf.DUMMYFUNCTION("""COMPUTED_VALUE"""),"eosDAC")</f>
        <v>eosDAC</v>
      </c>
    </row>
    <row r="4541" spans="1:3" x14ac:dyDescent="0.25">
      <c r="A4541" s="2" t="str">
        <f ca="1">IFERROR(__xludf.DUMMYFUNCTION("""COMPUTED_VALUE"""),"eosforce")</f>
        <v>eosforce</v>
      </c>
      <c r="B4541" s="2" t="str">
        <f ca="1">IFERROR(__xludf.DUMMYFUNCTION("""COMPUTED_VALUE"""),"eosc")</f>
        <v>eosc</v>
      </c>
      <c r="C4541" s="2" t="str">
        <f ca="1">IFERROR(__xludf.DUMMYFUNCTION("""COMPUTED_VALUE"""),"EOSForce")</f>
        <v>EOSForce</v>
      </c>
    </row>
    <row r="4542" spans="1:3" x14ac:dyDescent="0.25">
      <c r="A4542" s="2" t="str">
        <f ca="1">IFERROR(__xludf.DUMMYFUNCTION("""COMPUTED_VALUE"""),"eos-wrapped-ram")</f>
        <v>eos-wrapped-ram</v>
      </c>
      <c r="B4542" s="2" t="str">
        <f ca="1">IFERROR(__xludf.DUMMYFUNCTION("""COMPUTED_VALUE"""),"wram")</f>
        <v>wram</v>
      </c>
      <c r="C4542" s="2" t="str">
        <f ca="1">IFERROR(__xludf.DUMMYFUNCTION("""COMPUTED_VALUE"""),"EOS Wrapped RAM")</f>
        <v>EOS Wrapped RAM</v>
      </c>
    </row>
    <row r="4543" spans="1:3" x14ac:dyDescent="0.25">
      <c r="A4543" s="2" t="str">
        <f ca="1">IFERROR(__xludf.DUMMYFUNCTION("""COMPUTED_VALUE"""),"epep")</f>
        <v>epep</v>
      </c>
      <c r="B4543" s="2" t="str">
        <f ca="1">IFERROR(__xludf.DUMMYFUNCTION("""COMPUTED_VALUE"""),"epep")</f>
        <v>epep</v>
      </c>
      <c r="C4543" s="2" t="str">
        <f ca="1">IFERROR(__xludf.DUMMYFUNCTION("""COMPUTED_VALUE"""),"Epep")</f>
        <v>Epep</v>
      </c>
    </row>
    <row r="4544" spans="1:3" x14ac:dyDescent="0.25">
      <c r="A4544" s="2" t="str">
        <f ca="1">IFERROR(__xludf.DUMMYFUNCTION("""COMPUTED_VALUE"""),"epicbots")</f>
        <v>epicbots</v>
      </c>
      <c r="B4544" s="2" t="str">
        <f ca="1">IFERROR(__xludf.DUMMYFUNCTION("""COMPUTED_VALUE"""),"epic")</f>
        <v>epic</v>
      </c>
      <c r="C4544" s="2" t="str">
        <f ca="1">IFERROR(__xludf.DUMMYFUNCTION("""COMPUTED_VALUE"""),"EPICBOTS")</f>
        <v>EPICBOTS</v>
      </c>
    </row>
    <row r="4545" spans="1:3" x14ac:dyDescent="0.25">
      <c r="A4545" s="2" t="str">
        <f ca="1">IFERROR(__xludf.DUMMYFUNCTION("""COMPUTED_VALUE"""),"epic-cash")</f>
        <v>epic-cash</v>
      </c>
      <c r="B4545" s="2" t="str">
        <f ca="1">IFERROR(__xludf.DUMMYFUNCTION("""COMPUTED_VALUE"""),"epic")</f>
        <v>epic</v>
      </c>
      <c r="C4545" s="2" t="str">
        <f ca="1">IFERROR(__xludf.DUMMYFUNCTION("""COMPUTED_VALUE"""),"Epic Cash")</f>
        <v>Epic Cash</v>
      </c>
    </row>
    <row r="4546" spans="1:3" x14ac:dyDescent="0.25">
      <c r="A4546" s="2" t="str">
        <f ca="1">IFERROR(__xludf.DUMMYFUNCTION("""COMPUTED_VALUE"""),"epic-epic-epic-epic")</f>
        <v>epic-epic-epic-epic</v>
      </c>
      <c r="B4546" s="2" t="str">
        <f ca="1">IFERROR(__xludf.DUMMYFUNCTION("""COMPUTED_VALUE"""),"💥")</f>
        <v>💥</v>
      </c>
      <c r="C4546" s="2" t="str">
        <f ca="1">IFERROR(__xludf.DUMMYFUNCTION("""COMPUTED_VALUE"""),"EPIC•EPIC•EPIC•EPIC")</f>
        <v>EPIC•EPIC•EPIC•EPIC</v>
      </c>
    </row>
    <row r="4547" spans="1:3" x14ac:dyDescent="0.25">
      <c r="A4547" s="2" t="str">
        <f ca="1">IFERROR(__xludf.DUMMYFUNCTION("""COMPUTED_VALUE"""),"epic-league")</f>
        <v>epic-league</v>
      </c>
      <c r="B4547" s="2" t="str">
        <f ca="1">IFERROR(__xludf.DUMMYFUNCTION("""COMPUTED_VALUE"""),"epl")</f>
        <v>epl</v>
      </c>
      <c r="C4547" s="2" t="str">
        <f ca="1">IFERROR(__xludf.DUMMYFUNCTION("""COMPUTED_VALUE"""),"Epic League")</f>
        <v>Epic League</v>
      </c>
    </row>
    <row r="4548" spans="1:3" x14ac:dyDescent="0.25">
      <c r="A4548" s="2" t="str">
        <f ca="1">IFERROR(__xludf.DUMMYFUNCTION("""COMPUTED_VALUE"""),"epics-token")</f>
        <v>epics-token</v>
      </c>
      <c r="B4548" s="2" t="str">
        <f ca="1">IFERROR(__xludf.DUMMYFUNCTION("""COMPUTED_VALUE"""),"epct")</f>
        <v>epct</v>
      </c>
      <c r="C4548" s="2" t="str">
        <f ca="1">IFERROR(__xludf.DUMMYFUNCTION("""COMPUTED_VALUE"""),"Epics Token")</f>
        <v>Epics Token</v>
      </c>
    </row>
    <row r="4549" spans="1:3" x14ac:dyDescent="0.25">
      <c r="A4549" s="2" t="str">
        <f ca="1">IFERROR(__xludf.DUMMYFUNCTION("""COMPUTED_VALUE"""),"epiko")</f>
        <v>epiko</v>
      </c>
      <c r="B4549" s="2" t="str">
        <f ca="1">IFERROR(__xludf.DUMMYFUNCTION("""COMPUTED_VALUE"""),"epiko")</f>
        <v>epiko</v>
      </c>
      <c r="C4549" s="2" t="str">
        <f ca="1">IFERROR(__xludf.DUMMYFUNCTION("""COMPUTED_VALUE"""),"Epiko")</f>
        <v>Epiko</v>
      </c>
    </row>
    <row r="4550" spans="1:3" x14ac:dyDescent="0.25">
      <c r="A4550" s="2" t="str">
        <f ca="1">IFERROR(__xludf.DUMMYFUNCTION("""COMPUTED_VALUE"""),"epik-prime")</f>
        <v>epik-prime</v>
      </c>
      <c r="B4550" s="2" t="str">
        <f ca="1">IFERROR(__xludf.DUMMYFUNCTION("""COMPUTED_VALUE"""),"epik")</f>
        <v>epik</v>
      </c>
      <c r="C4550" s="2" t="str">
        <f ca="1">IFERROR(__xludf.DUMMYFUNCTION("""COMPUTED_VALUE"""),"Epik Prime")</f>
        <v>Epik Prime</v>
      </c>
    </row>
    <row r="4551" spans="1:3" x14ac:dyDescent="0.25">
      <c r="A4551" s="2" t="str">
        <f ca="1">IFERROR(__xludf.DUMMYFUNCTION("""COMPUTED_VALUE"""),"epik-protocol")</f>
        <v>epik-protocol</v>
      </c>
      <c r="B4551" s="2" t="str">
        <f ca="1">IFERROR(__xludf.DUMMYFUNCTION("""COMPUTED_VALUE"""),"aiepk")</f>
        <v>aiepk</v>
      </c>
      <c r="C4551" s="2" t="str">
        <f ca="1">IFERROR(__xludf.DUMMYFUNCTION("""COMPUTED_VALUE"""),"EpiK Protocol")</f>
        <v>EpiK Protocol</v>
      </c>
    </row>
    <row r="4552" spans="1:3" x14ac:dyDescent="0.25">
      <c r="A4552" s="2" t="str">
        <f ca="1">IFERROR(__xludf.DUMMYFUNCTION("""COMPUTED_VALUE"""),"epoch-island")</f>
        <v>epoch-island</v>
      </c>
      <c r="B4552" s="2" t="str">
        <f ca="1">IFERROR(__xludf.DUMMYFUNCTION("""COMPUTED_VALUE"""),"epoch")</f>
        <v>epoch</v>
      </c>
      <c r="C4552" s="2" t="str">
        <f ca="1">IFERROR(__xludf.DUMMYFUNCTION("""COMPUTED_VALUE"""),"Epoch Island")</f>
        <v>Epoch Island</v>
      </c>
    </row>
    <row r="4553" spans="1:3" x14ac:dyDescent="0.25">
      <c r="A4553" s="2" t="str">
        <f ca="1">IFERROR(__xludf.DUMMYFUNCTION("""COMPUTED_VALUE"""),"eq9")</f>
        <v>eq9</v>
      </c>
      <c r="B4553" s="2" t="str">
        <f ca="1">IFERROR(__xludf.DUMMYFUNCTION("""COMPUTED_VALUE"""),"eq9")</f>
        <v>eq9</v>
      </c>
      <c r="C4553" s="2" t="str">
        <f ca="1">IFERROR(__xludf.DUMMYFUNCTION("""COMPUTED_VALUE"""),"Equals9")</f>
        <v>Equals9</v>
      </c>
    </row>
    <row r="4554" spans="1:3" x14ac:dyDescent="0.25">
      <c r="A4554" s="2" t="str">
        <f ca="1">IFERROR(__xludf.DUMMYFUNCTION("""COMPUTED_VALUE"""),"eq9-2")</f>
        <v>eq9-2</v>
      </c>
      <c r="B4554" s="2" t="str">
        <f ca="1">IFERROR(__xludf.DUMMYFUNCTION("""COMPUTED_VALUE"""),"eq9")</f>
        <v>eq9</v>
      </c>
      <c r="C4554" s="2" t="str">
        <f ca="1">IFERROR(__xludf.DUMMYFUNCTION("""COMPUTED_VALUE"""),"EQ9")</f>
        <v>EQ9</v>
      </c>
    </row>
    <row r="4555" spans="1:3" x14ac:dyDescent="0.25">
      <c r="A4555" s="2" t="str">
        <f ca="1">IFERROR(__xludf.DUMMYFUNCTION("""COMPUTED_VALUE"""),"eqifi")</f>
        <v>eqifi</v>
      </c>
      <c r="B4555" s="2" t="str">
        <f ca="1">IFERROR(__xludf.DUMMYFUNCTION("""COMPUTED_VALUE"""),"eqx")</f>
        <v>eqx</v>
      </c>
      <c r="C4555" s="2" t="str">
        <f ca="1">IFERROR(__xludf.DUMMYFUNCTION("""COMPUTED_VALUE"""),"EQIFi")</f>
        <v>EQIFi</v>
      </c>
    </row>
    <row r="4556" spans="1:3" x14ac:dyDescent="0.25">
      <c r="A4556" s="2" t="str">
        <f ca="1">IFERROR(__xludf.DUMMYFUNCTION("""COMPUTED_VALUE"""),"equalizer")</f>
        <v>equalizer</v>
      </c>
      <c r="B4556" s="2" t="str">
        <f ca="1">IFERROR(__xludf.DUMMYFUNCTION("""COMPUTED_VALUE"""),"eqz")</f>
        <v>eqz</v>
      </c>
      <c r="C4556" s="2" t="str">
        <f ca="1">IFERROR(__xludf.DUMMYFUNCTION("""COMPUTED_VALUE"""),"Equalizer")</f>
        <v>Equalizer</v>
      </c>
    </row>
    <row r="4557" spans="1:3" x14ac:dyDescent="0.25">
      <c r="A4557" s="2" t="str">
        <f ca="1">IFERROR(__xludf.DUMMYFUNCTION("""COMPUTED_VALUE"""),"equalizer-base")</f>
        <v>equalizer-base</v>
      </c>
      <c r="B4557" s="2" t="str">
        <f ca="1">IFERROR(__xludf.DUMMYFUNCTION("""COMPUTED_VALUE"""),"scale")</f>
        <v>scale</v>
      </c>
      <c r="C4557" s="2" t="str">
        <f ca="1">IFERROR(__xludf.DUMMYFUNCTION("""COMPUTED_VALUE"""),"Equalizer (BASE)")</f>
        <v>Equalizer (BASE)</v>
      </c>
    </row>
    <row r="4558" spans="1:3" x14ac:dyDescent="0.25">
      <c r="A4558" s="2" t="str">
        <f ca="1">IFERROR(__xludf.DUMMYFUNCTION("""COMPUTED_VALUE"""),"equalizer-dex")</f>
        <v>equalizer-dex</v>
      </c>
      <c r="B4558" s="2" t="str">
        <f ca="1">IFERROR(__xludf.DUMMYFUNCTION("""COMPUTED_VALUE"""),"equal")</f>
        <v>equal</v>
      </c>
      <c r="C4558" s="2" t="str">
        <f ca="1">IFERROR(__xludf.DUMMYFUNCTION("""COMPUTED_VALUE"""),"Equalizer DEX")</f>
        <v>Equalizer DEX</v>
      </c>
    </row>
    <row r="4559" spans="1:3" x14ac:dyDescent="0.25">
      <c r="A4559" s="2" t="str">
        <f ca="1">IFERROR(__xludf.DUMMYFUNCTION("""COMPUTED_VALUE"""),"equation")</f>
        <v>equation</v>
      </c>
      <c r="B4559" s="2" t="str">
        <f ca="1">IFERROR(__xludf.DUMMYFUNCTION("""COMPUTED_VALUE"""),"equ")</f>
        <v>equ</v>
      </c>
      <c r="C4559" s="2" t="str">
        <f ca="1">IFERROR(__xludf.DUMMYFUNCTION("""COMPUTED_VALUE"""),"Equation")</f>
        <v>Equation</v>
      </c>
    </row>
    <row r="4560" spans="1:3" x14ac:dyDescent="0.25">
      <c r="A4560" s="2" t="str">
        <f ca="1">IFERROR(__xludf.DUMMYFUNCTION("""COMPUTED_VALUE"""),"equilibre")</f>
        <v>equilibre</v>
      </c>
      <c r="B4560" s="2" t="str">
        <f ca="1">IFERROR(__xludf.DUMMYFUNCTION("""COMPUTED_VALUE"""),"vara")</f>
        <v>vara</v>
      </c>
      <c r="C4560" s="2" t="str">
        <f ca="1">IFERROR(__xludf.DUMMYFUNCTION("""COMPUTED_VALUE"""),"Equilibre")</f>
        <v>Equilibre</v>
      </c>
    </row>
    <row r="4561" spans="1:3" x14ac:dyDescent="0.25">
      <c r="A4561" s="2" t="str">
        <f ca="1">IFERROR(__xludf.DUMMYFUNCTION("""COMPUTED_VALUE"""),"equilibria-finance")</f>
        <v>equilibria-finance</v>
      </c>
      <c r="B4561" s="2" t="str">
        <f ca="1">IFERROR(__xludf.DUMMYFUNCTION("""COMPUTED_VALUE"""),"eqb")</f>
        <v>eqb</v>
      </c>
      <c r="C4561" s="2" t="str">
        <f ca="1">IFERROR(__xludf.DUMMYFUNCTION("""COMPUTED_VALUE"""),"Equilibria Finance")</f>
        <v>Equilibria Finance</v>
      </c>
    </row>
    <row r="4562" spans="1:3" x14ac:dyDescent="0.25">
      <c r="A4562" s="2" t="str">
        <f ca="1">IFERROR(__xludf.DUMMYFUNCTION("""COMPUTED_VALUE"""),"equilibria-finance-ependle")</f>
        <v>equilibria-finance-ependle</v>
      </c>
      <c r="B4562" s="2" t="str">
        <f ca="1">IFERROR(__xludf.DUMMYFUNCTION("""COMPUTED_VALUE"""),"ependle")</f>
        <v>ependle</v>
      </c>
      <c r="C4562" s="2" t="str">
        <f ca="1">IFERROR(__xludf.DUMMYFUNCTION("""COMPUTED_VALUE"""),"Equilibria Finance ePENDLE")</f>
        <v>Equilibria Finance ePENDLE</v>
      </c>
    </row>
    <row r="4563" spans="1:3" x14ac:dyDescent="0.25">
      <c r="A4563" s="2" t="str">
        <f ca="1">IFERROR(__xludf.DUMMYFUNCTION("""COMPUTED_VALUE"""),"equilibrium")</f>
        <v>equilibrium</v>
      </c>
      <c r="B4563" s="2" t="str">
        <f ca="1">IFERROR(__xludf.DUMMYFUNCTION("""COMPUTED_VALUE"""),"eq")</f>
        <v>eq</v>
      </c>
      <c r="C4563" s="2" t="str">
        <f ca="1">IFERROR(__xludf.DUMMYFUNCTION("""COMPUTED_VALUE"""),"Equilibrium Games")</f>
        <v>Equilibrium Games</v>
      </c>
    </row>
    <row r="4564" spans="1:3" x14ac:dyDescent="0.25">
      <c r="A4564" s="2" t="str">
        <f ca="1">IFERROR(__xludf.DUMMYFUNCTION("""COMPUTED_VALUE"""),"equilibrium-token")</f>
        <v>equilibrium-token</v>
      </c>
      <c r="B4564" s="2" t="str">
        <f ca="1">IFERROR(__xludf.DUMMYFUNCTION("""COMPUTED_VALUE"""),"eq")</f>
        <v>eq</v>
      </c>
      <c r="C4564" s="2" t="str">
        <f ca="1">IFERROR(__xludf.DUMMYFUNCTION("""COMPUTED_VALUE"""),"Equilibrium")</f>
        <v>Equilibrium</v>
      </c>
    </row>
    <row r="4565" spans="1:3" x14ac:dyDescent="0.25">
      <c r="A4565" s="2" t="str">
        <f ca="1">IFERROR(__xludf.DUMMYFUNCTION("""COMPUTED_VALUE"""),"equinox-ecosystem")</f>
        <v>equinox-ecosystem</v>
      </c>
      <c r="B4565" s="2" t="str">
        <f ca="1">IFERROR(__xludf.DUMMYFUNCTION("""COMPUTED_VALUE"""),"nox")</f>
        <v>nox</v>
      </c>
      <c r="C4565" s="2" t="str">
        <f ca="1">IFERROR(__xludf.DUMMYFUNCTION("""COMPUTED_VALUE"""),"Equinox Ecosystem")</f>
        <v>Equinox Ecosystem</v>
      </c>
    </row>
    <row r="4566" spans="1:3" x14ac:dyDescent="0.25">
      <c r="A4566" s="2" t="str">
        <f ca="1">IFERROR(__xludf.DUMMYFUNCTION("""COMPUTED_VALUE"""),"equitypay")</f>
        <v>equitypay</v>
      </c>
      <c r="B4566" s="2" t="str">
        <f ca="1">IFERROR(__xludf.DUMMYFUNCTION("""COMPUTED_VALUE"""),"eqpay")</f>
        <v>eqpay</v>
      </c>
      <c r="C4566" s="2" t="str">
        <f ca="1">IFERROR(__xludf.DUMMYFUNCTION("""COMPUTED_VALUE"""),"EquityPay")</f>
        <v>EquityPay</v>
      </c>
    </row>
    <row r="4567" spans="1:3" x14ac:dyDescent="0.25">
      <c r="A4567" s="2" t="str">
        <f ca="1">IFERROR(__xludf.DUMMYFUNCTION("""COMPUTED_VALUE"""),"era7")</f>
        <v>era7</v>
      </c>
      <c r="B4567" s="2" t="str">
        <f ca="1">IFERROR(__xludf.DUMMYFUNCTION("""COMPUTED_VALUE"""),"era")</f>
        <v>era</v>
      </c>
      <c r="C4567" s="2" t="str">
        <f ca="1">IFERROR(__xludf.DUMMYFUNCTION("""COMPUTED_VALUE"""),"Era7")</f>
        <v>Era7</v>
      </c>
    </row>
    <row r="4568" spans="1:3" x14ac:dyDescent="0.25">
      <c r="A4568" s="2" t="str">
        <f ca="1">IFERROR(__xludf.DUMMYFUNCTION("""COMPUTED_VALUE"""),"eraape")</f>
        <v>eraape</v>
      </c>
      <c r="B4568" s="2" t="str">
        <f ca="1">IFERROR(__xludf.DUMMYFUNCTION("""COMPUTED_VALUE"""),"eape")</f>
        <v>eape</v>
      </c>
      <c r="C4568" s="2" t="str">
        <f ca="1">IFERROR(__xludf.DUMMYFUNCTION("""COMPUTED_VALUE"""),"EraApe")</f>
        <v>EraApe</v>
      </c>
    </row>
    <row r="4569" spans="1:3" x14ac:dyDescent="0.25">
      <c r="A4569" s="2" t="str">
        <f ca="1">IFERROR(__xludf.DUMMYFUNCTION("""COMPUTED_VALUE"""),"e-radix")</f>
        <v>e-radix</v>
      </c>
      <c r="B4569" s="2" t="str">
        <f ca="1">IFERROR(__xludf.DUMMYFUNCTION("""COMPUTED_VALUE"""),"exrd")</f>
        <v>exrd</v>
      </c>
      <c r="C4569" s="2" t="str">
        <f ca="1">IFERROR(__xludf.DUMMYFUNCTION("""COMPUTED_VALUE"""),"e-Radix")</f>
        <v>e-Radix</v>
      </c>
    </row>
    <row r="4570" spans="1:3" x14ac:dyDescent="0.25">
      <c r="A4570" s="2" t="str">
        <f ca="1">IFERROR(__xludf.DUMMYFUNCTION("""COMPUTED_VALUE"""),"era-name-service")</f>
        <v>era-name-service</v>
      </c>
      <c r="B4570" s="2" t="str">
        <f ca="1">IFERROR(__xludf.DUMMYFUNCTION("""COMPUTED_VALUE"""),"era")</f>
        <v>era</v>
      </c>
      <c r="C4570" s="2" t="str">
        <f ca="1">IFERROR(__xludf.DUMMYFUNCTION("""COMPUTED_VALUE"""),"Era Name Service")</f>
        <v>Era Name Service</v>
      </c>
    </row>
    <row r="4571" spans="1:3" x14ac:dyDescent="0.25">
      <c r="A4571" s="2" t="str">
        <f ca="1">IFERROR(__xludf.DUMMYFUNCTION("""COMPUTED_VALUE"""),"erbiechain")</f>
        <v>erbiechain</v>
      </c>
      <c r="B4571" s="2" t="str">
        <f ca="1">IFERROR(__xludf.DUMMYFUNCTION("""COMPUTED_VALUE"""),"erb")</f>
        <v>erb</v>
      </c>
      <c r="C4571" s="2" t="str">
        <f ca="1">IFERROR(__xludf.DUMMYFUNCTION("""COMPUTED_VALUE"""),"ErbieChain")</f>
        <v>ErbieChain</v>
      </c>
    </row>
    <row r="4572" spans="1:3" x14ac:dyDescent="0.25">
      <c r="A4572" s="2" t="str">
        <f ca="1">IFERROR(__xludf.DUMMYFUNCTION("""COMPUTED_VALUE"""),"ergo")</f>
        <v>ergo</v>
      </c>
      <c r="B4572" s="2" t="str">
        <f ca="1">IFERROR(__xludf.DUMMYFUNCTION("""COMPUTED_VALUE"""),"erg")</f>
        <v>erg</v>
      </c>
      <c r="C4572" s="2" t="str">
        <f ca="1">IFERROR(__xludf.DUMMYFUNCTION("""COMPUTED_VALUE"""),"Ergo")</f>
        <v>Ergo</v>
      </c>
    </row>
    <row r="4573" spans="1:3" x14ac:dyDescent="0.25">
      <c r="A4573" s="2" t="str">
        <f ca="1">IFERROR(__xludf.DUMMYFUNCTION("""COMPUTED_VALUE"""),"ergone")</f>
        <v>ergone</v>
      </c>
      <c r="B4573" s="2" t="str">
        <f ca="1">IFERROR(__xludf.DUMMYFUNCTION("""COMPUTED_VALUE"""),"ergone")</f>
        <v>ergone</v>
      </c>
      <c r="C4573" s="2" t="str">
        <f ca="1">IFERROR(__xludf.DUMMYFUNCTION("""COMPUTED_VALUE"""),"ErgOne")</f>
        <v>ErgOne</v>
      </c>
    </row>
    <row r="4574" spans="1:3" x14ac:dyDescent="0.25">
      <c r="A4574" s="2" t="str">
        <f ca="1">IFERROR(__xludf.DUMMYFUNCTION("""COMPUTED_VALUE"""),"ergopad")</f>
        <v>ergopad</v>
      </c>
      <c r="B4574" s="2" t="str">
        <f ca="1">IFERROR(__xludf.DUMMYFUNCTION("""COMPUTED_VALUE"""),"ergopad")</f>
        <v>ergopad</v>
      </c>
      <c r="C4574" s="2" t="str">
        <f ca="1">IFERROR(__xludf.DUMMYFUNCTION("""COMPUTED_VALUE"""),"Ergopad")</f>
        <v>Ergopad</v>
      </c>
    </row>
    <row r="4575" spans="1:3" x14ac:dyDescent="0.25">
      <c r="A4575" s="2" t="str">
        <f ca="1">IFERROR(__xludf.DUMMYFUNCTION("""COMPUTED_VALUE"""),"eric")</f>
        <v>eric</v>
      </c>
      <c r="B4575" s="2" t="str">
        <f ca="1">IFERROR(__xludf.DUMMYFUNCTION("""COMPUTED_VALUE"""),"eric")</f>
        <v>eric</v>
      </c>
      <c r="C4575" s="2" t="str">
        <f ca="1">IFERROR(__xludf.DUMMYFUNCTION("""COMPUTED_VALUE"""),"Elon's Pet Fish ERIC")</f>
        <v>Elon's Pet Fish ERIC</v>
      </c>
    </row>
    <row r="4576" spans="1:3" x14ac:dyDescent="0.25">
      <c r="A4576" s="2" t="str">
        <f ca="1">IFERROR(__xludf.DUMMYFUNCTION("""COMPUTED_VALUE"""),"eric-the-goldfish")</f>
        <v>eric-the-goldfish</v>
      </c>
      <c r="B4576" s="2" t="str">
        <f ca="1">IFERROR(__xludf.DUMMYFUNCTION("""COMPUTED_VALUE"""),"eric")</f>
        <v>eric</v>
      </c>
      <c r="C4576" s="2" t="str">
        <f ca="1">IFERROR(__xludf.DUMMYFUNCTION("""COMPUTED_VALUE"""),"Eric the Goldfish")</f>
        <v>Eric the Goldfish</v>
      </c>
    </row>
    <row r="4577" spans="1:3" x14ac:dyDescent="0.25">
      <c r="A4577" s="2" t="str">
        <f ca="1">IFERROR(__xludf.DUMMYFUNCTION("""COMPUTED_VALUE"""),"eris-amplified-juno")</f>
        <v>eris-amplified-juno</v>
      </c>
      <c r="B4577" s="2" t="str">
        <f ca="1">IFERROR(__xludf.DUMMYFUNCTION("""COMPUTED_VALUE"""),"ampjuno")</f>
        <v>ampjuno</v>
      </c>
      <c r="C4577" s="2" t="str">
        <f ca="1">IFERROR(__xludf.DUMMYFUNCTION("""COMPUTED_VALUE"""),"Eris Amplified JUNO")</f>
        <v>Eris Amplified JUNO</v>
      </c>
    </row>
    <row r="4578" spans="1:3" x14ac:dyDescent="0.25">
      <c r="A4578" s="2" t="str">
        <f ca="1">IFERROR(__xludf.DUMMYFUNCTION("""COMPUTED_VALUE"""),"eris-amplified-mnta")</f>
        <v>eris-amplified-mnta</v>
      </c>
      <c r="B4578" s="2" t="str">
        <f ca="1">IFERROR(__xludf.DUMMYFUNCTION("""COMPUTED_VALUE"""),"ampmnta")</f>
        <v>ampmnta</v>
      </c>
      <c r="C4578" s="2" t="str">
        <f ca="1">IFERROR(__xludf.DUMMYFUNCTION("""COMPUTED_VALUE"""),"Eris Amplified MNTA")</f>
        <v>Eris Amplified MNTA</v>
      </c>
    </row>
    <row r="4579" spans="1:3" x14ac:dyDescent="0.25">
      <c r="A4579" s="2" t="str">
        <f ca="1">IFERROR(__xludf.DUMMYFUNCTION("""COMPUTED_VALUE"""),"eris-amplified-osmo")</f>
        <v>eris-amplified-osmo</v>
      </c>
      <c r="B4579" s="2" t="str">
        <f ca="1">IFERROR(__xludf.DUMMYFUNCTION("""COMPUTED_VALUE"""),"amposmo")</f>
        <v>amposmo</v>
      </c>
      <c r="C4579" s="2" t="str">
        <f ca="1">IFERROR(__xludf.DUMMYFUNCTION("""COMPUTED_VALUE"""),"Eris amplified OSMO")</f>
        <v>Eris amplified OSMO</v>
      </c>
    </row>
    <row r="4580" spans="1:3" x14ac:dyDescent="0.25">
      <c r="A4580" s="2" t="str">
        <f ca="1">IFERROR(__xludf.DUMMYFUNCTION("""COMPUTED_VALUE"""),"eris-amplified-whale")</f>
        <v>eris-amplified-whale</v>
      </c>
      <c r="B4580" s="2" t="str">
        <f ca="1">IFERROR(__xludf.DUMMYFUNCTION("""COMPUTED_VALUE"""),"ampwhale")</f>
        <v>ampwhale</v>
      </c>
      <c r="C4580" s="2" t="str">
        <f ca="1">IFERROR(__xludf.DUMMYFUNCTION("""COMPUTED_VALUE"""),"Eris Amplified WHALE")</f>
        <v>Eris Amplified WHALE</v>
      </c>
    </row>
    <row r="4581" spans="1:3" x14ac:dyDescent="0.25">
      <c r="A4581" s="2" t="str">
        <f ca="1">IFERROR(__xludf.DUMMYFUNCTION("""COMPUTED_VALUE"""),"eris-staked-kuji")</f>
        <v>eris-staked-kuji</v>
      </c>
      <c r="B4581" s="2" t="str">
        <f ca="1">IFERROR(__xludf.DUMMYFUNCTION("""COMPUTED_VALUE"""),"ampkuji")</f>
        <v>ampkuji</v>
      </c>
      <c r="C4581" s="2" t="str">
        <f ca="1">IFERROR(__xludf.DUMMYFUNCTION("""COMPUTED_VALUE"""),"Eris Staked Kuji")</f>
        <v>Eris Staked Kuji</v>
      </c>
    </row>
    <row r="4582" spans="1:3" x14ac:dyDescent="0.25">
      <c r="A4582" s="2" t="str">
        <f ca="1">IFERROR(__xludf.DUMMYFUNCTION("""COMPUTED_VALUE"""),"eris-staked-mnta")</f>
        <v>eris-staked-mnta</v>
      </c>
      <c r="B4582" s="2" t="str">
        <f ca="1">IFERROR(__xludf.DUMMYFUNCTION("""COMPUTED_VALUE"""),"ampmnta")</f>
        <v>ampmnta</v>
      </c>
      <c r="C4582" s="2" t="str">
        <f ca="1">IFERROR(__xludf.DUMMYFUNCTION("""COMPUTED_VALUE"""),"Eris Staked Mnta")</f>
        <v>Eris Staked Mnta</v>
      </c>
    </row>
    <row r="4583" spans="1:3" x14ac:dyDescent="0.25">
      <c r="A4583" s="2" t="str">
        <f ca="1">IFERROR(__xludf.DUMMYFUNCTION("""COMPUTED_VALUE"""),"ernie")</f>
        <v>ernie</v>
      </c>
      <c r="B4583" s="2" t="str">
        <f ca="1">IFERROR(__xludf.DUMMYFUNCTION("""COMPUTED_VALUE"""),"$ernie")</f>
        <v>$ernie</v>
      </c>
      <c r="C4583" s="2" t="str">
        <f ca="1">IFERROR(__xludf.DUMMYFUNCTION("""COMPUTED_VALUE"""),"ERNIE")</f>
        <v>ERNIE</v>
      </c>
    </row>
    <row r="4584" spans="1:3" x14ac:dyDescent="0.25">
      <c r="A4584" s="2" t="str">
        <f ca="1">IFERROR(__xludf.DUMMYFUNCTION("""COMPUTED_VALUE"""),"error-404")</f>
        <v>error-404</v>
      </c>
      <c r="B4584" s="2" t="str">
        <f ca="1">IFERROR(__xludf.DUMMYFUNCTION("""COMPUTED_VALUE"""),"$err")</f>
        <v>$err</v>
      </c>
      <c r="C4584" s="2" t="str">
        <f ca="1">IFERROR(__xludf.DUMMYFUNCTION("""COMPUTED_VALUE"""),"Error 404")</f>
        <v>Error 404</v>
      </c>
    </row>
    <row r="4585" spans="1:3" x14ac:dyDescent="0.25">
      <c r="A4585" s="2" t="str">
        <f ca="1">IFERROR(__xludf.DUMMYFUNCTION("""COMPUTED_VALUE"""),"ertha")</f>
        <v>ertha</v>
      </c>
      <c r="B4585" s="2" t="str">
        <f ca="1">IFERROR(__xludf.DUMMYFUNCTION("""COMPUTED_VALUE"""),"ertha")</f>
        <v>ertha</v>
      </c>
      <c r="C4585" s="2" t="str">
        <f ca="1">IFERROR(__xludf.DUMMYFUNCTION("""COMPUTED_VALUE"""),"Ertha")</f>
        <v>Ertha</v>
      </c>
    </row>
    <row r="4586" spans="1:3" x14ac:dyDescent="0.25">
      <c r="A4586" s="2" t="str">
        <f ca="1">IFERROR(__xludf.DUMMYFUNCTION("""COMPUTED_VALUE"""),"esab")</f>
        <v>esab</v>
      </c>
      <c r="B4586" s="2" t="str">
        <f ca="1">IFERROR(__xludf.DUMMYFUNCTION("""COMPUTED_VALUE"""),"$esab")</f>
        <v>$esab</v>
      </c>
      <c r="C4586" s="2" t="str">
        <f ca="1">IFERROR(__xludf.DUMMYFUNCTION("""COMPUTED_VALUE"""),"ESAB")</f>
        <v>ESAB</v>
      </c>
    </row>
    <row r="4587" spans="1:3" x14ac:dyDescent="0.25">
      <c r="A4587" s="2" t="str">
        <f ca="1">IFERROR(__xludf.DUMMYFUNCTION("""COMPUTED_VALUE"""),"esco-coin")</f>
        <v>esco-coin</v>
      </c>
      <c r="B4587" s="2" t="str">
        <f ca="1">IFERROR(__xludf.DUMMYFUNCTION("""COMPUTED_VALUE"""),"esco")</f>
        <v>esco</v>
      </c>
      <c r="C4587" s="2" t="str">
        <f ca="1">IFERROR(__xludf.DUMMYFUNCTION("""COMPUTED_VALUE"""),"Esco Coin")</f>
        <v>Esco Coin</v>
      </c>
    </row>
    <row r="4588" spans="1:3" x14ac:dyDescent="0.25">
      <c r="A4588" s="2" t="str">
        <f ca="1">IFERROR(__xludf.DUMMYFUNCTION("""COMPUTED_VALUE"""),"escoin-token")</f>
        <v>escoin-token</v>
      </c>
      <c r="B4588" s="2" t="str">
        <f ca="1">IFERROR(__xludf.DUMMYFUNCTION("""COMPUTED_VALUE"""),"elg")</f>
        <v>elg</v>
      </c>
      <c r="C4588" s="2" t="str">
        <f ca="1">IFERROR(__xludf.DUMMYFUNCTION("""COMPUTED_VALUE"""),"Escoin")</f>
        <v>Escoin</v>
      </c>
    </row>
    <row r="4589" spans="1:3" x14ac:dyDescent="0.25">
      <c r="A4589" s="2" t="str">
        <f ca="1">IFERROR(__xludf.DUMMYFUNCTION("""COMPUTED_VALUE"""),"escrowed-illuvium-2")</f>
        <v>escrowed-illuvium-2</v>
      </c>
      <c r="B4589" s="2" t="str">
        <f ca="1">IFERROR(__xludf.DUMMYFUNCTION("""COMPUTED_VALUE"""),"silv2")</f>
        <v>silv2</v>
      </c>
      <c r="C4589" s="2" t="str">
        <f ca="1">IFERROR(__xludf.DUMMYFUNCTION("""COMPUTED_VALUE"""),"Escrowed Illuvium 2")</f>
        <v>Escrowed Illuvium 2</v>
      </c>
    </row>
    <row r="4590" spans="1:3" x14ac:dyDescent="0.25">
      <c r="A4590" s="2" t="str">
        <f ca="1">IFERROR(__xludf.DUMMYFUNCTION("""COMPUTED_VALUE"""),"escrowed-lbr")</f>
        <v>escrowed-lbr</v>
      </c>
      <c r="B4590" s="2" t="str">
        <f ca="1">IFERROR(__xludf.DUMMYFUNCTION("""COMPUTED_VALUE"""),"eslbr")</f>
        <v>eslbr</v>
      </c>
      <c r="C4590" s="2" t="str">
        <f ca="1">IFERROR(__xludf.DUMMYFUNCTION("""COMPUTED_VALUE"""),"Escrowed LBR")</f>
        <v>Escrowed LBR</v>
      </c>
    </row>
    <row r="4591" spans="1:3" x14ac:dyDescent="0.25">
      <c r="A4591" s="2" t="str">
        <f ca="1">IFERROR(__xludf.DUMMYFUNCTION("""COMPUTED_VALUE"""),"escrowed-prf")</f>
        <v>escrowed-prf</v>
      </c>
      <c r="B4591" s="2" t="str">
        <f ca="1">IFERROR(__xludf.DUMMYFUNCTION("""COMPUTED_VALUE"""),"esprf")</f>
        <v>esprf</v>
      </c>
      <c r="C4591" s="2" t="str">
        <f ca="1">IFERROR(__xludf.DUMMYFUNCTION("""COMPUTED_VALUE"""),"escrowed PRF")</f>
        <v>escrowed PRF</v>
      </c>
    </row>
    <row r="4592" spans="1:3" x14ac:dyDescent="0.25">
      <c r="A4592" s="2" t="str">
        <f ca="1">IFERROR(__xludf.DUMMYFUNCTION("""COMPUTED_VALUE"""),"esg")</f>
        <v>esg</v>
      </c>
      <c r="B4592" s="2" t="str">
        <f ca="1">IFERROR(__xludf.DUMMYFUNCTION("""COMPUTED_VALUE"""),"esg")</f>
        <v>esg</v>
      </c>
      <c r="C4592" s="2" t="str">
        <f ca="1">IFERROR(__xludf.DUMMYFUNCTION("""COMPUTED_VALUE"""),"ESG")</f>
        <v>ESG</v>
      </c>
    </row>
    <row r="4593" spans="1:3" x14ac:dyDescent="0.25">
      <c r="A4593" s="2" t="str">
        <f ca="1">IFERROR(__xludf.DUMMYFUNCTION("""COMPUTED_VALUE"""),"esg-chain")</f>
        <v>esg-chain</v>
      </c>
      <c r="B4593" s="2" t="str">
        <f ca="1">IFERROR(__xludf.DUMMYFUNCTION("""COMPUTED_VALUE"""),"esgc")</f>
        <v>esgc</v>
      </c>
      <c r="C4593" s="2" t="str">
        <f ca="1">IFERROR(__xludf.DUMMYFUNCTION("""COMPUTED_VALUE"""),"ESG Chain")</f>
        <v>ESG Chain</v>
      </c>
    </row>
    <row r="4594" spans="1:3" x14ac:dyDescent="0.25">
      <c r="A4594" s="2" t="str">
        <f ca="1">IFERROR(__xludf.DUMMYFUNCTION("""COMPUTED_VALUE"""),"eska")</f>
        <v>eska</v>
      </c>
      <c r="B4594" s="2" t="str">
        <f ca="1">IFERROR(__xludf.DUMMYFUNCTION("""COMPUTED_VALUE"""),"esk")</f>
        <v>esk</v>
      </c>
      <c r="C4594" s="2" t="str">
        <f ca="1">IFERROR(__xludf.DUMMYFUNCTION("""COMPUTED_VALUE"""),"Eska")</f>
        <v>Eska</v>
      </c>
    </row>
    <row r="4595" spans="1:3" x14ac:dyDescent="0.25">
      <c r="A4595" s="2" t="str">
        <f ca="1">IFERROR(__xludf.DUMMYFUNCTION("""COMPUTED_VALUE"""),"eskisehir-fan-token")</f>
        <v>eskisehir-fan-token</v>
      </c>
      <c r="B4595" s="2" t="str">
        <f ca="1">IFERROR(__xludf.DUMMYFUNCTION("""COMPUTED_VALUE"""),"eses")</f>
        <v>eses</v>
      </c>
      <c r="C4595" s="2" t="str">
        <f ca="1">IFERROR(__xludf.DUMMYFUNCTION("""COMPUTED_VALUE"""),"Eskişehir Fan Token")</f>
        <v>Eskişehir Fan Token</v>
      </c>
    </row>
    <row r="4596" spans="1:3" x14ac:dyDescent="0.25">
      <c r="A4596" s="2" t="str">
        <f ca="1">IFERROR(__xludf.DUMMYFUNCTION("""COMPUTED_VALUE"""),"esm-x")</f>
        <v>esm-x</v>
      </c>
      <c r="B4596" s="2" t="str">
        <f ca="1">IFERROR(__xludf.DUMMYFUNCTION("""COMPUTED_VALUE"""),"esmx")</f>
        <v>esmx</v>
      </c>
      <c r="C4596" s="2" t="str">
        <f ca="1">IFERROR(__xludf.DUMMYFUNCTION("""COMPUTED_VALUE"""),"ESM X")</f>
        <v>ESM X</v>
      </c>
    </row>
    <row r="4597" spans="1:3" x14ac:dyDescent="0.25">
      <c r="A4597" s="2" t="str">
        <f ca="1">IFERROR(__xludf.DUMMYFUNCTION("""COMPUTED_VALUE"""),"esport")</f>
        <v>esport</v>
      </c>
      <c r="B4597" s="2" t="str">
        <f ca="1">IFERROR(__xludf.DUMMYFUNCTION("""COMPUTED_VALUE"""),"espt")</f>
        <v>espt</v>
      </c>
      <c r="C4597" s="2" t="str">
        <f ca="1">IFERROR(__xludf.DUMMYFUNCTION("""COMPUTED_VALUE"""),"Esport")</f>
        <v>Esport</v>
      </c>
    </row>
    <row r="4598" spans="1:3" x14ac:dyDescent="0.25">
      <c r="A4598" s="2" t="str">
        <f ca="1">IFERROR(__xludf.DUMMYFUNCTION("""COMPUTED_VALUE"""),"esporte-clube-bahia-fan-token")</f>
        <v>esporte-clube-bahia-fan-token</v>
      </c>
      <c r="B4598" s="2" t="str">
        <f ca="1">IFERROR(__xludf.DUMMYFUNCTION("""COMPUTED_VALUE"""),"bahia")</f>
        <v>bahia</v>
      </c>
      <c r="C4598" s="2" t="str">
        <f ca="1">IFERROR(__xludf.DUMMYFUNCTION("""COMPUTED_VALUE"""),"Esporte Clube Bahia Fan Token")</f>
        <v>Esporte Clube Bahia Fan Token</v>
      </c>
    </row>
    <row r="4599" spans="1:3" x14ac:dyDescent="0.25">
      <c r="A4599" s="2" t="str">
        <f ca="1">IFERROR(__xludf.DUMMYFUNCTION("""COMPUTED_VALUE"""),"espresso-bot")</f>
        <v>espresso-bot</v>
      </c>
      <c r="B4599" s="2" t="str">
        <f ca="1">IFERROR(__xludf.DUMMYFUNCTION("""COMPUTED_VALUE"""),"espr")</f>
        <v>espr</v>
      </c>
      <c r="C4599" s="2" t="str">
        <f ca="1">IFERROR(__xludf.DUMMYFUNCTION("""COMPUTED_VALUE"""),"Espresso Bot")</f>
        <v>Espresso Bot</v>
      </c>
    </row>
    <row r="4600" spans="1:3" x14ac:dyDescent="0.25">
      <c r="A4600" s="2" t="str">
        <f ca="1">IFERROR(__xludf.DUMMYFUNCTION("""COMPUTED_VALUE"""),"essentia")</f>
        <v>essentia</v>
      </c>
      <c r="B4600" s="2" t="str">
        <f ca="1">IFERROR(__xludf.DUMMYFUNCTION("""COMPUTED_VALUE"""),"ess")</f>
        <v>ess</v>
      </c>
      <c r="C4600" s="2" t="str">
        <f ca="1">IFERROR(__xludf.DUMMYFUNCTION("""COMPUTED_VALUE"""),"Essentia")</f>
        <v>Essentia</v>
      </c>
    </row>
    <row r="4601" spans="1:3" x14ac:dyDescent="0.25">
      <c r="A4601" s="2" t="str">
        <f ca="1">IFERROR(__xludf.DUMMYFUNCTION("""COMPUTED_VALUE"""),"estatex")</f>
        <v>estatex</v>
      </c>
      <c r="B4601" s="2" t="str">
        <f ca="1">IFERROR(__xludf.DUMMYFUNCTION("""COMPUTED_VALUE"""),"esx")</f>
        <v>esx</v>
      </c>
      <c r="C4601" s="2" t="str">
        <f ca="1">IFERROR(__xludf.DUMMYFUNCTION("""COMPUTED_VALUE"""),"EstateX")</f>
        <v>EstateX</v>
      </c>
    </row>
    <row r="4602" spans="1:3" x14ac:dyDescent="0.25">
      <c r="A4602" s="2" t="str">
        <f ca="1">IFERROR(__xludf.DUMMYFUNCTION("""COMPUTED_VALUE"""),"estee")</f>
        <v>estee</v>
      </c>
      <c r="B4602" s="2" t="str">
        <f ca="1">IFERROR(__xludf.DUMMYFUNCTION("""COMPUTED_VALUE"""),"estee")</f>
        <v>estee</v>
      </c>
      <c r="C4602" s="2" t="str">
        <f ca="1">IFERROR(__xludf.DUMMYFUNCTION("""COMPUTED_VALUE"""),"Estee")</f>
        <v>Estee</v>
      </c>
    </row>
    <row r="4603" spans="1:3" x14ac:dyDescent="0.25">
      <c r="A4603" s="2" t="str">
        <f ca="1">IFERROR(__xludf.DUMMYFUNCTION("""COMPUTED_VALUE"""),"etcpow")</f>
        <v>etcpow</v>
      </c>
      <c r="B4603" s="2" t="str">
        <f ca="1">IFERROR(__xludf.DUMMYFUNCTION("""COMPUTED_VALUE"""),"etcpow")</f>
        <v>etcpow</v>
      </c>
      <c r="C4603" s="2" t="str">
        <f ca="1">IFERROR(__xludf.DUMMYFUNCTION("""COMPUTED_VALUE"""),"ETCPOW")</f>
        <v>ETCPOW</v>
      </c>
    </row>
    <row r="4604" spans="1:3" x14ac:dyDescent="0.25">
      <c r="A4604" s="2" t="str">
        <f ca="1">IFERROR(__xludf.DUMMYFUNCTION("""COMPUTED_VALUE"""),"eternalai")</f>
        <v>eternalai</v>
      </c>
      <c r="B4604" s="2" t="str">
        <f ca="1">IFERROR(__xludf.DUMMYFUNCTION("""COMPUTED_VALUE"""),"eai")</f>
        <v>eai</v>
      </c>
      <c r="C4604" s="2" t="str">
        <f ca="1">IFERROR(__xludf.DUMMYFUNCTION("""COMPUTED_VALUE"""),"EternalAI")</f>
        <v>EternalAI</v>
      </c>
    </row>
    <row r="4605" spans="1:3" x14ac:dyDescent="0.25">
      <c r="A4605" s="2" t="str">
        <f ca="1">IFERROR(__xludf.DUMMYFUNCTION("""COMPUTED_VALUE"""),"eternal-ai")</f>
        <v>eternal-ai</v>
      </c>
      <c r="B4605" s="2" t="str">
        <f ca="1">IFERROR(__xludf.DUMMYFUNCTION("""COMPUTED_VALUE"""),"mind")</f>
        <v>mind</v>
      </c>
      <c r="C4605" s="2" t="str">
        <f ca="1">IFERROR(__xludf.DUMMYFUNCTION("""COMPUTED_VALUE"""),"Eternal AI")</f>
        <v>Eternal AI</v>
      </c>
    </row>
    <row r="4606" spans="1:3" x14ac:dyDescent="0.25">
      <c r="A4606" s="2" t="str">
        <f ca="1">IFERROR(__xludf.DUMMYFUNCTION("""COMPUTED_VALUE"""),"eternity-glory-token")</f>
        <v>eternity-glory-token</v>
      </c>
      <c r="B4606" s="2" t="str">
        <f ca="1">IFERROR(__xludf.DUMMYFUNCTION("""COMPUTED_VALUE"""),"$glory")</f>
        <v>$glory</v>
      </c>
      <c r="C4606" s="2" t="str">
        <f ca="1">IFERROR(__xludf.DUMMYFUNCTION("""COMPUTED_VALUE"""),"Eternity GLORY Token")</f>
        <v>Eternity GLORY Token</v>
      </c>
    </row>
    <row r="4607" spans="1:3" x14ac:dyDescent="0.25">
      <c r="A4607" s="2" t="str">
        <f ca="1">IFERROR(__xludf.DUMMYFUNCTION("""COMPUTED_VALUE"""),"etf-rocks")</f>
        <v>etf-rocks</v>
      </c>
      <c r="B4607" s="2" t="str">
        <f ca="1">IFERROR(__xludf.DUMMYFUNCTION("""COMPUTED_VALUE"""),"etf")</f>
        <v>etf</v>
      </c>
      <c r="C4607" s="2" t="str">
        <f ca="1">IFERROR(__xludf.DUMMYFUNCTION("""COMPUTED_VALUE"""),"ETF Rocks")</f>
        <v>ETF Rocks</v>
      </c>
    </row>
    <row r="4608" spans="1:3" x14ac:dyDescent="0.25">
      <c r="A4608" s="2" t="str">
        <f ca="1">IFERROR(__xludf.DUMMYFUNCTION("""COMPUTED_VALUE"""),"etf-the-token")</f>
        <v>etf-the-token</v>
      </c>
      <c r="B4608" s="2" t="str">
        <f ca="1">IFERROR(__xludf.DUMMYFUNCTION("""COMPUTED_VALUE"""),"etf")</f>
        <v>etf</v>
      </c>
      <c r="C4608" s="2" t="str">
        <f ca="1">IFERROR(__xludf.DUMMYFUNCTION("""COMPUTED_VALUE"""),"ETF The Token")</f>
        <v>ETF The Token</v>
      </c>
    </row>
    <row r="4609" spans="1:3" x14ac:dyDescent="0.25">
      <c r="A4609" s="2" t="str">
        <f ca="1">IFERROR(__xludf.DUMMYFUNCTION("""COMPUTED_VALUE"""),"etgm-ordinals")</f>
        <v>etgm-ordinals</v>
      </c>
      <c r="B4609" s="2" t="str">
        <f ca="1">IFERROR(__xludf.DUMMYFUNCTION("""COMPUTED_VALUE"""),"etgm")</f>
        <v>etgm</v>
      </c>
      <c r="C4609" s="2" t="str">
        <f ca="1">IFERROR(__xludf.DUMMYFUNCTION("""COMPUTED_VALUE"""),"ETGM (Ordinals)")</f>
        <v>ETGM (Ordinals)</v>
      </c>
    </row>
    <row r="4610" spans="1:3" x14ac:dyDescent="0.25">
      <c r="A4610" s="2" t="str">
        <f ca="1">IFERROR(__xludf.DUMMYFUNCTION("""COMPUTED_VALUE"""),"eth-2-0")</f>
        <v>eth-2-0</v>
      </c>
      <c r="B4610" s="2" t="str">
        <f ca="1">IFERROR(__xludf.DUMMYFUNCTION("""COMPUTED_VALUE"""),"eth 2.0")</f>
        <v>eth 2.0</v>
      </c>
      <c r="C4610" s="2" t="str">
        <f ca="1">IFERROR(__xludf.DUMMYFUNCTION("""COMPUTED_VALUE"""),"ETH 2.0")</f>
        <v>ETH 2.0</v>
      </c>
    </row>
    <row r="4611" spans="1:3" x14ac:dyDescent="0.25">
      <c r="A4611" s="2" t="str">
        <f ca="1">IFERROR(__xludf.DUMMYFUNCTION("""COMPUTED_VALUE"""),"eth2-staking-by-poolx")</f>
        <v>eth2-staking-by-poolx</v>
      </c>
      <c r="B4611" s="2" t="str">
        <f ca="1">IFERROR(__xludf.DUMMYFUNCTION("""COMPUTED_VALUE"""),"eth2")</f>
        <v>eth2</v>
      </c>
      <c r="C4611" s="2" t="str">
        <f ca="1">IFERROR(__xludf.DUMMYFUNCTION("""COMPUTED_VALUE"""),"Eth 2.0 Staking by Pool-X")</f>
        <v>Eth 2.0 Staking by Pool-X</v>
      </c>
    </row>
    <row r="4612" spans="1:3" x14ac:dyDescent="0.25">
      <c r="A4612" s="2" t="str">
        <f ca="1">IFERROR(__xludf.DUMMYFUNCTION("""COMPUTED_VALUE"""),"eth-2x-flexible-leverage-index")</f>
        <v>eth-2x-flexible-leverage-index</v>
      </c>
      <c r="B4612" s="2" t="str">
        <f ca="1">IFERROR(__xludf.DUMMYFUNCTION("""COMPUTED_VALUE"""),"eth2x-fli")</f>
        <v>eth2x-fli</v>
      </c>
      <c r="C4612" s="2" t="str">
        <f ca="1">IFERROR(__xludf.DUMMYFUNCTION("""COMPUTED_VALUE"""),"Index Coop - ETH 2x Flexible Leverage Index")</f>
        <v>Index Coop - ETH 2x Flexible Leverage Index</v>
      </c>
    </row>
    <row r="4613" spans="1:3" x14ac:dyDescent="0.25">
      <c r="A4613" s="2" t="str">
        <f ca="1">IFERROR(__xludf.DUMMYFUNCTION("""COMPUTED_VALUE"""),"eth3s")</f>
        <v>eth3s</v>
      </c>
      <c r="B4613" s="2" t="str">
        <f ca="1">IFERROR(__xludf.DUMMYFUNCTION("""COMPUTED_VALUE"""),"eth3s")</f>
        <v>eth3s</v>
      </c>
      <c r="C4613" s="2" t="str">
        <f ca="1">IFERROR(__xludf.DUMMYFUNCTION("""COMPUTED_VALUE"""),"ETH3S")</f>
        <v>ETH3S</v>
      </c>
    </row>
    <row r="4614" spans="1:3" x14ac:dyDescent="0.25">
      <c r="A4614" s="2" t="str">
        <f ca="1">IFERROR(__xludf.DUMMYFUNCTION("""COMPUTED_VALUE"""),"etha-lend")</f>
        <v>etha-lend</v>
      </c>
      <c r="B4614" s="2" t="str">
        <f ca="1">IFERROR(__xludf.DUMMYFUNCTION("""COMPUTED_VALUE"""),"etha")</f>
        <v>etha</v>
      </c>
      <c r="C4614" s="2" t="str">
        <f ca="1">IFERROR(__xludf.DUMMYFUNCTION("""COMPUTED_VALUE"""),"ETHA Lend")</f>
        <v>ETHA Lend</v>
      </c>
    </row>
    <row r="4615" spans="1:3" x14ac:dyDescent="0.25">
      <c r="A4615" s="2" t="str">
        <f ca="1">IFERROR(__xludf.DUMMYFUNCTION("""COMPUTED_VALUE"""),"ethane")</f>
        <v>ethane</v>
      </c>
      <c r="B4615" s="2" t="str">
        <f ca="1">IFERROR(__xludf.DUMMYFUNCTION("""COMPUTED_VALUE"""),"c2h6")</f>
        <v>c2h6</v>
      </c>
      <c r="C4615" s="2" t="str">
        <f ca="1">IFERROR(__xludf.DUMMYFUNCTION("""COMPUTED_VALUE"""),"Ethane")</f>
        <v>Ethane</v>
      </c>
    </row>
    <row r="4616" spans="1:3" x14ac:dyDescent="0.25">
      <c r="A4616" s="2" t="str">
        <f ca="1">IFERROR(__xludf.DUMMYFUNCTION("""COMPUTED_VALUE"""),"ethax")</f>
        <v>ethax</v>
      </c>
      <c r="B4616" s="2" t="str">
        <f ca="1">IFERROR(__xludf.DUMMYFUNCTION("""COMPUTED_VALUE"""),"ethax")</f>
        <v>ethax</v>
      </c>
      <c r="C4616" s="2" t="str">
        <f ca="1">IFERROR(__xludf.DUMMYFUNCTION("""COMPUTED_VALUE"""),"ETHAX")</f>
        <v>ETHAX</v>
      </c>
    </row>
    <row r="4617" spans="1:3" x14ac:dyDescent="0.25">
      <c r="A4617" s="2" t="str">
        <f ca="1">IFERROR(__xludf.DUMMYFUNCTION("""COMPUTED_VALUE"""),"ethdown")</f>
        <v>ethdown</v>
      </c>
      <c r="B4617" s="2" t="str">
        <f ca="1">IFERROR(__xludf.DUMMYFUNCTION("""COMPUTED_VALUE"""),"ethdown")</f>
        <v>ethdown</v>
      </c>
      <c r="C4617" s="2" t="str">
        <f ca="1">IFERROR(__xludf.DUMMYFUNCTION("""COMPUTED_VALUE"""),"ETHDOWN")</f>
        <v>ETHDOWN</v>
      </c>
    </row>
    <row r="4618" spans="1:3" x14ac:dyDescent="0.25">
      <c r="A4618" s="2" t="str">
        <f ca="1">IFERROR(__xludf.DUMMYFUNCTION("""COMPUTED_VALUE"""),"etheism")</f>
        <v>etheism</v>
      </c>
      <c r="B4618" s="2" t="str">
        <f ca="1">IFERROR(__xludf.DUMMYFUNCTION("""COMPUTED_VALUE"""),"e")</f>
        <v>e</v>
      </c>
      <c r="C4618" s="2" t="str">
        <f ca="1">IFERROR(__xludf.DUMMYFUNCTION("""COMPUTED_VALUE"""),"Etheism")</f>
        <v>Etheism</v>
      </c>
    </row>
    <row r="4619" spans="1:3" x14ac:dyDescent="0.25">
      <c r="A4619" s="2" t="str">
        <f ca="1">IFERROR(__xludf.DUMMYFUNCTION("""COMPUTED_VALUE"""),"ethena")</f>
        <v>ethena</v>
      </c>
      <c r="B4619" s="2" t="str">
        <f ca="1">IFERROR(__xludf.DUMMYFUNCTION("""COMPUTED_VALUE"""),"ena")</f>
        <v>ena</v>
      </c>
      <c r="C4619" s="2" t="str">
        <f ca="1">IFERROR(__xludf.DUMMYFUNCTION("""COMPUTED_VALUE"""),"Ethena")</f>
        <v>Ethena</v>
      </c>
    </row>
    <row r="4620" spans="1:3" x14ac:dyDescent="0.25">
      <c r="A4620" s="2" t="str">
        <f ca="1">IFERROR(__xludf.DUMMYFUNCTION("""COMPUTED_VALUE"""),"ethena-staked-ena")</f>
        <v>ethena-staked-ena</v>
      </c>
      <c r="B4620" s="2" t="str">
        <f ca="1">IFERROR(__xludf.DUMMYFUNCTION("""COMPUTED_VALUE"""),"sena")</f>
        <v>sena</v>
      </c>
      <c r="C4620" s="2" t="str">
        <f ca="1">IFERROR(__xludf.DUMMYFUNCTION("""COMPUTED_VALUE"""),"Ethena Staked ENA")</f>
        <v>Ethena Staked ENA</v>
      </c>
    </row>
    <row r="4621" spans="1:3" x14ac:dyDescent="0.25">
      <c r="A4621" s="2" t="str">
        <f ca="1">IFERROR(__xludf.DUMMYFUNCTION("""COMPUTED_VALUE"""),"ethena-staked-usde")</f>
        <v>ethena-staked-usde</v>
      </c>
      <c r="B4621" s="2" t="str">
        <f ca="1">IFERROR(__xludf.DUMMYFUNCTION("""COMPUTED_VALUE"""),"susde")</f>
        <v>susde</v>
      </c>
      <c r="C4621" s="2" t="str">
        <f ca="1">IFERROR(__xludf.DUMMYFUNCTION("""COMPUTED_VALUE"""),"Ethena Staked USDe")</f>
        <v>Ethena Staked USDe</v>
      </c>
    </row>
    <row r="4622" spans="1:3" x14ac:dyDescent="0.25">
      <c r="A4622" s="2" t="str">
        <f ca="1">IFERROR(__xludf.DUMMYFUNCTION("""COMPUTED_VALUE"""),"ethena-usde")</f>
        <v>ethena-usde</v>
      </c>
      <c r="B4622" s="2" t="str">
        <f ca="1">IFERROR(__xludf.DUMMYFUNCTION("""COMPUTED_VALUE"""),"usde")</f>
        <v>usde</v>
      </c>
      <c r="C4622" s="2" t="str">
        <f ca="1">IFERROR(__xludf.DUMMYFUNCTION("""COMPUTED_VALUE"""),"Ethena USDe")</f>
        <v>Ethena USDe</v>
      </c>
    </row>
    <row r="4623" spans="1:3" x14ac:dyDescent="0.25">
      <c r="A4623" s="2" t="str">
        <f ca="1">IFERROR(__xludf.DUMMYFUNCTION("""COMPUTED_VALUE"""),"ethena-ustb")</f>
        <v>ethena-ustb</v>
      </c>
      <c r="B4623" s="2" t="str">
        <f ca="1">IFERROR(__xludf.DUMMYFUNCTION("""COMPUTED_VALUE"""),"ustb")</f>
        <v>ustb</v>
      </c>
      <c r="C4623" s="2" t="str">
        <f ca="1">IFERROR(__xludf.DUMMYFUNCTION("""COMPUTED_VALUE"""),"Ethena UStb")</f>
        <v>Ethena UStb</v>
      </c>
    </row>
    <row r="4624" spans="1:3" x14ac:dyDescent="0.25">
      <c r="A4624" s="2" t="str">
        <f ca="1">IFERROR(__xludf.DUMMYFUNCTION("""COMPUTED_VALUE"""),"ether-1")</f>
        <v>ether-1</v>
      </c>
      <c r="B4624" s="2" t="str">
        <f ca="1">IFERROR(__xludf.DUMMYFUNCTION("""COMPUTED_VALUE"""),"etho")</f>
        <v>etho</v>
      </c>
      <c r="C4624" s="2" t="str">
        <f ca="1">IFERROR(__xludf.DUMMYFUNCTION("""COMPUTED_VALUE"""),"Etho Protocol")</f>
        <v>Etho Protocol</v>
      </c>
    </row>
    <row r="4625" spans="1:3" x14ac:dyDescent="0.25">
      <c r="A4625" s="2" t="str">
        <f ca="1">IFERROR(__xludf.DUMMYFUNCTION("""COMPUTED_VALUE"""),"etherdoge")</f>
        <v>etherdoge</v>
      </c>
      <c r="B4625" s="2" t="str">
        <f ca="1">IFERROR(__xludf.DUMMYFUNCTION("""COMPUTED_VALUE"""),"edoge")</f>
        <v>edoge</v>
      </c>
      <c r="C4625" s="2" t="str">
        <f ca="1">IFERROR(__xludf.DUMMYFUNCTION("""COMPUTED_VALUE"""),"EtherDoge")</f>
        <v>EtherDoge</v>
      </c>
    </row>
    <row r="4626" spans="1:3" x14ac:dyDescent="0.25">
      <c r="A4626" s="2" t="str">
        <f ca="1">IFERROR(__xludf.DUMMYFUNCTION("""COMPUTED_VALUE"""),"ethereans")</f>
        <v>ethereans</v>
      </c>
      <c r="B4626" s="2" t="str">
        <f ca="1">IFERROR(__xludf.DUMMYFUNCTION("""COMPUTED_VALUE"""),"os")</f>
        <v>os</v>
      </c>
      <c r="C4626" s="2" t="str">
        <f ca="1">IFERROR(__xludf.DUMMYFUNCTION("""COMPUTED_VALUE"""),"Ethereans")</f>
        <v>Ethereans</v>
      </c>
    </row>
    <row r="4627" spans="1:3" x14ac:dyDescent="0.25">
      <c r="A4627" s="2" t="str">
        <f ca="1">IFERROR(__xludf.DUMMYFUNCTION("""COMPUTED_VALUE"""),"ethereum")</f>
        <v>ethereum</v>
      </c>
      <c r="B4627" s="2" t="str">
        <f ca="1">IFERROR(__xludf.DUMMYFUNCTION("""COMPUTED_VALUE"""),"eth")</f>
        <v>eth</v>
      </c>
      <c r="C4627" s="2" t="str">
        <f ca="1">IFERROR(__xludf.DUMMYFUNCTION("""COMPUTED_VALUE"""),"Ethereum")</f>
        <v>Ethereum</v>
      </c>
    </row>
    <row r="4628" spans="1:3" x14ac:dyDescent="0.25">
      <c r="A4628" s="2" t="str">
        <f ca="1">IFERROR(__xludf.DUMMYFUNCTION("""COMPUTED_VALUE"""),"ethereum-bridged-zed20")</f>
        <v>ethereum-bridged-zed20</v>
      </c>
      <c r="B4628" s="2" t="str">
        <f ca="1">IFERROR(__xludf.DUMMYFUNCTION("""COMPUTED_VALUE"""),"eth.z")</f>
        <v>eth.z</v>
      </c>
      <c r="C4628" s="2" t="str">
        <f ca="1">IFERROR(__xludf.DUMMYFUNCTION("""COMPUTED_VALUE"""),"Ethereum Bridged ZED20")</f>
        <v>Ethereum Bridged ZED20</v>
      </c>
    </row>
    <row r="4629" spans="1:3" x14ac:dyDescent="0.25">
      <c r="A4629" s="2" t="str">
        <f ca="1">IFERROR(__xludf.DUMMYFUNCTION("""COMPUTED_VALUE"""),"ethereum-classic")</f>
        <v>ethereum-classic</v>
      </c>
      <c r="B4629" s="2" t="str">
        <f ca="1">IFERROR(__xludf.DUMMYFUNCTION("""COMPUTED_VALUE"""),"etc")</f>
        <v>etc</v>
      </c>
      <c r="C4629" s="2" t="str">
        <f ca="1">IFERROR(__xludf.DUMMYFUNCTION("""COMPUTED_VALUE"""),"Ethereum Classic")</f>
        <v>Ethereum Classic</v>
      </c>
    </row>
    <row r="4630" spans="1:3" x14ac:dyDescent="0.25">
      <c r="A4630" s="2" t="str">
        <f ca="1">IFERROR(__xludf.DUMMYFUNCTION("""COMPUTED_VALUE"""),"ethereum-doge")</f>
        <v>ethereum-doge</v>
      </c>
      <c r="B4630" s="2" t="str">
        <f ca="1">IFERROR(__xludf.DUMMYFUNCTION("""COMPUTED_VALUE"""),"edoge")</f>
        <v>edoge</v>
      </c>
      <c r="C4630" s="2" t="str">
        <f ca="1">IFERROR(__xludf.DUMMYFUNCTION("""COMPUTED_VALUE"""),"Ethereum Doge")</f>
        <v>Ethereum Doge</v>
      </c>
    </row>
    <row r="4631" spans="1:3" x14ac:dyDescent="0.25">
      <c r="A4631" s="2" t="str">
        <f ca="1">IFERROR(__xludf.DUMMYFUNCTION("""COMPUTED_VALUE"""),"ethereum-express")</f>
        <v>ethereum-express</v>
      </c>
      <c r="B4631" s="2" t="str">
        <f ca="1">IFERROR(__xludf.DUMMYFUNCTION("""COMPUTED_VALUE"""),"ete")</f>
        <v>ete</v>
      </c>
      <c r="C4631" s="2" t="str">
        <f ca="1">IFERROR(__xludf.DUMMYFUNCTION("""COMPUTED_VALUE"""),"Ethereum Express")</f>
        <v>Ethereum Express</v>
      </c>
    </row>
    <row r="4632" spans="1:3" x14ac:dyDescent="0.25">
      <c r="A4632" s="2" t="str">
        <f ca="1">IFERROR(__xludf.DUMMYFUNCTION("""COMPUTED_VALUE"""),"ethereumfair")</f>
        <v>ethereumfair</v>
      </c>
      <c r="B4632" s="2" t="str">
        <f ca="1">IFERROR(__xludf.DUMMYFUNCTION("""COMPUTED_VALUE"""),"dis")</f>
        <v>dis</v>
      </c>
      <c r="C4632" s="2" t="str">
        <f ca="1">IFERROR(__xludf.DUMMYFUNCTION("""COMPUTED_VALUE"""),"DisChain")</f>
        <v>DisChain</v>
      </c>
    </row>
    <row r="4633" spans="1:3" x14ac:dyDescent="0.25">
      <c r="A4633" s="2" t="str">
        <f ca="1">IFERROR(__xludf.DUMMYFUNCTION("""COMPUTED_VALUE"""),"ethereum-gold-2")</f>
        <v>ethereum-gold-2</v>
      </c>
      <c r="B4633" s="2" t="str">
        <f ca="1">IFERROR(__xludf.DUMMYFUNCTION("""COMPUTED_VALUE"""),"ethg")</f>
        <v>ethg</v>
      </c>
      <c r="C4633" s="2" t="str">
        <f ca="1">IFERROR(__xludf.DUMMYFUNCTION("""COMPUTED_VALUE"""),"Ethereum Gold")</f>
        <v>Ethereum Gold</v>
      </c>
    </row>
    <row r="4634" spans="1:3" x14ac:dyDescent="0.25">
      <c r="A4634" s="2" t="str">
        <f ca="1">IFERROR(__xludf.DUMMYFUNCTION("""COMPUTED_VALUE"""),"ethereum-inu")</f>
        <v>ethereum-inu</v>
      </c>
      <c r="B4634" s="2" t="str">
        <f ca="1">IFERROR(__xludf.DUMMYFUNCTION("""COMPUTED_VALUE"""),"ethinu")</f>
        <v>ethinu</v>
      </c>
      <c r="C4634" s="2" t="str">
        <f ca="1">IFERROR(__xludf.DUMMYFUNCTION("""COMPUTED_VALUE"""),"Ethereum Inu")</f>
        <v>Ethereum Inu</v>
      </c>
    </row>
    <row r="4635" spans="1:3" x14ac:dyDescent="0.25">
      <c r="A4635" s="2" t="str">
        <f ca="1">IFERROR(__xludf.DUMMYFUNCTION("""COMPUTED_VALUE"""),"ethereum-is-good")</f>
        <v>ethereum-is-good</v>
      </c>
      <c r="B4635" s="2" t="str">
        <f ca="1">IFERROR(__xludf.DUMMYFUNCTION("""COMPUTED_VALUE"""),"ebull")</f>
        <v>ebull</v>
      </c>
      <c r="C4635" s="2" t="str">
        <f ca="1">IFERROR(__xludf.DUMMYFUNCTION("""COMPUTED_VALUE"""),"ETHEREUM IS GOOD")</f>
        <v>ETHEREUM IS GOOD</v>
      </c>
    </row>
    <row r="4636" spans="1:3" x14ac:dyDescent="0.25">
      <c r="A4636" s="2" t="str">
        <f ca="1">IFERROR(__xludf.DUMMYFUNCTION("""COMPUTED_VALUE"""),"ethereummax")</f>
        <v>ethereummax</v>
      </c>
      <c r="B4636" s="2" t="str">
        <f ca="1">IFERROR(__xludf.DUMMYFUNCTION("""COMPUTED_VALUE"""),"emax")</f>
        <v>emax</v>
      </c>
      <c r="C4636" s="2" t="str">
        <f ca="1">IFERROR(__xludf.DUMMYFUNCTION("""COMPUTED_VALUE"""),"EthereumMax")</f>
        <v>EthereumMax</v>
      </c>
    </row>
    <row r="4637" spans="1:3" x14ac:dyDescent="0.25">
      <c r="A4637" s="2" t="str">
        <f ca="1">IFERROR(__xludf.DUMMYFUNCTION("""COMPUTED_VALUE"""),"ethereum-meta")</f>
        <v>ethereum-meta</v>
      </c>
      <c r="B4637" s="2" t="str">
        <f ca="1">IFERROR(__xludf.DUMMYFUNCTION("""COMPUTED_VALUE"""),"ethm")</f>
        <v>ethm</v>
      </c>
      <c r="C4637" s="2" t="str">
        <f ca="1">IFERROR(__xludf.DUMMYFUNCTION("""COMPUTED_VALUE"""),"Ethereum Meta")</f>
        <v>Ethereum Meta</v>
      </c>
    </row>
    <row r="4638" spans="1:3" x14ac:dyDescent="0.25">
      <c r="A4638" s="2" t="str">
        <f ca="1">IFERROR(__xludf.DUMMYFUNCTION("""COMPUTED_VALUE"""),"ethereum-name-service")</f>
        <v>ethereum-name-service</v>
      </c>
      <c r="B4638" s="2" t="str">
        <f ca="1">IFERROR(__xludf.DUMMYFUNCTION("""COMPUTED_VALUE"""),"ens")</f>
        <v>ens</v>
      </c>
      <c r="C4638" s="2" t="str">
        <f ca="1">IFERROR(__xludf.DUMMYFUNCTION("""COMPUTED_VALUE"""),"Ethereum Name Service")</f>
        <v>Ethereum Name Service</v>
      </c>
    </row>
    <row r="4639" spans="1:3" x14ac:dyDescent="0.25">
      <c r="A4639" s="2" t="str">
        <f ca="1">IFERROR(__xludf.DUMMYFUNCTION("""COMPUTED_VALUE"""),"ethereum-origins")</f>
        <v>ethereum-origins</v>
      </c>
      <c r="B4639" s="2" t="str">
        <f ca="1">IFERROR(__xludf.DUMMYFUNCTION("""COMPUTED_VALUE"""),"laputa")</f>
        <v>laputa</v>
      </c>
      <c r="C4639" s="2" t="str">
        <f ca="1">IFERROR(__xludf.DUMMYFUNCTION("""COMPUTED_VALUE"""),"Ethereum Origins")</f>
        <v>Ethereum Origins</v>
      </c>
    </row>
    <row r="4640" spans="1:3" x14ac:dyDescent="0.25">
      <c r="A4640" s="2" t="str">
        <f ca="1">IFERROR(__xludf.DUMMYFUNCTION("""COMPUTED_VALUE"""),"ethereum-overnight")</f>
        <v>ethereum-overnight</v>
      </c>
      <c r="B4640" s="2" t="str">
        <f ca="1">IFERROR(__xludf.DUMMYFUNCTION("""COMPUTED_VALUE"""),"eth+")</f>
        <v>eth+</v>
      </c>
      <c r="C4640" s="2" t="str">
        <f ca="1">IFERROR(__xludf.DUMMYFUNCTION("""COMPUTED_VALUE"""),"Ethereum+ (Overnight)")</f>
        <v>Ethereum+ (Overnight)</v>
      </c>
    </row>
    <row r="4641" spans="1:3" x14ac:dyDescent="0.25">
      <c r="A4641" s="2" t="str">
        <f ca="1">IFERROR(__xludf.DUMMYFUNCTION("""COMPUTED_VALUE"""),"ethereum-pow-iou")</f>
        <v>ethereum-pow-iou</v>
      </c>
      <c r="B4641" s="2" t="str">
        <f ca="1">IFERROR(__xludf.DUMMYFUNCTION("""COMPUTED_VALUE"""),"ethw")</f>
        <v>ethw</v>
      </c>
      <c r="C4641" s="2" t="str">
        <f ca="1">IFERROR(__xludf.DUMMYFUNCTION("""COMPUTED_VALUE"""),"EthereumPoW")</f>
        <v>EthereumPoW</v>
      </c>
    </row>
    <row r="4642" spans="1:3" x14ac:dyDescent="0.25">
      <c r="A4642" s="2" t="str">
        <f ca="1">IFERROR(__xludf.DUMMYFUNCTION("""COMPUTED_VALUE"""),"ethereum-push-notification-service")</f>
        <v>ethereum-push-notification-service</v>
      </c>
      <c r="B4642" s="2" t="str">
        <f ca="1">IFERROR(__xludf.DUMMYFUNCTION("""COMPUTED_VALUE"""),"push")</f>
        <v>push</v>
      </c>
      <c r="C4642" s="2" t="str">
        <f ca="1">IFERROR(__xludf.DUMMYFUNCTION("""COMPUTED_VALUE"""),"Push Protocol")</f>
        <v>Push Protocol</v>
      </c>
    </row>
    <row r="4643" spans="1:3" x14ac:dyDescent="0.25">
      <c r="A4643" s="2" t="str">
        <f ca="1">IFERROR(__xludf.DUMMYFUNCTION("""COMPUTED_VALUE"""),"ethereum-reserve-dollar-usde")</f>
        <v>ethereum-reserve-dollar-usde</v>
      </c>
      <c r="B4643" s="2" t="str">
        <f ca="1">IFERROR(__xludf.DUMMYFUNCTION("""COMPUTED_VALUE"""),"usde")</f>
        <v>usde</v>
      </c>
      <c r="C4643" s="2" t="str">
        <f ca="1">IFERROR(__xludf.DUMMYFUNCTION("""COMPUTED_VALUE"""),"Ethereum Reserve Dollar USDE")</f>
        <v>Ethereum Reserve Dollar USDE</v>
      </c>
    </row>
    <row r="4644" spans="1:3" x14ac:dyDescent="0.25">
      <c r="A4644" s="2" t="str">
        <f ca="1">IFERROR(__xludf.DUMMYFUNCTION("""COMPUTED_VALUE"""),"ethereum-volatility-index-token")</f>
        <v>ethereum-volatility-index-token</v>
      </c>
      <c r="B4644" s="2" t="str">
        <f ca="1">IFERROR(__xludf.DUMMYFUNCTION("""COMPUTED_VALUE"""),"ethv")</f>
        <v>ethv</v>
      </c>
      <c r="C4644" s="2" t="str">
        <f ca="1">IFERROR(__xludf.DUMMYFUNCTION("""COMPUTED_VALUE"""),"Ethereum Volatility Index Token")</f>
        <v>Ethereum Volatility Index Token</v>
      </c>
    </row>
    <row r="4645" spans="1:3" x14ac:dyDescent="0.25">
      <c r="A4645" s="2" t="str">
        <f ca="1">IFERROR(__xludf.DUMMYFUNCTION("""COMPUTED_VALUE"""),"ethereum-wormhole")</f>
        <v>ethereum-wormhole</v>
      </c>
      <c r="B4645" s="2" t="str">
        <f ca="1">IFERROR(__xludf.DUMMYFUNCTION("""COMPUTED_VALUE"""),"eth")</f>
        <v>eth</v>
      </c>
      <c r="C4645" s="2" t="str">
        <f ca="1">IFERROR(__xludf.DUMMYFUNCTION("""COMPUTED_VALUE"""),"Ethereum (Wormhole)")</f>
        <v>Ethereum (Wormhole)</v>
      </c>
    </row>
    <row r="4646" spans="1:3" x14ac:dyDescent="0.25">
      <c r="A4646" s="2" t="str">
        <f ca="1">IFERROR(__xludf.DUMMYFUNCTION("""COMPUTED_VALUE"""),"ethereumx")</f>
        <v>ethereumx</v>
      </c>
      <c r="B4646" s="2" t="str">
        <f ca="1">IFERROR(__xludf.DUMMYFUNCTION("""COMPUTED_VALUE"""),"etx")</f>
        <v>etx</v>
      </c>
      <c r="C4646" s="2" t="str">
        <f ca="1">IFERROR(__xludf.DUMMYFUNCTION("""COMPUTED_VALUE"""),"EthereumX")</f>
        <v>EthereumX</v>
      </c>
    </row>
    <row r="4647" spans="1:3" x14ac:dyDescent="0.25">
      <c r="A4647" s="2" t="str">
        <f ca="1">IFERROR(__xludf.DUMMYFUNCTION("""COMPUTED_VALUE"""),"ether-fi")</f>
        <v>ether-fi</v>
      </c>
      <c r="B4647" s="2" t="str">
        <f ca="1">IFERROR(__xludf.DUMMYFUNCTION("""COMPUTED_VALUE"""),"ethfi")</f>
        <v>ethfi</v>
      </c>
      <c r="C4647" s="3" t="str">
        <f ca="1">IFERROR(__xludf.DUMMYFUNCTION("""COMPUTED_VALUE"""),"Ether.fi")</f>
        <v>Ether.fi</v>
      </c>
    </row>
    <row r="4648" spans="1:3" x14ac:dyDescent="0.25">
      <c r="A4648" s="2" t="str">
        <f ca="1">IFERROR(__xludf.DUMMYFUNCTION("""COMPUTED_VALUE"""),"ether-fi-bridged-weeth-base")</f>
        <v>ether-fi-bridged-weeth-base</v>
      </c>
      <c r="B4648" s="2" t="str">
        <f ca="1">IFERROR(__xludf.DUMMYFUNCTION("""COMPUTED_VALUE"""),"weeth.base")</f>
        <v>weeth.base</v>
      </c>
      <c r="C4648" s="2" t="str">
        <f ca="1">IFERROR(__xludf.DUMMYFUNCTION("""COMPUTED_VALUE"""),"ether.fi Bridged weETH (Base)")</f>
        <v>ether.fi Bridged weETH (Base)</v>
      </c>
    </row>
    <row r="4649" spans="1:3" x14ac:dyDescent="0.25">
      <c r="A4649" s="2" t="str">
        <f ca="1">IFERROR(__xludf.DUMMYFUNCTION("""COMPUTED_VALUE"""),"ether-fi-staked-btc")</f>
        <v>ether-fi-staked-btc</v>
      </c>
      <c r="B4649" s="2" t="str">
        <f ca="1">IFERROR(__xludf.DUMMYFUNCTION("""COMPUTED_VALUE"""),"ebtc")</f>
        <v>ebtc</v>
      </c>
      <c r="C4649" s="2" t="str">
        <f ca="1">IFERROR(__xludf.DUMMYFUNCTION("""COMPUTED_VALUE"""),"Ether.fi Staked BTC")</f>
        <v>Ether.fi Staked BTC</v>
      </c>
    </row>
    <row r="4650" spans="1:3" x14ac:dyDescent="0.25">
      <c r="A4650" s="2" t="str">
        <f ca="1">IFERROR(__xludf.DUMMYFUNCTION("""COMPUTED_VALUE"""),"ether-fi-staked-eth")</f>
        <v>ether-fi-staked-eth</v>
      </c>
      <c r="B4650" s="2" t="str">
        <f ca="1">IFERROR(__xludf.DUMMYFUNCTION("""COMPUTED_VALUE"""),"eeth")</f>
        <v>eeth</v>
      </c>
      <c r="C4650" s="2" t="str">
        <f ca="1">IFERROR(__xludf.DUMMYFUNCTION("""COMPUTED_VALUE"""),"ether.fi Staked ETH")</f>
        <v>ether.fi Staked ETH</v>
      </c>
    </row>
    <row r="4651" spans="1:3" x14ac:dyDescent="0.25">
      <c r="A4651" s="2" t="str">
        <f ca="1">IFERROR(__xludf.DUMMYFUNCTION("""COMPUTED_VALUE"""),"etherfi-weeths")</f>
        <v>etherfi-weeths</v>
      </c>
      <c r="B4651" s="2" t="str">
        <f ca="1">IFERROR(__xludf.DUMMYFUNCTION("""COMPUTED_VALUE"""),"weeths")</f>
        <v>weeths</v>
      </c>
      <c r="C4651" s="2" t="str">
        <f ca="1">IFERROR(__xludf.DUMMYFUNCTION("""COMPUTED_VALUE"""),"ether.fi weETHs")</f>
        <v>ether.fi weETHs</v>
      </c>
    </row>
    <row r="4652" spans="1:3" x14ac:dyDescent="0.25">
      <c r="A4652" s="2" t="str">
        <f ca="1">IFERROR(__xludf.DUMMYFUNCTION("""COMPUTED_VALUE"""),"ethergem")</f>
        <v>ethergem</v>
      </c>
      <c r="B4652" s="2" t="str">
        <f ca="1">IFERROR(__xludf.DUMMYFUNCTION("""COMPUTED_VALUE"""),"egem")</f>
        <v>egem</v>
      </c>
      <c r="C4652" s="2" t="str">
        <f ca="1">IFERROR(__xludf.DUMMYFUNCTION("""COMPUTED_VALUE"""),"EtherGem")</f>
        <v>EtherGem</v>
      </c>
    </row>
    <row r="4653" spans="1:3" x14ac:dyDescent="0.25">
      <c r="A4653" s="2" t="str">
        <f ca="1">IFERROR(__xludf.DUMMYFUNCTION("""COMPUTED_VALUE"""),"etherisc")</f>
        <v>etherisc</v>
      </c>
      <c r="B4653" s="2" t="str">
        <f ca="1">IFERROR(__xludf.DUMMYFUNCTION("""COMPUTED_VALUE"""),"dip")</f>
        <v>dip</v>
      </c>
      <c r="C4653" s="2" t="str">
        <f ca="1">IFERROR(__xludf.DUMMYFUNCTION("""COMPUTED_VALUE"""),"Etherisc DIP")</f>
        <v>Etherisc DIP</v>
      </c>
    </row>
    <row r="4654" spans="1:3" x14ac:dyDescent="0.25">
      <c r="A4654" s="2" t="str">
        <f ca="1">IFERROR(__xludf.DUMMYFUNCTION("""COMPUTED_VALUE"""),"etherland")</f>
        <v>etherland</v>
      </c>
      <c r="B4654" s="2" t="str">
        <f ca="1">IFERROR(__xludf.DUMMYFUNCTION("""COMPUTED_VALUE"""),"eland")</f>
        <v>eland</v>
      </c>
      <c r="C4654" s="2" t="str">
        <f ca="1">IFERROR(__xludf.DUMMYFUNCTION("""COMPUTED_VALUE"""),"Etherland")</f>
        <v>Etherland</v>
      </c>
    </row>
    <row r="4655" spans="1:3" x14ac:dyDescent="0.25">
      <c r="A4655" s="2" t="str">
        <f ca="1">IFERROR(__xludf.DUMMYFUNCTION("""COMPUTED_VALUE"""),"ethermon")</f>
        <v>ethermon</v>
      </c>
      <c r="B4655" s="2" t="str">
        <f ca="1">IFERROR(__xludf.DUMMYFUNCTION("""COMPUTED_VALUE"""),"emon")</f>
        <v>emon</v>
      </c>
      <c r="C4655" s="2" t="str">
        <f ca="1">IFERROR(__xludf.DUMMYFUNCTION("""COMPUTED_VALUE"""),"Ethermon")</f>
        <v>Ethermon</v>
      </c>
    </row>
    <row r="4656" spans="1:3" x14ac:dyDescent="0.25">
      <c r="A4656" s="2" t="str">
        <f ca="1">IFERROR(__xludf.DUMMYFUNCTION("""COMPUTED_VALUE"""),"ethernity-chain")</f>
        <v>ethernity-chain</v>
      </c>
      <c r="B4656" s="2" t="str">
        <f ca="1">IFERROR(__xludf.DUMMYFUNCTION("""COMPUTED_VALUE"""),"ern")</f>
        <v>ern</v>
      </c>
      <c r="C4656" s="2" t="str">
        <f ca="1">IFERROR(__xludf.DUMMYFUNCTION("""COMPUTED_VALUE"""),"Ethernity Chain")</f>
        <v>Ethernity Chain</v>
      </c>
    </row>
    <row r="4657" spans="1:3" x14ac:dyDescent="0.25">
      <c r="A4657" s="2" t="str">
        <f ca="1">IFERROR(__xludf.DUMMYFUNCTION("""COMPUTED_VALUE"""),"ethernity-cloud")</f>
        <v>ethernity-cloud</v>
      </c>
      <c r="B4657" s="2" t="str">
        <f ca="1">IFERROR(__xludf.DUMMYFUNCTION("""COMPUTED_VALUE"""),"ecld")</f>
        <v>ecld</v>
      </c>
      <c r="C4657" s="2" t="str">
        <f ca="1">IFERROR(__xludf.DUMMYFUNCTION("""COMPUTED_VALUE"""),"Ethernity Cloud")</f>
        <v>Ethernity Cloud</v>
      </c>
    </row>
    <row r="4658" spans="1:3" x14ac:dyDescent="0.25">
      <c r="A4658" s="2" t="str">
        <f ca="1">IFERROR(__xludf.DUMMYFUNCTION("""COMPUTED_VALUE"""),"etherparty")</f>
        <v>etherparty</v>
      </c>
      <c r="B4658" s="2" t="str">
        <f ca="1">IFERROR(__xludf.DUMMYFUNCTION("""COMPUTED_VALUE"""),"fuel")</f>
        <v>fuel</v>
      </c>
      <c r="C4658" s="2" t="str">
        <f ca="1">IFERROR(__xludf.DUMMYFUNCTION("""COMPUTED_VALUE"""),"Etherparty")</f>
        <v>Etherparty</v>
      </c>
    </row>
    <row r="4659" spans="1:3" x14ac:dyDescent="0.25">
      <c r="A4659" s="2" t="str">
        <f ca="1">IFERROR(__xludf.DUMMYFUNCTION("""COMPUTED_VALUE"""),"etherpets")</f>
        <v>etherpets</v>
      </c>
      <c r="B4659" s="2" t="str">
        <f ca="1">IFERROR(__xludf.DUMMYFUNCTION("""COMPUTED_VALUE"""),"epets")</f>
        <v>epets</v>
      </c>
      <c r="C4659" s="2" t="str">
        <f ca="1">IFERROR(__xludf.DUMMYFUNCTION("""COMPUTED_VALUE"""),"Etherpets")</f>
        <v>Etherpets</v>
      </c>
    </row>
    <row r="4660" spans="1:3" x14ac:dyDescent="0.25">
      <c r="A4660" s="2" t="str">
        <f ca="1">IFERROR(__xludf.DUMMYFUNCTION("""COMPUTED_VALUE"""),"etherpos")</f>
        <v>etherpos</v>
      </c>
      <c r="B4660" s="2" t="str">
        <f ca="1">IFERROR(__xludf.DUMMYFUNCTION("""COMPUTED_VALUE"""),"etpos")</f>
        <v>etpos</v>
      </c>
      <c r="C4660" s="2" t="str">
        <f ca="1">IFERROR(__xludf.DUMMYFUNCTION("""COMPUTED_VALUE"""),"EtherPoS")</f>
        <v>EtherPoS</v>
      </c>
    </row>
    <row r="4661" spans="1:3" x14ac:dyDescent="0.25">
      <c r="A4661" s="2" t="str">
        <f ca="1">IFERROR(__xludf.DUMMYFUNCTION("""COMPUTED_VALUE"""),"etherscape")</f>
        <v>etherscape</v>
      </c>
      <c r="B4661" s="2" t="str">
        <f ca="1">IFERROR(__xludf.DUMMYFUNCTION("""COMPUTED_VALUE"""),"scape")</f>
        <v>scape</v>
      </c>
      <c r="C4661" s="2" t="str">
        <f ca="1">IFERROR(__xludf.DUMMYFUNCTION("""COMPUTED_VALUE"""),"BaseScape")</f>
        <v>BaseScape</v>
      </c>
    </row>
    <row r="4662" spans="1:3" x14ac:dyDescent="0.25">
      <c r="A4662" s="2" t="str">
        <f ca="1">IFERROR(__xludf.DUMMYFUNCTION("""COMPUTED_VALUE"""),"etherunes")</f>
        <v>etherunes</v>
      </c>
      <c r="B4662" s="2" t="str">
        <f ca="1">IFERROR(__xludf.DUMMYFUNCTION("""COMPUTED_VALUE"""),"etr")</f>
        <v>etr</v>
      </c>
      <c r="C4662" s="2" t="str">
        <f ca="1">IFERROR(__xludf.DUMMYFUNCTION("""COMPUTED_VALUE"""),"EtheRunes")</f>
        <v>EtheRunes</v>
      </c>
    </row>
    <row r="4663" spans="1:3" x14ac:dyDescent="0.25">
      <c r="A4663" s="2" t="str">
        <f ca="1">IFERROR(__xludf.DUMMYFUNCTION("""COMPUTED_VALUE"""),"ethervista")</f>
        <v>ethervista</v>
      </c>
      <c r="B4663" s="2" t="str">
        <f ca="1">IFERROR(__xludf.DUMMYFUNCTION("""COMPUTED_VALUE"""),"vista")</f>
        <v>vista</v>
      </c>
      <c r="C4663" s="2" t="str">
        <f ca="1">IFERROR(__xludf.DUMMYFUNCTION("""COMPUTED_VALUE"""),"Ethervista")</f>
        <v>Ethervista</v>
      </c>
    </row>
    <row r="4664" spans="1:3" x14ac:dyDescent="0.25">
      <c r="A4664" s="2" t="str">
        <f ca="1">IFERROR(__xludf.DUMMYFUNCTION("""COMPUTED_VALUE"""),"eth-fan-token")</f>
        <v>eth-fan-token</v>
      </c>
      <c r="B4664" s="2" t="str">
        <f ca="1">IFERROR(__xludf.DUMMYFUNCTION("""COMPUTED_VALUE"""),"eft")</f>
        <v>eft</v>
      </c>
      <c r="C4664" s="2" t="str">
        <f ca="1">IFERROR(__xludf.DUMMYFUNCTION("""COMPUTED_VALUE"""),"ETH Fan Token Ecosystem")</f>
        <v>ETH Fan Token Ecosystem</v>
      </c>
    </row>
    <row r="4665" spans="1:3" x14ac:dyDescent="0.25">
      <c r="A4665" s="2" t="str">
        <f ca="1">IFERROR(__xludf.DUMMYFUNCTION("""COMPUTED_VALUE"""),"ethforestai")</f>
        <v>ethforestai</v>
      </c>
      <c r="B4665" s="2" t="str">
        <f ca="1">IFERROR(__xludf.DUMMYFUNCTION("""COMPUTED_VALUE"""),"ethfai")</f>
        <v>ethfai</v>
      </c>
      <c r="C4665" s="2" t="str">
        <f ca="1">IFERROR(__xludf.DUMMYFUNCTION("""COMPUTED_VALUE"""),"ETHforestAI")</f>
        <v>ETHforestAI</v>
      </c>
    </row>
    <row r="4666" spans="1:3" x14ac:dyDescent="0.25">
      <c r="A4666" s="2" t="str">
        <f ca="1">IFERROR(__xludf.DUMMYFUNCTION("""COMPUTED_VALUE"""),"ethichub")</f>
        <v>ethichub</v>
      </c>
      <c r="B4666" s="2" t="str">
        <f ca="1">IFERROR(__xludf.DUMMYFUNCTION("""COMPUTED_VALUE"""),"ethix")</f>
        <v>ethix</v>
      </c>
      <c r="C4666" s="2" t="str">
        <f ca="1">IFERROR(__xludf.DUMMYFUNCTION("""COMPUTED_VALUE"""),"Ethix")</f>
        <v>Ethix</v>
      </c>
    </row>
    <row r="4667" spans="1:3" x14ac:dyDescent="0.25">
      <c r="A4667" s="2" t="str">
        <f ca="1">IFERROR(__xludf.DUMMYFUNCTION("""COMPUTED_VALUE"""),"ethlas")</f>
        <v>ethlas</v>
      </c>
      <c r="B4667" s="2" t="str">
        <f ca="1">IFERROR(__xludf.DUMMYFUNCTION("""COMPUTED_VALUE"""),"els")</f>
        <v>els</v>
      </c>
      <c r="C4667" s="2" t="str">
        <f ca="1">IFERROR(__xludf.DUMMYFUNCTION("""COMPUTED_VALUE"""),"Ethlas")</f>
        <v>Ethlas</v>
      </c>
    </row>
    <row r="4668" spans="1:3" x14ac:dyDescent="0.25">
      <c r="A4668" s="2" t="str">
        <f ca="1">IFERROR(__xludf.DUMMYFUNCTION("""COMPUTED_VALUE"""),"ethlend")</f>
        <v>ethlend</v>
      </c>
      <c r="B4668" s="2" t="str">
        <f ca="1">IFERROR(__xludf.DUMMYFUNCTION("""COMPUTED_VALUE"""),"lend")</f>
        <v>lend</v>
      </c>
      <c r="C4668" s="2" t="str">
        <f ca="1">IFERROR(__xludf.DUMMYFUNCTION("""COMPUTED_VALUE"""),"Aave [OLD]")</f>
        <v>Aave [OLD]</v>
      </c>
    </row>
    <row r="4669" spans="1:3" x14ac:dyDescent="0.25">
      <c r="A4669" s="2" t="str">
        <f ca="1">IFERROR(__xludf.DUMMYFUNCTION("""COMPUTED_VALUE"""),"ethos")</f>
        <v>ethos</v>
      </c>
      <c r="B4669" s="2" t="str">
        <f ca="1">IFERROR(__xludf.DUMMYFUNCTION("""COMPUTED_VALUE"""),"vgx")</f>
        <v>vgx</v>
      </c>
      <c r="C4669" s="2" t="str">
        <f ca="1">IFERROR(__xludf.DUMMYFUNCTION("""COMPUTED_VALUE"""),"VGX Token")</f>
        <v>VGX Token</v>
      </c>
    </row>
    <row r="4670" spans="1:3" x14ac:dyDescent="0.25">
      <c r="A4670" s="2" t="str">
        <f ca="1">IFERROR(__xludf.DUMMYFUNCTION("""COMPUTED_VALUE"""),"ethos-2")</f>
        <v>ethos-2</v>
      </c>
      <c r="B4670" s="2" t="str">
        <f ca="1">IFERROR(__xludf.DUMMYFUNCTION("""COMPUTED_VALUE"""),"3th")</f>
        <v>3th</v>
      </c>
      <c r="C4670" s="2" t="str">
        <f ca="1">IFERROR(__xludf.DUMMYFUNCTION("""COMPUTED_VALUE"""),"Ethos")</f>
        <v>Ethos</v>
      </c>
    </row>
    <row r="4671" spans="1:3" x14ac:dyDescent="0.25">
      <c r="A4671" s="2" t="str">
        <f ca="1">IFERROR(__xludf.DUMMYFUNCTION("""COMPUTED_VALUE"""),"ethos-3")</f>
        <v>ethos-3</v>
      </c>
      <c r="B4671" s="2" t="str">
        <f ca="1">IFERROR(__xludf.DUMMYFUNCTION("""COMPUTED_VALUE"""),"ethos")</f>
        <v>ethos</v>
      </c>
      <c r="C4671" s="2" t="str">
        <f ca="1">IFERROR(__xludf.DUMMYFUNCTION("""COMPUTED_VALUE"""),"Ethos")</f>
        <v>Ethos</v>
      </c>
    </row>
    <row r="4672" spans="1:3" x14ac:dyDescent="0.25">
      <c r="A4672" s="2" t="str">
        <f ca="1">IFERROR(__xludf.DUMMYFUNCTION("""COMPUTED_VALUE"""),"ethos-reserve-note")</f>
        <v>ethos-reserve-note</v>
      </c>
      <c r="B4672" s="2" t="str">
        <f ca="1">IFERROR(__xludf.DUMMYFUNCTION("""COMPUTED_VALUE"""),"ern")</f>
        <v>ern</v>
      </c>
      <c r="C4672" s="2" t="str">
        <f ca="1">IFERROR(__xludf.DUMMYFUNCTION("""COMPUTED_VALUE"""),"Ethos Reserve Note")</f>
        <v>Ethos Reserve Note</v>
      </c>
    </row>
    <row r="4673" spans="1:3" x14ac:dyDescent="0.25">
      <c r="A4673" s="2" t="str">
        <f ca="1">IFERROR(__xludf.DUMMYFUNCTION("""COMPUTED_VALUE"""),"ethpad")</f>
        <v>ethpad</v>
      </c>
      <c r="B4673" s="2" t="str">
        <f ca="1">IFERROR(__xludf.DUMMYFUNCTION("""COMPUTED_VALUE"""),"ethpad")</f>
        <v>ethpad</v>
      </c>
      <c r="C4673" s="2" t="str">
        <f ca="1">IFERROR(__xludf.DUMMYFUNCTION("""COMPUTED_VALUE"""),"ETHPad")</f>
        <v>ETHPad</v>
      </c>
    </row>
    <row r="4674" spans="1:3" x14ac:dyDescent="0.25">
      <c r="A4674" s="2" t="str">
        <f ca="1">IFERROR(__xludf.DUMMYFUNCTION("""COMPUTED_VALUE"""),"eth-rock-erc404")</f>
        <v>eth-rock-erc404</v>
      </c>
      <c r="B4674" s="2" t="str">
        <f ca="1">IFERROR(__xludf.DUMMYFUNCTION("""COMPUTED_VALUE"""),"$rock")</f>
        <v>$rock</v>
      </c>
      <c r="C4674" s="2" t="str">
        <f ca="1">IFERROR(__xludf.DUMMYFUNCTION("""COMPUTED_VALUE"""),"EtherRock404")</f>
        <v>EtherRock404</v>
      </c>
    </row>
    <row r="4675" spans="1:3" x14ac:dyDescent="0.25">
      <c r="A4675" s="2" t="str">
        <f ca="1">IFERROR(__xludf.DUMMYFUNCTION("""COMPUTED_VALUE"""),"ethscriptions")</f>
        <v>ethscriptions</v>
      </c>
      <c r="B4675" s="2" t="str">
        <f ca="1">IFERROR(__xludf.DUMMYFUNCTION("""COMPUTED_VALUE"""),"eths")</f>
        <v>eths</v>
      </c>
      <c r="C4675" s="2" t="str">
        <f ca="1">IFERROR(__xludf.DUMMYFUNCTION("""COMPUTED_VALUE"""),"Ethscriptions")</f>
        <v>Ethscriptions</v>
      </c>
    </row>
    <row r="4676" spans="1:3" x14ac:dyDescent="0.25">
      <c r="A4676" s="2" t="str">
        <f ca="1">IFERROR(__xludf.DUMMYFUNCTION("""COMPUTED_VALUE"""),"eth-stable-mori-finance")</f>
        <v>eth-stable-mori-finance</v>
      </c>
      <c r="B4676" s="2" t="str">
        <f ca="1">IFERROR(__xludf.DUMMYFUNCTION("""COMPUTED_VALUE"""),"eths")</f>
        <v>eths</v>
      </c>
      <c r="C4676" s="2" t="str">
        <f ca="1">IFERROR(__xludf.DUMMYFUNCTION("""COMPUTED_VALUE"""),"ETH Stable")</f>
        <v>ETH Stable</v>
      </c>
    </row>
    <row r="4677" spans="1:3" x14ac:dyDescent="0.25">
      <c r="A4677" s="2" t="str">
        <f ca="1">IFERROR(__xludf.DUMMYFUNCTION("""COMPUTED_VALUE"""),"ethtez")</f>
        <v>ethtez</v>
      </c>
      <c r="B4677" s="2" t="str">
        <f ca="1">IFERROR(__xludf.DUMMYFUNCTION("""COMPUTED_VALUE"""),"ethtz")</f>
        <v>ethtz</v>
      </c>
      <c r="C4677" s="2" t="str">
        <f ca="1">IFERROR(__xludf.DUMMYFUNCTION("""COMPUTED_VALUE"""),"ETHtez")</f>
        <v>ETHtez</v>
      </c>
    </row>
    <row r="4678" spans="1:3" x14ac:dyDescent="0.25">
      <c r="A4678" s="2" t="str">
        <f ca="1">IFERROR(__xludf.DUMMYFUNCTION("""COMPUTED_VALUE"""),"ethup")</f>
        <v>ethup</v>
      </c>
      <c r="B4678" s="2" t="str">
        <f ca="1">IFERROR(__xludf.DUMMYFUNCTION("""COMPUTED_VALUE"""),"ethup")</f>
        <v>ethup</v>
      </c>
      <c r="C4678" s="2" t="str">
        <f ca="1">IFERROR(__xludf.DUMMYFUNCTION("""COMPUTED_VALUE"""),"ETHUP")</f>
        <v>ETHUP</v>
      </c>
    </row>
    <row r="4679" spans="1:3" x14ac:dyDescent="0.25">
      <c r="A4679" s="2" t="str">
        <f ca="1">IFERROR(__xludf.DUMMYFUNCTION("""COMPUTED_VALUE"""),"etica")</f>
        <v>etica</v>
      </c>
      <c r="B4679" s="2" t="str">
        <f ca="1">IFERROR(__xludf.DUMMYFUNCTION("""COMPUTED_VALUE"""),"eti")</f>
        <v>eti</v>
      </c>
      <c r="C4679" s="2" t="str">
        <f ca="1">IFERROR(__xludf.DUMMYFUNCTION("""COMPUTED_VALUE"""),"Etica")</f>
        <v>Etica</v>
      </c>
    </row>
    <row r="4680" spans="1:3" x14ac:dyDescent="0.25">
      <c r="A4680" s="2" t="str">
        <f ca="1">IFERROR(__xludf.DUMMYFUNCTION("""COMPUTED_VALUE"""),"etuktuk")</f>
        <v>etuktuk</v>
      </c>
      <c r="B4680" s="2" t="str">
        <f ca="1">IFERROR(__xludf.DUMMYFUNCTION("""COMPUTED_VALUE"""),"tuk")</f>
        <v>tuk</v>
      </c>
      <c r="C4680" s="2" t="str">
        <f ca="1">IFERROR(__xludf.DUMMYFUNCTION("""COMPUTED_VALUE"""),"eTukTuk")</f>
        <v>eTukTuk</v>
      </c>
    </row>
    <row r="4681" spans="1:3" x14ac:dyDescent="0.25">
      <c r="A4681" s="2" t="str">
        <f ca="1">IFERROR(__xludf.DUMMYFUNCTION("""COMPUTED_VALUE"""),"euler")</f>
        <v>euler</v>
      </c>
      <c r="B4681" s="2" t="str">
        <f ca="1">IFERROR(__xludf.DUMMYFUNCTION("""COMPUTED_VALUE"""),"eul")</f>
        <v>eul</v>
      </c>
      <c r="C4681" s="2" t="str">
        <f ca="1">IFERROR(__xludf.DUMMYFUNCTION("""COMPUTED_VALUE"""),"Euler")</f>
        <v>Euler</v>
      </c>
    </row>
    <row r="4682" spans="1:3" x14ac:dyDescent="0.25">
      <c r="A4682" s="2" t="str">
        <f ca="1">IFERROR(__xludf.DUMMYFUNCTION("""COMPUTED_VALUE"""),"euno")</f>
        <v>euno</v>
      </c>
      <c r="B4682" s="2" t="str">
        <f ca="1">IFERROR(__xludf.DUMMYFUNCTION("""COMPUTED_VALUE"""),"euno")</f>
        <v>euno</v>
      </c>
      <c r="C4682" s="2" t="str">
        <f ca="1">IFERROR(__xludf.DUMMYFUNCTION("""COMPUTED_VALUE"""),"EUNO")</f>
        <v>EUNO</v>
      </c>
    </row>
    <row r="4683" spans="1:3" x14ac:dyDescent="0.25">
      <c r="A4683" s="2" t="str">
        <f ca="1">IFERROR(__xludf.DUMMYFUNCTION("""COMPUTED_VALUE"""),"eurite")</f>
        <v>eurite</v>
      </c>
      <c r="B4683" s="2" t="str">
        <f ca="1">IFERROR(__xludf.DUMMYFUNCTION("""COMPUTED_VALUE"""),"euri")</f>
        <v>euri</v>
      </c>
      <c r="C4683" s="2" t="str">
        <f ca="1">IFERROR(__xludf.DUMMYFUNCTION("""COMPUTED_VALUE"""),"Eurite")</f>
        <v>Eurite</v>
      </c>
    </row>
    <row r="4684" spans="1:3" x14ac:dyDescent="0.25">
      <c r="A4684" s="2" t="str">
        <f ca="1">IFERROR(__xludf.DUMMYFUNCTION("""COMPUTED_VALUE"""),"euro3")</f>
        <v>euro3</v>
      </c>
      <c r="B4684" s="2" t="str">
        <f ca="1">IFERROR(__xludf.DUMMYFUNCTION("""COMPUTED_VALUE"""),"euro3")</f>
        <v>euro3</v>
      </c>
      <c r="C4684" s="2" t="str">
        <f ca="1">IFERROR(__xludf.DUMMYFUNCTION("""COMPUTED_VALUE"""),"EURO3")</f>
        <v>EURO3</v>
      </c>
    </row>
    <row r="4685" spans="1:3" x14ac:dyDescent="0.25">
      <c r="A4685" s="2" t="str">
        <f ca="1">IFERROR(__xludf.DUMMYFUNCTION("""COMPUTED_VALUE"""),"euro-coin")</f>
        <v>euro-coin</v>
      </c>
      <c r="B4685" s="2" t="str">
        <f ca="1">IFERROR(__xludf.DUMMYFUNCTION("""COMPUTED_VALUE"""),"eurc")</f>
        <v>eurc</v>
      </c>
      <c r="C4685" s="2" t="str">
        <f ca="1">IFERROR(__xludf.DUMMYFUNCTION("""COMPUTED_VALUE"""),"EURC")</f>
        <v>EURC</v>
      </c>
    </row>
    <row r="4686" spans="1:3" x14ac:dyDescent="0.25">
      <c r="A4686" s="2" t="str">
        <f ca="1">IFERROR(__xludf.DUMMYFUNCTION("""COMPUTED_VALUE"""),"eurocoinpay")</f>
        <v>eurocoinpay</v>
      </c>
      <c r="B4686" s="2" t="str">
        <f ca="1">IFERROR(__xludf.DUMMYFUNCTION("""COMPUTED_VALUE"""),"ecte")</f>
        <v>ecte</v>
      </c>
      <c r="C4686" s="2" t="str">
        <f ca="1">IFERROR(__xludf.DUMMYFUNCTION("""COMPUTED_VALUE"""),"EurocoinToken")</f>
        <v>EurocoinToken</v>
      </c>
    </row>
    <row r="4687" spans="1:3" x14ac:dyDescent="0.25">
      <c r="A4687" s="2" t="str">
        <f ca="1">IFERROR(__xludf.DUMMYFUNCTION("""COMPUTED_VALUE"""),"euroe-stablecoin")</f>
        <v>euroe-stablecoin</v>
      </c>
      <c r="B4687" s="2" t="str">
        <f ca="1">IFERROR(__xludf.DUMMYFUNCTION("""COMPUTED_VALUE"""),"euroe")</f>
        <v>euroe</v>
      </c>
      <c r="C4687" s="2" t="str">
        <f ca="1">IFERROR(__xludf.DUMMYFUNCTION("""COMPUTED_VALUE"""),"EUROe Stablecoin")</f>
        <v>EUROe Stablecoin</v>
      </c>
    </row>
    <row r="4688" spans="1:3" x14ac:dyDescent="0.25">
      <c r="A4688" s="2" t="str">
        <f ca="1">IFERROR(__xludf.DUMMYFUNCTION("""COMPUTED_VALUE"""),"europe-fantasy-league")</f>
        <v>europe-fantasy-league</v>
      </c>
      <c r="B4688" s="2" t="str">
        <f ca="1">IFERROR(__xludf.DUMMYFUNCTION("""COMPUTED_VALUE"""),"euft")</f>
        <v>euft</v>
      </c>
      <c r="C4688" s="2" t="str">
        <f ca="1">IFERROR(__xludf.DUMMYFUNCTION("""COMPUTED_VALUE"""),"Europe Fantasy League")</f>
        <v>Europe Fantasy League</v>
      </c>
    </row>
    <row r="4689" spans="1:3" x14ac:dyDescent="0.25">
      <c r="A4689" s="2" t="str">
        <f ca="1">IFERROR(__xludf.DUMMYFUNCTION("""COMPUTED_VALUE"""),"eusd-27a558b0-8b5b-4225-a614-63539da936f4")</f>
        <v>eusd-27a558b0-8b5b-4225-a614-63539da936f4</v>
      </c>
      <c r="B4689" s="2" t="str">
        <f ca="1">IFERROR(__xludf.DUMMYFUNCTION("""COMPUTED_VALUE"""),"eusd")</f>
        <v>eusd</v>
      </c>
      <c r="C4689" s="2" t="str">
        <f ca="1">IFERROR(__xludf.DUMMYFUNCTION("""COMPUTED_VALUE"""),"eUSD (OLD)")</f>
        <v>eUSD (OLD)</v>
      </c>
    </row>
    <row r="4690" spans="1:3" x14ac:dyDescent="0.25">
      <c r="A4690" s="2" t="str">
        <f ca="1">IFERROR(__xludf.DUMMYFUNCTION("""COMPUTED_VALUE"""),"eusd-new")</f>
        <v>eusd-new</v>
      </c>
      <c r="B4690" s="2" t="str">
        <f ca="1">IFERROR(__xludf.DUMMYFUNCTION("""COMPUTED_VALUE"""),"eusd")</f>
        <v>eusd</v>
      </c>
      <c r="C4690" s="2" t="str">
        <f ca="1">IFERROR(__xludf.DUMMYFUNCTION("""COMPUTED_VALUE"""),"eUSD")</f>
        <v>eUSD</v>
      </c>
    </row>
    <row r="4691" spans="1:3" x14ac:dyDescent="0.25">
      <c r="A4691" s="2" t="str">
        <f ca="1">IFERROR(__xludf.DUMMYFUNCTION("""COMPUTED_VALUE"""),"eutbl")</f>
        <v>eutbl</v>
      </c>
      <c r="B4691" s="2" t="str">
        <f ca="1">IFERROR(__xludf.DUMMYFUNCTION("""COMPUTED_VALUE"""),"eutbl")</f>
        <v>eutbl</v>
      </c>
      <c r="C4691" s="2" t="str">
        <f ca="1">IFERROR(__xludf.DUMMYFUNCTION("""COMPUTED_VALUE"""),"Spiko EU T-Bills Money Market Fund")</f>
        <v>Spiko EU T-Bills Money Market Fund</v>
      </c>
    </row>
    <row r="4692" spans="1:3" x14ac:dyDescent="0.25">
      <c r="A4692" s="2" t="str">
        <f ca="1">IFERROR(__xludf.DUMMYFUNCTION("""COMPUTED_VALUE"""),"eva-ai")</f>
        <v>eva-ai</v>
      </c>
      <c r="B4692" s="2" t="str">
        <f ca="1">IFERROR(__xludf.DUMMYFUNCTION("""COMPUTED_VALUE"""),"$eva")</f>
        <v>$eva</v>
      </c>
      <c r="C4692" s="2" t="str">
        <f ca="1">IFERROR(__xludf.DUMMYFUNCTION("""COMPUTED_VALUE"""),"eVa-ai")</f>
        <v>eVa-ai</v>
      </c>
    </row>
    <row r="4693" spans="1:3" x14ac:dyDescent="0.25">
      <c r="A4693" s="2" t="str">
        <f ca="1">IFERROR(__xludf.DUMMYFUNCTION("""COMPUTED_VALUE"""),"evadore")</f>
        <v>evadore</v>
      </c>
      <c r="B4693" s="2" t="str">
        <f ca="1">IFERROR(__xludf.DUMMYFUNCTION("""COMPUTED_VALUE"""),"eva")</f>
        <v>eva</v>
      </c>
      <c r="C4693" s="2" t="str">
        <f ca="1">IFERROR(__xludf.DUMMYFUNCTION("""COMPUTED_VALUE"""),"Evadore")</f>
        <v>Evadore</v>
      </c>
    </row>
    <row r="4694" spans="1:3" x14ac:dyDescent="0.25">
      <c r="A4694" s="2" t="str">
        <f ca="1">IFERROR(__xludf.DUMMYFUNCTION("""COMPUTED_VALUE"""),"evai-2")</f>
        <v>evai-2</v>
      </c>
      <c r="B4694" s="2" t="str">
        <f ca="1">IFERROR(__xludf.DUMMYFUNCTION("""COMPUTED_VALUE"""),"ev")</f>
        <v>ev</v>
      </c>
      <c r="C4694" s="2" t="str">
        <f ca="1">IFERROR(__xludf.DUMMYFUNCTION("""COMPUTED_VALUE"""),"Evai")</f>
        <v>Evai</v>
      </c>
    </row>
    <row r="4695" spans="1:3" x14ac:dyDescent="0.25">
      <c r="A4695" s="2" t="str">
        <f ca="1">IFERROR(__xludf.DUMMYFUNCTION("""COMPUTED_VALUE"""),"evanesco-network")</f>
        <v>evanesco-network</v>
      </c>
      <c r="B4695" s="2" t="str">
        <f ca="1">IFERROR(__xludf.DUMMYFUNCTION("""COMPUTED_VALUE"""),"eva")</f>
        <v>eva</v>
      </c>
      <c r="C4695" s="2" t="str">
        <f ca="1">IFERROR(__xludf.DUMMYFUNCTION("""COMPUTED_VALUE"""),"Evanesco Network")</f>
        <v>Evanesco Network</v>
      </c>
    </row>
    <row r="4696" spans="1:3" x14ac:dyDescent="0.25">
      <c r="A4696" s="2" t="str">
        <f ca="1">IFERROR(__xludf.DUMMYFUNCTION("""COMPUTED_VALUE"""),"eve-ai")</f>
        <v>eve-ai</v>
      </c>
      <c r="B4696" s="2" t="str">
        <f ca="1">IFERROR(__xludf.DUMMYFUNCTION("""COMPUTED_VALUE"""),"eveai")</f>
        <v>eveai</v>
      </c>
      <c r="C4696" s="2" t="str">
        <f ca="1">IFERROR(__xludf.DUMMYFUNCTION("""COMPUTED_VALUE"""),"Eve AI")</f>
        <v>Eve AI</v>
      </c>
    </row>
    <row r="4697" spans="1:3" x14ac:dyDescent="0.25">
      <c r="A4697" s="2" t="str">
        <f ca="1">IFERROR(__xludf.DUMMYFUNCTION("""COMPUTED_VALUE"""),"eve-exchange")</f>
        <v>eve-exchange</v>
      </c>
      <c r="B4697" s="2" t="str">
        <f ca="1">IFERROR(__xludf.DUMMYFUNCTION("""COMPUTED_VALUE"""),"eve")</f>
        <v>eve</v>
      </c>
      <c r="C4697" s="2" t="str">
        <f ca="1">IFERROR(__xludf.DUMMYFUNCTION("""COMPUTED_VALUE"""),"EVE")</f>
        <v>EVE</v>
      </c>
    </row>
    <row r="4698" spans="1:3" x14ac:dyDescent="0.25">
      <c r="A4698" s="2" t="str">
        <f ca="1">IFERROR(__xludf.DUMMYFUNCTION("""COMPUTED_VALUE"""),"everclear-bridged-ezeth")</f>
        <v>everclear-bridged-ezeth</v>
      </c>
      <c r="B4698" s="2" t="str">
        <f ca="1">IFERROR(__xludf.DUMMYFUNCTION("""COMPUTED_VALUE"""),"ezeth")</f>
        <v>ezeth</v>
      </c>
      <c r="C4698" s="2" t="str">
        <f ca="1">IFERROR(__xludf.DUMMYFUNCTION("""COMPUTED_VALUE"""),"Everclear Bridged ezETH (Linea)")</f>
        <v>Everclear Bridged ezETH (Linea)</v>
      </c>
    </row>
    <row r="4699" spans="1:3" x14ac:dyDescent="0.25">
      <c r="A4699" s="2" t="str">
        <f ca="1">IFERROR(__xludf.DUMMYFUNCTION("""COMPUTED_VALUE"""),"evercraft-ecotechnologies")</f>
        <v>evercraft-ecotechnologies</v>
      </c>
      <c r="B4699" s="2" t="str">
        <f ca="1">IFERROR(__xludf.DUMMYFUNCTION("""COMPUTED_VALUE"""),"ecet")</f>
        <v>ecet</v>
      </c>
      <c r="C4699" s="2" t="str">
        <f ca="1">IFERROR(__xludf.DUMMYFUNCTION("""COMPUTED_VALUE"""),"Evercraft Ecotechnologies")</f>
        <v>Evercraft Ecotechnologies</v>
      </c>
    </row>
    <row r="4700" spans="1:3" x14ac:dyDescent="0.25">
      <c r="A4700" s="2" t="str">
        <f ca="1">IFERROR(__xludf.DUMMYFUNCTION("""COMPUTED_VALUE"""),"everdome")</f>
        <v>everdome</v>
      </c>
      <c r="B4700" s="2" t="str">
        <f ca="1">IFERROR(__xludf.DUMMYFUNCTION("""COMPUTED_VALUE"""),"dome")</f>
        <v>dome</v>
      </c>
      <c r="C4700" s="2" t="str">
        <f ca="1">IFERROR(__xludf.DUMMYFUNCTION("""COMPUTED_VALUE"""),"Everdome")</f>
        <v>Everdome</v>
      </c>
    </row>
    <row r="4701" spans="1:3" x14ac:dyDescent="0.25">
      <c r="A4701" s="2" t="str">
        <f ca="1">IFERROR(__xludf.DUMMYFUNCTION("""COMPUTED_VALUE"""),"evereth")</f>
        <v>evereth</v>
      </c>
      <c r="B4701" s="2" t="str">
        <f ca="1">IFERROR(__xludf.DUMMYFUNCTION("""COMPUTED_VALUE"""),"evereth")</f>
        <v>evereth</v>
      </c>
      <c r="C4701" s="2" t="str">
        <f ca="1">IFERROR(__xludf.DUMMYFUNCTION("""COMPUTED_VALUE"""),"EverETH Reflect")</f>
        <v>EverETH Reflect</v>
      </c>
    </row>
    <row r="4702" spans="1:3" x14ac:dyDescent="0.25">
      <c r="A4702" s="2" t="str">
        <f ca="1">IFERROR(__xludf.DUMMYFUNCTION("""COMPUTED_VALUE"""),"evereth-2")</f>
        <v>evereth-2</v>
      </c>
      <c r="B4702" s="2" t="str">
        <f ca="1">IFERROR(__xludf.DUMMYFUNCTION("""COMPUTED_VALUE"""),"eeth")</f>
        <v>eeth</v>
      </c>
      <c r="C4702" s="2" t="str">
        <f ca="1">IFERROR(__xludf.DUMMYFUNCTION("""COMPUTED_VALUE"""),"EverETH")</f>
        <v>EverETH</v>
      </c>
    </row>
    <row r="4703" spans="1:3" x14ac:dyDescent="0.25">
      <c r="A4703" s="2" t="str">
        <f ca="1">IFERROR(__xludf.DUMMYFUNCTION("""COMPUTED_VALUE"""),"everex")</f>
        <v>everex</v>
      </c>
      <c r="B4703" s="2" t="str">
        <f ca="1">IFERROR(__xludf.DUMMYFUNCTION("""COMPUTED_VALUE"""),"evx")</f>
        <v>evx</v>
      </c>
      <c r="C4703" s="2" t="str">
        <f ca="1">IFERROR(__xludf.DUMMYFUNCTION("""COMPUTED_VALUE"""),"Everex")</f>
        <v>Everex</v>
      </c>
    </row>
    <row r="4704" spans="1:3" x14ac:dyDescent="0.25">
      <c r="A4704" s="2" t="str">
        <f ca="1">IFERROR(__xludf.DUMMYFUNCTION("""COMPUTED_VALUE"""),"everflow-token")</f>
        <v>everflow-token</v>
      </c>
      <c r="B4704" s="2" t="str">
        <f ca="1">IFERROR(__xludf.DUMMYFUNCTION("""COMPUTED_VALUE"""),"eft")</f>
        <v>eft</v>
      </c>
      <c r="C4704" s="2" t="str">
        <f ca="1">IFERROR(__xludf.DUMMYFUNCTION("""COMPUTED_VALUE"""),"Everflow Token")</f>
        <v>Everflow Token</v>
      </c>
    </row>
    <row r="4705" spans="1:3" x14ac:dyDescent="0.25">
      <c r="A4705" s="2" t="str">
        <f ca="1">IFERROR(__xludf.DUMMYFUNCTION("""COMPUTED_VALUE"""),"evergrowcoin")</f>
        <v>evergrowcoin</v>
      </c>
      <c r="B4705" s="2" t="str">
        <f ca="1">IFERROR(__xludf.DUMMYFUNCTION("""COMPUTED_VALUE"""),"egc")</f>
        <v>egc</v>
      </c>
      <c r="C4705" s="2" t="str">
        <f ca="1">IFERROR(__xludf.DUMMYFUNCTION("""COMPUTED_VALUE"""),"EverGrow Coin")</f>
        <v>EverGrow Coin</v>
      </c>
    </row>
    <row r="4706" spans="1:3" x14ac:dyDescent="0.25">
      <c r="A4706" s="2" t="str">
        <f ca="1">IFERROR(__xludf.DUMMYFUNCTION("""COMPUTED_VALUE"""),"everid")</f>
        <v>everid</v>
      </c>
      <c r="B4706" s="2" t="str">
        <f ca="1">IFERROR(__xludf.DUMMYFUNCTION("""COMPUTED_VALUE"""),"id")</f>
        <v>id</v>
      </c>
      <c r="C4706" s="2" t="str">
        <f ca="1">IFERROR(__xludf.DUMMYFUNCTION("""COMPUTED_VALUE"""),"Everest")</f>
        <v>Everest</v>
      </c>
    </row>
    <row r="4707" spans="1:3" x14ac:dyDescent="0.25">
      <c r="A4707" s="2" t="str">
        <f ca="1">IFERROR(__xludf.DUMMYFUNCTION("""COMPUTED_VALUE"""),"everipedia")</f>
        <v>everipedia</v>
      </c>
      <c r="B4707" s="2" t="str">
        <f ca="1">IFERROR(__xludf.DUMMYFUNCTION("""COMPUTED_VALUE"""),"iq")</f>
        <v>iq</v>
      </c>
      <c r="C4707" s="2" t="str">
        <f ca="1">IFERROR(__xludf.DUMMYFUNCTION("""COMPUTED_VALUE"""),"IQ")</f>
        <v>IQ</v>
      </c>
    </row>
    <row r="4708" spans="1:3" x14ac:dyDescent="0.25">
      <c r="A4708" s="2" t="str">
        <f ca="1">IFERROR(__xludf.DUMMYFUNCTION("""COMPUTED_VALUE"""),"everlodge")</f>
        <v>everlodge</v>
      </c>
      <c r="B4708" s="2" t="str">
        <f ca="1">IFERROR(__xludf.DUMMYFUNCTION("""COMPUTED_VALUE"""),"eldg")</f>
        <v>eldg</v>
      </c>
      <c r="C4708" s="2" t="str">
        <f ca="1">IFERROR(__xludf.DUMMYFUNCTION("""COMPUTED_VALUE"""),"Everlodge")</f>
        <v>Everlodge</v>
      </c>
    </row>
    <row r="4709" spans="1:3" x14ac:dyDescent="0.25">
      <c r="A4709" s="2" t="str">
        <f ca="1">IFERROR(__xludf.DUMMYFUNCTION("""COMPUTED_VALUE"""),"evermoon-erc")</f>
        <v>evermoon-erc</v>
      </c>
      <c r="B4709" s="2" t="str">
        <f ca="1">IFERROR(__xludf.DUMMYFUNCTION("""COMPUTED_VALUE"""),"evermoon")</f>
        <v>evermoon</v>
      </c>
      <c r="C4709" s="2" t="str">
        <f ca="1">IFERROR(__xludf.DUMMYFUNCTION("""COMPUTED_VALUE"""),"EverMoon ERC")</f>
        <v>EverMoon ERC</v>
      </c>
    </row>
    <row r="4710" spans="1:3" x14ac:dyDescent="0.25">
      <c r="A4710" s="2" t="str">
        <f ca="1">IFERROR(__xludf.DUMMYFUNCTION("""COMPUTED_VALUE"""),"evermoon-sol")</f>
        <v>evermoon-sol</v>
      </c>
      <c r="B4710" s="2" t="str">
        <f ca="1">IFERROR(__xludf.DUMMYFUNCTION("""COMPUTED_VALUE"""),"evermoon")</f>
        <v>evermoon</v>
      </c>
      <c r="C4710" s="2" t="str">
        <f ca="1">IFERROR(__xludf.DUMMYFUNCTION("""COMPUTED_VALUE"""),"EVERMOON SOL")</f>
        <v>EVERMOON SOL</v>
      </c>
    </row>
    <row r="4711" spans="1:3" x14ac:dyDescent="0.25">
      <c r="A4711" s="2" t="str">
        <f ca="1">IFERROR(__xludf.DUMMYFUNCTION("""COMPUTED_VALUE"""),"evernode")</f>
        <v>evernode</v>
      </c>
      <c r="B4711" s="2" t="str">
        <f ca="1">IFERROR(__xludf.DUMMYFUNCTION("""COMPUTED_VALUE"""),"evr")</f>
        <v>evr</v>
      </c>
      <c r="C4711" s="2" t="str">
        <f ca="1">IFERROR(__xludf.DUMMYFUNCTION("""COMPUTED_VALUE"""),"Evernode")</f>
        <v>Evernode</v>
      </c>
    </row>
    <row r="4712" spans="1:3" x14ac:dyDescent="0.25">
      <c r="A4712" s="2" t="str">
        <f ca="1">IFERROR(__xludf.DUMMYFUNCTION("""COMPUTED_VALUE"""),"everreflect")</f>
        <v>everreflect</v>
      </c>
      <c r="B4712" s="2" t="str">
        <f ca="1">IFERROR(__xludf.DUMMYFUNCTION("""COMPUTED_VALUE"""),"evrf")</f>
        <v>evrf</v>
      </c>
      <c r="C4712" s="2" t="str">
        <f ca="1">IFERROR(__xludf.DUMMYFUNCTION("""COMPUTED_VALUE"""),"EverReflect")</f>
        <v>EverReflect</v>
      </c>
    </row>
    <row r="4713" spans="1:3" x14ac:dyDescent="0.25">
      <c r="A4713" s="2" t="str">
        <f ca="1">IFERROR(__xludf.DUMMYFUNCTION("""COMPUTED_VALUE"""),"everrise")</f>
        <v>everrise</v>
      </c>
      <c r="B4713" s="2" t="str">
        <f ca="1">IFERROR(__xludf.DUMMYFUNCTION("""COMPUTED_VALUE"""),"rise")</f>
        <v>rise</v>
      </c>
      <c r="C4713" s="2" t="str">
        <f ca="1">IFERROR(__xludf.DUMMYFUNCTION("""COMPUTED_VALUE"""),"EverRise")</f>
        <v>EverRise</v>
      </c>
    </row>
    <row r="4714" spans="1:3" x14ac:dyDescent="0.25">
      <c r="A4714" s="2" t="str">
        <f ca="1">IFERROR(__xludf.DUMMYFUNCTION("""COMPUTED_VALUE"""),"everrise-sol")</f>
        <v>everrise-sol</v>
      </c>
      <c r="B4714" s="2" t="str">
        <f ca="1">IFERROR(__xludf.DUMMYFUNCTION("""COMPUTED_VALUE"""),"rise")</f>
        <v>rise</v>
      </c>
      <c r="C4714" s="2" t="str">
        <f ca="1">IFERROR(__xludf.DUMMYFUNCTION("""COMPUTED_VALUE"""),"EverRise SOL")</f>
        <v>EverRise SOL</v>
      </c>
    </row>
    <row r="4715" spans="1:3" x14ac:dyDescent="0.25">
      <c r="A4715" s="2" t="str">
        <f ca="1">IFERROR(__xludf.DUMMYFUNCTION("""COMPUTED_VALUE"""),"everscale")</f>
        <v>everscale</v>
      </c>
      <c r="B4715" s="2" t="str">
        <f ca="1">IFERROR(__xludf.DUMMYFUNCTION("""COMPUTED_VALUE"""),"ever")</f>
        <v>ever</v>
      </c>
      <c r="C4715" s="2" t="str">
        <f ca="1">IFERROR(__xludf.DUMMYFUNCTION("""COMPUTED_VALUE"""),"Everscale")</f>
        <v>Everscale</v>
      </c>
    </row>
    <row r="4716" spans="1:3" x14ac:dyDescent="0.25">
      <c r="A4716" s="2" t="str">
        <f ca="1">IFERROR(__xludf.DUMMYFUNCTION("""COMPUTED_VALUE"""),"ever-sol")</f>
        <v>ever-sol</v>
      </c>
      <c r="B4716" s="2" t="str">
        <f ca="1">IFERROR(__xludf.DUMMYFUNCTION("""COMPUTED_VALUE"""),"ever")</f>
        <v>ever</v>
      </c>
      <c r="C4716" s="2" t="str">
        <f ca="1">IFERROR(__xludf.DUMMYFUNCTION("""COMPUTED_VALUE"""),"Ever Sol")</f>
        <v>Ever Sol</v>
      </c>
    </row>
    <row r="4717" spans="1:3" x14ac:dyDescent="0.25">
      <c r="A4717" s="2" t="str">
        <f ca="1">IFERROR(__xludf.DUMMYFUNCTION("""COMPUTED_VALUE"""),"everton-fan-token")</f>
        <v>everton-fan-token</v>
      </c>
      <c r="B4717" s="2" t="str">
        <f ca="1">IFERROR(__xludf.DUMMYFUNCTION("""COMPUTED_VALUE"""),"efc")</f>
        <v>efc</v>
      </c>
      <c r="C4717" s="2" t="str">
        <f ca="1">IFERROR(__xludf.DUMMYFUNCTION("""COMPUTED_VALUE"""),"Everton Fan Token")</f>
        <v>Everton Fan Token</v>
      </c>
    </row>
    <row r="4718" spans="1:3" x14ac:dyDescent="0.25">
      <c r="A4718" s="2" t="str">
        <f ca="1">IFERROR(__xludf.DUMMYFUNCTION("""COMPUTED_VALUE"""),"everybody")</f>
        <v>everybody</v>
      </c>
      <c r="B4718" s="2" t="str">
        <f ca="1">IFERROR(__xludf.DUMMYFUNCTION("""COMPUTED_VALUE"""),"hold")</f>
        <v>hold</v>
      </c>
      <c r="C4718" s="2" t="str">
        <f ca="1">IFERROR(__xludf.DUMMYFUNCTION("""COMPUTED_VALUE"""),"Everybody")</f>
        <v>Everybody</v>
      </c>
    </row>
    <row r="4719" spans="1:3" x14ac:dyDescent="0.25">
      <c r="A4719" s="2" t="str">
        <f ca="1">IFERROR(__xludf.DUMMYFUNCTION("""COMPUTED_VALUE"""),"everycoin")</f>
        <v>everycoin</v>
      </c>
      <c r="B4719" s="2" t="str">
        <f ca="1">IFERROR(__xludf.DUMMYFUNCTION("""COMPUTED_VALUE"""),"evy")</f>
        <v>evy</v>
      </c>
      <c r="C4719" s="2" t="str">
        <f ca="1">IFERROR(__xludf.DUMMYFUNCTION("""COMPUTED_VALUE"""),"EveryCoin")</f>
        <v>EveryCoin</v>
      </c>
    </row>
    <row r="4720" spans="1:3" x14ac:dyDescent="0.25">
      <c r="A4720" s="2" t="str">
        <f ca="1">IFERROR(__xludf.DUMMYFUNCTION("""COMPUTED_VALUE"""),"every-game")</f>
        <v>every-game</v>
      </c>
      <c r="B4720" s="2" t="str">
        <f ca="1">IFERROR(__xludf.DUMMYFUNCTION("""COMPUTED_VALUE"""),"egame")</f>
        <v>egame</v>
      </c>
      <c r="C4720" s="2" t="str">
        <f ca="1">IFERROR(__xludf.DUMMYFUNCTION("""COMPUTED_VALUE"""),"Every Game")</f>
        <v>Every Game</v>
      </c>
    </row>
    <row r="4721" spans="1:3" x14ac:dyDescent="0.25">
      <c r="A4721" s="2" t="str">
        <f ca="1">IFERROR(__xludf.DUMMYFUNCTION("""COMPUTED_VALUE"""),"everyworld")</f>
        <v>everyworld</v>
      </c>
      <c r="B4721" s="2" t="str">
        <f ca="1">IFERROR(__xludf.DUMMYFUNCTION("""COMPUTED_VALUE"""),"every")</f>
        <v>every</v>
      </c>
      <c r="C4721" s="2" t="str">
        <f ca="1">IFERROR(__xludf.DUMMYFUNCTION("""COMPUTED_VALUE"""),"Everyworld")</f>
        <v>Everyworld</v>
      </c>
    </row>
    <row r="4722" spans="1:3" x14ac:dyDescent="0.25">
      <c r="A4722" s="2" t="str">
        <f ca="1">IFERROR(__xludf.DUMMYFUNCTION("""COMPUTED_VALUE"""),"evil-pepe")</f>
        <v>evil-pepe</v>
      </c>
      <c r="B4722" s="2" t="str">
        <f ca="1">IFERROR(__xludf.DUMMYFUNCTION("""COMPUTED_VALUE"""),"evilpepe")</f>
        <v>evilpepe</v>
      </c>
      <c r="C4722" s="2" t="str">
        <f ca="1">IFERROR(__xludf.DUMMYFUNCTION("""COMPUTED_VALUE"""),"Evil Pepe")</f>
        <v>Evil Pepe</v>
      </c>
    </row>
    <row r="4723" spans="1:3" x14ac:dyDescent="0.25">
      <c r="A4723" s="2" t="str">
        <f ca="1">IFERROR(__xludf.DUMMYFUNCTION("""COMPUTED_VALUE"""),"evin-token")</f>
        <v>evin-token</v>
      </c>
      <c r="B4723" s="2" t="str">
        <f ca="1">IFERROR(__xludf.DUMMYFUNCTION("""COMPUTED_VALUE"""),"evin")</f>
        <v>evin</v>
      </c>
      <c r="C4723" s="2" t="str">
        <f ca="1">IFERROR(__xludf.DUMMYFUNCTION("""COMPUTED_VALUE"""),"Evin Token")</f>
        <v>Evin Token</v>
      </c>
    </row>
    <row r="4724" spans="1:3" x14ac:dyDescent="0.25">
      <c r="A4724" s="2" t="str">
        <f ca="1">IFERROR(__xludf.DUMMYFUNCTION("""COMPUTED_VALUE"""),"evire")</f>
        <v>evire</v>
      </c>
      <c r="B4724" s="2" t="str">
        <f ca="1">IFERROR(__xludf.DUMMYFUNCTION("""COMPUTED_VALUE"""),"evire")</f>
        <v>evire</v>
      </c>
      <c r="C4724" s="2" t="str">
        <f ca="1">IFERROR(__xludf.DUMMYFUNCTION("""COMPUTED_VALUE"""),"Evire")</f>
        <v>Evire</v>
      </c>
    </row>
    <row r="4725" spans="1:3" x14ac:dyDescent="0.25">
      <c r="A4725" s="2" t="str">
        <f ca="1">IFERROR(__xludf.DUMMYFUNCTION("""COMPUTED_VALUE"""),"evmos")</f>
        <v>evmos</v>
      </c>
      <c r="B4725" s="2" t="str">
        <f ca="1">IFERROR(__xludf.DUMMYFUNCTION("""COMPUTED_VALUE"""),"evmos")</f>
        <v>evmos</v>
      </c>
      <c r="C4725" s="2" t="str">
        <f ca="1">IFERROR(__xludf.DUMMYFUNCTION("""COMPUTED_VALUE"""),"Evmos")</f>
        <v>Evmos</v>
      </c>
    </row>
    <row r="4726" spans="1:3" x14ac:dyDescent="0.25">
      <c r="A4726" s="2" t="str">
        <f ca="1">IFERROR(__xludf.DUMMYFUNCTION("""COMPUTED_VALUE"""),"evoload")</f>
        <v>evoload</v>
      </c>
      <c r="B4726" s="2" t="str">
        <f ca="1">IFERROR(__xludf.DUMMYFUNCTION("""COMPUTED_VALUE"""),"evld")</f>
        <v>evld</v>
      </c>
      <c r="C4726" s="2" t="str">
        <f ca="1">IFERROR(__xludf.DUMMYFUNCTION("""COMPUTED_VALUE"""),"Evoload")</f>
        <v>Evoload</v>
      </c>
    </row>
    <row r="4727" spans="1:3" x14ac:dyDescent="0.25">
      <c r="A4727" s="2" t="str">
        <f ca="1">IFERROR(__xludf.DUMMYFUNCTION("""COMPUTED_VALUE"""),"evolve")</f>
        <v>evolve</v>
      </c>
      <c r="B4727" s="2" t="str">
        <f ca="1">IFERROR(__xludf.DUMMYFUNCTION("""COMPUTED_VALUE"""),"$evol")</f>
        <v>$evol</v>
      </c>
      <c r="C4727" s="2" t="str">
        <f ca="1">IFERROR(__xludf.DUMMYFUNCTION("""COMPUTED_VALUE"""),"Evolve")</f>
        <v>Evolve</v>
      </c>
    </row>
    <row r="4728" spans="1:3" x14ac:dyDescent="0.25">
      <c r="A4728" s="2" t="str">
        <f ca="1">IFERROR(__xludf.DUMMYFUNCTION("""COMPUTED_VALUE"""),"evoverses")</f>
        <v>evoverses</v>
      </c>
      <c r="B4728" s="2" t="str">
        <f ca="1">IFERROR(__xludf.DUMMYFUNCTION("""COMPUTED_VALUE"""),"evo")</f>
        <v>evo</v>
      </c>
      <c r="C4728" s="2" t="str">
        <f ca="1">IFERROR(__xludf.DUMMYFUNCTION("""COMPUTED_VALUE"""),"EvoVerses")</f>
        <v>EvoVerses</v>
      </c>
    </row>
    <row r="4729" spans="1:3" x14ac:dyDescent="0.25">
      <c r="A4729" s="2" t="str">
        <f ca="1">IFERROR(__xludf.DUMMYFUNCTION("""COMPUTED_VALUE"""),"evrmore")</f>
        <v>evrmore</v>
      </c>
      <c r="B4729" s="2" t="str">
        <f ca="1">IFERROR(__xludf.DUMMYFUNCTION("""COMPUTED_VALUE"""),"evr")</f>
        <v>evr</v>
      </c>
      <c r="C4729" s="2" t="str">
        <f ca="1">IFERROR(__xludf.DUMMYFUNCTION("""COMPUTED_VALUE"""),"Evrmore")</f>
        <v>Evrmore</v>
      </c>
    </row>
    <row r="4730" spans="1:3" x14ac:dyDescent="0.25">
      <c r="A4730" s="2" t="str">
        <f ca="1">IFERROR(__xludf.DUMMYFUNCTION("""COMPUTED_VALUE"""),"evrynet")</f>
        <v>evrynet</v>
      </c>
      <c r="B4730" s="2" t="str">
        <f ca="1">IFERROR(__xludf.DUMMYFUNCTION("""COMPUTED_VALUE"""),"evry")</f>
        <v>evry</v>
      </c>
      <c r="C4730" s="2" t="str">
        <f ca="1">IFERROR(__xludf.DUMMYFUNCTION("""COMPUTED_VALUE"""),"Evrynet")</f>
        <v>Evrynet</v>
      </c>
    </row>
    <row r="4731" spans="1:3" x14ac:dyDescent="0.25">
      <c r="A4731" s="2" t="str">
        <f ca="1">IFERROR(__xludf.DUMMYFUNCTION("""COMPUTED_VALUE"""),"evulus")</f>
        <v>evulus</v>
      </c>
      <c r="B4731" s="2" t="str">
        <f ca="1">IFERROR(__xludf.DUMMYFUNCTION("""COMPUTED_VALUE"""),"evu")</f>
        <v>evu</v>
      </c>
      <c r="C4731" s="2" t="str">
        <f ca="1">IFERROR(__xludf.DUMMYFUNCTION("""COMPUTED_VALUE"""),"Evulus")</f>
        <v>Evulus</v>
      </c>
    </row>
    <row r="4732" spans="1:3" x14ac:dyDescent="0.25">
      <c r="A4732" s="2" t="str">
        <f ca="1">IFERROR(__xludf.DUMMYFUNCTION("""COMPUTED_VALUE"""),"exa")</f>
        <v>exa</v>
      </c>
      <c r="B4732" s="2" t="str">
        <f ca="1">IFERROR(__xludf.DUMMYFUNCTION("""COMPUTED_VALUE"""),"exa")</f>
        <v>exa</v>
      </c>
      <c r="C4732" s="2" t="str">
        <f ca="1">IFERROR(__xludf.DUMMYFUNCTION("""COMPUTED_VALUE"""),"Exactly Token")</f>
        <v>Exactly Token</v>
      </c>
    </row>
    <row r="4733" spans="1:3" x14ac:dyDescent="0.25">
      <c r="A4733" s="2" t="str">
        <f ca="1">IFERROR(__xludf.DUMMYFUNCTION("""COMPUTED_VALUE"""),"exactly-op")</f>
        <v>exactly-op</v>
      </c>
      <c r="B4733" s="2" t="str">
        <f ca="1">IFERROR(__xludf.DUMMYFUNCTION("""COMPUTED_VALUE"""),"exaop")</f>
        <v>exaop</v>
      </c>
      <c r="C4733" s="2" t="str">
        <f ca="1">IFERROR(__xludf.DUMMYFUNCTION("""COMPUTED_VALUE"""),"Exactly Optimism")</f>
        <v>Exactly Optimism</v>
      </c>
    </row>
    <row r="4734" spans="1:3" x14ac:dyDescent="0.25">
      <c r="A4734" s="2" t="str">
        <f ca="1">IFERROR(__xludf.DUMMYFUNCTION("""COMPUTED_VALUE"""),"exactly-usdc")</f>
        <v>exactly-usdc</v>
      </c>
      <c r="B4734" s="2" t="str">
        <f ca="1">IFERROR(__xludf.DUMMYFUNCTION("""COMPUTED_VALUE"""),"exausdc.e")</f>
        <v>exausdc.e</v>
      </c>
      <c r="C4734" s="2" t="str">
        <f ca="1">IFERROR(__xludf.DUMMYFUNCTION("""COMPUTED_VALUE"""),"Exactly USD.e Coin")</f>
        <v>Exactly USD.e Coin</v>
      </c>
    </row>
    <row r="4735" spans="1:3" x14ac:dyDescent="0.25">
      <c r="A4735" s="2" t="str">
        <f ca="1">IFERROR(__xludf.DUMMYFUNCTION("""COMPUTED_VALUE"""),"exactly-usd-coin")</f>
        <v>exactly-usd-coin</v>
      </c>
      <c r="B4735" s="2" t="str">
        <f ca="1">IFERROR(__xludf.DUMMYFUNCTION("""COMPUTED_VALUE"""),"exausdc")</f>
        <v>exausdc</v>
      </c>
      <c r="C4735" s="2" t="str">
        <f ca="1">IFERROR(__xludf.DUMMYFUNCTION("""COMPUTED_VALUE"""),"Exactly USD Coin")</f>
        <v>Exactly USD Coin</v>
      </c>
    </row>
    <row r="4736" spans="1:3" x14ac:dyDescent="0.25">
      <c r="A4736" s="2" t="str">
        <f ca="1">IFERROR(__xludf.DUMMYFUNCTION("""COMPUTED_VALUE"""),"exactly-wbtc")</f>
        <v>exactly-wbtc</v>
      </c>
      <c r="B4736" s="2" t="str">
        <f ca="1">IFERROR(__xludf.DUMMYFUNCTION("""COMPUTED_VALUE"""),"exawbtc")</f>
        <v>exawbtc</v>
      </c>
      <c r="C4736" s="2" t="str">
        <f ca="1">IFERROR(__xludf.DUMMYFUNCTION("""COMPUTED_VALUE"""),"Exactly WBTC")</f>
        <v>Exactly WBTC</v>
      </c>
    </row>
    <row r="4737" spans="1:3" x14ac:dyDescent="0.25">
      <c r="A4737" s="2" t="str">
        <f ca="1">IFERROR(__xludf.DUMMYFUNCTION("""COMPUTED_VALUE"""),"exactly-weth")</f>
        <v>exactly-weth</v>
      </c>
      <c r="B4737" s="2" t="str">
        <f ca="1">IFERROR(__xludf.DUMMYFUNCTION("""COMPUTED_VALUE"""),"exaweth")</f>
        <v>exaweth</v>
      </c>
      <c r="C4737" s="2" t="str">
        <f ca="1">IFERROR(__xludf.DUMMYFUNCTION("""COMPUTED_VALUE"""),"Exactly Wrapped Ether")</f>
        <v>Exactly Wrapped Ether</v>
      </c>
    </row>
    <row r="4738" spans="1:3" x14ac:dyDescent="0.25">
      <c r="A4738" s="2" t="str">
        <f ca="1">IFERROR(__xludf.DUMMYFUNCTION("""COMPUTED_VALUE"""),"exactly-wsteth")</f>
        <v>exactly-wsteth</v>
      </c>
      <c r="B4738" s="2" t="str">
        <f ca="1">IFERROR(__xludf.DUMMYFUNCTION("""COMPUTED_VALUE"""),"exawsteth")</f>
        <v>exawsteth</v>
      </c>
      <c r="C4738" s="2" t="str">
        <f ca="1">IFERROR(__xludf.DUMMYFUNCTION("""COMPUTED_VALUE"""),"Exactly Wrapped stETH")</f>
        <v>Exactly Wrapped stETH</v>
      </c>
    </row>
    <row r="4739" spans="1:3" x14ac:dyDescent="0.25">
      <c r="A4739" s="2" t="str">
        <f ca="1">IFERROR(__xludf.DUMMYFUNCTION("""COMPUTED_VALUE"""),"exatech")</f>
        <v>exatech</v>
      </c>
      <c r="B4739" s="2" t="str">
        <f ca="1">IFERROR(__xludf.DUMMYFUNCTION("""COMPUTED_VALUE"""),"ext")</f>
        <v>ext</v>
      </c>
      <c r="C4739" s="2" t="str">
        <f ca="1">IFERROR(__xludf.DUMMYFUNCTION("""COMPUTED_VALUE"""),"Exatech")</f>
        <v>Exatech</v>
      </c>
    </row>
    <row r="4740" spans="1:3" x14ac:dyDescent="0.25">
      <c r="A4740" s="2" t="str">
        <f ca="1">IFERROR(__xludf.DUMMYFUNCTION("""COMPUTED_VALUE"""),"excalibur")</f>
        <v>excalibur</v>
      </c>
      <c r="B4740" s="2" t="str">
        <f ca="1">IFERROR(__xludf.DUMMYFUNCTION("""COMPUTED_VALUE"""),"exc")</f>
        <v>exc</v>
      </c>
      <c r="C4740" s="2" t="str">
        <f ca="1">IFERROR(__xludf.DUMMYFUNCTION("""COMPUTED_VALUE"""),"Excalibur")</f>
        <v>Excalibur</v>
      </c>
    </row>
    <row r="4741" spans="1:3" x14ac:dyDescent="0.25">
      <c r="A4741" s="2" t="str">
        <f ca="1">IFERROR(__xludf.DUMMYFUNCTION("""COMPUTED_VALUE"""),"excelon")</f>
        <v>excelon</v>
      </c>
      <c r="B4741" s="2" t="str">
        <f ca="1">IFERROR(__xludf.DUMMYFUNCTION("""COMPUTED_VALUE"""),"xlon")</f>
        <v>xlon</v>
      </c>
      <c r="C4741" s="2" t="str">
        <f ca="1">IFERROR(__xludf.DUMMYFUNCTION("""COMPUTED_VALUE"""),"Excelon")</f>
        <v>Excelon</v>
      </c>
    </row>
    <row r="4742" spans="1:3" x14ac:dyDescent="0.25">
      <c r="A4742" s="2" t="str">
        <f ca="1">IFERROR(__xludf.DUMMYFUNCTION("""COMPUTED_VALUE"""),"exchangeart")</f>
        <v>exchangeart</v>
      </c>
      <c r="B4742" s="2" t="str">
        <f ca="1">IFERROR(__xludf.DUMMYFUNCTION("""COMPUTED_VALUE"""),"art")</f>
        <v>art</v>
      </c>
      <c r="C4742" s="2" t="str">
        <f ca="1">IFERROR(__xludf.DUMMYFUNCTION("""COMPUTED_VALUE"""),"ExchangeArt")</f>
        <v>ExchangeArt</v>
      </c>
    </row>
    <row r="4743" spans="1:3" x14ac:dyDescent="0.25">
      <c r="A4743" s="2" t="str">
        <f ca="1">IFERROR(__xludf.DUMMYFUNCTION("""COMPUTED_VALUE"""),"exchangecoin")</f>
        <v>exchangecoin</v>
      </c>
      <c r="B4743" s="2" t="str">
        <f ca="1">IFERROR(__xludf.DUMMYFUNCTION("""COMPUTED_VALUE"""),"excc")</f>
        <v>excc</v>
      </c>
      <c r="C4743" s="2" t="str">
        <f ca="1">IFERROR(__xludf.DUMMYFUNCTION("""COMPUTED_VALUE"""),"ExchangeCoin")</f>
        <v>ExchangeCoin</v>
      </c>
    </row>
    <row r="4744" spans="1:3" x14ac:dyDescent="0.25">
      <c r="A4744" s="2" t="str">
        <f ca="1">IFERROR(__xludf.DUMMYFUNCTION("""COMPUTED_VALUE"""),"exchange-genesis-ethlas-medium")</f>
        <v>exchange-genesis-ethlas-medium</v>
      </c>
      <c r="B4744" s="2" t="str">
        <f ca="1">IFERROR(__xludf.DUMMYFUNCTION("""COMPUTED_VALUE"""),"xgem")</f>
        <v>xgem</v>
      </c>
      <c r="C4744" s="2" t="str">
        <f ca="1">IFERROR(__xludf.DUMMYFUNCTION("""COMPUTED_VALUE"""),"Exchange Genesis Ethlas Medium")</f>
        <v>Exchange Genesis Ethlas Medium</v>
      </c>
    </row>
    <row r="4745" spans="1:3" x14ac:dyDescent="0.25">
      <c r="A4745" s="2" t="str">
        <f ca="1">IFERROR(__xludf.DUMMYFUNCTION("""COMPUTED_VALUE"""),"exeedme")</f>
        <v>exeedme</v>
      </c>
      <c r="B4745" s="2" t="str">
        <f ca="1">IFERROR(__xludf.DUMMYFUNCTION("""COMPUTED_VALUE"""),"xed")</f>
        <v>xed</v>
      </c>
      <c r="C4745" s="2" t="str">
        <f ca="1">IFERROR(__xludf.DUMMYFUNCTION("""COMPUTED_VALUE"""),"Exeedme")</f>
        <v>Exeedme</v>
      </c>
    </row>
    <row r="4746" spans="1:3" x14ac:dyDescent="0.25">
      <c r="A4746" s="2" t="str">
        <f ca="1">IFERROR(__xludf.DUMMYFUNCTION("""COMPUTED_VALUE"""),"exgo")</f>
        <v>exgo</v>
      </c>
      <c r="B4746" s="2" t="str">
        <f ca="1">IFERROR(__xludf.DUMMYFUNCTION("""COMPUTED_VALUE"""),"exgo")</f>
        <v>exgo</v>
      </c>
      <c r="C4746" s="2" t="str">
        <f ca="1">IFERROR(__xludf.DUMMYFUNCTION("""COMPUTED_VALUE"""),"Exgoland")</f>
        <v>Exgoland</v>
      </c>
    </row>
    <row r="4747" spans="1:3" x14ac:dyDescent="0.25">
      <c r="A4747" s="2" t="str">
        <f ca="1">IFERROR(__xludf.DUMMYFUNCTION("""COMPUTED_VALUE"""),"exit-designer-token")</f>
        <v>exit-designer-token</v>
      </c>
      <c r="B4747" s="2" t="str">
        <f ca="1">IFERROR(__xludf.DUMMYFUNCTION("""COMPUTED_VALUE"""),"exit")</f>
        <v>exit</v>
      </c>
      <c r="C4747" s="2" t="str">
        <f ca="1">IFERROR(__xludf.DUMMYFUNCTION("""COMPUTED_VALUE"""),"EXIT Designer Token")</f>
        <v>EXIT Designer Token</v>
      </c>
    </row>
    <row r="4748" spans="1:3" x14ac:dyDescent="0.25">
      <c r="A4748" s="2" t="str">
        <f ca="1">IFERROR(__xludf.DUMMYFUNCTION("""COMPUTED_VALUE"""),"exmo-coin")</f>
        <v>exmo-coin</v>
      </c>
      <c r="B4748" s="2" t="str">
        <f ca="1">IFERROR(__xludf.DUMMYFUNCTION("""COMPUTED_VALUE"""),"exm")</f>
        <v>exm</v>
      </c>
      <c r="C4748" s="2" t="str">
        <f ca="1">IFERROR(__xludf.DUMMYFUNCTION("""COMPUTED_VALUE"""),"EXMO Coin")</f>
        <v>EXMO Coin</v>
      </c>
    </row>
    <row r="4749" spans="1:3" x14ac:dyDescent="0.25">
      <c r="A4749" s="2" t="str">
        <f ca="1">IFERROR(__xludf.DUMMYFUNCTION("""COMPUTED_VALUE"""),"exnetwork-token")</f>
        <v>exnetwork-token</v>
      </c>
      <c r="B4749" s="2" t="str">
        <f ca="1">IFERROR(__xludf.DUMMYFUNCTION("""COMPUTED_VALUE"""),"exnt")</f>
        <v>exnt</v>
      </c>
      <c r="C4749" s="2" t="str">
        <f ca="1">IFERROR(__xludf.DUMMYFUNCTION("""COMPUTED_VALUE"""),"ExNetwork")</f>
        <v>ExNetwork</v>
      </c>
    </row>
    <row r="4750" spans="1:3" x14ac:dyDescent="0.25">
      <c r="A4750" s="2" t="str">
        <f ca="1">IFERROR(__xludf.DUMMYFUNCTION("""COMPUTED_VALUE"""),"exohood")</f>
        <v>exohood</v>
      </c>
      <c r="B4750" s="2" t="str">
        <f ca="1">IFERROR(__xludf.DUMMYFUNCTION("""COMPUTED_VALUE"""),"exo")</f>
        <v>exo</v>
      </c>
      <c r="C4750" s="2" t="str">
        <f ca="1">IFERROR(__xludf.DUMMYFUNCTION("""COMPUTED_VALUE"""),"Exohood")</f>
        <v>Exohood</v>
      </c>
    </row>
    <row r="4751" spans="1:3" x14ac:dyDescent="0.25">
      <c r="A4751" s="2" t="str">
        <f ca="1">IFERROR(__xludf.DUMMYFUNCTION("""COMPUTED_VALUE"""),"exorde")</f>
        <v>exorde</v>
      </c>
      <c r="B4751" s="2" t="str">
        <f ca="1">IFERROR(__xludf.DUMMYFUNCTION("""COMPUTED_VALUE"""),"exd")</f>
        <v>exd</v>
      </c>
      <c r="C4751" s="2" t="str">
        <f ca="1">IFERROR(__xludf.DUMMYFUNCTION("""COMPUTED_VALUE"""),"Exorde")</f>
        <v>Exorde</v>
      </c>
    </row>
    <row r="4752" spans="1:3" x14ac:dyDescent="0.25">
      <c r="A4752" s="2" t="str">
        <f ca="1">IFERROR(__xludf.DUMMYFUNCTION("""COMPUTED_VALUE"""),"exosama-network")</f>
        <v>exosama-network</v>
      </c>
      <c r="B4752" s="2" t="str">
        <f ca="1">IFERROR(__xludf.DUMMYFUNCTION("""COMPUTED_VALUE"""),"sama")</f>
        <v>sama</v>
      </c>
      <c r="C4752" s="2" t="str">
        <f ca="1">IFERROR(__xludf.DUMMYFUNCTION("""COMPUTED_VALUE"""),"Moonsama")</f>
        <v>Moonsama</v>
      </c>
    </row>
    <row r="4753" spans="1:3" x14ac:dyDescent="0.25">
      <c r="A4753" s="2" t="str">
        <f ca="1">IFERROR(__xludf.DUMMYFUNCTION("""COMPUTED_VALUE"""),"expanse")</f>
        <v>expanse</v>
      </c>
      <c r="B4753" s="2" t="str">
        <f ca="1">IFERROR(__xludf.DUMMYFUNCTION("""COMPUTED_VALUE"""),"exp")</f>
        <v>exp</v>
      </c>
      <c r="C4753" s="2" t="str">
        <f ca="1">IFERROR(__xludf.DUMMYFUNCTION("""COMPUTED_VALUE"""),"Expanse")</f>
        <v>Expanse</v>
      </c>
    </row>
    <row r="4754" spans="1:3" x14ac:dyDescent="0.25">
      <c r="A4754" s="2" t="str">
        <f ca="1">IFERROR(__xludf.DUMMYFUNCTION("""COMPUTED_VALUE"""),"experience-chain")</f>
        <v>experience-chain</v>
      </c>
      <c r="B4754" s="2" t="str">
        <f ca="1">IFERROR(__xludf.DUMMYFUNCTION("""COMPUTED_VALUE"""),"xpc")</f>
        <v>xpc</v>
      </c>
      <c r="C4754" s="2" t="str">
        <f ca="1">IFERROR(__xludf.DUMMYFUNCTION("""COMPUTED_VALUE"""),"eXPerience Chain")</f>
        <v>eXPerience Chain</v>
      </c>
    </row>
    <row r="4755" spans="1:3" x14ac:dyDescent="0.25">
      <c r="A4755" s="2" t="str">
        <f ca="1">IFERROR(__xludf.DUMMYFUNCTION("""COMPUTED_VALUE"""),"experty-wisdom-token")</f>
        <v>experty-wisdom-token</v>
      </c>
      <c r="B4755" s="2" t="str">
        <f ca="1">IFERROR(__xludf.DUMMYFUNCTION("""COMPUTED_VALUE"""),"wis")</f>
        <v>wis</v>
      </c>
      <c r="C4755" s="2" t="str">
        <f ca="1">IFERROR(__xludf.DUMMYFUNCTION("""COMPUTED_VALUE"""),"Experty Wisdom")</f>
        <v>Experty Wisdom</v>
      </c>
    </row>
    <row r="4756" spans="1:3" x14ac:dyDescent="0.25">
      <c r="A4756" s="2" t="str">
        <f ca="1">IFERROR(__xludf.DUMMYFUNCTION("""COMPUTED_VALUE"""),"export-mortos-platform")</f>
        <v>export-mortos-platform</v>
      </c>
      <c r="B4756" s="2" t="str">
        <f ca="1">IFERROR(__xludf.DUMMYFUNCTION("""COMPUTED_VALUE"""),"emp")</f>
        <v>emp</v>
      </c>
      <c r="C4756" s="2" t="str">
        <f ca="1">IFERROR(__xludf.DUMMYFUNCTION("""COMPUTED_VALUE"""),"Export Motors Platform")</f>
        <v>Export Motors Platform</v>
      </c>
    </row>
    <row r="4757" spans="1:3" x14ac:dyDescent="0.25">
      <c r="A4757" s="2" t="str">
        <f ca="1">IFERROR(__xludf.DUMMYFUNCTION("""COMPUTED_VALUE"""),"extradna")</f>
        <v>extradna</v>
      </c>
      <c r="B4757" s="2" t="str">
        <f ca="1">IFERROR(__xludf.DUMMYFUNCTION("""COMPUTED_VALUE"""),"xdna")</f>
        <v>xdna</v>
      </c>
      <c r="C4757" s="2" t="str">
        <f ca="1">IFERROR(__xludf.DUMMYFUNCTION("""COMPUTED_VALUE"""),"extraDNA")</f>
        <v>extraDNA</v>
      </c>
    </row>
    <row r="4758" spans="1:3" x14ac:dyDescent="0.25">
      <c r="A4758" s="2" t="str">
        <f ca="1">IFERROR(__xludf.DUMMYFUNCTION("""COMPUTED_VALUE"""),"extra-finance")</f>
        <v>extra-finance</v>
      </c>
      <c r="B4758" s="2" t="str">
        <f ca="1">IFERROR(__xludf.DUMMYFUNCTION("""COMPUTED_VALUE"""),"extra")</f>
        <v>extra</v>
      </c>
      <c r="C4758" s="2" t="str">
        <f ca="1">IFERROR(__xludf.DUMMYFUNCTION("""COMPUTED_VALUE"""),"Extra Finance")</f>
        <v>Extra Finance</v>
      </c>
    </row>
    <row r="4759" spans="1:3" x14ac:dyDescent="0.25">
      <c r="A4759" s="2" t="str">
        <f ca="1">IFERROR(__xludf.DUMMYFUNCTION("""COMPUTED_VALUE"""),"extreme")</f>
        <v>extreme</v>
      </c>
      <c r="B4759" s="2" t="str">
        <f ca="1">IFERROR(__xludf.DUMMYFUNCTION("""COMPUTED_VALUE"""),"xtrm")</f>
        <v>xtrm</v>
      </c>
      <c r="C4759" s="2" t="str">
        <f ca="1">IFERROR(__xludf.DUMMYFUNCTION("""COMPUTED_VALUE"""),"Extreme")</f>
        <v>Extreme</v>
      </c>
    </row>
    <row r="4760" spans="1:3" x14ac:dyDescent="0.25">
      <c r="A4760" s="2" t="str">
        <f ca="1">IFERROR(__xludf.DUMMYFUNCTION("""COMPUTED_VALUE"""),"exverse")</f>
        <v>exverse</v>
      </c>
      <c r="B4760" s="2" t="str">
        <f ca="1">IFERROR(__xludf.DUMMYFUNCTION("""COMPUTED_VALUE"""),"exvg")</f>
        <v>exvg</v>
      </c>
      <c r="C4760" s="2" t="str">
        <f ca="1">IFERROR(__xludf.DUMMYFUNCTION("""COMPUTED_VALUE"""),"Exverse")</f>
        <v>Exverse</v>
      </c>
    </row>
    <row r="4761" spans="1:3" x14ac:dyDescent="0.25">
      <c r="A4761" s="2" t="str">
        <f ca="1">IFERROR(__xludf.DUMMYFUNCTION("""COMPUTED_VALUE"""),"exynos-protocol")</f>
        <v>exynos-protocol</v>
      </c>
      <c r="B4761" s="2" t="str">
        <f ca="1">IFERROR(__xludf.DUMMYFUNCTION("""COMPUTED_VALUE"""),"xyn")</f>
        <v>xyn</v>
      </c>
      <c r="C4761" s="2" t="str">
        <f ca="1">IFERROR(__xludf.DUMMYFUNCTION("""COMPUTED_VALUE"""),"Exynos Protocol")</f>
        <v>Exynos Protocol</v>
      </c>
    </row>
    <row r="4762" spans="1:3" x14ac:dyDescent="0.25">
      <c r="A4762" s="2" t="str">
        <f ca="1">IFERROR(__xludf.DUMMYFUNCTION("""COMPUTED_VALUE"""),"eyebot")</f>
        <v>eyebot</v>
      </c>
      <c r="B4762" s="2" t="str">
        <f ca="1">IFERROR(__xludf.DUMMYFUNCTION("""COMPUTED_VALUE"""),"eyebot")</f>
        <v>eyebot</v>
      </c>
      <c r="C4762" s="2" t="str">
        <f ca="1">IFERROR(__xludf.DUMMYFUNCTION("""COMPUTED_VALUE"""),"Eyebot")</f>
        <v>Eyebot</v>
      </c>
    </row>
    <row r="4763" spans="1:3" x14ac:dyDescent="0.25">
      <c r="A4763" s="2" t="str">
        <f ca="1">IFERROR(__xludf.DUMMYFUNCTION("""COMPUTED_VALUE"""),"eye-earn")</f>
        <v>eye-earn</v>
      </c>
      <c r="B4763" s="2" t="str">
        <f ca="1">IFERROR(__xludf.DUMMYFUNCTION("""COMPUTED_VALUE"""),"smilek")</f>
        <v>smilek</v>
      </c>
      <c r="C4763" s="2" t="str">
        <f ca="1">IFERROR(__xludf.DUMMYFUNCTION("""COMPUTED_VALUE"""),"Smilek")</f>
        <v>Smilek</v>
      </c>
    </row>
    <row r="4764" spans="1:3" x14ac:dyDescent="0.25">
      <c r="A4764" s="2" t="str">
        <f ca="1">IFERROR(__xludf.DUMMYFUNCTION("""COMPUTED_VALUE"""),"eyes-protocol")</f>
        <v>eyes-protocol</v>
      </c>
      <c r="B4764" s="2" t="str">
        <f ca="1">IFERROR(__xludf.DUMMYFUNCTION("""COMPUTED_VALUE"""),"eyes")</f>
        <v>eyes</v>
      </c>
      <c r="C4764" s="2" t="str">
        <f ca="1">IFERROR(__xludf.DUMMYFUNCTION("""COMPUTED_VALUE"""),"EYES Protocol")</f>
        <v>EYES Protocol</v>
      </c>
    </row>
    <row r="4765" spans="1:3" x14ac:dyDescent="0.25">
      <c r="A4765" s="2" t="str">
        <f ca="1">IFERROR(__xludf.DUMMYFUNCTION("""COMPUTED_VALUE"""),"eyeverse")</f>
        <v>eyeverse</v>
      </c>
      <c r="B4765" s="2" t="str">
        <f ca="1">IFERROR(__xludf.DUMMYFUNCTION("""COMPUTED_VALUE"""),"eye")</f>
        <v>eye</v>
      </c>
      <c r="C4765" s="2" t="str">
        <f ca="1">IFERROR(__xludf.DUMMYFUNCTION("""COMPUTED_VALUE"""),"Eyeverse")</f>
        <v>Eyeverse</v>
      </c>
    </row>
    <row r="4766" spans="1:3" x14ac:dyDescent="0.25">
      <c r="A4766" s="2" t="str">
        <f ca="1">IFERROR(__xludf.DUMMYFUNCTION("""COMPUTED_VALUE"""),"ezillion")</f>
        <v>ezillion</v>
      </c>
      <c r="B4766" s="2" t="str">
        <f ca="1">IFERROR(__xludf.DUMMYFUNCTION("""COMPUTED_VALUE"""),"ezi")</f>
        <v>ezi</v>
      </c>
      <c r="C4766" s="2" t="str">
        <f ca="1">IFERROR(__xludf.DUMMYFUNCTION("""COMPUTED_VALUE"""),"Ezillion")</f>
        <v>Ezillion</v>
      </c>
    </row>
    <row r="4767" spans="1:3" x14ac:dyDescent="0.25">
      <c r="A4767" s="2" t="str">
        <f ca="1">IFERROR(__xludf.DUMMYFUNCTION("""COMPUTED_VALUE"""),"ezkalibur")</f>
        <v>ezkalibur</v>
      </c>
      <c r="B4767" s="2" t="str">
        <f ca="1">IFERROR(__xludf.DUMMYFUNCTION("""COMPUTED_VALUE"""),"sword")</f>
        <v>sword</v>
      </c>
      <c r="C4767" s="2" t="str">
        <f ca="1">IFERROR(__xludf.DUMMYFUNCTION("""COMPUTED_VALUE"""),"eZKalibur")</f>
        <v>eZKalibur</v>
      </c>
    </row>
    <row r="4768" spans="1:3" x14ac:dyDescent="0.25">
      <c r="A4768" s="2" t="str">
        <f ca="1">IFERROR(__xludf.DUMMYFUNCTION("""COMPUTED_VALUE"""),"ez-pepe")</f>
        <v>ez-pepe</v>
      </c>
      <c r="B4768" s="2" t="str">
        <f ca="1">IFERROR(__xludf.DUMMYFUNCTION("""COMPUTED_VALUE"""),"ez")</f>
        <v>ez</v>
      </c>
      <c r="C4768" s="2" t="str">
        <f ca="1">IFERROR(__xludf.DUMMYFUNCTION("""COMPUTED_VALUE"""),"EZ Pepe")</f>
        <v>EZ Pepe</v>
      </c>
    </row>
    <row r="4769" spans="1:3" x14ac:dyDescent="0.25">
      <c r="A4769" s="2" t="str">
        <f ca="1">IFERROR(__xludf.DUMMYFUNCTION("""COMPUTED_VALUE"""),"ezswap-protocol")</f>
        <v>ezswap-protocol</v>
      </c>
      <c r="B4769" s="2" t="str">
        <f ca="1">IFERROR(__xludf.DUMMYFUNCTION("""COMPUTED_VALUE"""),"ezswap")</f>
        <v>ezswap</v>
      </c>
      <c r="C4769" s="2" t="str">
        <f ca="1">IFERROR(__xludf.DUMMYFUNCTION("""COMPUTED_VALUE"""),"EZswap Protocol")</f>
        <v>EZswap Protocol</v>
      </c>
    </row>
    <row r="4770" spans="1:3" x14ac:dyDescent="0.25">
      <c r="A4770" s="2" t="str">
        <f ca="1">IFERROR(__xludf.DUMMYFUNCTION("""COMPUTED_VALUE"""),"fable-of-the-dragon")</f>
        <v>fable-of-the-dragon</v>
      </c>
      <c r="B4770" s="2" t="str">
        <f ca="1">IFERROR(__xludf.DUMMYFUNCTION("""COMPUTED_VALUE"""),"tyrant")</f>
        <v>tyrant</v>
      </c>
      <c r="C4770" s="2" t="str">
        <f ca="1">IFERROR(__xludf.DUMMYFUNCTION("""COMPUTED_VALUE"""),"Fable Of The Dragon")</f>
        <v>Fable Of The Dragon</v>
      </c>
    </row>
    <row r="4771" spans="1:3" x14ac:dyDescent="0.25">
      <c r="A4771" s="2" t="str">
        <f ca="1">IFERROR(__xludf.DUMMYFUNCTION("""COMPUTED_VALUE"""),"fabric")</f>
        <v>fabric</v>
      </c>
      <c r="B4771" s="2" t="str">
        <f ca="1">IFERROR(__xludf.DUMMYFUNCTION("""COMPUTED_VALUE"""),"fab")</f>
        <v>fab</v>
      </c>
      <c r="C4771" s="2" t="str">
        <f ca="1">IFERROR(__xludf.DUMMYFUNCTION("""COMPUTED_VALUE"""),"Fabric")</f>
        <v>Fabric</v>
      </c>
    </row>
    <row r="4772" spans="1:3" x14ac:dyDescent="0.25">
      <c r="A4772" s="2" t="str">
        <f ca="1">IFERROR(__xludf.DUMMYFUNCTION("""COMPUTED_VALUE"""),"fabs")</f>
        <v>fabs</v>
      </c>
      <c r="B4772" s="2" t="str">
        <f ca="1">IFERROR(__xludf.DUMMYFUNCTION("""COMPUTED_VALUE"""),"fabs")</f>
        <v>fabs</v>
      </c>
      <c r="C4772" s="2" t="str">
        <f ca="1">IFERROR(__xludf.DUMMYFUNCTION("""COMPUTED_VALUE"""),"Fabs")</f>
        <v>Fabs</v>
      </c>
    </row>
    <row r="4773" spans="1:3" x14ac:dyDescent="0.25">
      <c r="A4773" s="2" t="str">
        <f ca="1">IFERROR(__xludf.DUMMYFUNCTION("""COMPUTED_VALUE"""),"fabwelt")</f>
        <v>fabwelt</v>
      </c>
      <c r="B4773" s="2" t="str">
        <f ca="1">IFERROR(__xludf.DUMMYFUNCTION("""COMPUTED_VALUE"""),"welt")</f>
        <v>welt</v>
      </c>
      <c r="C4773" s="2" t="str">
        <f ca="1">IFERROR(__xludf.DUMMYFUNCTION("""COMPUTED_VALUE"""),"Fabwelt")</f>
        <v>Fabwelt</v>
      </c>
    </row>
    <row r="4774" spans="1:3" x14ac:dyDescent="0.25">
      <c r="A4774" s="2" t="str">
        <f ca="1">IFERROR(__xludf.DUMMYFUNCTION("""COMPUTED_VALUE"""),"facebook-tokenized-stock-defichain")</f>
        <v>facebook-tokenized-stock-defichain</v>
      </c>
      <c r="B4774" s="2" t="str">
        <f ca="1">IFERROR(__xludf.DUMMYFUNCTION("""COMPUTED_VALUE"""),"dfb")</f>
        <v>dfb</v>
      </c>
      <c r="C4774" s="2" t="str">
        <f ca="1">IFERROR(__xludf.DUMMYFUNCTION("""COMPUTED_VALUE"""),"Facebook Tokenized Stock Defichain")</f>
        <v>Facebook Tokenized Stock Defichain</v>
      </c>
    </row>
    <row r="4775" spans="1:3" x14ac:dyDescent="0.25">
      <c r="A4775" s="2" t="str">
        <f ca="1">IFERROR(__xludf.DUMMYFUNCTION("""COMPUTED_VALUE"""),"facedao")</f>
        <v>facedao</v>
      </c>
      <c r="B4775" s="2" t="str">
        <f ca="1">IFERROR(__xludf.DUMMYFUNCTION("""COMPUTED_VALUE"""),"face")</f>
        <v>face</v>
      </c>
      <c r="C4775" s="2" t="str">
        <f ca="1">IFERROR(__xludf.DUMMYFUNCTION("""COMPUTED_VALUE"""),"FaceDAO")</f>
        <v>FaceDAO</v>
      </c>
    </row>
    <row r="4776" spans="1:3" x14ac:dyDescent="0.25">
      <c r="A4776" s="2" t="str">
        <f ca="1">IFERROR(__xludf.DUMMYFUNCTION("""COMPUTED_VALUE"""),"fact0rn")</f>
        <v>fact0rn</v>
      </c>
      <c r="B4776" s="2" t="str">
        <f ca="1">IFERROR(__xludf.DUMMYFUNCTION("""COMPUTED_VALUE"""),"fact")</f>
        <v>fact</v>
      </c>
      <c r="C4776" s="2" t="str">
        <f ca="1">IFERROR(__xludf.DUMMYFUNCTION("""COMPUTED_VALUE"""),"Fact0rn")</f>
        <v>Fact0rn</v>
      </c>
    </row>
    <row r="4777" spans="1:3" x14ac:dyDescent="0.25">
      <c r="A4777" s="2" t="str">
        <f ca="1">IFERROR(__xludf.DUMMYFUNCTION("""COMPUTED_VALUE"""),"factor")</f>
        <v>factor</v>
      </c>
      <c r="B4777" s="2" t="str">
        <f ca="1">IFERROR(__xludf.DUMMYFUNCTION("""COMPUTED_VALUE"""),"fctr")</f>
        <v>fctr</v>
      </c>
      <c r="C4777" s="2" t="str">
        <f ca="1">IFERROR(__xludf.DUMMYFUNCTION("""COMPUTED_VALUE"""),"FactorDAO")</f>
        <v>FactorDAO</v>
      </c>
    </row>
    <row r="4778" spans="1:3" x14ac:dyDescent="0.25">
      <c r="A4778" s="2" t="str">
        <f ca="1">IFERROR(__xludf.DUMMYFUNCTION("""COMPUTED_VALUE"""),"facts")</f>
        <v>facts</v>
      </c>
      <c r="B4778" s="2" t="str">
        <f ca="1">IFERROR(__xludf.DUMMYFUNCTION("""COMPUTED_VALUE"""),"bkc")</f>
        <v>bkc</v>
      </c>
      <c r="C4778" s="2" t="str">
        <f ca="1">IFERROR(__xludf.DUMMYFUNCTION("""COMPUTED_VALUE"""),"FACTS")</f>
        <v>FACTS</v>
      </c>
    </row>
    <row r="4779" spans="1:3" x14ac:dyDescent="0.25">
      <c r="A4779" s="2" t="str">
        <f ca="1">IFERROR(__xludf.DUMMYFUNCTION("""COMPUTED_VALUE"""),"fade-wallet-token")</f>
        <v>fade-wallet-token</v>
      </c>
      <c r="B4779" s="2" t="str">
        <f ca="1">IFERROR(__xludf.DUMMYFUNCTION("""COMPUTED_VALUE"""),"fwt")</f>
        <v>fwt</v>
      </c>
      <c r="C4779" s="2" t="str">
        <f ca="1">IFERROR(__xludf.DUMMYFUNCTION("""COMPUTED_VALUE"""),"Fade Wallet Token")</f>
        <v>Fade Wallet Token</v>
      </c>
    </row>
    <row r="4780" spans="1:3" x14ac:dyDescent="0.25">
      <c r="A4780" s="2" t="str">
        <f ca="1">IFERROR(__xludf.DUMMYFUNCTION("""COMPUTED_VALUE"""),"fafy-token")</f>
        <v>fafy-token</v>
      </c>
      <c r="B4780" s="2" t="str">
        <f ca="1">IFERROR(__xludf.DUMMYFUNCTION("""COMPUTED_VALUE"""),"fafy")</f>
        <v>fafy</v>
      </c>
      <c r="C4780" s="2" t="str">
        <f ca="1">IFERROR(__xludf.DUMMYFUNCTION("""COMPUTED_VALUE"""),"Fafy Token")</f>
        <v>Fafy Token</v>
      </c>
    </row>
    <row r="4781" spans="1:3" x14ac:dyDescent="0.25">
      <c r="A4781" s="2" t="str">
        <f ca="1">IFERROR(__xludf.DUMMYFUNCTION("""COMPUTED_VALUE"""),"fair-berc20")</f>
        <v>fair-berc20</v>
      </c>
      <c r="B4781" s="2" t="str">
        <f ca="1">IFERROR(__xludf.DUMMYFUNCTION("""COMPUTED_VALUE"""),"berc")</f>
        <v>berc</v>
      </c>
      <c r="C4781" s="2" t="str">
        <f ca="1">IFERROR(__xludf.DUMMYFUNCTION("""COMPUTED_VALUE"""),"Fair BERC20")</f>
        <v>Fair BERC20</v>
      </c>
    </row>
    <row r="4782" spans="1:3" x14ac:dyDescent="0.25">
      <c r="A4782" s="2" t="str">
        <f ca="1">IFERROR(__xludf.DUMMYFUNCTION("""COMPUTED_VALUE"""),"fairerc20")</f>
        <v>fairerc20</v>
      </c>
      <c r="B4782" s="2" t="str">
        <f ca="1">IFERROR(__xludf.DUMMYFUNCTION("""COMPUTED_VALUE"""),"ferc")</f>
        <v>ferc</v>
      </c>
      <c r="C4782" s="2" t="str">
        <f ca="1">IFERROR(__xludf.DUMMYFUNCTION("""COMPUTED_VALUE"""),"FairERC20")</f>
        <v>FairERC20</v>
      </c>
    </row>
    <row r="4783" spans="1:3" x14ac:dyDescent="0.25">
      <c r="A4783" s="2" t="str">
        <f ca="1">IFERROR(__xludf.DUMMYFUNCTION("""COMPUTED_VALUE"""),"fairex")</f>
        <v>fairex</v>
      </c>
      <c r="B4783" s="2" t="str">
        <f ca="1">IFERROR(__xludf.DUMMYFUNCTION("""COMPUTED_VALUE"""),"frx")</f>
        <v>frx</v>
      </c>
      <c r="C4783" s="2" t="str">
        <f ca="1">IFERROR(__xludf.DUMMYFUNCTION("""COMPUTED_VALUE"""),"FairEx")</f>
        <v>FairEx</v>
      </c>
    </row>
    <row r="4784" spans="1:3" x14ac:dyDescent="0.25">
      <c r="A4784" s="2" t="str">
        <f ca="1">IFERROR(__xludf.DUMMYFUNCTION("""COMPUTED_VALUE"""),"fairlight")</f>
        <v>fairlight</v>
      </c>
      <c r="B4784" s="2" t="str">
        <f ca="1">IFERROR(__xludf.DUMMYFUNCTION("""COMPUTED_VALUE"""),"fcdp")</f>
        <v>fcdp</v>
      </c>
      <c r="C4784" s="2" t="str">
        <f ca="1">IFERROR(__xludf.DUMMYFUNCTION("""COMPUTED_VALUE"""),"FairLight")</f>
        <v>FairLight</v>
      </c>
    </row>
    <row r="4785" spans="1:3" x14ac:dyDescent="0.25">
      <c r="A4785" s="2" t="str">
        <f ca="1">IFERROR(__xludf.DUMMYFUNCTION("""COMPUTED_VALUE"""),"fairspin")</f>
        <v>fairspin</v>
      </c>
      <c r="B4785" s="2" t="str">
        <f ca="1">IFERROR(__xludf.DUMMYFUNCTION("""COMPUTED_VALUE"""),"tfs")</f>
        <v>tfs</v>
      </c>
      <c r="C4785" s="2" t="str">
        <f ca="1">IFERROR(__xludf.DUMMYFUNCTION("""COMPUTED_VALUE"""),"FairSpin")</f>
        <v>FairSpin</v>
      </c>
    </row>
    <row r="4786" spans="1:3" x14ac:dyDescent="0.25">
      <c r="A4786" s="2" t="str">
        <f ca="1">IFERROR(__xludf.DUMMYFUNCTION("""COMPUTED_VALUE"""),"fairum")</f>
        <v>fairum</v>
      </c>
      <c r="B4786" s="2" t="str">
        <f ca="1">IFERROR(__xludf.DUMMYFUNCTION("""COMPUTED_VALUE"""),"fai")</f>
        <v>fai</v>
      </c>
      <c r="C4786" s="2" t="str">
        <f ca="1">IFERROR(__xludf.DUMMYFUNCTION("""COMPUTED_VALUE"""),"Fairum")</f>
        <v>Fairum</v>
      </c>
    </row>
    <row r="4787" spans="1:3" x14ac:dyDescent="0.25">
      <c r="A4787" s="2" t="str">
        <f ca="1">IFERROR(__xludf.DUMMYFUNCTION("""COMPUTED_VALUE"""),"faith-tribe")</f>
        <v>faith-tribe</v>
      </c>
      <c r="B4787" s="2" t="str">
        <f ca="1">IFERROR(__xludf.DUMMYFUNCTION("""COMPUTED_VALUE"""),"ftrb")</f>
        <v>ftrb</v>
      </c>
      <c r="C4787" s="2" t="str">
        <f ca="1">IFERROR(__xludf.DUMMYFUNCTION("""COMPUTED_VALUE"""),"Faith Tribe")</f>
        <v>Faith Tribe</v>
      </c>
    </row>
    <row r="4788" spans="1:3" x14ac:dyDescent="0.25">
      <c r="A4788" s="2" t="str">
        <f ca="1">IFERROR(__xludf.DUMMYFUNCTION("""COMPUTED_VALUE"""),"falcon-nine")</f>
        <v>falcon-nine</v>
      </c>
      <c r="B4788" s="2" t="str">
        <f ca="1">IFERROR(__xludf.DUMMYFUNCTION("""COMPUTED_VALUE"""),"f9")</f>
        <v>f9</v>
      </c>
      <c r="C4788" s="2" t="str">
        <f ca="1">IFERROR(__xludf.DUMMYFUNCTION("""COMPUTED_VALUE"""),"Falcon Nine")</f>
        <v>Falcon Nine</v>
      </c>
    </row>
    <row r="4789" spans="1:3" x14ac:dyDescent="0.25">
      <c r="A4789" s="2" t="str">
        <f ca="1">IFERROR(__xludf.DUMMYFUNCTION("""COMPUTED_VALUE"""),"falcons")</f>
        <v>falcons</v>
      </c>
      <c r="B4789" s="2" t="str">
        <f ca="1">IFERROR(__xludf.DUMMYFUNCTION("""COMPUTED_VALUE"""),"fah")</f>
        <v>fah</v>
      </c>
      <c r="C4789" s="2" t="str">
        <f ca="1">IFERROR(__xludf.DUMMYFUNCTION("""COMPUTED_VALUE"""),"Falcons")</f>
        <v>Falcons</v>
      </c>
    </row>
    <row r="4790" spans="1:3" x14ac:dyDescent="0.25">
      <c r="A4790" s="2" t="str">
        <f ca="1">IFERROR(__xludf.DUMMYFUNCTION("""COMPUTED_VALUE"""),"falconsinu")</f>
        <v>falconsinu</v>
      </c>
      <c r="B4790" s="2" t="str">
        <f ca="1">IFERROR(__xludf.DUMMYFUNCTION("""COMPUTED_VALUE"""),"falcon")</f>
        <v>falcon</v>
      </c>
      <c r="C4790" s="2" t="str">
        <f ca="1">IFERROR(__xludf.DUMMYFUNCTION("""COMPUTED_VALUE"""),"FalconsInu")</f>
        <v>FalconsInu</v>
      </c>
    </row>
    <row r="4791" spans="1:3" x14ac:dyDescent="0.25">
      <c r="A4791" s="2" t="str">
        <f ca="1">IFERROR(__xludf.DUMMYFUNCTION("""COMPUTED_VALUE"""),"falcon-token")</f>
        <v>falcon-token</v>
      </c>
      <c r="B4791" s="2" t="str">
        <f ca="1">IFERROR(__xludf.DUMMYFUNCTION("""COMPUTED_VALUE"""),"fnt")</f>
        <v>fnt</v>
      </c>
      <c r="C4791" s="2" t="str">
        <f ca="1">IFERROR(__xludf.DUMMYFUNCTION("""COMPUTED_VALUE"""),"Falcon Project")</f>
        <v>Falcon Project</v>
      </c>
    </row>
    <row r="4792" spans="1:3" x14ac:dyDescent="0.25">
      <c r="A4792" s="2" t="str">
        <f ca="1">IFERROR(__xludf.DUMMYFUNCTION("""COMPUTED_VALUE"""),"falx")</f>
        <v>falx</v>
      </c>
      <c r="B4792" s="2" t="str">
        <f ca="1">IFERROR(__xludf.DUMMYFUNCTION("""COMPUTED_VALUE"""),"falx")</f>
        <v>falx</v>
      </c>
      <c r="C4792" s="2" t="str">
        <f ca="1">IFERROR(__xludf.DUMMYFUNCTION("""COMPUTED_VALUE"""),"FALX")</f>
        <v>FALX</v>
      </c>
    </row>
    <row r="4793" spans="1:3" x14ac:dyDescent="0.25">
      <c r="A4793" s="2" t="str">
        <f ca="1">IFERROR(__xludf.DUMMYFUNCTION("""COMPUTED_VALUE"""),"fame-ai")</f>
        <v>fame-ai</v>
      </c>
      <c r="B4793" s="2" t="str">
        <f ca="1">IFERROR(__xludf.DUMMYFUNCTION("""COMPUTED_VALUE"""),"$fmc")</f>
        <v>$fmc</v>
      </c>
      <c r="C4793" s="2" t="str">
        <f ca="1">IFERROR(__xludf.DUMMYFUNCTION("""COMPUTED_VALUE"""),"FAME AI")</f>
        <v>FAME AI</v>
      </c>
    </row>
    <row r="4794" spans="1:3" x14ac:dyDescent="0.25">
      <c r="A4794" s="2" t="str">
        <f ca="1">IFERROR(__xludf.DUMMYFUNCTION("""COMPUTED_VALUE"""),"fame-mma")</f>
        <v>fame-mma</v>
      </c>
      <c r="B4794" s="2" t="str">
        <f ca="1">IFERROR(__xludf.DUMMYFUNCTION("""COMPUTED_VALUE"""),"fame")</f>
        <v>fame</v>
      </c>
      <c r="C4794" s="2" t="str">
        <f ca="1">IFERROR(__xludf.DUMMYFUNCTION("""COMPUTED_VALUE"""),"Fame MMA")</f>
        <v>Fame MMA</v>
      </c>
    </row>
    <row r="4795" spans="1:3" x14ac:dyDescent="0.25">
      <c r="A4795" s="2" t="str">
        <f ca="1">IFERROR(__xludf.DUMMYFUNCTION("""COMPUTED_VALUE"""),"fame-protocol")</f>
        <v>fame-protocol</v>
      </c>
      <c r="B4795" s="2" t="str">
        <f ca="1">IFERROR(__xludf.DUMMYFUNCTION("""COMPUTED_VALUE"""),"fame")</f>
        <v>fame</v>
      </c>
      <c r="C4795" s="2" t="str">
        <f ca="1">IFERROR(__xludf.DUMMYFUNCTION("""COMPUTED_VALUE"""),"FAME Protocol")</f>
        <v>FAME Protocol</v>
      </c>
    </row>
    <row r="4796" spans="1:3" x14ac:dyDescent="0.25">
      <c r="A4796" s="2" t="str">
        <f ca="1">IFERROR(__xludf.DUMMYFUNCTION("""COMPUTED_VALUE"""),"fame-reward-plus")</f>
        <v>fame-reward-plus</v>
      </c>
      <c r="B4796" s="2" t="str">
        <f ca="1">IFERROR(__xludf.DUMMYFUNCTION("""COMPUTED_VALUE"""),"frp")</f>
        <v>frp</v>
      </c>
      <c r="C4796" s="2" t="str">
        <f ca="1">IFERROR(__xludf.DUMMYFUNCTION("""COMPUTED_VALUE"""),"Fame Reward Plus")</f>
        <v>Fame Reward Plus</v>
      </c>
    </row>
    <row r="4797" spans="1:3" x14ac:dyDescent="0.25">
      <c r="A4797" s="2" t="str">
        <f ca="1">IFERROR(__xludf.DUMMYFUNCTION("""COMPUTED_VALUE"""),"family-2")</f>
        <v>family-2</v>
      </c>
      <c r="B4797" s="2" t="str">
        <f ca="1">IFERROR(__xludf.DUMMYFUNCTION("""COMPUTED_VALUE"""),"fam")</f>
        <v>fam</v>
      </c>
      <c r="C4797" s="2" t="str">
        <f ca="1">IFERROR(__xludf.DUMMYFUNCTION("""COMPUTED_VALUE"""),"Family")</f>
        <v>Family</v>
      </c>
    </row>
    <row r="4798" spans="1:3" x14ac:dyDescent="0.25">
      <c r="A4798" s="2" t="str">
        <f ca="1">IFERROR(__xludf.DUMMYFUNCTION("""COMPUTED_VALUE"""),"family-guy")</f>
        <v>family-guy</v>
      </c>
      <c r="B4798" s="2" t="str">
        <f ca="1">IFERROR(__xludf.DUMMYFUNCTION("""COMPUTED_VALUE"""),"guy")</f>
        <v>guy</v>
      </c>
      <c r="C4798" s="2" t="str">
        <f ca="1">IFERROR(__xludf.DUMMYFUNCTION("""COMPUTED_VALUE"""),"Family Guy")</f>
        <v>Family Guy</v>
      </c>
    </row>
    <row r="4799" spans="1:3" x14ac:dyDescent="0.25">
      <c r="A4799" s="2" t="str">
        <f ca="1">IFERROR(__xludf.DUMMYFUNCTION("""COMPUTED_VALUE"""),"famous-fox-federation")</f>
        <v>famous-fox-federation</v>
      </c>
      <c r="B4799" s="2" t="str">
        <f ca="1">IFERROR(__xludf.DUMMYFUNCTION("""COMPUTED_VALUE"""),"foxy")</f>
        <v>foxy</v>
      </c>
      <c r="C4799" s="2" t="str">
        <f ca="1">IFERROR(__xludf.DUMMYFUNCTION("""COMPUTED_VALUE"""),"Famous Fox Federation")</f>
        <v>Famous Fox Federation</v>
      </c>
    </row>
    <row r="4800" spans="1:3" x14ac:dyDescent="0.25">
      <c r="A4800" s="2" t="str">
        <f ca="1">IFERROR(__xludf.DUMMYFUNCTION("""COMPUTED_VALUE"""),"famous-fox-federation-floor-index")</f>
        <v>famous-fox-federation-floor-index</v>
      </c>
      <c r="B4800" s="2" t="str">
        <f ca="1">IFERROR(__xludf.DUMMYFUNCTION("""COMPUTED_VALUE"""),"foxes")</f>
        <v>foxes</v>
      </c>
      <c r="C4800" s="2" t="str">
        <f ca="1">IFERROR(__xludf.DUMMYFUNCTION("""COMPUTED_VALUE"""),"Famous Fox Federation Floor Index")</f>
        <v>Famous Fox Federation Floor Index</v>
      </c>
    </row>
    <row r="4801" spans="1:3" x14ac:dyDescent="0.25">
      <c r="A4801" s="2" t="str">
        <f ca="1">IFERROR(__xludf.DUMMYFUNCTION("""COMPUTED_VALUE"""),"fanc")</f>
        <v>fanc</v>
      </c>
      <c r="B4801" s="2" t="str">
        <f ca="1">IFERROR(__xludf.DUMMYFUNCTION("""COMPUTED_VALUE"""),"fanc")</f>
        <v>fanc</v>
      </c>
      <c r="C4801" s="2" t="str">
        <f ca="1">IFERROR(__xludf.DUMMYFUNCTION("""COMPUTED_VALUE"""),"fanC")</f>
        <v>fanC</v>
      </c>
    </row>
    <row r="4802" spans="1:3" x14ac:dyDescent="0.25">
      <c r="A4802" s="2" t="str">
        <f ca="1">IFERROR(__xludf.DUMMYFUNCTION("""COMPUTED_VALUE"""),"fancy-games")</f>
        <v>fancy-games</v>
      </c>
      <c r="B4802" s="2" t="str">
        <f ca="1">IFERROR(__xludf.DUMMYFUNCTION("""COMPUTED_VALUE"""),"fnc")</f>
        <v>fnc</v>
      </c>
      <c r="C4802" s="2" t="str">
        <f ca="1">IFERROR(__xludf.DUMMYFUNCTION("""COMPUTED_VALUE"""),"Fancy Games")</f>
        <v>Fancy Games</v>
      </c>
    </row>
    <row r="4803" spans="1:3" x14ac:dyDescent="0.25">
      <c r="A4803" s="2" t="str">
        <f ca="1">IFERROR(__xludf.DUMMYFUNCTION("""COMPUTED_VALUE"""),"fandomdao")</f>
        <v>fandomdao</v>
      </c>
      <c r="B4803" s="2" t="str">
        <f ca="1">IFERROR(__xludf.DUMMYFUNCTION("""COMPUTED_VALUE"""),"fand")</f>
        <v>fand</v>
      </c>
      <c r="C4803" s="2" t="str">
        <f ca="1">IFERROR(__xludf.DUMMYFUNCTION("""COMPUTED_VALUE"""),"Fandomdao")</f>
        <v>Fandomdao</v>
      </c>
    </row>
    <row r="4804" spans="1:3" x14ac:dyDescent="0.25">
      <c r="A4804" s="2" t="str">
        <f ca="1">IFERROR(__xludf.DUMMYFUNCTION("""COMPUTED_VALUE"""),"fanfury")</f>
        <v>fanfury</v>
      </c>
      <c r="B4804" s="2" t="str">
        <f ca="1">IFERROR(__xludf.DUMMYFUNCTION("""COMPUTED_VALUE"""),"fury")</f>
        <v>fury</v>
      </c>
      <c r="C4804" s="2" t="str">
        <f ca="1">IFERROR(__xludf.DUMMYFUNCTION("""COMPUTED_VALUE"""),"FURY")</f>
        <v>FURY</v>
      </c>
    </row>
    <row r="4805" spans="1:3" x14ac:dyDescent="0.25">
      <c r="A4805" s="2" t="str">
        <f ca="1">IFERROR(__xludf.DUMMYFUNCTION("""COMPUTED_VALUE"""),"fang-token")</f>
        <v>fang-token</v>
      </c>
      <c r="B4805" s="2" t="str">
        <f ca="1">IFERROR(__xludf.DUMMYFUNCTION("""COMPUTED_VALUE"""),"fang")</f>
        <v>fang</v>
      </c>
      <c r="C4805" s="2" t="str">
        <f ca="1">IFERROR(__xludf.DUMMYFUNCTION("""COMPUTED_VALUE"""),"FANG")</f>
        <v>FANG</v>
      </c>
    </row>
    <row r="4806" spans="1:3" x14ac:dyDescent="0.25">
      <c r="A4806" s="2" t="str">
        <f ca="1">IFERROR(__xludf.DUMMYFUNCTION("""COMPUTED_VALUE"""),"fanstime")</f>
        <v>fanstime</v>
      </c>
      <c r="B4806" s="2" t="str">
        <f ca="1">IFERROR(__xludf.DUMMYFUNCTION("""COMPUTED_VALUE"""),"fti")</f>
        <v>fti</v>
      </c>
      <c r="C4806" s="2" t="str">
        <f ca="1">IFERROR(__xludf.DUMMYFUNCTION("""COMPUTED_VALUE"""),"FansTime")</f>
        <v>FansTime</v>
      </c>
    </row>
    <row r="4807" spans="1:3" x14ac:dyDescent="0.25">
      <c r="A4807" s="2" t="str">
        <f ca="1">IFERROR(__xludf.DUMMYFUNCTION("""COMPUTED_VALUE"""),"fantaverse")</f>
        <v>fantaverse</v>
      </c>
      <c r="B4807" s="2" t="str">
        <f ca="1">IFERROR(__xludf.DUMMYFUNCTION("""COMPUTED_VALUE"""),"ut")</f>
        <v>ut</v>
      </c>
      <c r="C4807" s="2" t="str">
        <f ca="1">IFERROR(__xludf.DUMMYFUNCTION("""COMPUTED_VALUE"""),"Fantaverse")</f>
        <v>Fantaverse</v>
      </c>
    </row>
    <row r="4808" spans="1:3" x14ac:dyDescent="0.25">
      <c r="A4808" s="2" t="str">
        <f ca="1">IFERROR(__xludf.DUMMYFUNCTION("""COMPUTED_VALUE"""),"fan-token")</f>
        <v>fan-token</v>
      </c>
      <c r="B4808" s="2" t="str">
        <f ca="1">IFERROR(__xludf.DUMMYFUNCTION("""COMPUTED_VALUE"""),"fan")</f>
        <v>fan</v>
      </c>
      <c r="C4808" s="3" t="str">
        <f ca="1">IFERROR(__xludf.DUMMYFUNCTION("""COMPUTED_VALUE"""),"Film.io")</f>
        <v>Film.io</v>
      </c>
    </row>
    <row r="4809" spans="1:3" x14ac:dyDescent="0.25">
      <c r="A4809" s="2" t="str">
        <f ca="1">IFERROR(__xludf.DUMMYFUNCTION("""COMPUTED_VALUE"""),"fantom")</f>
        <v>fantom</v>
      </c>
      <c r="B4809" s="2" t="str">
        <f ca="1">IFERROR(__xludf.DUMMYFUNCTION("""COMPUTED_VALUE"""),"ftm")</f>
        <v>ftm</v>
      </c>
      <c r="C4809" s="2" t="str">
        <f ca="1">IFERROR(__xludf.DUMMYFUNCTION("""COMPUTED_VALUE"""),"Fantom")</f>
        <v>Fantom</v>
      </c>
    </row>
    <row r="4810" spans="1:3" x14ac:dyDescent="0.25">
      <c r="A4810" s="2" t="str">
        <f ca="1">IFERROR(__xludf.DUMMYFUNCTION("""COMPUTED_VALUE"""),"fantom-bridged-wbtc-fantom")</f>
        <v>fantom-bridged-wbtc-fantom</v>
      </c>
      <c r="B4810" s="2" t="str">
        <f ca="1">IFERROR(__xludf.DUMMYFUNCTION("""COMPUTED_VALUE"""),"wbtc")</f>
        <v>wbtc</v>
      </c>
      <c r="C4810" s="2" t="str">
        <f ca="1">IFERROR(__xludf.DUMMYFUNCTION("""COMPUTED_VALUE"""),"Fantom Bridged WBTC (Fantom)")</f>
        <v>Fantom Bridged WBTC (Fantom)</v>
      </c>
    </row>
    <row r="4811" spans="1:3" x14ac:dyDescent="0.25">
      <c r="A4811" s="2" t="str">
        <f ca="1">IFERROR(__xludf.DUMMYFUNCTION("""COMPUTED_VALUE"""),"fantom-doge")</f>
        <v>fantom-doge</v>
      </c>
      <c r="B4811" s="2" t="str">
        <f ca="1">IFERROR(__xludf.DUMMYFUNCTION("""COMPUTED_VALUE"""),"rip")</f>
        <v>rip</v>
      </c>
      <c r="C4811" s="2" t="str">
        <f ca="1">IFERROR(__xludf.DUMMYFUNCTION("""COMPUTED_VALUE"""),"Fantom Doge")</f>
        <v>Fantom Doge</v>
      </c>
    </row>
    <row r="4812" spans="1:3" x14ac:dyDescent="0.25">
      <c r="A4812" s="2" t="str">
        <f ca="1">IFERROR(__xludf.DUMMYFUNCTION("""COMPUTED_VALUE"""),"fantom-eco")</f>
        <v>fantom-eco</v>
      </c>
      <c r="B4812" s="2" t="str">
        <f ca="1">IFERROR(__xludf.DUMMYFUNCTION("""COMPUTED_VALUE"""),"eco")</f>
        <v>eco</v>
      </c>
      <c r="C4812" s="2" t="str">
        <f ca="1">IFERROR(__xludf.DUMMYFUNCTION("""COMPUTED_VALUE"""),"Fantom Eco")</f>
        <v>Fantom Eco</v>
      </c>
    </row>
    <row r="4813" spans="1:3" x14ac:dyDescent="0.25">
      <c r="A4813" s="2" t="str">
        <f ca="1">IFERROR(__xludf.DUMMYFUNCTION("""COMPUTED_VALUE"""),"fantomgo")</f>
        <v>fantomgo</v>
      </c>
      <c r="B4813" s="2" t="str">
        <f ca="1">IFERROR(__xludf.DUMMYFUNCTION("""COMPUTED_VALUE"""),"ftg")</f>
        <v>ftg</v>
      </c>
      <c r="C4813" s="2" t="str">
        <f ca="1">IFERROR(__xludf.DUMMYFUNCTION("""COMPUTED_VALUE"""),"OnGo")</f>
        <v>OnGo</v>
      </c>
    </row>
    <row r="4814" spans="1:3" x14ac:dyDescent="0.25">
      <c r="A4814" s="2" t="str">
        <f ca="1">IFERROR(__xludf.DUMMYFUNCTION("""COMPUTED_VALUE"""),"fantom-libero-financial")</f>
        <v>fantom-libero-financial</v>
      </c>
      <c r="B4814" s="2" t="str">
        <f ca="1">IFERROR(__xludf.DUMMYFUNCTION("""COMPUTED_VALUE"""),"flibero")</f>
        <v>flibero</v>
      </c>
      <c r="C4814" s="2" t="str">
        <f ca="1">IFERROR(__xludf.DUMMYFUNCTION("""COMPUTED_VALUE"""),"Fantom Libero Financial")</f>
        <v>Fantom Libero Financial</v>
      </c>
    </row>
    <row r="4815" spans="1:3" x14ac:dyDescent="0.25">
      <c r="A4815" s="2" t="str">
        <f ca="1">IFERROR(__xludf.DUMMYFUNCTION("""COMPUTED_VALUE"""),"fantom-maker")</f>
        <v>fantom-maker</v>
      </c>
      <c r="B4815" s="2" t="str">
        <f ca="1">IFERROR(__xludf.DUMMYFUNCTION("""COMPUTED_VALUE"""),"fame")</f>
        <v>fame</v>
      </c>
      <c r="C4815" s="2" t="str">
        <f ca="1">IFERROR(__xludf.DUMMYFUNCTION("""COMPUTED_VALUE"""),"Fantom Maker")</f>
        <v>Fantom Maker</v>
      </c>
    </row>
    <row r="4816" spans="1:3" x14ac:dyDescent="0.25">
      <c r="A4816" s="2" t="str">
        <f ca="1">IFERROR(__xludf.DUMMYFUNCTION("""COMPUTED_VALUE"""),"fantom-money-market")</f>
        <v>fantom-money-market</v>
      </c>
      <c r="B4816" s="2" t="str">
        <f ca="1">IFERROR(__xludf.DUMMYFUNCTION("""COMPUTED_VALUE"""),"fbux")</f>
        <v>fbux</v>
      </c>
      <c r="C4816" s="2" t="str">
        <f ca="1">IFERROR(__xludf.DUMMYFUNCTION("""COMPUTED_VALUE"""),"Fantom Money Market")</f>
        <v>Fantom Money Market</v>
      </c>
    </row>
    <row r="4817" spans="1:3" x14ac:dyDescent="0.25">
      <c r="A4817" s="2" t="str">
        <f ca="1">IFERROR(__xludf.DUMMYFUNCTION("""COMPUTED_VALUE"""),"fantom-oasis")</f>
        <v>fantom-oasis</v>
      </c>
      <c r="B4817" s="2" t="str">
        <f ca="1">IFERROR(__xludf.DUMMYFUNCTION("""COMPUTED_VALUE"""),"ftmo")</f>
        <v>ftmo</v>
      </c>
      <c r="C4817" s="2" t="str">
        <f ca="1">IFERROR(__xludf.DUMMYFUNCTION("""COMPUTED_VALUE"""),"Fantom Oasis")</f>
        <v>Fantom Oasis</v>
      </c>
    </row>
    <row r="4818" spans="1:3" x14ac:dyDescent="0.25">
      <c r="A4818" s="2" t="str">
        <f ca="1">IFERROR(__xludf.DUMMYFUNCTION("""COMPUTED_VALUE"""),"fantomsonicinu")</f>
        <v>fantomsonicinu</v>
      </c>
      <c r="B4818" s="2" t="str">
        <f ca="1">IFERROR(__xludf.DUMMYFUNCTION("""COMPUTED_VALUE"""),"fsonic")</f>
        <v>fsonic</v>
      </c>
      <c r="C4818" s="2" t="str">
        <f ca="1">IFERROR(__xludf.DUMMYFUNCTION("""COMPUTED_VALUE"""),"Fantomsonicinu")</f>
        <v>Fantomsonicinu</v>
      </c>
    </row>
    <row r="4819" spans="1:3" x14ac:dyDescent="0.25">
      <c r="A4819" s="2" t="str">
        <f ca="1">IFERROR(__xludf.DUMMYFUNCTION("""COMPUTED_VALUE"""),"fantomstarter")</f>
        <v>fantomstarter</v>
      </c>
      <c r="B4819" s="2" t="str">
        <f ca="1">IFERROR(__xludf.DUMMYFUNCTION("""COMPUTED_VALUE"""),"fs")</f>
        <v>fs</v>
      </c>
      <c r="C4819" s="2" t="str">
        <f ca="1">IFERROR(__xludf.DUMMYFUNCTION("""COMPUTED_VALUE"""),"FantomStarter")</f>
        <v>FantomStarter</v>
      </c>
    </row>
    <row r="4820" spans="1:3" x14ac:dyDescent="0.25">
      <c r="A4820" s="2" t="str">
        <f ca="1">IFERROR(__xludf.DUMMYFUNCTION("""COMPUTED_VALUE"""),"fantom-usd")</f>
        <v>fantom-usd</v>
      </c>
      <c r="B4820" s="2" t="str">
        <f ca="1">IFERROR(__xludf.DUMMYFUNCTION("""COMPUTED_VALUE"""),"fusd")</f>
        <v>fusd</v>
      </c>
      <c r="C4820" s="2" t="str">
        <f ca="1">IFERROR(__xludf.DUMMYFUNCTION("""COMPUTED_VALUE"""),"Fantom USD")</f>
        <v>Fantom USD</v>
      </c>
    </row>
    <row r="4821" spans="1:3" x14ac:dyDescent="0.25">
      <c r="A4821" s="2" t="str">
        <f ca="1">IFERROR(__xludf.DUMMYFUNCTION("""COMPUTED_VALUE"""),"fantom-velocimeter")</f>
        <v>fantom-velocimeter</v>
      </c>
      <c r="B4821" s="2" t="str">
        <f ca="1">IFERROR(__xludf.DUMMYFUNCTION("""COMPUTED_VALUE"""),"fvm")</f>
        <v>fvm</v>
      </c>
      <c r="C4821" s="2" t="str">
        <f ca="1">IFERROR(__xludf.DUMMYFUNCTION("""COMPUTED_VALUE"""),"Fantom Velocimeter")</f>
        <v>Fantom Velocimeter</v>
      </c>
    </row>
    <row r="4822" spans="1:3" x14ac:dyDescent="0.25">
      <c r="A4822" s="2" t="str">
        <f ca="1">IFERROR(__xludf.DUMMYFUNCTION("""COMPUTED_VALUE"""),"fanton-token")</f>
        <v>fanton-token</v>
      </c>
      <c r="B4822" s="2" t="str">
        <f ca="1">IFERROR(__xludf.DUMMYFUNCTION("""COMPUTED_VALUE"""),"fton")</f>
        <v>fton</v>
      </c>
      <c r="C4822" s="2" t="str">
        <f ca="1">IFERROR(__xludf.DUMMYFUNCTION("""COMPUTED_VALUE"""),"Fanton Token")</f>
        <v>Fanton Token</v>
      </c>
    </row>
    <row r="4823" spans="1:3" x14ac:dyDescent="0.25">
      <c r="A4823" s="2" t="str">
        <f ca="1">IFERROR(__xludf.DUMMYFUNCTION("""COMPUTED_VALUE"""),"fanzee-token")</f>
        <v>fanzee-token</v>
      </c>
      <c r="B4823" s="2" t="str">
        <f ca="1">IFERROR(__xludf.DUMMYFUNCTION("""COMPUTED_VALUE"""),"fnz")</f>
        <v>fnz</v>
      </c>
      <c r="C4823" s="2" t="str">
        <f ca="1">IFERROR(__xludf.DUMMYFUNCTION("""COMPUTED_VALUE"""),"Fanzee Token")</f>
        <v>Fanzee Token</v>
      </c>
    </row>
    <row r="4824" spans="1:3" x14ac:dyDescent="0.25">
      <c r="A4824" s="2" t="str">
        <f ca="1">IFERROR(__xludf.DUMMYFUNCTION("""COMPUTED_VALUE"""),"faptax")</f>
        <v>faptax</v>
      </c>
      <c r="B4824" s="2" t="str">
        <f ca="1">IFERROR(__xludf.DUMMYFUNCTION("""COMPUTED_VALUE"""),"faptax")</f>
        <v>faptax</v>
      </c>
      <c r="C4824" s="2" t="str">
        <f ca="1">IFERROR(__xludf.DUMMYFUNCTION("""COMPUTED_VALUE"""),"Faptax")</f>
        <v>Faptax</v>
      </c>
    </row>
    <row r="4825" spans="1:3" x14ac:dyDescent="0.25">
      <c r="A4825" s="2" t="str">
        <f ca="1">IFERROR(__xludf.DUMMYFUNCTION("""COMPUTED_VALUE"""),"faraland")</f>
        <v>faraland</v>
      </c>
      <c r="B4825" s="2" t="str">
        <f ca="1">IFERROR(__xludf.DUMMYFUNCTION("""COMPUTED_VALUE"""),"fara")</f>
        <v>fara</v>
      </c>
      <c r="C4825" s="2" t="str">
        <f ca="1">IFERROR(__xludf.DUMMYFUNCTION("""COMPUTED_VALUE"""),"FaraLand")</f>
        <v>FaraLand</v>
      </c>
    </row>
    <row r="4826" spans="1:3" x14ac:dyDescent="0.25">
      <c r="A4826" s="2" t="str">
        <f ca="1">IFERROR(__xludf.DUMMYFUNCTION("""COMPUTED_VALUE"""),"farcana")</f>
        <v>farcana</v>
      </c>
      <c r="B4826" s="2" t="str">
        <f ca="1">IFERROR(__xludf.DUMMYFUNCTION("""COMPUTED_VALUE"""),"far")</f>
        <v>far</v>
      </c>
      <c r="C4826" s="2" t="str">
        <f ca="1">IFERROR(__xludf.DUMMYFUNCTION("""COMPUTED_VALUE"""),"FARCANA")</f>
        <v>FARCANA</v>
      </c>
    </row>
    <row r="4827" spans="1:3" x14ac:dyDescent="0.25">
      <c r="A4827" s="2" t="str">
        <f ca="1">IFERROR(__xludf.DUMMYFUNCTION("""COMPUTED_VALUE"""),"farcaster-flower")</f>
        <v>farcaster-flower</v>
      </c>
      <c r="B4827" s="2" t="str">
        <f ca="1">IFERROR(__xludf.DUMMYFUNCTION("""COMPUTED_VALUE"""),"flower")</f>
        <v>flower</v>
      </c>
      <c r="C4827" s="2" t="str">
        <f ca="1">IFERROR(__xludf.DUMMYFUNCTION("""COMPUTED_VALUE"""),"Farcaster Flower")</f>
        <v>Farcaster Flower</v>
      </c>
    </row>
    <row r="4828" spans="1:3" x14ac:dyDescent="0.25">
      <c r="A4828" s="2" t="str">
        <f ca="1">IFERROR(__xludf.DUMMYFUNCTION("""COMPUTED_VALUE"""),"farlaunch")</f>
        <v>farlaunch</v>
      </c>
      <c r="B4828" s="2" t="str">
        <f ca="1">IFERROR(__xludf.DUMMYFUNCTION("""COMPUTED_VALUE"""),"far")</f>
        <v>far</v>
      </c>
      <c r="C4828" s="2" t="str">
        <f ca="1">IFERROR(__xludf.DUMMYFUNCTION("""COMPUTED_VALUE"""),"FarLaunch")</f>
        <v>FarLaunch</v>
      </c>
    </row>
    <row r="4829" spans="1:3" x14ac:dyDescent="0.25">
      <c r="A4829" s="2" t="str">
        <f ca="1">IFERROR(__xludf.DUMMYFUNCTION("""COMPUTED_VALUE"""),"farm")</f>
        <v>farm</v>
      </c>
      <c r="B4829" s="2" t="str">
        <f ca="1">IFERROR(__xludf.DUMMYFUNCTION("""COMPUTED_VALUE"""),"farm")</f>
        <v>farm</v>
      </c>
      <c r="C4829" s="2" t="str">
        <f ca="1">IFERROR(__xludf.DUMMYFUNCTION("""COMPUTED_VALUE"""),"FARM")</f>
        <v>FARM</v>
      </c>
    </row>
    <row r="4830" spans="1:3" x14ac:dyDescent="0.25">
      <c r="A4830" s="2" t="str">
        <f ca="1">IFERROR(__xludf.DUMMYFUNCTION("""COMPUTED_VALUE"""),"farmbot")</f>
        <v>farmbot</v>
      </c>
      <c r="B4830" s="2" t="str">
        <f ca="1">IFERROR(__xludf.DUMMYFUNCTION("""COMPUTED_VALUE"""),"farm")</f>
        <v>farm</v>
      </c>
      <c r="C4830" s="2" t="str">
        <f ca="1">IFERROR(__xludf.DUMMYFUNCTION("""COMPUTED_VALUE"""),"FarmBot")</f>
        <v>FarmBot</v>
      </c>
    </row>
    <row r="4831" spans="1:3" x14ac:dyDescent="0.25">
      <c r="A4831" s="2" t="str">
        <f ca="1">IFERROR(__xludf.DUMMYFUNCTION("""COMPUTED_VALUE"""),"farmer-frank")</f>
        <v>farmer-frank</v>
      </c>
      <c r="B4831" s="2" t="str">
        <f ca="1">IFERROR(__xludf.DUMMYFUNCTION("""COMPUTED_VALUE"""),"frank")</f>
        <v>frank</v>
      </c>
      <c r="C4831" s="2" t="str">
        <f ca="1">IFERROR(__xludf.DUMMYFUNCTION("""COMPUTED_VALUE"""),"Farmer Frank")</f>
        <v>Farmer Frank</v>
      </c>
    </row>
    <row r="4832" spans="1:3" x14ac:dyDescent="0.25">
      <c r="A4832" s="2" t="str">
        <f ca="1">IFERROR(__xludf.DUMMYFUNCTION("""COMPUTED_VALUE"""),"farmers-only")</f>
        <v>farmers-only</v>
      </c>
      <c r="B4832" s="2" t="str">
        <f ca="1">IFERROR(__xludf.DUMMYFUNCTION("""COMPUTED_VALUE"""),"fox")</f>
        <v>fox</v>
      </c>
      <c r="C4832" s="2" t="str">
        <f ca="1">IFERROR(__xludf.DUMMYFUNCTION("""COMPUTED_VALUE"""),"FoxSwap")</f>
        <v>FoxSwap</v>
      </c>
    </row>
    <row r="4833" spans="1:3" x14ac:dyDescent="0.25">
      <c r="A4833" s="2" t="str">
        <f ca="1">IFERROR(__xludf.DUMMYFUNCTION("""COMPUTED_VALUE"""),"farmers-world-wood")</f>
        <v>farmers-world-wood</v>
      </c>
      <c r="B4833" s="2" t="str">
        <f ca="1">IFERROR(__xludf.DUMMYFUNCTION("""COMPUTED_VALUE"""),"fww")</f>
        <v>fww</v>
      </c>
      <c r="C4833" s="2" t="str">
        <f ca="1">IFERROR(__xludf.DUMMYFUNCTION("""COMPUTED_VALUE"""),"Farmers World Wood")</f>
        <v>Farmers World Wood</v>
      </c>
    </row>
    <row r="4834" spans="1:3" x14ac:dyDescent="0.25">
      <c r="A4834" s="2" t="str">
        <f ca="1">IFERROR(__xludf.DUMMYFUNCTION("""COMPUTED_VALUE"""),"fart-coin")</f>
        <v>fart-coin</v>
      </c>
      <c r="B4834" s="2" t="str">
        <f ca="1">IFERROR(__xludf.DUMMYFUNCTION("""COMPUTED_VALUE"""),"frtc")</f>
        <v>frtc</v>
      </c>
      <c r="C4834" s="2" t="str">
        <f ca="1">IFERROR(__xludf.DUMMYFUNCTION("""COMPUTED_VALUE"""),"FART COIN")</f>
        <v>FART COIN</v>
      </c>
    </row>
    <row r="4835" spans="1:3" x14ac:dyDescent="0.25">
      <c r="A4835" s="2" t="str">
        <f ca="1">IFERROR(__xludf.DUMMYFUNCTION("""COMPUTED_VALUE"""),"farther")</f>
        <v>farther</v>
      </c>
      <c r="B4835" s="2" t="str">
        <f ca="1">IFERROR(__xludf.DUMMYFUNCTION("""COMPUTED_VALUE"""),"farther")</f>
        <v>farther</v>
      </c>
      <c r="C4835" s="2" t="str">
        <f ca="1">IFERROR(__xludf.DUMMYFUNCTION("""COMPUTED_VALUE"""),"Farther")</f>
        <v>Farther</v>
      </c>
    </row>
    <row r="4836" spans="1:3" x14ac:dyDescent="0.25">
      <c r="A4836" s="2" t="str">
        <f ca="1">IFERROR(__xludf.DUMMYFUNCTION("""COMPUTED_VALUE"""),"fast-and-ai")</f>
        <v>fast-and-ai</v>
      </c>
      <c r="B4836" s="2" t="str">
        <f ca="1">IFERROR(__xludf.DUMMYFUNCTION("""COMPUTED_VALUE"""),"fastai")</f>
        <v>fastai</v>
      </c>
      <c r="C4836" s="2" t="str">
        <f ca="1">IFERROR(__xludf.DUMMYFUNCTION("""COMPUTED_VALUE"""),"Fast And AI")</f>
        <v>Fast And AI</v>
      </c>
    </row>
    <row r="4837" spans="1:3" x14ac:dyDescent="0.25">
      <c r="A4837" s="2" t="str">
        <f ca="1">IFERROR(__xludf.DUMMYFUNCTION("""COMPUTED_VALUE"""),"fastlane")</f>
        <v>fastlane</v>
      </c>
      <c r="B4837" s="2" t="str">
        <f ca="1">IFERROR(__xludf.DUMMYFUNCTION("""COMPUTED_VALUE"""),"lane")</f>
        <v>lane</v>
      </c>
      <c r="C4837" s="2" t="str">
        <f ca="1">IFERROR(__xludf.DUMMYFUNCTION("""COMPUTED_VALUE"""),"Fastlane")</f>
        <v>Fastlane</v>
      </c>
    </row>
    <row r="4838" spans="1:3" x14ac:dyDescent="0.25">
      <c r="A4838" s="2" t="str">
        <f ca="1">IFERROR(__xludf.DUMMYFUNCTION("""COMPUTED_VALUE"""),"fastswap-bsc-2")</f>
        <v>fastswap-bsc-2</v>
      </c>
      <c r="B4838" s="2" t="str">
        <f ca="1">IFERROR(__xludf.DUMMYFUNCTION("""COMPUTED_VALUE"""),"fast")</f>
        <v>fast</v>
      </c>
      <c r="C4838" s="2" t="str">
        <f ca="1">IFERROR(__xludf.DUMMYFUNCTION("""COMPUTED_VALUE"""),"Fastswap (BSC)")</f>
        <v>Fastswap (BSC)</v>
      </c>
    </row>
    <row r="4839" spans="1:3" x14ac:dyDescent="0.25">
      <c r="A4839" s="2" t="str">
        <f ca="1">IFERROR(__xludf.DUMMYFUNCTION("""COMPUTED_VALUE"""),"fasttoken")</f>
        <v>fasttoken</v>
      </c>
      <c r="B4839" s="2" t="str">
        <f ca="1">IFERROR(__xludf.DUMMYFUNCTION("""COMPUTED_VALUE"""),"ftn")</f>
        <v>ftn</v>
      </c>
      <c r="C4839" s="2" t="str">
        <f ca="1">IFERROR(__xludf.DUMMYFUNCTION("""COMPUTED_VALUE"""),"Fasttoken")</f>
        <v>Fasttoken</v>
      </c>
    </row>
    <row r="4840" spans="1:3" x14ac:dyDescent="0.25">
      <c r="A4840" s="2" t="str">
        <f ca="1">IFERROR(__xludf.DUMMYFUNCTION("""COMPUTED_VALUE"""),"fatality-coin")</f>
        <v>fatality-coin</v>
      </c>
      <c r="B4840" s="2" t="str">
        <f ca="1">IFERROR(__xludf.DUMMYFUNCTION("""COMPUTED_VALUE"""),"fatality")</f>
        <v>fatality</v>
      </c>
      <c r="C4840" s="2" t="str">
        <f ca="1">IFERROR(__xludf.DUMMYFUNCTION("""COMPUTED_VALUE"""),"Fatality Coin")</f>
        <v>Fatality Coin</v>
      </c>
    </row>
    <row r="4841" spans="1:3" x14ac:dyDescent="0.25">
      <c r="A4841" s="2" t="str">
        <f ca="1">IFERROR(__xludf.DUMMYFUNCTION("""COMPUTED_VALUE"""),"fat-cat")</f>
        <v>fat-cat</v>
      </c>
      <c r="B4841" s="2" t="str">
        <f ca="1">IFERROR(__xludf.DUMMYFUNCTION("""COMPUTED_VALUE"""),"fatcat")</f>
        <v>fatcat</v>
      </c>
      <c r="C4841" s="2" t="str">
        <f ca="1">IFERROR(__xludf.DUMMYFUNCTION("""COMPUTED_VALUE"""),"FAT CAT")</f>
        <v>FAT CAT</v>
      </c>
    </row>
    <row r="4842" spans="1:3" x14ac:dyDescent="0.25">
      <c r="A4842" s="2" t="str">
        <f ca="1">IFERROR(__xludf.DUMMYFUNCTION("""COMPUTED_VALUE"""),"fat-cat-2")</f>
        <v>fat-cat-2</v>
      </c>
      <c r="B4842" s="2" t="str">
        <f ca="1">IFERROR(__xludf.DUMMYFUNCTION("""COMPUTED_VALUE"""),"fcat")</f>
        <v>fcat</v>
      </c>
      <c r="C4842" s="2" t="str">
        <f ca="1">IFERROR(__xludf.DUMMYFUNCTION("""COMPUTED_VALUE"""),"Fat Cat")</f>
        <v>Fat Cat</v>
      </c>
    </row>
    <row r="4843" spans="1:3" x14ac:dyDescent="0.25">
      <c r="A4843" s="2" t="str">
        <f ca="1">IFERROR(__xludf.DUMMYFUNCTION("""COMPUTED_VALUE"""),"fatgf")</f>
        <v>fatgf</v>
      </c>
      <c r="B4843" s="2" t="str">
        <f ca="1">IFERROR(__xludf.DUMMYFUNCTION("""COMPUTED_VALUE"""),"fatgf")</f>
        <v>fatgf</v>
      </c>
      <c r="C4843" s="2" t="str">
        <f ca="1">IFERROR(__xludf.DUMMYFUNCTION("""COMPUTED_VALUE"""),"FATGF")</f>
        <v>FATGF</v>
      </c>
    </row>
    <row r="4844" spans="1:3" x14ac:dyDescent="0.25">
      <c r="A4844" s="2" t="str">
        <f ca="1">IFERROR(__xludf.DUMMYFUNCTION("""COMPUTED_VALUE"""),"fat-guy")</f>
        <v>fat-guy</v>
      </c>
      <c r="B4844" s="2" t="str">
        <f ca="1">IFERROR(__xludf.DUMMYFUNCTION("""COMPUTED_VALUE"""),"fatguy")</f>
        <v>fatguy</v>
      </c>
      <c r="C4844" s="2" t="str">
        <f ca="1">IFERROR(__xludf.DUMMYFUNCTION("""COMPUTED_VALUE"""),"FAT GUY")</f>
        <v>FAT GUY</v>
      </c>
    </row>
    <row r="4845" spans="1:3" x14ac:dyDescent="0.25">
      <c r="A4845" s="2" t="str">
        <f ca="1">IFERROR(__xludf.DUMMYFUNCTION("""COMPUTED_VALUE"""),"father-of-meme-origin")</f>
        <v>father-of-meme-origin</v>
      </c>
      <c r="B4845" s="2" t="str">
        <f ca="1">IFERROR(__xludf.DUMMYFUNCTION("""COMPUTED_VALUE"""),"fomo")</f>
        <v>fomo</v>
      </c>
      <c r="C4845" s="2" t="str">
        <f ca="1">IFERROR(__xludf.DUMMYFUNCTION("""COMPUTED_VALUE"""),"Father Of Meme: Origin")</f>
        <v>Father Of Meme: Origin</v>
      </c>
    </row>
    <row r="4846" spans="1:3" x14ac:dyDescent="0.25">
      <c r="A4846" s="2" t="str">
        <f ca="1">IFERROR(__xludf.DUMMYFUNCTION("""COMPUTED_VALUE"""),"fathom")</f>
        <v>fathom</v>
      </c>
      <c r="B4846" s="2" t="str">
        <f ca="1">IFERROR(__xludf.DUMMYFUNCTION("""COMPUTED_VALUE"""),"$fathom")</f>
        <v>$fathom</v>
      </c>
      <c r="C4846" s="2" t="str">
        <f ca="1">IFERROR(__xludf.DUMMYFUNCTION("""COMPUTED_VALUE"""),"Fathom")</f>
        <v>Fathom</v>
      </c>
    </row>
    <row r="4847" spans="1:3" x14ac:dyDescent="0.25">
      <c r="A4847" s="2" t="str">
        <f ca="1">IFERROR(__xludf.DUMMYFUNCTION("""COMPUTED_VALUE"""),"fathom-dollar")</f>
        <v>fathom-dollar</v>
      </c>
      <c r="B4847" s="2" t="str">
        <f ca="1">IFERROR(__xludf.DUMMYFUNCTION("""COMPUTED_VALUE"""),"fxd")</f>
        <v>fxd</v>
      </c>
      <c r="C4847" s="2" t="str">
        <f ca="1">IFERROR(__xludf.DUMMYFUNCTION("""COMPUTED_VALUE"""),"Fathom Dollar")</f>
        <v>Fathom Dollar</v>
      </c>
    </row>
    <row r="4848" spans="1:3" x14ac:dyDescent="0.25">
      <c r="A4848" s="2" t="str">
        <f ca="1">IFERROR(__xludf.DUMMYFUNCTION("""COMPUTED_VALUE"""),"fathom-protocol")</f>
        <v>fathom-protocol</v>
      </c>
      <c r="B4848" s="2" t="str">
        <f ca="1">IFERROR(__xludf.DUMMYFUNCTION("""COMPUTED_VALUE"""),"fthm")</f>
        <v>fthm</v>
      </c>
      <c r="C4848" s="2" t="str">
        <f ca="1">IFERROR(__xludf.DUMMYFUNCTION("""COMPUTED_VALUE"""),"Fathom Protocol")</f>
        <v>Fathom Protocol</v>
      </c>
    </row>
    <row r="4849" spans="1:3" x14ac:dyDescent="0.25">
      <c r="A4849" s="2" t="str">
        <f ca="1">IFERROR(__xludf.DUMMYFUNCTION("""COMPUTED_VALUE"""),"fatih-karagumruk-sk-fan-token")</f>
        <v>fatih-karagumruk-sk-fan-token</v>
      </c>
      <c r="B4849" s="2" t="str">
        <f ca="1">IFERROR(__xludf.DUMMYFUNCTION("""COMPUTED_VALUE"""),"fksk")</f>
        <v>fksk</v>
      </c>
      <c r="C4849" s="2" t="str">
        <f ca="1">IFERROR(__xludf.DUMMYFUNCTION("""COMPUTED_VALUE"""),"Fatih Karagümrük SK Fan Token")</f>
        <v>Fatih Karagümrük SK Fan Token</v>
      </c>
    </row>
    <row r="4850" spans="1:3" x14ac:dyDescent="0.25">
      <c r="A4850" s="2" t="str">
        <f ca="1">IFERROR(__xludf.DUMMYFUNCTION("""COMPUTED_VALUE"""),"fautor")</f>
        <v>fautor</v>
      </c>
      <c r="B4850" s="2" t="str">
        <f ca="1">IFERROR(__xludf.DUMMYFUNCTION("""COMPUTED_VALUE"""),"ftr")</f>
        <v>ftr</v>
      </c>
      <c r="C4850" s="2" t="str">
        <f ca="1">IFERROR(__xludf.DUMMYFUNCTION("""COMPUTED_VALUE"""),"Fautor")</f>
        <v>Fautor</v>
      </c>
    </row>
    <row r="4851" spans="1:3" x14ac:dyDescent="0.25">
      <c r="A4851" s="2" t="str">
        <f ca="1">IFERROR(__xludf.DUMMYFUNCTION("""COMPUTED_VALUE"""),"favor")</f>
        <v>favor</v>
      </c>
      <c r="B4851" s="2" t="str">
        <f ca="1">IFERROR(__xludf.DUMMYFUNCTION("""COMPUTED_VALUE"""),"favr")</f>
        <v>favr</v>
      </c>
      <c r="C4851" s="2" t="str">
        <f ca="1">IFERROR(__xludf.DUMMYFUNCTION("""COMPUTED_VALUE"""),"Favor")</f>
        <v>Favor</v>
      </c>
    </row>
    <row r="4852" spans="1:3" x14ac:dyDescent="0.25">
      <c r="A4852" s="2" t="str">
        <f ca="1">IFERROR(__xludf.DUMMYFUNCTION("""COMPUTED_VALUE"""),"faya")</f>
        <v>faya</v>
      </c>
      <c r="B4852" s="2" t="str">
        <f ca="1">IFERROR(__xludf.DUMMYFUNCTION("""COMPUTED_VALUE"""),"faya")</f>
        <v>faya</v>
      </c>
      <c r="C4852" s="2" t="str">
        <f ca="1">IFERROR(__xludf.DUMMYFUNCTION("""COMPUTED_VALUE"""),"FAYA")</f>
        <v>FAYA</v>
      </c>
    </row>
    <row r="4853" spans="1:3" x14ac:dyDescent="0.25">
      <c r="A4853" s="2" t="str">
        <f ca="1">IFERROR(__xludf.DUMMYFUNCTION("""COMPUTED_VALUE"""),"fayda-games")</f>
        <v>fayda-games</v>
      </c>
      <c r="B4853" s="2" t="str">
        <f ca="1">IFERROR(__xludf.DUMMYFUNCTION("""COMPUTED_VALUE"""),"fayd")</f>
        <v>fayd</v>
      </c>
      <c r="C4853" s="2" t="str">
        <f ca="1">IFERROR(__xludf.DUMMYFUNCTION("""COMPUTED_VALUE"""),"Fayda Games")</f>
        <v>Fayda Games</v>
      </c>
    </row>
    <row r="4854" spans="1:3" x14ac:dyDescent="0.25">
      <c r="A4854" s="2" t="str">
        <f ca="1">IFERROR(__xludf.DUMMYFUNCTION("""COMPUTED_VALUE"""),"fbomb")</f>
        <v>fbomb</v>
      </c>
      <c r="B4854" s="2" t="str">
        <f ca="1">IFERROR(__xludf.DUMMYFUNCTION("""COMPUTED_VALUE"""),"bomb")</f>
        <v>bomb</v>
      </c>
      <c r="C4854" s="2" t="str">
        <f ca="1">IFERROR(__xludf.DUMMYFUNCTION("""COMPUTED_VALUE"""),"Fantom Bomb")</f>
        <v>Fantom Bomb</v>
      </c>
    </row>
    <row r="4855" spans="1:3" x14ac:dyDescent="0.25">
      <c r="A4855" s="2" t="str">
        <f ca="1">IFERROR(__xludf.DUMMYFUNCTION("""COMPUTED_VALUE"""),"fc-barcelona-fan-token")</f>
        <v>fc-barcelona-fan-token</v>
      </c>
      <c r="B4855" s="2" t="str">
        <f ca="1">IFERROR(__xludf.DUMMYFUNCTION("""COMPUTED_VALUE"""),"bar")</f>
        <v>bar</v>
      </c>
      <c r="C4855" s="2" t="str">
        <f ca="1">IFERROR(__xludf.DUMMYFUNCTION("""COMPUTED_VALUE"""),"FC Barcelona Fan Token")</f>
        <v>FC Barcelona Fan Token</v>
      </c>
    </row>
    <row r="4856" spans="1:3" x14ac:dyDescent="0.25">
      <c r="A4856" s="2" t="str">
        <f ca="1">IFERROR(__xludf.DUMMYFUNCTION("""COMPUTED_VALUE"""),"fc-porto")</f>
        <v>fc-porto</v>
      </c>
      <c r="B4856" s="2" t="str">
        <f ca="1">IFERROR(__xludf.DUMMYFUNCTION("""COMPUTED_VALUE"""),"porto")</f>
        <v>porto</v>
      </c>
      <c r="C4856" s="2" t="str">
        <f ca="1">IFERROR(__xludf.DUMMYFUNCTION("""COMPUTED_VALUE"""),"FC Porto")</f>
        <v>FC Porto</v>
      </c>
    </row>
    <row r="4857" spans="1:3" x14ac:dyDescent="0.25">
      <c r="A4857" s="2" t="str">
        <f ca="1">IFERROR(__xludf.DUMMYFUNCTION("""COMPUTED_VALUE"""),"fcr-coin")</f>
        <v>fcr-coin</v>
      </c>
      <c r="B4857" s="2" t="str">
        <f ca="1">IFERROR(__xludf.DUMMYFUNCTION("""COMPUTED_VALUE"""),"fcr")</f>
        <v>fcr</v>
      </c>
      <c r="C4857" s="2" t="str">
        <f ca="1">IFERROR(__xludf.DUMMYFUNCTION("""COMPUTED_VALUE"""),"FCR Coin")</f>
        <v>FCR Coin</v>
      </c>
    </row>
    <row r="4858" spans="1:3" x14ac:dyDescent="0.25">
      <c r="A4858" s="2" t="str">
        <f ca="1">IFERROR(__xludf.DUMMYFUNCTION("""COMPUTED_VALUE"""),"fc-sion-fan-token")</f>
        <v>fc-sion-fan-token</v>
      </c>
      <c r="B4858" s="2" t="str">
        <f ca="1">IFERROR(__xludf.DUMMYFUNCTION("""COMPUTED_VALUE"""),"sion")</f>
        <v>sion</v>
      </c>
      <c r="C4858" s="2" t="str">
        <f ca="1">IFERROR(__xludf.DUMMYFUNCTION("""COMPUTED_VALUE"""),"FC Sion Fan Token")</f>
        <v>FC Sion Fan Token</v>
      </c>
    </row>
    <row r="4859" spans="1:3" x14ac:dyDescent="0.25">
      <c r="A4859" s="2" t="str">
        <f ca="1">IFERROR(__xludf.DUMMYFUNCTION("""COMPUTED_VALUE"""),"fcuk")</f>
        <v>fcuk</v>
      </c>
      <c r="B4859" s="2" t="str">
        <f ca="1">IFERROR(__xludf.DUMMYFUNCTION("""COMPUTED_VALUE"""),"fcuk")</f>
        <v>fcuk</v>
      </c>
      <c r="C4859" s="2" t="str">
        <f ca="1">IFERROR(__xludf.DUMMYFUNCTION("""COMPUTED_VALUE"""),"FCUK")</f>
        <v>FCUK</v>
      </c>
    </row>
    <row r="4860" spans="1:3" x14ac:dyDescent="0.25">
      <c r="A4860" s="2" t="str">
        <f ca="1">IFERROR(__xludf.DUMMYFUNCTION("""COMPUTED_VALUE"""),"fear")</f>
        <v>fear</v>
      </c>
      <c r="B4860" s="2" t="str">
        <f ca="1">IFERROR(__xludf.DUMMYFUNCTION("""COMPUTED_VALUE"""),"fear")</f>
        <v>fear</v>
      </c>
      <c r="C4860" s="2" t="str">
        <f ca="1">IFERROR(__xludf.DUMMYFUNCTION("""COMPUTED_VALUE"""),"FEAR")</f>
        <v>FEAR</v>
      </c>
    </row>
    <row r="4861" spans="1:3" x14ac:dyDescent="0.25">
      <c r="A4861" s="2" t="str">
        <f ca="1">IFERROR(__xludf.DUMMYFUNCTION("""COMPUTED_VALUE"""),"feather")</f>
        <v>feather</v>
      </c>
      <c r="B4861" s="2" t="str">
        <f ca="1">IFERROR(__xludf.DUMMYFUNCTION("""COMPUTED_VALUE"""),"fea")</f>
        <v>fea</v>
      </c>
      <c r="C4861" s="2" t="str">
        <f ca="1">IFERROR(__xludf.DUMMYFUNCTION("""COMPUTED_VALUE"""),"FEATHER")</f>
        <v>FEATHER</v>
      </c>
    </row>
    <row r="4862" spans="1:3" x14ac:dyDescent="0.25">
      <c r="A4862" s="2" t="str">
        <f ca="1">IFERROR(__xludf.DUMMYFUNCTION("""COMPUTED_VALUE"""),"feathercoin")</f>
        <v>feathercoin</v>
      </c>
      <c r="B4862" s="2" t="str">
        <f ca="1">IFERROR(__xludf.DUMMYFUNCTION("""COMPUTED_VALUE"""),"ftc")</f>
        <v>ftc</v>
      </c>
      <c r="C4862" s="2" t="str">
        <f ca="1">IFERROR(__xludf.DUMMYFUNCTION("""COMPUTED_VALUE"""),"Feathercoin")</f>
        <v>Feathercoin</v>
      </c>
    </row>
    <row r="4863" spans="1:3" x14ac:dyDescent="0.25">
      <c r="A4863" s="2" t="str">
        <f ca="1">IFERROR(__xludf.DUMMYFUNCTION("""COMPUTED_VALUE"""),"feces")</f>
        <v>feces</v>
      </c>
      <c r="B4863" s="2" t="str">
        <f ca="1">IFERROR(__xludf.DUMMYFUNCTION("""COMPUTED_VALUE"""),"feces")</f>
        <v>feces</v>
      </c>
      <c r="C4863" s="2" t="str">
        <f ca="1">IFERROR(__xludf.DUMMYFUNCTION("""COMPUTED_VALUE"""),"FECES")</f>
        <v>FECES</v>
      </c>
    </row>
    <row r="4864" spans="1:3" x14ac:dyDescent="0.25">
      <c r="A4864" s="2" t="str">
        <f ca="1">IFERROR(__xludf.DUMMYFUNCTION("""COMPUTED_VALUE"""),"federal-ai")</f>
        <v>federal-ai</v>
      </c>
      <c r="B4864" s="2" t="str">
        <f ca="1">IFERROR(__xludf.DUMMYFUNCTION("""COMPUTED_VALUE"""),"fedai")</f>
        <v>fedai</v>
      </c>
      <c r="C4864" s="2" t="str">
        <f ca="1">IFERROR(__xludf.DUMMYFUNCTION("""COMPUTED_VALUE"""),"Federal AI")</f>
        <v>Federal AI</v>
      </c>
    </row>
    <row r="4865" spans="1:3" x14ac:dyDescent="0.25">
      <c r="A4865" s="2" t="str">
        <f ca="1">IFERROR(__xludf.DUMMYFUNCTION("""COMPUTED_VALUE"""),"fedoracoin")</f>
        <v>fedoracoin</v>
      </c>
      <c r="B4865" s="2" t="str">
        <f ca="1">IFERROR(__xludf.DUMMYFUNCTION("""COMPUTED_VALUE"""),"tips")</f>
        <v>tips</v>
      </c>
      <c r="C4865" s="2" t="str">
        <f ca="1">IFERROR(__xludf.DUMMYFUNCTION("""COMPUTED_VALUE"""),"Fedoracoin")</f>
        <v>Fedoracoin</v>
      </c>
    </row>
    <row r="4866" spans="1:3" x14ac:dyDescent="0.25">
      <c r="A4866" s="2" t="str">
        <f ca="1">IFERROR(__xludf.DUMMYFUNCTION("""COMPUTED_VALUE"""),"feeder-finance")</f>
        <v>feeder-finance</v>
      </c>
      <c r="B4866" s="2" t="str">
        <f ca="1">IFERROR(__xludf.DUMMYFUNCTION("""COMPUTED_VALUE"""),"feed")</f>
        <v>feed</v>
      </c>
      <c r="C4866" s="2" t="str">
        <f ca="1">IFERROR(__xludf.DUMMYFUNCTION("""COMPUTED_VALUE"""),"Feeder Finance")</f>
        <v>Feeder Finance</v>
      </c>
    </row>
    <row r="4867" spans="1:3" x14ac:dyDescent="0.25">
      <c r="A4867" s="2" t="str">
        <f ca="1">IFERROR(__xludf.DUMMYFUNCTION("""COMPUTED_VALUE"""),"feels-good-man")</f>
        <v>feels-good-man</v>
      </c>
      <c r="B4867" s="2" t="str">
        <f ca="1">IFERROR(__xludf.DUMMYFUNCTION("""COMPUTED_VALUE"""),"good")</f>
        <v>good</v>
      </c>
      <c r="C4867" s="2" t="str">
        <f ca="1">IFERROR(__xludf.DUMMYFUNCTION("""COMPUTED_VALUE"""),"Feels Good Man")</f>
        <v>Feels Good Man</v>
      </c>
    </row>
    <row r="4868" spans="1:3" x14ac:dyDescent="0.25">
      <c r="A4868" s="2" t="str">
        <f ca="1">IFERROR(__xludf.DUMMYFUNCTION("""COMPUTED_VALUE"""),"feels-good-man-2")</f>
        <v>feels-good-man-2</v>
      </c>
      <c r="B4868" s="2" t="str">
        <f ca="1">IFERROR(__xludf.DUMMYFUNCTION("""COMPUTED_VALUE"""),"fgm")</f>
        <v>fgm</v>
      </c>
      <c r="C4868" s="2" t="str">
        <f ca="1">IFERROR(__xludf.DUMMYFUNCTION("""COMPUTED_VALUE"""),"Feels Good Man")</f>
        <v>Feels Good Man</v>
      </c>
    </row>
    <row r="4869" spans="1:3" x14ac:dyDescent="0.25">
      <c r="A4869" s="2" t="str">
        <f ca="1">IFERROR(__xludf.DUMMYFUNCTION("""COMPUTED_VALUE"""),"fefe")</f>
        <v>fefe</v>
      </c>
      <c r="B4869" s="2" t="str">
        <f ca="1">IFERROR(__xludf.DUMMYFUNCTION("""COMPUTED_VALUE"""),"fefe")</f>
        <v>fefe</v>
      </c>
      <c r="C4869" s="2" t="str">
        <f ca="1">IFERROR(__xludf.DUMMYFUNCTION("""COMPUTED_VALUE"""),"Fefe")</f>
        <v>Fefe</v>
      </c>
    </row>
    <row r="4870" spans="1:3" x14ac:dyDescent="0.25">
      <c r="A4870" s="2" t="str">
        <f ca="1">IFERROR(__xludf.DUMMYFUNCTION("""COMPUTED_VALUE"""),"fefe-on-eth")</f>
        <v>fefe-on-eth</v>
      </c>
      <c r="B4870" s="2" t="str">
        <f ca="1">IFERROR(__xludf.DUMMYFUNCTION("""COMPUTED_VALUE"""),"fefe")</f>
        <v>fefe</v>
      </c>
      <c r="C4870" s="2" t="str">
        <f ca="1">IFERROR(__xludf.DUMMYFUNCTION("""COMPUTED_VALUE"""),"Fefe")</f>
        <v>Fefe</v>
      </c>
    </row>
    <row r="4871" spans="1:3" x14ac:dyDescent="0.25">
      <c r="A4871" s="2" t="str">
        <f ca="1">IFERROR(__xludf.DUMMYFUNCTION("""COMPUTED_VALUE"""),"feg")</f>
        <v>feg</v>
      </c>
      <c r="B4871" s="2" t="str">
        <f ca="1">IFERROR(__xludf.DUMMYFUNCTION("""COMPUTED_VALUE"""),"feg")</f>
        <v>feg</v>
      </c>
      <c r="C4871" s="2" t="str">
        <f ca="1">IFERROR(__xludf.DUMMYFUNCTION("""COMPUTED_VALUE"""),"feg")</f>
        <v>feg</v>
      </c>
    </row>
    <row r="4872" spans="1:3" x14ac:dyDescent="0.25">
      <c r="A4872" s="2" t="str">
        <f ca="1">IFERROR(__xludf.DUMMYFUNCTION("""COMPUTED_VALUE"""),"feg-token-2")</f>
        <v>feg-token-2</v>
      </c>
      <c r="B4872" s="2" t="str">
        <f ca="1">IFERROR(__xludf.DUMMYFUNCTION("""COMPUTED_VALUE"""),"feg")</f>
        <v>feg</v>
      </c>
      <c r="C4872" s="2" t="str">
        <f ca="1">IFERROR(__xludf.DUMMYFUNCTION("""COMPUTED_VALUE"""),"FEED EVERY GORILLA")</f>
        <v>FEED EVERY GORILLA</v>
      </c>
    </row>
    <row r="4873" spans="1:3" x14ac:dyDescent="0.25">
      <c r="A4873" s="2" t="str">
        <f ca="1">IFERROR(__xludf.DUMMYFUNCTION("""COMPUTED_VALUE"""),"feisty-doge-nft")</f>
        <v>feisty-doge-nft</v>
      </c>
      <c r="B4873" s="2" t="str">
        <f ca="1">IFERROR(__xludf.DUMMYFUNCTION("""COMPUTED_VALUE"""),"nfd")</f>
        <v>nfd</v>
      </c>
      <c r="C4873" s="2" t="str">
        <f ca="1">IFERROR(__xludf.DUMMYFUNCTION("""COMPUTED_VALUE"""),"Feisty Doge NFT")</f>
        <v>Feisty Doge NFT</v>
      </c>
    </row>
    <row r="4874" spans="1:3" x14ac:dyDescent="0.25">
      <c r="A4874" s="2" t="str">
        <f ca="1">IFERROR(__xludf.DUMMYFUNCTION("""COMPUTED_VALUE"""),"fei-usd")</f>
        <v>fei-usd</v>
      </c>
      <c r="B4874" s="2" t="str">
        <f ca="1">IFERROR(__xludf.DUMMYFUNCTION("""COMPUTED_VALUE"""),"fei")</f>
        <v>fei</v>
      </c>
      <c r="C4874" s="2" t="str">
        <f ca="1">IFERROR(__xludf.DUMMYFUNCTION("""COMPUTED_VALUE"""),"Fei USD")</f>
        <v>Fei USD</v>
      </c>
    </row>
    <row r="4875" spans="1:3" x14ac:dyDescent="0.25">
      <c r="A4875" s="2" t="str">
        <f ca="1">IFERROR(__xludf.DUMMYFUNCTION("""COMPUTED_VALUE"""),"felicette-the-space-cat")</f>
        <v>felicette-the-space-cat</v>
      </c>
      <c r="B4875" s="2" t="str">
        <f ca="1">IFERROR(__xludf.DUMMYFUNCTION("""COMPUTED_VALUE"""),"felicette")</f>
        <v>felicette</v>
      </c>
      <c r="C4875" s="2" t="str">
        <f ca="1">IFERROR(__xludf.DUMMYFUNCTION("""COMPUTED_VALUE"""),"Felicette the Space Cat")</f>
        <v>Felicette the Space Cat</v>
      </c>
    </row>
    <row r="4876" spans="1:3" x14ac:dyDescent="0.25">
      <c r="A4876" s="2" t="str">
        <f ca="1">IFERROR(__xludf.DUMMYFUNCTION("""COMPUTED_VALUE"""),"felix")</f>
        <v>felix</v>
      </c>
      <c r="B4876" s="2" t="str">
        <f ca="1">IFERROR(__xludf.DUMMYFUNCTION("""COMPUTED_VALUE"""),"flx")</f>
        <v>flx</v>
      </c>
      <c r="C4876" s="2" t="str">
        <f ca="1">IFERROR(__xludf.DUMMYFUNCTION("""COMPUTED_VALUE"""),"Felix")</f>
        <v>Felix</v>
      </c>
    </row>
    <row r="4877" spans="1:3" x14ac:dyDescent="0.25">
      <c r="A4877" s="2" t="str">
        <f ca="1">IFERROR(__xludf.DUMMYFUNCTION("""COMPUTED_VALUE"""),"felix-2")</f>
        <v>felix-2</v>
      </c>
      <c r="B4877" s="2" t="str">
        <f ca="1">IFERROR(__xludf.DUMMYFUNCTION("""COMPUTED_VALUE"""),"felix")</f>
        <v>felix</v>
      </c>
      <c r="C4877" s="2" t="str">
        <f ca="1">IFERROR(__xludf.DUMMYFUNCTION("""COMPUTED_VALUE"""),"FELIX")</f>
        <v>FELIX</v>
      </c>
    </row>
    <row r="4878" spans="1:3" x14ac:dyDescent="0.25">
      <c r="A4878" s="2" t="str">
        <f ca="1">IFERROR(__xludf.DUMMYFUNCTION("""COMPUTED_VALUE"""),"felix-the-lazer-cat")</f>
        <v>felix-the-lazer-cat</v>
      </c>
      <c r="B4878" s="2" t="str">
        <f ca="1">IFERROR(__xludf.DUMMYFUNCTION("""COMPUTED_VALUE"""),"$peow")</f>
        <v>$peow</v>
      </c>
      <c r="C4878" s="2" t="str">
        <f ca="1">IFERROR(__xludf.DUMMYFUNCTION("""COMPUTED_VALUE"""),"Felix the lazer cat")</f>
        <v>Felix the lazer cat</v>
      </c>
    </row>
    <row r="4879" spans="1:3" x14ac:dyDescent="0.25">
      <c r="A4879" s="2" t="str">
        <f ca="1">IFERROR(__xludf.DUMMYFUNCTION("""COMPUTED_VALUE"""),"fella")</f>
        <v>fella</v>
      </c>
      <c r="B4879" s="2" t="str">
        <f ca="1">IFERROR(__xludf.DUMMYFUNCTION("""COMPUTED_VALUE"""),"fella")</f>
        <v>fella</v>
      </c>
      <c r="C4879" s="2" t="str">
        <f ca="1">IFERROR(__xludf.DUMMYFUNCTION("""COMPUTED_VALUE"""),"FELLA")</f>
        <v>FELLA</v>
      </c>
    </row>
    <row r="4880" spans="1:3" x14ac:dyDescent="0.25">
      <c r="A4880" s="2" t="str">
        <f ca="1">IFERROR(__xludf.DUMMYFUNCTION("""COMPUTED_VALUE"""),"fellaz")</f>
        <v>fellaz</v>
      </c>
      <c r="B4880" s="2" t="str">
        <f ca="1">IFERROR(__xludf.DUMMYFUNCTION("""COMPUTED_VALUE"""),"flz")</f>
        <v>flz</v>
      </c>
      <c r="C4880" s="2" t="str">
        <f ca="1">IFERROR(__xludf.DUMMYFUNCTION("""COMPUTED_VALUE"""),"Fellaz")</f>
        <v>Fellaz</v>
      </c>
    </row>
    <row r="4881" spans="1:3" x14ac:dyDescent="0.25">
      <c r="A4881" s="2" t="str">
        <f ca="1">IFERROR(__xludf.DUMMYFUNCTION("""COMPUTED_VALUE"""),"fenerbahce-token")</f>
        <v>fenerbahce-token</v>
      </c>
      <c r="B4881" s="2" t="str">
        <f ca="1">IFERROR(__xludf.DUMMYFUNCTION("""COMPUTED_VALUE"""),"fb")</f>
        <v>fb</v>
      </c>
      <c r="C4881" s="2" t="str">
        <f ca="1">IFERROR(__xludf.DUMMYFUNCTION("""COMPUTED_VALUE"""),"Fenerbahçe")</f>
        <v>Fenerbahçe</v>
      </c>
    </row>
    <row r="4882" spans="1:3" x14ac:dyDescent="0.25">
      <c r="A4882" s="2" t="str">
        <f ca="1">IFERROR(__xludf.DUMMYFUNCTION("""COMPUTED_VALUE"""),"fennec")</f>
        <v>fennec</v>
      </c>
      <c r="B4882" s="2" t="str">
        <f ca="1">IFERROR(__xludf.DUMMYFUNCTION("""COMPUTED_VALUE"""),"fnnc")</f>
        <v>fnnc</v>
      </c>
      <c r="C4882" s="2" t="str">
        <f ca="1">IFERROR(__xludf.DUMMYFUNCTION("""COMPUTED_VALUE"""),"Fennec")</f>
        <v>Fennec</v>
      </c>
    </row>
    <row r="4883" spans="1:3" x14ac:dyDescent="0.25">
      <c r="A4883" s="2" t="str">
        <f ca="1">IFERROR(__xludf.DUMMYFUNCTION("""COMPUTED_VALUE"""),"fentanyl-dragon")</f>
        <v>fentanyl-dragon</v>
      </c>
      <c r="B4883" s="2" t="str">
        <f ca="1">IFERROR(__xludf.DUMMYFUNCTION("""COMPUTED_VALUE"""),"fentanyl")</f>
        <v>fentanyl</v>
      </c>
      <c r="C4883" s="2" t="str">
        <f ca="1">IFERROR(__xludf.DUMMYFUNCTION("""COMPUTED_VALUE"""),"Fentanyl Dragon")</f>
        <v>Fentanyl Dragon</v>
      </c>
    </row>
    <row r="4884" spans="1:3" x14ac:dyDescent="0.25">
      <c r="A4884" s="2" t="str">
        <f ca="1">IFERROR(__xludf.DUMMYFUNCTION("""COMPUTED_VALUE"""),"ferma")</f>
        <v>ferma</v>
      </c>
      <c r="B4884" s="2" t="str">
        <f ca="1">IFERROR(__xludf.DUMMYFUNCTION("""COMPUTED_VALUE"""),"ferma")</f>
        <v>ferma</v>
      </c>
      <c r="C4884" s="2" t="str">
        <f ca="1">IFERROR(__xludf.DUMMYFUNCTION("""COMPUTED_VALUE"""),"Ferma")</f>
        <v>Ferma</v>
      </c>
    </row>
    <row r="4885" spans="1:3" x14ac:dyDescent="0.25">
      <c r="A4885" s="2" t="str">
        <f ca="1">IFERROR(__xludf.DUMMYFUNCTION("""COMPUTED_VALUE"""),"ferret-ai")</f>
        <v>ferret-ai</v>
      </c>
      <c r="B4885" s="2" t="str">
        <f ca="1">IFERROR(__xludf.DUMMYFUNCTION("""COMPUTED_VALUE"""),"ferret")</f>
        <v>ferret</v>
      </c>
      <c r="C4885" s="2" t="str">
        <f ca="1">IFERROR(__xludf.DUMMYFUNCTION("""COMPUTED_VALUE"""),"Ferret AI")</f>
        <v>Ferret AI</v>
      </c>
    </row>
    <row r="4886" spans="1:3" x14ac:dyDescent="0.25">
      <c r="A4886" s="2" t="str">
        <f ca="1">IFERROR(__xludf.DUMMYFUNCTION("""COMPUTED_VALUE"""),"ferro")</f>
        <v>ferro</v>
      </c>
      <c r="B4886" s="2" t="str">
        <f ca="1">IFERROR(__xludf.DUMMYFUNCTION("""COMPUTED_VALUE"""),"fer")</f>
        <v>fer</v>
      </c>
      <c r="C4886" s="2" t="str">
        <f ca="1">IFERROR(__xludf.DUMMYFUNCTION("""COMPUTED_VALUE"""),"Ferro")</f>
        <v>Ferro</v>
      </c>
    </row>
    <row r="4887" spans="1:3" x14ac:dyDescent="0.25">
      <c r="A4887" s="2" t="str">
        <f ca="1">IFERROR(__xludf.DUMMYFUNCTION("""COMPUTED_VALUE"""),"ferrum-network")</f>
        <v>ferrum-network</v>
      </c>
      <c r="B4887" s="2" t="str">
        <f ca="1">IFERROR(__xludf.DUMMYFUNCTION("""COMPUTED_VALUE"""),"frm")</f>
        <v>frm</v>
      </c>
      <c r="C4887" s="2" t="str">
        <f ca="1">IFERROR(__xludf.DUMMYFUNCTION("""COMPUTED_VALUE"""),"Ferrum Network")</f>
        <v>Ferrum Network</v>
      </c>
    </row>
    <row r="4888" spans="1:3" x14ac:dyDescent="0.25">
      <c r="A4888" s="2" t="str">
        <f ca="1">IFERROR(__xludf.DUMMYFUNCTION("""COMPUTED_VALUE"""),"fetch-ai")</f>
        <v>fetch-ai</v>
      </c>
      <c r="B4888" s="2" t="str">
        <f ca="1">IFERROR(__xludf.DUMMYFUNCTION("""COMPUTED_VALUE"""),"fet")</f>
        <v>fet</v>
      </c>
      <c r="C4888" s="2" t="str">
        <f ca="1">IFERROR(__xludf.DUMMYFUNCTION("""COMPUTED_VALUE"""),"Artificial Superintelligence Alliance")</f>
        <v>Artificial Superintelligence Alliance</v>
      </c>
    </row>
    <row r="4889" spans="1:3" x14ac:dyDescent="0.25">
      <c r="A4889" s="2" t="str">
        <f ca="1">IFERROR(__xludf.DUMMYFUNCTION("""COMPUTED_VALUE"""),"few-and-far")</f>
        <v>few-and-far</v>
      </c>
      <c r="B4889" s="2" t="str">
        <f ca="1">IFERROR(__xludf.DUMMYFUNCTION("""COMPUTED_VALUE"""),"far")</f>
        <v>far</v>
      </c>
      <c r="C4889" s="2" t="str">
        <f ca="1">IFERROR(__xludf.DUMMYFUNCTION("""COMPUTED_VALUE"""),"Few and Far")</f>
        <v>Few and Far</v>
      </c>
    </row>
    <row r="4890" spans="1:3" x14ac:dyDescent="0.25">
      <c r="A4890" s="2" t="str">
        <f ca="1">IFERROR(__xludf.DUMMYFUNCTION("""COMPUTED_VALUE"""),"fgdswap")</f>
        <v>fgdswap</v>
      </c>
      <c r="B4890" s="2" t="str">
        <f ca="1">IFERROR(__xludf.DUMMYFUNCTION("""COMPUTED_VALUE"""),"fgds")</f>
        <v>fgds</v>
      </c>
      <c r="C4890" s="2" t="str">
        <f ca="1">IFERROR(__xludf.DUMMYFUNCTION("""COMPUTED_VALUE"""),"FGDSwap")</f>
        <v>FGDSwap</v>
      </c>
    </row>
    <row r="4891" spans="1:3" x14ac:dyDescent="0.25">
      <c r="A4891" s="2" t="str">
        <f ca="1">IFERROR(__xludf.DUMMYFUNCTION("""COMPUTED_VALUE"""),"fhb")</f>
        <v>fhb</v>
      </c>
      <c r="B4891" s="2" t="str">
        <f ca="1">IFERROR(__xludf.DUMMYFUNCTION("""COMPUTED_VALUE"""),"fhb")</f>
        <v>fhb</v>
      </c>
      <c r="C4891" s="2" t="str">
        <f ca="1">IFERROR(__xludf.DUMMYFUNCTION("""COMPUTED_VALUE"""),"FHB")</f>
        <v>FHB</v>
      </c>
    </row>
    <row r="4892" spans="1:3" x14ac:dyDescent="0.25">
      <c r="A4892" s="2" t="str">
        <f ca="1">IFERROR(__xludf.DUMMYFUNCTION("""COMPUTED_VALUE"""),"fiat24-chf")</f>
        <v>fiat24-chf</v>
      </c>
      <c r="B4892" s="2" t="str">
        <f ca="1">IFERROR(__xludf.DUMMYFUNCTION("""COMPUTED_VALUE"""),"chf24")</f>
        <v>chf24</v>
      </c>
      <c r="C4892" s="2" t="str">
        <f ca="1">IFERROR(__xludf.DUMMYFUNCTION("""COMPUTED_VALUE"""),"Fiat24 CHF")</f>
        <v>Fiat24 CHF</v>
      </c>
    </row>
    <row r="4893" spans="1:3" x14ac:dyDescent="0.25">
      <c r="A4893" s="2" t="str">
        <f ca="1">IFERROR(__xludf.DUMMYFUNCTION("""COMPUTED_VALUE"""),"fiat24-eur")</f>
        <v>fiat24-eur</v>
      </c>
      <c r="B4893" s="2" t="str">
        <f ca="1">IFERROR(__xludf.DUMMYFUNCTION("""COMPUTED_VALUE"""),"eur24")</f>
        <v>eur24</v>
      </c>
      <c r="C4893" s="2" t="str">
        <f ca="1">IFERROR(__xludf.DUMMYFUNCTION("""COMPUTED_VALUE"""),"Fiat24 EUR")</f>
        <v>Fiat24 EUR</v>
      </c>
    </row>
    <row r="4894" spans="1:3" x14ac:dyDescent="0.25">
      <c r="A4894" s="2" t="str">
        <f ca="1">IFERROR(__xludf.DUMMYFUNCTION("""COMPUTED_VALUE"""),"fiat24-usd")</f>
        <v>fiat24-usd</v>
      </c>
      <c r="B4894" s="2" t="str">
        <f ca="1">IFERROR(__xludf.DUMMYFUNCTION("""COMPUTED_VALUE"""),"usd24")</f>
        <v>usd24</v>
      </c>
      <c r="C4894" s="2" t="str">
        <f ca="1">IFERROR(__xludf.DUMMYFUNCTION("""COMPUTED_VALUE"""),"Fiat24 USD")</f>
        <v>Fiat24 USD</v>
      </c>
    </row>
    <row r="4895" spans="1:3" x14ac:dyDescent="0.25">
      <c r="A4895" s="2" t="str">
        <f ca="1">IFERROR(__xludf.DUMMYFUNCTION("""COMPUTED_VALUE"""),"fiber-network")</f>
        <v>fiber-network</v>
      </c>
      <c r="B4895" s="2" t="str">
        <f ca="1">IFERROR(__xludf.DUMMYFUNCTION("""COMPUTED_VALUE"""),"fiber")</f>
        <v>fiber</v>
      </c>
      <c r="C4895" s="2" t="str">
        <f ca="1">IFERROR(__xludf.DUMMYFUNCTION("""COMPUTED_VALUE"""),"Fiber Network")</f>
        <v>Fiber Network</v>
      </c>
    </row>
    <row r="4896" spans="1:3" x14ac:dyDescent="0.25">
      <c r="A4896" s="2" t="str">
        <f ca="1">IFERROR(__xludf.DUMMYFUNCTION("""COMPUTED_VALUE"""),"fibonacci")</f>
        <v>fibonacci</v>
      </c>
      <c r="B4896" s="2" t="str">
        <f ca="1">IFERROR(__xludf.DUMMYFUNCTION("""COMPUTED_VALUE"""),"fibo")</f>
        <v>fibo</v>
      </c>
      <c r="C4896" s="2" t="str">
        <f ca="1">IFERROR(__xludf.DUMMYFUNCTION("""COMPUTED_VALUE"""),"Fibonacci")</f>
        <v>Fibonacci</v>
      </c>
    </row>
    <row r="4897" spans="1:3" x14ac:dyDescent="0.25">
      <c r="A4897" s="2" t="str">
        <f ca="1">IFERROR(__xludf.DUMMYFUNCTION("""COMPUTED_VALUE"""),"fibos")</f>
        <v>fibos</v>
      </c>
      <c r="B4897" s="2" t="str">
        <f ca="1">IFERROR(__xludf.DUMMYFUNCTION("""COMPUTED_VALUE"""),"fo")</f>
        <v>fo</v>
      </c>
      <c r="C4897" s="2" t="str">
        <f ca="1">IFERROR(__xludf.DUMMYFUNCTION("""COMPUTED_VALUE"""),"FIBOS")</f>
        <v>FIBOS</v>
      </c>
    </row>
    <row r="4898" spans="1:3" x14ac:dyDescent="0.25">
      <c r="A4898" s="2" t="str">
        <f ca="1">IFERROR(__xludf.DUMMYFUNCTION("""COMPUTED_VALUE"""),"fidance")</f>
        <v>fidance</v>
      </c>
      <c r="B4898" s="2" t="str">
        <f ca="1">IFERROR(__xludf.DUMMYFUNCTION("""COMPUTED_VALUE"""),"fdc")</f>
        <v>fdc</v>
      </c>
      <c r="C4898" s="2" t="str">
        <f ca="1">IFERROR(__xludf.DUMMYFUNCTION("""COMPUTED_VALUE"""),"Fidance")</f>
        <v>Fidance</v>
      </c>
    </row>
    <row r="4899" spans="1:3" x14ac:dyDescent="0.25">
      <c r="A4899" s="2" t="str">
        <f ca="1">IFERROR(__xludf.DUMMYFUNCTION("""COMPUTED_VALUE"""),"fideum")</f>
        <v>fideum</v>
      </c>
      <c r="B4899" s="2" t="str">
        <f ca="1">IFERROR(__xludf.DUMMYFUNCTION("""COMPUTED_VALUE"""),"fi")</f>
        <v>fi</v>
      </c>
      <c r="C4899" s="2" t="str">
        <f ca="1">IFERROR(__xludf.DUMMYFUNCTION("""COMPUTED_VALUE"""),"Fideum")</f>
        <v>Fideum</v>
      </c>
    </row>
    <row r="4900" spans="1:3" x14ac:dyDescent="0.25">
      <c r="A4900" s="2" t="str">
        <f ca="1">IFERROR(__xludf.DUMMYFUNCTION("""COMPUTED_VALUE"""),"fidira")</f>
        <v>fidira</v>
      </c>
      <c r="B4900" s="2" t="str">
        <f ca="1">IFERROR(__xludf.DUMMYFUNCTION("""COMPUTED_VALUE"""),"fid")</f>
        <v>fid</v>
      </c>
      <c r="C4900" s="2" t="str">
        <f ca="1">IFERROR(__xludf.DUMMYFUNCTION("""COMPUTED_VALUE"""),"Fidira")</f>
        <v>Fidira</v>
      </c>
    </row>
    <row r="4901" spans="1:3" x14ac:dyDescent="0.25">
      <c r="A4901" s="2" t="str">
        <f ca="1">IFERROR(__xludf.DUMMYFUNCTION("""COMPUTED_VALUE"""),"fido")</f>
        <v>fido</v>
      </c>
      <c r="B4901" s="2" t="str">
        <f ca="1">IFERROR(__xludf.DUMMYFUNCTION("""COMPUTED_VALUE"""),"fido")</f>
        <v>fido</v>
      </c>
      <c r="C4901" s="2" t="str">
        <f ca="1">IFERROR(__xludf.DUMMYFUNCTION("""COMPUTED_VALUE"""),"Fido")</f>
        <v>Fido</v>
      </c>
    </row>
    <row r="4902" spans="1:3" x14ac:dyDescent="0.25">
      <c r="A4902" s="2" t="str">
        <f ca="1">IFERROR(__xludf.DUMMYFUNCTION("""COMPUTED_VALUE"""),"fidu")</f>
        <v>fidu</v>
      </c>
      <c r="B4902" s="2" t="str">
        <f ca="1">IFERROR(__xludf.DUMMYFUNCTION("""COMPUTED_VALUE"""),"fidu")</f>
        <v>fidu</v>
      </c>
      <c r="C4902" s="2" t="str">
        <f ca="1">IFERROR(__xludf.DUMMYFUNCTION("""COMPUTED_VALUE"""),"Fidu")</f>
        <v>Fidu</v>
      </c>
    </row>
    <row r="4903" spans="1:3" x14ac:dyDescent="0.25">
      <c r="A4903" s="2" t="str">
        <f ca="1">IFERROR(__xludf.DUMMYFUNCTION("""COMPUTED_VALUE"""),"fierdragon")</f>
        <v>fierdragon</v>
      </c>
      <c r="B4903" s="2" t="str">
        <f ca="1">IFERROR(__xludf.DUMMYFUNCTION("""COMPUTED_VALUE"""),"fierdragon")</f>
        <v>fierdragon</v>
      </c>
      <c r="C4903" s="2" t="str">
        <f ca="1">IFERROR(__xludf.DUMMYFUNCTION("""COMPUTED_VALUE"""),"FierDragon")</f>
        <v>FierDragon</v>
      </c>
    </row>
    <row r="4904" spans="1:3" x14ac:dyDescent="0.25">
      <c r="A4904" s="2" t="str">
        <f ca="1">IFERROR(__xludf.DUMMYFUNCTION("""COMPUTED_VALUE"""),"fiero")</f>
        <v>fiero</v>
      </c>
      <c r="B4904" s="2" t="str">
        <f ca="1">IFERROR(__xludf.DUMMYFUNCTION("""COMPUTED_VALUE"""),"fiero")</f>
        <v>fiero</v>
      </c>
      <c r="C4904" s="2" t="str">
        <f ca="1">IFERROR(__xludf.DUMMYFUNCTION("""COMPUTED_VALUE"""),"Fiero")</f>
        <v>Fiero</v>
      </c>
    </row>
    <row r="4905" spans="1:3" x14ac:dyDescent="0.25">
      <c r="A4905" s="2" t="str">
        <f ca="1">IFERROR(__xludf.DUMMYFUNCTION("""COMPUTED_VALUE"""),"fight")</f>
        <v>fight</v>
      </c>
      <c r="B4905" s="2" t="str">
        <f ca="1">IFERROR(__xludf.DUMMYFUNCTION("""COMPUTED_VALUE"""),"fight")</f>
        <v>fight</v>
      </c>
      <c r="C4905" s="2" t="str">
        <f ca="1">IFERROR(__xludf.DUMMYFUNCTION("""COMPUTED_VALUE"""),"FIGHT")</f>
        <v>FIGHT</v>
      </c>
    </row>
    <row r="4906" spans="1:3" x14ac:dyDescent="0.25">
      <c r="A4906" s="2" t="str">
        <f ca="1">IFERROR(__xludf.DUMMYFUNCTION("""COMPUTED_VALUE"""),"fightly")</f>
        <v>fightly</v>
      </c>
      <c r="B4906" s="2" t="str">
        <f ca="1">IFERROR(__xludf.DUMMYFUNCTION("""COMPUTED_VALUE"""),"sft")</f>
        <v>sft</v>
      </c>
      <c r="C4906" s="2" t="str">
        <f ca="1">IFERROR(__xludf.DUMMYFUNCTION("""COMPUTED_VALUE"""),"Fightly")</f>
        <v>Fightly</v>
      </c>
    </row>
    <row r="4907" spans="1:3" x14ac:dyDescent="0.25">
      <c r="A4907" s="2" t="str">
        <f ca="1">IFERROR(__xludf.DUMMYFUNCTION("""COMPUTED_VALUE"""),"fight-of-the-ages")</f>
        <v>fight-of-the-ages</v>
      </c>
      <c r="B4907" s="2" t="str">
        <f ca="1">IFERROR(__xludf.DUMMYFUNCTION("""COMPUTED_VALUE"""),"fota")</f>
        <v>fota</v>
      </c>
      <c r="C4907" s="2" t="str">
        <f ca="1">IFERROR(__xludf.DUMMYFUNCTION("""COMPUTED_VALUE"""),"Fight Of The Ages")</f>
        <v>Fight Of The Ages</v>
      </c>
    </row>
    <row r="4908" spans="1:3" x14ac:dyDescent="0.25">
      <c r="A4908" s="2" t="str">
        <f ca="1">IFERROR(__xludf.DUMMYFUNCTION("""COMPUTED_VALUE"""),"fight-to-maga")</f>
        <v>fight-to-maga</v>
      </c>
      <c r="B4908" s="2" t="str">
        <f ca="1">IFERROR(__xludf.DUMMYFUNCTION("""COMPUTED_VALUE"""),"fight")</f>
        <v>fight</v>
      </c>
      <c r="C4908" s="2" t="str">
        <f ca="1">IFERROR(__xludf.DUMMYFUNCTION("""COMPUTED_VALUE"""),"Fight to MAGA")</f>
        <v>Fight to MAGA</v>
      </c>
    </row>
    <row r="4909" spans="1:3" x14ac:dyDescent="0.25">
      <c r="A4909" s="2" t="str">
        <f ca="1">IFERROR(__xludf.DUMMYFUNCTION("""COMPUTED_VALUE"""),"fight-win-ai")</f>
        <v>fight-win-ai</v>
      </c>
      <c r="B4909" s="2" t="str">
        <f ca="1">IFERROR(__xludf.DUMMYFUNCTION("""COMPUTED_VALUE"""),"fwin-ai")</f>
        <v>fwin-ai</v>
      </c>
      <c r="C4909" s="2" t="str">
        <f ca="1">IFERROR(__xludf.DUMMYFUNCTION("""COMPUTED_VALUE"""),"Fight Win AI")</f>
        <v>Fight Win AI</v>
      </c>
    </row>
    <row r="4910" spans="1:3" x14ac:dyDescent="0.25">
      <c r="A4910" s="2" t="str">
        <f ca="1">IFERROR(__xludf.DUMMYFUNCTION("""COMPUTED_VALUE"""),"figure-ai")</f>
        <v>figure-ai</v>
      </c>
      <c r="B4910" s="2" t="str">
        <f ca="1">IFERROR(__xludf.DUMMYFUNCTION("""COMPUTED_VALUE"""),"fai")</f>
        <v>fai</v>
      </c>
      <c r="C4910" s="2" t="str">
        <f ca="1">IFERROR(__xludf.DUMMYFUNCTION("""COMPUTED_VALUE"""),"FIGURE AI")</f>
        <v>FIGURE AI</v>
      </c>
    </row>
    <row r="4911" spans="1:3" x14ac:dyDescent="0.25">
      <c r="A4911" s="2" t="str">
        <f ca="1">IFERROR(__xludf.DUMMYFUNCTION("""COMPUTED_VALUE"""),"filecoin")</f>
        <v>filecoin</v>
      </c>
      <c r="B4911" s="2" t="str">
        <f ca="1">IFERROR(__xludf.DUMMYFUNCTION("""COMPUTED_VALUE"""),"fil")</f>
        <v>fil</v>
      </c>
      <c r="C4911" s="2" t="str">
        <f ca="1">IFERROR(__xludf.DUMMYFUNCTION("""COMPUTED_VALUE"""),"Filecoin")</f>
        <v>Filecoin</v>
      </c>
    </row>
    <row r="4912" spans="1:3" x14ac:dyDescent="0.25">
      <c r="A4912" s="2" t="str">
        <f ca="1">IFERROR(__xludf.DUMMYFUNCTION("""COMPUTED_VALUE"""),"filecoin-standard-full-hashrate")</f>
        <v>filecoin-standard-full-hashrate</v>
      </c>
      <c r="B4912" s="2" t="str">
        <f ca="1">IFERROR(__xludf.DUMMYFUNCTION("""COMPUTED_VALUE"""),"sfil")</f>
        <v>sfil</v>
      </c>
      <c r="C4912" s="2" t="str">
        <f ca="1">IFERROR(__xludf.DUMMYFUNCTION("""COMPUTED_VALUE"""),"Filecoin Standard Full Hashrate")</f>
        <v>Filecoin Standard Full Hashrate</v>
      </c>
    </row>
    <row r="4913" spans="1:3" x14ac:dyDescent="0.25">
      <c r="A4913" s="2" t="str">
        <f ca="1">IFERROR(__xludf.DUMMYFUNCTION("""COMPUTED_VALUE"""),"filestar")</f>
        <v>filestar</v>
      </c>
      <c r="B4913" s="2" t="str">
        <f ca="1">IFERROR(__xludf.DUMMYFUNCTION("""COMPUTED_VALUE"""),"star")</f>
        <v>star</v>
      </c>
      <c r="C4913" s="2" t="str">
        <f ca="1">IFERROR(__xludf.DUMMYFUNCTION("""COMPUTED_VALUE"""),"FileStar")</f>
        <v>FileStar</v>
      </c>
    </row>
    <row r="4914" spans="1:3" x14ac:dyDescent="0.25">
      <c r="A4914" s="2" t="str">
        <f ca="1">IFERROR(__xludf.DUMMYFUNCTION("""COMPUTED_VALUE"""),"filipcoin")</f>
        <v>filipcoin</v>
      </c>
      <c r="B4914" s="2" t="str">
        <f ca="1">IFERROR(__xludf.DUMMYFUNCTION("""COMPUTED_VALUE"""),"fcp")</f>
        <v>fcp</v>
      </c>
      <c r="C4914" s="2" t="str">
        <f ca="1">IFERROR(__xludf.DUMMYFUNCTION("""COMPUTED_VALUE"""),"Filipcoin")</f>
        <v>Filipcoin</v>
      </c>
    </row>
    <row r="4915" spans="1:3" x14ac:dyDescent="0.25">
      <c r="A4915" s="2" t="str">
        <f ca="1">IFERROR(__xludf.DUMMYFUNCTION("""COMPUTED_VALUE"""),"filmcredits")</f>
        <v>filmcredits</v>
      </c>
      <c r="B4915" s="2" t="str">
        <f ca="1">IFERROR(__xludf.DUMMYFUNCTION("""COMPUTED_VALUE"""),"film")</f>
        <v>film</v>
      </c>
      <c r="C4915" s="2" t="str">
        <f ca="1">IFERROR(__xludf.DUMMYFUNCTION("""COMPUTED_VALUE"""),"FILMCredits")</f>
        <v>FILMCredits</v>
      </c>
    </row>
    <row r="4916" spans="1:3" x14ac:dyDescent="0.25">
      <c r="A4916" s="2" t="str">
        <f ca="1">IFERROR(__xludf.DUMMYFUNCTION("""COMPUTED_VALUE"""),"filter-ai")</f>
        <v>filter-ai</v>
      </c>
      <c r="B4916" s="2" t="str">
        <f ca="1">IFERROR(__xludf.DUMMYFUNCTION("""COMPUTED_VALUE"""),"filter")</f>
        <v>filter</v>
      </c>
      <c r="C4916" s="2" t="str">
        <f ca="1">IFERROR(__xludf.DUMMYFUNCTION("""COMPUTED_VALUE"""),"Filter AI")</f>
        <v>Filter AI</v>
      </c>
    </row>
    <row r="4917" spans="1:3" x14ac:dyDescent="0.25">
      <c r="A4917" s="2" t="str">
        <f ca="1">IFERROR(__xludf.DUMMYFUNCTION("""COMPUTED_VALUE"""),"fimarkcoin-com")</f>
        <v>fimarkcoin-com</v>
      </c>
      <c r="B4917" s="2" t="str">
        <f ca="1">IFERROR(__xludf.DUMMYFUNCTION("""COMPUTED_VALUE"""),"fmc")</f>
        <v>fmc</v>
      </c>
      <c r="C4917" s="3" t="str">
        <f ca="1">IFERROR(__xludf.DUMMYFUNCTION("""COMPUTED_VALUE"""),"Fimarkcoin.com")</f>
        <v>Fimarkcoin.com</v>
      </c>
    </row>
    <row r="4918" spans="1:3" x14ac:dyDescent="0.25">
      <c r="A4918" s="2" t="str">
        <f ca="1">IFERROR(__xludf.DUMMYFUNCTION("""COMPUTED_VALUE"""),"fina")</f>
        <v>fina</v>
      </c>
      <c r="B4918" s="2" t="str">
        <f ca="1">IFERROR(__xludf.DUMMYFUNCTION("""COMPUTED_VALUE"""),"fina")</f>
        <v>fina</v>
      </c>
      <c r="C4918" s="2" t="str">
        <f ca="1">IFERROR(__xludf.DUMMYFUNCTION("""COMPUTED_VALUE"""),"Fina.cash")</f>
        <v>Fina.cash</v>
      </c>
    </row>
    <row r="4919" spans="1:3" x14ac:dyDescent="0.25">
      <c r="A4919" s="2" t="str">
        <f ca="1">IFERROR(__xludf.DUMMYFUNCTION("""COMPUTED_VALUE"""),"finance-blocks")</f>
        <v>finance-blocks</v>
      </c>
      <c r="B4919" s="2" t="str">
        <f ca="1">IFERROR(__xludf.DUMMYFUNCTION("""COMPUTED_VALUE"""),"fbx")</f>
        <v>fbx</v>
      </c>
      <c r="C4919" s="2" t="str">
        <f ca="1">IFERROR(__xludf.DUMMYFUNCTION("""COMPUTED_VALUE"""),"Finance Blocks")</f>
        <v>Finance Blocks</v>
      </c>
    </row>
    <row r="4920" spans="1:3" x14ac:dyDescent="0.25">
      <c r="A4920" s="2" t="str">
        <f ca="1">IFERROR(__xludf.DUMMYFUNCTION("""COMPUTED_VALUE"""),"finance-vote")</f>
        <v>finance-vote</v>
      </c>
      <c r="B4920" s="2" t="str">
        <f ca="1">IFERROR(__xludf.DUMMYFUNCTION("""COMPUTED_VALUE"""),"fvt")</f>
        <v>fvt</v>
      </c>
      <c r="C4920" s="2" t="str">
        <f ca="1">IFERROR(__xludf.DUMMYFUNCTION("""COMPUTED_VALUE"""),"Finance Vote")</f>
        <v>Finance Vote</v>
      </c>
    </row>
    <row r="4921" spans="1:3" x14ac:dyDescent="0.25">
      <c r="A4921" s="2" t="str">
        <f ca="1">IFERROR(__xludf.DUMMYFUNCTION("""COMPUTED_VALUE"""),"financial-freedom-formula")</f>
        <v>financial-freedom-formula</v>
      </c>
      <c r="B4921" s="2" t="str">
        <f ca="1">IFERROR(__xludf.DUMMYFUNCTION("""COMPUTED_VALUE"""),"fff")</f>
        <v>fff</v>
      </c>
      <c r="C4921" s="2" t="str">
        <f ca="1">IFERROR(__xludf.DUMMYFUNCTION("""COMPUTED_VALUE"""),"Financial Freedom Formula")</f>
        <v>Financial Freedom Formula</v>
      </c>
    </row>
    <row r="4922" spans="1:3" x14ac:dyDescent="0.25">
      <c r="A4922" s="2" t="str">
        <f ca="1">IFERROR(__xludf.DUMMYFUNCTION("""COMPUTED_VALUE"""),"financial-transaction-system")</f>
        <v>financial-transaction-system</v>
      </c>
      <c r="B4922" s="2" t="str">
        <f ca="1">IFERROR(__xludf.DUMMYFUNCTION("""COMPUTED_VALUE"""),"fts")</f>
        <v>fts</v>
      </c>
      <c r="C4922" s="2" t="str">
        <f ca="1">IFERROR(__xludf.DUMMYFUNCTION("""COMPUTED_VALUE"""),"FINANCIAL TRANSACTION SYSTEM")</f>
        <v>FINANCIAL TRANSACTION SYSTEM</v>
      </c>
    </row>
    <row r="4923" spans="1:3" x14ac:dyDescent="0.25">
      <c r="A4923" s="2" t="str">
        <f ca="1">IFERROR(__xludf.DUMMYFUNCTION("""COMPUTED_VALUE"""),"financie-token")</f>
        <v>financie-token</v>
      </c>
      <c r="B4923" s="2" t="str">
        <f ca="1">IFERROR(__xludf.DUMMYFUNCTION("""COMPUTED_VALUE"""),"fnct")</f>
        <v>fnct</v>
      </c>
      <c r="C4923" s="2" t="str">
        <f ca="1">IFERROR(__xludf.DUMMYFUNCTION("""COMPUTED_VALUE"""),"Financie Token")</f>
        <v>Financie Token</v>
      </c>
    </row>
    <row r="4924" spans="1:3" x14ac:dyDescent="0.25">
      <c r="A4924" s="2" t="str">
        <f ca="1">IFERROR(__xludf.DUMMYFUNCTION("""COMPUTED_VALUE"""),"finblox")</f>
        <v>finblox</v>
      </c>
      <c r="B4924" s="2" t="str">
        <f ca="1">IFERROR(__xludf.DUMMYFUNCTION("""COMPUTED_VALUE"""),"fbx")</f>
        <v>fbx</v>
      </c>
      <c r="C4924" s="2" t="str">
        <f ca="1">IFERROR(__xludf.DUMMYFUNCTION("""COMPUTED_VALUE"""),"Finblox")</f>
        <v>Finblox</v>
      </c>
    </row>
    <row r="4925" spans="1:3" x14ac:dyDescent="0.25">
      <c r="A4925" s="2" t="str">
        <f ca="1">IFERROR(__xludf.DUMMYFUNCTION("""COMPUTED_VALUE"""),"finceptor-token")</f>
        <v>finceptor-token</v>
      </c>
      <c r="B4925" s="2" t="str">
        <f ca="1">IFERROR(__xludf.DUMMYFUNCTION("""COMPUTED_VALUE"""),"finc")</f>
        <v>finc</v>
      </c>
      <c r="C4925" s="2" t="str">
        <f ca="1">IFERROR(__xludf.DUMMYFUNCTION("""COMPUTED_VALUE"""),"Finceptor")</f>
        <v>Finceptor</v>
      </c>
    </row>
    <row r="4926" spans="1:3" x14ac:dyDescent="0.25">
      <c r="A4926" s="2" t="str">
        <f ca="1">IFERROR(__xludf.DUMMYFUNCTION("""COMPUTED_VALUE"""),"find-check")</f>
        <v>find-check</v>
      </c>
      <c r="B4926" s="2" t="str">
        <f ca="1">IFERROR(__xludf.DUMMYFUNCTION("""COMPUTED_VALUE"""),"dyor")</f>
        <v>dyor</v>
      </c>
      <c r="C4926" s="2" t="str">
        <f ca="1">IFERROR(__xludf.DUMMYFUNCTION("""COMPUTED_VALUE"""),"DYOR Coin")</f>
        <v>DYOR Coin</v>
      </c>
    </row>
    <row r="4927" spans="1:3" x14ac:dyDescent="0.25">
      <c r="A4927" s="2" t="str">
        <f ca="1">IFERROR(__xludf.DUMMYFUNCTION("""COMPUTED_VALUE"""),"finder-ai")</f>
        <v>finder-ai</v>
      </c>
      <c r="B4927" s="2" t="str">
        <f ca="1">IFERROR(__xludf.DUMMYFUNCTION("""COMPUTED_VALUE"""),"finder")</f>
        <v>finder</v>
      </c>
      <c r="C4927" s="2" t="str">
        <f ca="1">IFERROR(__xludf.DUMMYFUNCTION("""COMPUTED_VALUE"""),"Finder AI")</f>
        <v>Finder AI</v>
      </c>
    </row>
    <row r="4928" spans="1:3" x14ac:dyDescent="0.25">
      <c r="A4928" s="2" t="str">
        <f ca="1">IFERROR(__xludf.DUMMYFUNCTION("""COMPUTED_VALUE"""),"findme")</f>
        <v>findme</v>
      </c>
      <c r="B4928" s="2" t="str">
        <f ca="1">IFERROR(__xludf.DUMMYFUNCTION("""COMPUTED_VALUE"""),"findme")</f>
        <v>findme</v>
      </c>
      <c r="C4928" s="2" t="str">
        <f ca="1">IFERROR(__xludf.DUMMYFUNCTION("""COMPUTED_VALUE"""),"FindMe")</f>
        <v>FindMe</v>
      </c>
    </row>
    <row r="4929" spans="1:3" x14ac:dyDescent="0.25">
      <c r="A4929" s="2" t="str">
        <f ca="1">IFERROR(__xludf.DUMMYFUNCTION("""COMPUTED_VALUE"""),"findora")</f>
        <v>findora</v>
      </c>
      <c r="B4929" s="2" t="str">
        <f ca="1">IFERROR(__xludf.DUMMYFUNCTION("""COMPUTED_VALUE"""),"fra")</f>
        <v>fra</v>
      </c>
      <c r="C4929" s="2" t="str">
        <f ca="1">IFERROR(__xludf.DUMMYFUNCTION("""COMPUTED_VALUE"""),"Fractal")</f>
        <v>Fractal</v>
      </c>
    </row>
    <row r="4930" spans="1:3" x14ac:dyDescent="0.25">
      <c r="A4930" s="2" t="str">
        <f ca="1">IFERROR(__xludf.DUMMYFUNCTION("""COMPUTED_VALUE"""),"fine")</f>
        <v>fine</v>
      </c>
      <c r="B4930" s="2" t="str">
        <f ca="1">IFERROR(__xludf.DUMMYFUNCTION("""COMPUTED_VALUE"""),"fine")</f>
        <v>fine</v>
      </c>
      <c r="C4930" s="2" t="str">
        <f ca="1">IFERROR(__xludf.DUMMYFUNCTION("""COMPUTED_VALUE"""),"FINE")</f>
        <v>FINE</v>
      </c>
    </row>
    <row r="4931" spans="1:3" x14ac:dyDescent="0.25">
      <c r="A4931" s="2" t="str">
        <f ca="1">IFERROR(__xludf.DUMMYFUNCTION("""COMPUTED_VALUE"""),"finedog")</f>
        <v>finedog</v>
      </c>
      <c r="B4931" s="2" t="str">
        <f ca="1">IFERROR(__xludf.DUMMYFUNCTION("""COMPUTED_VALUE"""),"finedog")</f>
        <v>finedog</v>
      </c>
      <c r="C4931" s="2" t="str">
        <f ca="1">IFERROR(__xludf.DUMMYFUNCTION("""COMPUTED_VALUE"""),"FineDog")</f>
        <v>FineDog</v>
      </c>
    </row>
    <row r="4932" spans="1:3" x14ac:dyDescent="0.25">
      <c r="A4932" s="2" t="str">
        <f ca="1">IFERROR(__xludf.DUMMYFUNCTION("""COMPUTED_VALUE"""),"finger-blast")</f>
        <v>finger-blast</v>
      </c>
      <c r="B4932" s="2" t="str">
        <f ca="1">IFERROR(__xludf.DUMMYFUNCTION("""COMPUTED_VALUE"""),"finger")</f>
        <v>finger</v>
      </c>
      <c r="C4932" s="2" t="str">
        <f ca="1">IFERROR(__xludf.DUMMYFUNCTION("""COMPUTED_VALUE"""),"Finger Blast")</f>
        <v>Finger Blast</v>
      </c>
    </row>
    <row r="4933" spans="1:3" x14ac:dyDescent="0.25">
      <c r="A4933" s="2" t="str">
        <f ca="1">IFERROR(__xludf.DUMMYFUNCTION("""COMPUTED_VALUE"""),"fingerprints")</f>
        <v>fingerprints</v>
      </c>
      <c r="B4933" s="2" t="str">
        <f ca="1">IFERROR(__xludf.DUMMYFUNCTION("""COMPUTED_VALUE"""),"prints")</f>
        <v>prints</v>
      </c>
      <c r="C4933" s="2" t="str">
        <f ca="1">IFERROR(__xludf.DUMMYFUNCTION("""COMPUTED_VALUE"""),"FingerprintsDAO")</f>
        <v>FingerprintsDAO</v>
      </c>
    </row>
    <row r="4934" spans="1:3" x14ac:dyDescent="0.25">
      <c r="A4934" s="2" t="str">
        <f ca="1">IFERROR(__xludf.DUMMYFUNCTION("""COMPUTED_VALUE"""),"fink-different")</f>
        <v>fink-different</v>
      </c>
      <c r="B4934" s="2" t="str">
        <f ca="1">IFERROR(__xludf.DUMMYFUNCTION("""COMPUTED_VALUE"""),"fink")</f>
        <v>fink</v>
      </c>
      <c r="C4934" s="2" t="str">
        <f ca="1">IFERROR(__xludf.DUMMYFUNCTION("""COMPUTED_VALUE"""),"fink")</f>
        <v>fink</v>
      </c>
    </row>
    <row r="4935" spans="1:3" x14ac:dyDescent="0.25">
      <c r="A4935" s="2" t="str">
        <f ca="1">IFERROR(__xludf.DUMMYFUNCTION("""COMPUTED_VALUE"""),"finminity")</f>
        <v>finminity</v>
      </c>
      <c r="B4935" s="2" t="str">
        <f ca="1">IFERROR(__xludf.DUMMYFUNCTION("""COMPUTED_VALUE"""),"fmt")</f>
        <v>fmt</v>
      </c>
      <c r="C4935" s="2" t="str">
        <f ca="1">IFERROR(__xludf.DUMMYFUNCTION("""COMPUTED_VALUE"""),"Finminity")</f>
        <v>Finminity</v>
      </c>
    </row>
    <row r="4936" spans="1:3" x14ac:dyDescent="0.25">
      <c r="A4936" s="2" t="str">
        <f ca="1">IFERROR(__xludf.DUMMYFUNCTION("""COMPUTED_VALUE"""),"fins-token")</f>
        <v>fins-token</v>
      </c>
      <c r="B4936" s="2" t="str">
        <f ca="1">IFERROR(__xludf.DUMMYFUNCTION("""COMPUTED_VALUE"""),"fins")</f>
        <v>fins</v>
      </c>
      <c r="C4936" s="2" t="str">
        <f ca="1">IFERROR(__xludf.DUMMYFUNCTION("""COMPUTED_VALUE"""),"Fins")</f>
        <v>Fins</v>
      </c>
    </row>
    <row r="4937" spans="1:3" x14ac:dyDescent="0.25">
      <c r="A4937" s="2" t="str">
        <f ca="1">IFERROR(__xludf.DUMMYFUNCTION("""COMPUTED_VALUE"""),"fintrux")</f>
        <v>fintrux</v>
      </c>
      <c r="B4937" s="2" t="str">
        <f ca="1">IFERROR(__xludf.DUMMYFUNCTION("""COMPUTED_VALUE"""),"ftx")</f>
        <v>ftx</v>
      </c>
      <c r="C4937" s="2" t="str">
        <f ca="1">IFERROR(__xludf.DUMMYFUNCTION("""COMPUTED_VALUE"""),"FintruX")</f>
        <v>FintruX</v>
      </c>
    </row>
    <row r="4938" spans="1:3" x14ac:dyDescent="0.25">
      <c r="A4938" s="2" t="str">
        <f ca="1">IFERROR(__xludf.DUMMYFUNCTION("""COMPUTED_VALUE"""),"finx")</f>
        <v>finx</v>
      </c>
      <c r="B4938" s="2" t="str">
        <f ca="1">IFERROR(__xludf.DUMMYFUNCTION("""COMPUTED_VALUE"""),"finx")</f>
        <v>finx</v>
      </c>
      <c r="C4938" s="2" t="str">
        <f ca="1">IFERROR(__xludf.DUMMYFUNCTION("""COMPUTED_VALUE"""),"FINX")</f>
        <v>FINX</v>
      </c>
    </row>
    <row r="4939" spans="1:3" x14ac:dyDescent="0.25">
      <c r="A4939" s="2" t="str">
        <f ca="1">IFERROR(__xludf.DUMMYFUNCTION("""COMPUTED_VALUE"""),"finxflo")</f>
        <v>finxflo</v>
      </c>
      <c r="B4939" s="2" t="str">
        <f ca="1">IFERROR(__xludf.DUMMYFUNCTION("""COMPUTED_VALUE"""),"fxf")</f>
        <v>fxf</v>
      </c>
      <c r="C4939" s="2" t="str">
        <f ca="1">IFERROR(__xludf.DUMMYFUNCTION("""COMPUTED_VALUE"""),"FINXFLO")</f>
        <v>FINXFLO</v>
      </c>
    </row>
    <row r="4940" spans="1:3" x14ac:dyDescent="0.25">
      <c r="A4940" s="2" t="str">
        <f ca="1">IFERROR(__xludf.DUMMYFUNCTION("""COMPUTED_VALUE"""),"fiona")</f>
        <v>fiona</v>
      </c>
      <c r="B4940" s="2" t="str">
        <f ca="1">IFERROR(__xludf.DUMMYFUNCTION("""COMPUTED_VALUE"""),"fiona")</f>
        <v>fiona</v>
      </c>
      <c r="C4940" s="2" t="str">
        <f ca="1">IFERROR(__xludf.DUMMYFUNCTION("""COMPUTED_VALUE"""),"Fiona")</f>
        <v>Fiona</v>
      </c>
    </row>
    <row r="4941" spans="1:3" x14ac:dyDescent="0.25">
      <c r="A4941" s="2" t="str">
        <f ca="1">IFERROR(__xludf.DUMMYFUNCTION("""COMPUTED_VALUE"""),"fio-protocol")</f>
        <v>fio-protocol</v>
      </c>
      <c r="B4941" s="2" t="str">
        <f ca="1">IFERROR(__xludf.DUMMYFUNCTION("""COMPUTED_VALUE"""),"fio")</f>
        <v>fio</v>
      </c>
      <c r="C4941" s="2" t="str">
        <f ca="1">IFERROR(__xludf.DUMMYFUNCTION("""COMPUTED_VALUE"""),"FIO Protocol")</f>
        <v>FIO Protocol</v>
      </c>
    </row>
    <row r="4942" spans="1:3" x14ac:dyDescent="0.25">
      <c r="A4942" s="2" t="str">
        <f ca="1">IFERROR(__xludf.DUMMYFUNCTION("""COMPUTED_VALUE"""),"fira")</f>
        <v>fira</v>
      </c>
      <c r="B4942" s="2" t="str">
        <f ca="1">IFERROR(__xludf.DUMMYFUNCTION("""COMPUTED_VALUE"""),"fira")</f>
        <v>fira</v>
      </c>
      <c r="C4942" s="2" t="str">
        <f ca="1">IFERROR(__xludf.DUMMYFUNCTION("""COMPUTED_VALUE"""),"FIRA")</f>
        <v>FIRA</v>
      </c>
    </row>
    <row r="4943" spans="1:3" x14ac:dyDescent="0.25">
      <c r="A4943" s="2" t="str">
        <f ca="1">IFERROR(__xludf.DUMMYFUNCTION("""COMPUTED_VALUE"""),"fira-cronos")</f>
        <v>fira-cronos</v>
      </c>
      <c r="B4943" s="2" t="str">
        <f ca="1">IFERROR(__xludf.DUMMYFUNCTION("""COMPUTED_VALUE"""),"fira")</f>
        <v>fira</v>
      </c>
      <c r="C4943" s="2" t="str">
        <f ca="1">IFERROR(__xludf.DUMMYFUNCTION("""COMPUTED_VALUE"""),"Defira (Cronos)")</f>
        <v>Defira (Cronos)</v>
      </c>
    </row>
    <row r="4944" spans="1:3" x14ac:dyDescent="0.25">
      <c r="A4944" s="2" t="str">
        <f ca="1">IFERROR(__xludf.DUMMYFUNCTION("""COMPUTED_VALUE"""),"firebot")</f>
        <v>firebot</v>
      </c>
      <c r="B4944" s="2" t="str">
        <f ca="1">IFERROR(__xludf.DUMMYFUNCTION("""COMPUTED_VALUE"""),"fbx")</f>
        <v>fbx</v>
      </c>
      <c r="C4944" s="2" t="str">
        <f ca="1">IFERROR(__xludf.DUMMYFUNCTION("""COMPUTED_VALUE"""),"FireBot")</f>
        <v>FireBot</v>
      </c>
    </row>
    <row r="4945" spans="1:3" x14ac:dyDescent="0.25">
      <c r="A4945" s="2" t="str">
        <f ca="1">IFERROR(__xludf.DUMMYFUNCTION("""COMPUTED_VALUE"""),"firefly")</f>
        <v>firefly</v>
      </c>
      <c r="B4945" s="2" t="str">
        <f ca="1">IFERROR(__xludf.DUMMYFUNCTION("""COMPUTED_VALUE"""),"fly")</f>
        <v>fly</v>
      </c>
      <c r="C4945" s="2" t="str">
        <f ca="1">IFERROR(__xludf.DUMMYFUNCTION("""COMPUTED_VALUE"""),"Firefly")</f>
        <v>Firefly</v>
      </c>
    </row>
    <row r="4946" spans="1:3" x14ac:dyDescent="0.25">
      <c r="A4946" s="2" t="str">
        <f ca="1">IFERROR(__xludf.DUMMYFUNCTION("""COMPUTED_VALUE"""),"fire-protocol")</f>
        <v>fire-protocol</v>
      </c>
      <c r="B4946" s="2" t="str">
        <f ca="1">IFERROR(__xludf.DUMMYFUNCTION("""COMPUTED_VALUE"""),"fire")</f>
        <v>fire</v>
      </c>
      <c r="C4946" s="2" t="str">
        <f ca="1">IFERROR(__xludf.DUMMYFUNCTION("""COMPUTED_VALUE"""),"Fire Protocol")</f>
        <v>Fire Protocol</v>
      </c>
    </row>
    <row r="4947" spans="1:3" x14ac:dyDescent="0.25">
      <c r="A4947" s="2" t="str">
        <f ca="1">IFERROR(__xludf.DUMMYFUNCTION("""COMPUTED_VALUE"""),"firestarter")</f>
        <v>firestarter</v>
      </c>
      <c r="B4947" s="2" t="str">
        <f ca="1">IFERROR(__xludf.DUMMYFUNCTION("""COMPUTED_VALUE"""),"flame")</f>
        <v>flame</v>
      </c>
      <c r="C4947" s="2" t="str">
        <f ca="1">IFERROR(__xludf.DUMMYFUNCTION("""COMPUTED_VALUE"""),"FireStarter")</f>
        <v>FireStarter</v>
      </c>
    </row>
    <row r="4948" spans="1:3" x14ac:dyDescent="0.25">
      <c r="A4948" s="2" t="str">
        <f ca="1">IFERROR(__xludf.DUMMYFUNCTION("""COMPUTED_VALUE"""),"firmachain")</f>
        <v>firmachain</v>
      </c>
      <c r="B4948" s="2" t="str">
        <f ca="1">IFERROR(__xludf.DUMMYFUNCTION("""COMPUTED_VALUE"""),"fct")</f>
        <v>fct</v>
      </c>
      <c r="C4948" s="2" t="str">
        <f ca="1">IFERROR(__xludf.DUMMYFUNCTION("""COMPUTED_VALUE"""),"Firmachain")</f>
        <v>Firmachain</v>
      </c>
    </row>
    <row r="4949" spans="1:3" x14ac:dyDescent="0.25">
      <c r="A4949" s="2" t="str">
        <f ca="1">IFERROR(__xludf.DUMMYFUNCTION("""COMPUTED_VALUE"""),"first")</f>
        <v>first</v>
      </c>
      <c r="B4949" s="2" t="str">
        <f ca="1">IFERROR(__xludf.DUMMYFUNCTION("""COMPUTED_VALUE"""),"first")</f>
        <v>first</v>
      </c>
      <c r="C4949" s="2" t="str">
        <f ca="1">IFERROR(__xludf.DUMMYFUNCTION("""COMPUTED_VALUE"""),"FIRST")</f>
        <v>FIRST</v>
      </c>
    </row>
    <row r="4950" spans="1:3" x14ac:dyDescent="0.25">
      <c r="A4950" s="2" t="str">
        <f ca="1">IFERROR(__xludf.DUMMYFUNCTION("""COMPUTED_VALUE"""),"first-digital-usd")</f>
        <v>first-digital-usd</v>
      </c>
      <c r="B4950" s="2" t="str">
        <f ca="1">IFERROR(__xludf.DUMMYFUNCTION("""COMPUTED_VALUE"""),"fdusd")</f>
        <v>fdusd</v>
      </c>
      <c r="C4950" s="2" t="str">
        <f ca="1">IFERROR(__xludf.DUMMYFUNCTION("""COMPUTED_VALUE"""),"First Digital USD")</f>
        <v>First Digital USD</v>
      </c>
    </row>
    <row r="4951" spans="1:3" x14ac:dyDescent="0.25">
      <c r="A4951" s="2" t="str">
        <f ca="1">IFERROR(__xludf.DUMMYFUNCTION("""COMPUTED_VALUE"""),"first-dog-to-buy-crypto")</f>
        <v>first-dog-to-buy-crypto</v>
      </c>
      <c r="B4951" s="2" t="str">
        <f ca="1">IFERROR(__xludf.DUMMYFUNCTION("""COMPUTED_VALUE"""),"toshi")</f>
        <v>toshi</v>
      </c>
      <c r="C4951" s="2" t="str">
        <f ca="1">IFERROR(__xludf.DUMMYFUNCTION("""COMPUTED_VALUE"""),"First Dog to Buy Crypto")</f>
        <v>First Dog to Buy Crypto</v>
      </c>
    </row>
    <row r="4952" spans="1:3" x14ac:dyDescent="0.25">
      <c r="A4952" s="2" t="str">
        <f ca="1">IFERROR(__xludf.DUMMYFUNCTION("""COMPUTED_VALUE"""),"first-grok-ai")</f>
        <v>first-grok-ai</v>
      </c>
      <c r="B4952" s="2" t="str">
        <f ca="1">IFERROR(__xludf.DUMMYFUNCTION("""COMPUTED_VALUE"""),"grok")</f>
        <v>grok</v>
      </c>
      <c r="C4952" s="2" t="str">
        <f ca="1">IFERROR(__xludf.DUMMYFUNCTION("""COMPUTED_VALUE"""),"First GROK AI")</f>
        <v>First GROK AI</v>
      </c>
    </row>
    <row r="4953" spans="1:3" x14ac:dyDescent="0.25">
      <c r="A4953" s="2" t="str">
        <f ca="1">IFERROR(__xludf.DUMMYFUNCTION("""COMPUTED_VALUE"""),"firsthare")</f>
        <v>firsthare</v>
      </c>
      <c r="B4953" s="2" t="str">
        <f ca="1">IFERROR(__xludf.DUMMYFUNCTION("""COMPUTED_VALUE"""),"firsthare")</f>
        <v>firsthare</v>
      </c>
      <c r="C4953" s="2" t="str">
        <f ca="1">IFERROR(__xludf.DUMMYFUNCTION("""COMPUTED_VALUE"""),"FirstHare")</f>
        <v>FirstHare</v>
      </c>
    </row>
    <row r="4954" spans="1:3" x14ac:dyDescent="0.25">
      <c r="A4954" s="2" t="str">
        <f ca="1">IFERROR(__xludf.DUMMYFUNCTION("""COMPUTED_VALUE"""),"first-meme")</f>
        <v>first-meme</v>
      </c>
      <c r="B4954" s="2" t="str">
        <f ca="1">IFERROR(__xludf.DUMMYFUNCTION("""COMPUTED_VALUE"""),"lolcat")</f>
        <v>lolcat</v>
      </c>
      <c r="C4954" s="2" t="str">
        <f ca="1">IFERROR(__xludf.DUMMYFUNCTION("""COMPUTED_VALUE"""),"First Meme")</f>
        <v>First Meme</v>
      </c>
    </row>
    <row r="4955" spans="1:3" x14ac:dyDescent="0.25">
      <c r="A4955" s="2" t="str">
        <f ca="1">IFERROR(__xludf.DUMMYFUNCTION("""COMPUTED_VALUE"""),"first-reply")</f>
        <v>first-reply</v>
      </c>
      <c r="B4955" s="2" t="str">
        <f ca="1">IFERROR(__xludf.DUMMYFUNCTION("""COMPUTED_VALUE"""),"sirius")</f>
        <v>sirius</v>
      </c>
      <c r="C4955" s="2" t="str">
        <f ca="1">IFERROR(__xludf.DUMMYFUNCTION("""COMPUTED_VALUE"""),"first reply")</f>
        <v>first reply</v>
      </c>
    </row>
    <row r="4956" spans="1:3" x14ac:dyDescent="0.25">
      <c r="A4956" s="2" t="str">
        <f ca="1">IFERROR(__xludf.DUMMYFUNCTION("""COMPUTED_VALUE"""),"fisco")</f>
        <v>fisco</v>
      </c>
      <c r="B4956" s="2" t="str">
        <f ca="1">IFERROR(__xludf.DUMMYFUNCTION("""COMPUTED_VALUE"""),"fscc")</f>
        <v>fscc</v>
      </c>
      <c r="C4956" s="2" t="str">
        <f ca="1">IFERROR(__xludf.DUMMYFUNCTION("""COMPUTED_VALUE"""),"FISCO Coin")</f>
        <v>FISCO Coin</v>
      </c>
    </row>
    <row r="4957" spans="1:3" x14ac:dyDescent="0.25">
      <c r="A4957" s="2" t="str">
        <f ca="1">IFERROR(__xludf.DUMMYFUNCTION("""COMPUTED_VALUE"""),"fish-crypto")</f>
        <v>fish-crypto</v>
      </c>
      <c r="B4957" s="2" t="str">
        <f ca="1">IFERROR(__xludf.DUMMYFUNCTION("""COMPUTED_VALUE"""),"fico")</f>
        <v>fico</v>
      </c>
      <c r="C4957" s="2" t="str">
        <f ca="1">IFERROR(__xludf.DUMMYFUNCTION("""COMPUTED_VALUE"""),"Fish Crypto")</f>
        <v>Fish Crypto</v>
      </c>
    </row>
    <row r="4958" spans="1:3" x14ac:dyDescent="0.25">
      <c r="A4958" s="2" t="str">
        <f ca="1">IFERROR(__xludf.DUMMYFUNCTION("""COMPUTED_VALUE"""),"fishing-tuna")</f>
        <v>fishing-tuna</v>
      </c>
      <c r="B4958" s="2" t="str">
        <f ca="1">IFERROR(__xludf.DUMMYFUNCTION("""COMPUTED_VALUE"""),"tuna")</f>
        <v>tuna</v>
      </c>
      <c r="C4958" s="2" t="str">
        <f ca="1">IFERROR(__xludf.DUMMYFUNCTION("""COMPUTED_VALUE"""),"Fishing Tuna")</f>
        <v>Fishing Tuna</v>
      </c>
    </row>
    <row r="4959" spans="1:3" x14ac:dyDescent="0.25">
      <c r="A4959" s="2" t="str">
        <f ca="1">IFERROR(__xludf.DUMMYFUNCTION("""COMPUTED_VALUE"""),"fishkoin")</f>
        <v>fishkoin</v>
      </c>
      <c r="B4959" s="2" t="str">
        <f ca="1">IFERROR(__xludf.DUMMYFUNCTION("""COMPUTED_VALUE"""),"koin")</f>
        <v>koin</v>
      </c>
      <c r="C4959" s="2" t="str">
        <f ca="1">IFERROR(__xludf.DUMMYFUNCTION("""COMPUTED_VALUE"""),"Fishkoin")</f>
        <v>Fishkoin</v>
      </c>
    </row>
    <row r="4960" spans="1:3" x14ac:dyDescent="0.25">
      <c r="A4960" s="2" t="str">
        <f ca="1">IFERROR(__xludf.DUMMYFUNCTION("""COMPUTED_VALUE"""),"fish-n-chips")</f>
        <v>fish-n-chips</v>
      </c>
      <c r="B4960" s="2" t="str">
        <f ca="1">IFERROR(__xludf.DUMMYFUNCTION("""COMPUTED_VALUE"""),"chippy")</f>
        <v>chippy</v>
      </c>
      <c r="C4960" s="2" t="str">
        <f ca="1">IFERROR(__xludf.DUMMYFUNCTION("""COMPUTED_VALUE"""),"Fish N Chips")</f>
        <v>Fish N Chips</v>
      </c>
    </row>
    <row r="4961" spans="1:3" x14ac:dyDescent="0.25">
      <c r="A4961" s="2" t="str">
        <f ca="1">IFERROR(__xludf.DUMMYFUNCTION("""COMPUTED_VALUE"""),"fishverse")</f>
        <v>fishverse</v>
      </c>
      <c r="B4961" s="2" t="str">
        <f ca="1">IFERROR(__xludf.DUMMYFUNCTION("""COMPUTED_VALUE"""),"fvs")</f>
        <v>fvs</v>
      </c>
      <c r="C4961" s="2" t="str">
        <f ca="1">IFERROR(__xludf.DUMMYFUNCTION("""COMPUTED_VALUE"""),"FishVerse")</f>
        <v>FishVerse</v>
      </c>
    </row>
    <row r="4962" spans="1:3" x14ac:dyDescent="0.25">
      <c r="A4962" s="2" t="str">
        <f ca="1">IFERROR(__xludf.DUMMYFUNCTION("""COMPUTED_VALUE"""),"fishy")</f>
        <v>fishy</v>
      </c>
      <c r="B4962" s="2" t="str">
        <f ca="1">IFERROR(__xludf.DUMMYFUNCTION("""COMPUTED_VALUE"""),"$fishy")</f>
        <v>$fishy</v>
      </c>
      <c r="C4962" s="2" t="str">
        <f ca="1">IFERROR(__xludf.DUMMYFUNCTION("""COMPUTED_VALUE"""),"$FISHY")</f>
        <v>$FISHY</v>
      </c>
    </row>
    <row r="4963" spans="1:3" x14ac:dyDescent="0.25">
      <c r="A4963" s="2" t="str">
        <f ca="1">IFERROR(__xludf.DUMMYFUNCTION("""COMPUTED_VALUE"""),"fistbump")</f>
        <v>fistbump</v>
      </c>
      <c r="B4963" s="2" t="str">
        <f ca="1">IFERROR(__xludf.DUMMYFUNCTION("""COMPUTED_VALUE"""),"fist")</f>
        <v>fist</v>
      </c>
      <c r="C4963" s="2" t="str">
        <f ca="1">IFERROR(__xludf.DUMMYFUNCTION("""COMPUTED_VALUE"""),"Fistbump")</f>
        <v>Fistbump</v>
      </c>
    </row>
    <row r="4964" spans="1:3" x14ac:dyDescent="0.25">
      <c r="A4964" s="2" t="str">
        <f ca="1">IFERROR(__xludf.DUMMYFUNCTION("""COMPUTED_VALUE"""),"fit")</f>
        <v>fit</v>
      </c>
      <c r="B4964" s="2" t="str">
        <f ca="1">IFERROR(__xludf.DUMMYFUNCTION("""COMPUTED_VALUE"""),"fit")</f>
        <v>fit</v>
      </c>
      <c r="C4964" s="2" t="str">
        <f ca="1">IFERROR(__xludf.DUMMYFUNCTION("""COMPUTED_VALUE"""),"Fit")</f>
        <v>Fit</v>
      </c>
    </row>
    <row r="4965" spans="1:3" x14ac:dyDescent="0.25">
      <c r="A4965" s="2" t="str">
        <f ca="1">IFERROR(__xludf.DUMMYFUNCTION("""COMPUTED_VALUE"""),"fitburn-fbt")</f>
        <v>fitburn-fbt</v>
      </c>
      <c r="B4965" s="2" t="str">
        <f ca="1">IFERROR(__xludf.DUMMYFUNCTION("""COMPUTED_VALUE"""),"fbt")</f>
        <v>fbt</v>
      </c>
      <c r="C4965" s="2" t="str">
        <f ca="1">IFERROR(__xludf.DUMMYFUNCTION("""COMPUTED_VALUE"""),"Fitburn FBT")</f>
        <v>Fitburn FBT</v>
      </c>
    </row>
    <row r="4966" spans="1:3" x14ac:dyDescent="0.25">
      <c r="A4966" s="2" t="str">
        <f ca="1">IFERROR(__xludf.DUMMYFUNCTION("""COMPUTED_VALUE"""),"fitmint")</f>
        <v>fitmint</v>
      </c>
      <c r="B4966" s="2" t="str">
        <f ca="1">IFERROR(__xludf.DUMMYFUNCTION("""COMPUTED_VALUE"""),"fitt")</f>
        <v>fitt</v>
      </c>
      <c r="C4966" s="2" t="str">
        <f ca="1">IFERROR(__xludf.DUMMYFUNCTION("""COMPUTED_VALUE"""),"Fitmint")</f>
        <v>Fitmint</v>
      </c>
    </row>
    <row r="4967" spans="1:3" x14ac:dyDescent="0.25">
      <c r="A4967" s="2" t="str">
        <f ca="1">IFERROR(__xludf.DUMMYFUNCTION("""COMPUTED_VALUE"""),"fiwb-doginals")</f>
        <v>fiwb-doginals</v>
      </c>
      <c r="B4967" s="2" t="str">
        <f ca="1">IFERROR(__xludf.DUMMYFUNCTION("""COMPUTED_VALUE"""),"fiwb")</f>
        <v>fiwb</v>
      </c>
      <c r="C4967" s="2" t="str">
        <f ca="1">IFERROR(__xludf.DUMMYFUNCTION("""COMPUTED_VALUE"""),"FIWB (DRC-20)")</f>
        <v>FIWB (DRC-20)</v>
      </c>
    </row>
    <row r="4968" spans="1:3" x14ac:dyDescent="0.25">
      <c r="A4968" s="2" t="str">
        <f ca="1">IFERROR(__xludf.DUMMYFUNCTION("""COMPUTED_VALUE"""),"fix00")</f>
        <v>fix00</v>
      </c>
      <c r="B4968" s="2" t="str">
        <f ca="1">IFERROR(__xludf.DUMMYFUNCTION("""COMPUTED_VALUE"""),"fix00")</f>
        <v>fix00</v>
      </c>
      <c r="C4968" s="2" t="str">
        <f ca="1">IFERROR(__xludf.DUMMYFUNCTION("""COMPUTED_VALUE"""),"Fix00")</f>
        <v>Fix00</v>
      </c>
    </row>
    <row r="4969" spans="1:3" x14ac:dyDescent="0.25">
      <c r="A4969" s="2" t="str">
        <f ca="1">IFERROR(__xludf.DUMMYFUNCTION("""COMPUTED_VALUE"""),"fjord-foundry")</f>
        <v>fjord-foundry</v>
      </c>
      <c r="B4969" s="2" t="str">
        <f ca="1">IFERROR(__xludf.DUMMYFUNCTION("""COMPUTED_VALUE"""),"fjo")</f>
        <v>fjo</v>
      </c>
      <c r="C4969" s="2" t="str">
        <f ca="1">IFERROR(__xludf.DUMMYFUNCTION("""COMPUTED_VALUE"""),"Fjord Foundry")</f>
        <v>Fjord Foundry</v>
      </c>
    </row>
    <row r="4970" spans="1:3" x14ac:dyDescent="0.25">
      <c r="A4970" s="2" t="str">
        <f ca="1">IFERROR(__xludf.DUMMYFUNCTION("""COMPUTED_VALUE"""),"fketh")</f>
        <v>fketh</v>
      </c>
      <c r="B4970" s="2" t="str">
        <f ca="1">IFERROR(__xludf.DUMMYFUNCTION("""COMPUTED_VALUE"""),"fketh")</f>
        <v>fketh</v>
      </c>
      <c r="C4970" s="2" t="str">
        <f ca="1">IFERROR(__xludf.DUMMYFUNCTION("""COMPUTED_VALUE"""),"Fketh")</f>
        <v>Fketh</v>
      </c>
    </row>
    <row r="4971" spans="1:3" x14ac:dyDescent="0.25">
      <c r="A4971" s="2" t="str">
        <f ca="1">IFERROR(__xludf.DUMMYFUNCTION("""COMPUTED_VALUE"""),"flack-exchange")</f>
        <v>flack-exchange</v>
      </c>
      <c r="B4971" s="2" t="str">
        <f ca="1">IFERROR(__xludf.DUMMYFUNCTION("""COMPUTED_VALUE"""),"flack")</f>
        <v>flack</v>
      </c>
      <c r="C4971" s="2" t="str">
        <f ca="1">IFERROR(__xludf.DUMMYFUNCTION("""COMPUTED_VALUE"""),"Flack Exchange")</f>
        <v>Flack Exchange</v>
      </c>
    </row>
    <row r="4972" spans="1:3" x14ac:dyDescent="0.25">
      <c r="A4972" s="2" t="str">
        <f ca="1">IFERROR(__xludf.DUMMYFUNCTION("""COMPUTED_VALUE"""),"flag-coin")</f>
        <v>flag-coin</v>
      </c>
      <c r="B4972" s="2" t="str">
        <f ca="1">IFERROR(__xludf.DUMMYFUNCTION("""COMPUTED_VALUE"""),"flag")</f>
        <v>flag</v>
      </c>
      <c r="C4972" s="2" t="str">
        <f ca="1">IFERROR(__xludf.DUMMYFUNCTION("""COMPUTED_VALUE"""),"Flag Coin")</f>
        <v>Flag Coin</v>
      </c>
    </row>
    <row r="4973" spans="1:3" x14ac:dyDescent="0.25">
      <c r="A4973" s="2" t="str">
        <f ca="1">IFERROR(__xludf.DUMMYFUNCTION("""COMPUTED_VALUE"""),"flair-dex")</f>
        <v>flair-dex</v>
      </c>
      <c r="B4973" s="2" t="str">
        <f ca="1">IFERROR(__xludf.DUMMYFUNCTION("""COMPUTED_VALUE"""),"fldx")</f>
        <v>fldx</v>
      </c>
      <c r="C4973" s="2" t="str">
        <f ca="1">IFERROR(__xludf.DUMMYFUNCTION("""COMPUTED_VALUE"""),"Flair Dex")</f>
        <v>Flair Dex</v>
      </c>
    </row>
    <row r="4974" spans="1:3" x14ac:dyDescent="0.25">
      <c r="A4974" s="2" t="str">
        <f ca="1">IFERROR(__xludf.DUMMYFUNCTION("""COMPUTED_VALUE"""),"flame-2")</f>
        <v>flame-2</v>
      </c>
      <c r="B4974" s="2" t="str">
        <f ca="1">IFERROR(__xludf.DUMMYFUNCTION("""COMPUTED_VALUE"""),"flame")</f>
        <v>flame</v>
      </c>
      <c r="C4974" s="2" t="str">
        <f ca="1">IFERROR(__xludf.DUMMYFUNCTION("""COMPUTED_VALUE"""),"Flame")</f>
        <v>Flame</v>
      </c>
    </row>
    <row r="4975" spans="1:3" x14ac:dyDescent="0.25">
      <c r="A4975" s="2" t="str">
        <f ca="1">IFERROR(__xludf.DUMMYFUNCTION("""COMPUTED_VALUE"""),"flamengo-fan-token")</f>
        <v>flamengo-fan-token</v>
      </c>
      <c r="B4975" s="2" t="str">
        <f ca="1">IFERROR(__xludf.DUMMYFUNCTION("""COMPUTED_VALUE"""),"mengo")</f>
        <v>mengo</v>
      </c>
      <c r="C4975" s="2" t="str">
        <f ca="1">IFERROR(__xludf.DUMMYFUNCTION("""COMPUTED_VALUE"""),"Flamengo Fan Token")</f>
        <v>Flamengo Fan Token</v>
      </c>
    </row>
    <row r="4976" spans="1:3" x14ac:dyDescent="0.25">
      <c r="A4976" s="2" t="str">
        <f ca="1">IFERROR(__xludf.DUMMYFUNCTION("""COMPUTED_VALUE"""),"flamingghost")</f>
        <v>flamingghost</v>
      </c>
      <c r="B4976" s="2" t="str">
        <f ca="1">IFERROR(__xludf.DUMMYFUNCTION("""COMPUTED_VALUE"""),"fghst")</f>
        <v>fghst</v>
      </c>
      <c r="C4976" s="2" t="str">
        <f ca="1">IFERROR(__xludf.DUMMYFUNCTION("""COMPUTED_VALUE"""),"FlamingGhost")</f>
        <v>FlamingGhost</v>
      </c>
    </row>
    <row r="4977" spans="1:3" x14ac:dyDescent="0.25">
      <c r="A4977" s="2" t="str">
        <f ca="1">IFERROR(__xludf.DUMMYFUNCTION("""COMPUTED_VALUE"""),"flamingo-finance")</f>
        <v>flamingo-finance</v>
      </c>
      <c r="B4977" s="2" t="str">
        <f ca="1">IFERROR(__xludf.DUMMYFUNCTION("""COMPUTED_VALUE"""),"flm")</f>
        <v>flm</v>
      </c>
      <c r="C4977" s="2" t="str">
        <f ca="1">IFERROR(__xludf.DUMMYFUNCTION("""COMPUTED_VALUE"""),"Flamingo Finance")</f>
        <v>Flamingo Finance</v>
      </c>
    </row>
    <row r="4978" spans="1:3" x14ac:dyDescent="0.25">
      <c r="A4978" s="2" t="str">
        <f ca="1">IFERROR(__xludf.DUMMYFUNCTION("""COMPUTED_VALUE"""),"flap")</f>
        <v>flap</v>
      </c>
      <c r="B4978" s="2" t="str">
        <f ca="1">IFERROR(__xludf.DUMMYFUNCTION("""COMPUTED_VALUE"""),"flap")</f>
        <v>flap</v>
      </c>
      <c r="C4978" s="2" t="str">
        <f ca="1">IFERROR(__xludf.DUMMYFUNCTION("""COMPUTED_VALUE"""),"FLAP")</f>
        <v>FLAP</v>
      </c>
    </row>
    <row r="4979" spans="1:3" x14ac:dyDescent="0.25">
      <c r="A4979" s="2" t="str">
        <f ca="1">IFERROR(__xludf.DUMMYFUNCTION("""COMPUTED_VALUE"""),"flappy")</f>
        <v>flappy</v>
      </c>
      <c r="B4979" s="2" t="str">
        <f ca="1">IFERROR(__xludf.DUMMYFUNCTION("""COMPUTED_VALUE"""),"flappy")</f>
        <v>flappy</v>
      </c>
      <c r="C4979" s="2" t="str">
        <f ca="1">IFERROR(__xludf.DUMMYFUNCTION("""COMPUTED_VALUE"""),"Flappy")</f>
        <v>Flappy</v>
      </c>
    </row>
    <row r="4980" spans="1:3" x14ac:dyDescent="0.25">
      <c r="A4980" s="2" t="str">
        <f ca="1">IFERROR(__xludf.DUMMYFUNCTION("""COMPUTED_VALUE"""),"flappybee")</f>
        <v>flappybee</v>
      </c>
      <c r="B4980" s="2" t="str">
        <f ca="1">IFERROR(__xludf.DUMMYFUNCTION("""COMPUTED_VALUE"""),"beet")</f>
        <v>beet</v>
      </c>
      <c r="C4980" s="2" t="str">
        <f ca="1">IFERROR(__xludf.DUMMYFUNCTION("""COMPUTED_VALUE"""),"Flappybee")</f>
        <v>Flappybee</v>
      </c>
    </row>
    <row r="4981" spans="1:3" x14ac:dyDescent="0.25">
      <c r="A4981" s="2" t="str">
        <f ca="1">IFERROR(__xludf.DUMMYFUNCTION("""COMPUTED_VALUE"""),"flappy-bird-evolution")</f>
        <v>flappy-bird-evolution</v>
      </c>
      <c r="B4981" s="2" t="str">
        <f ca="1">IFERROR(__xludf.DUMMYFUNCTION("""COMPUTED_VALUE"""),"fevo")</f>
        <v>fevo</v>
      </c>
      <c r="C4981" s="2" t="str">
        <f ca="1">IFERROR(__xludf.DUMMYFUNCTION("""COMPUTED_VALUE"""),"Flappy Bird Evolution")</f>
        <v>Flappy Bird Evolution</v>
      </c>
    </row>
    <row r="4982" spans="1:3" x14ac:dyDescent="0.25">
      <c r="A4982" s="2" t="str">
        <f ca="1">IFERROR(__xludf.DUMMYFUNCTION("""COMPUTED_VALUE"""),"flappymoonbird")</f>
        <v>flappymoonbird</v>
      </c>
      <c r="B4982" s="2" t="str">
        <f ca="1">IFERROR(__xludf.DUMMYFUNCTION("""COMPUTED_VALUE"""),"$fmb")</f>
        <v>$fmb</v>
      </c>
      <c r="C4982" s="2" t="str">
        <f ca="1">IFERROR(__xludf.DUMMYFUNCTION("""COMPUTED_VALUE"""),"FlappyMoonbird")</f>
        <v>FlappyMoonbird</v>
      </c>
    </row>
    <row r="4983" spans="1:3" x14ac:dyDescent="0.25">
      <c r="A4983" s="2" t="str">
        <f ca="1">IFERROR(__xludf.DUMMYFUNCTION("""COMPUTED_VALUE"""),"flare-finance")</f>
        <v>flare-finance</v>
      </c>
      <c r="B4983" s="2" t="str">
        <f ca="1">IFERROR(__xludf.DUMMYFUNCTION("""COMPUTED_VALUE"""),"exfi")</f>
        <v>exfi</v>
      </c>
      <c r="C4983" s="2" t="str">
        <f ca="1">IFERROR(__xludf.DUMMYFUNCTION("""COMPUTED_VALUE"""),"Flare Finance")</f>
        <v>Flare Finance</v>
      </c>
    </row>
    <row r="4984" spans="1:3" x14ac:dyDescent="0.25">
      <c r="A4984" s="2" t="str">
        <f ca="1">IFERROR(__xludf.DUMMYFUNCTION("""COMPUTED_VALUE"""),"flarefox")</f>
        <v>flarefox</v>
      </c>
      <c r="B4984" s="2" t="str">
        <f ca="1">IFERROR(__xludf.DUMMYFUNCTION("""COMPUTED_VALUE"""),"flx")</f>
        <v>flx</v>
      </c>
      <c r="C4984" s="2" t="str">
        <f ca="1">IFERROR(__xludf.DUMMYFUNCTION("""COMPUTED_VALUE"""),"FlareFox")</f>
        <v>FlareFox</v>
      </c>
    </row>
    <row r="4985" spans="1:3" x14ac:dyDescent="0.25">
      <c r="A4985" s="2" t="str">
        <f ca="1">IFERROR(__xludf.DUMMYFUNCTION("""COMPUTED_VALUE"""),"flare-networks")</f>
        <v>flare-networks</v>
      </c>
      <c r="B4985" s="2" t="str">
        <f ca="1">IFERROR(__xludf.DUMMYFUNCTION("""COMPUTED_VALUE"""),"flr")</f>
        <v>flr</v>
      </c>
      <c r="C4985" s="2" t="str">
        <f ca="1">IFERROR(__xludf.DUMMYFUNCTION("""COMPUTED_VALUE"""),"Flare")</f>
        <v>Flare</v>
      </c>
    </row>
    <row r="4986" spans="1:3" x14ac:dyDescent="0.25">
      <c r="A4986" s="2" t="str">
        <f ca="1">IFERROR(__xludf.DUMMYFUNCTION("""COMPUTED_VALUE"""),"flare-token")</f>
        <v>flare-token</v>
      </c>
      <c r="B4986" s="2" t="str">
        <f ca="1">IFERROR(__xludf.DUMMYFUNCTION("""COMPUTED_VALUE"""),"1flr")</f>
        <v>1flr</v>
      </c>
      <c r="C4986" s="2" t="str">
        <f ca="1">IFERROR(__xludf.DUMMYFUNCTION("""COMPUTED_VALUE"""),"Flare Token")</f>
        <v>Flare Token</v>
      </c>
    </row>
    <row r="4987" spans="1:3" x14ac:dyDescent="0.25">
      <c r="A4987" s="2" t="str">
        <f ca="1">IFERROR(__xludf.DUMMYFUNCTION("""COMPUTED_VALUE"""),"flashdash")</f>
        <v>flashdash</v>
      </c>
      <c r="B4987" s="2" t="str">
        <f ca="1">IFERROR(__xludf.DUMMYFUNCTION("""COMPUTED_VALUE"""),"flashdash")</f>
        <v>flashdash</v>
      </c>
      <c r="C4987" s="2" t="str">
        <f ca="1">IFERROR(__xludf.DUMMYFUNCTION("""COMPUTED_VALUE"""),"Flashdash")</f>
        <v>Flashdash</v>
      </c>
    </row>
    <row r="4988" spans="1:3" x14ac:dyDescent="0.25">
      <c r="A4988" s="2" t="str">
        <f ca="1">IFERROR(__xludf.DUMMYFUNCTION("""COMPUTED_VALUE"""),"flash-protocol")</f>
        <v>flash-protocol</v>
      </c>
      <c r="B4988" s="2" t="str">
        <f ca="1">IFERROR(__xludf.DUMMYFUNCTION("""COMPUTED_VALUE"""),"flash")</f>
        <v>flash</v>
      </c>
      <c r="C4988" s="2" t="str">
        <f ca="1">IFERROR(__xludf.DUMMYFUNCTION("""COMPUTED_VALUE"""),"Flash Protocol")</f>
        <v>Flash Protocol</v>
      </c>
    </row>
    <row r="4989" spans="1:3" x14ac:dyDescent="0.25">
      <c r="A4989" s="2" t="str">
        <f ca="1">IFERROR(__xludf.DUMMYFUNCTION("""COMPUTED_VALUE"""),"flash-technologies")</f>
        <v>flash-technologies</v>
      </c>
      <c r="B4989" s="2" t="str">
        <f ca="1">IFERROR(__xludf.DUMMYFUNCTION("""COMPUTED_VALUE"""),"ftt")</f>
        <v>ftt</v>
      </c>
      <c r="C4989" s="2" t="str">
        <f ca="1">IFERROR(__xludf.DUMMYFUNCTION("""COMPUTED_VALUE"""),"FTT Token")</f>
        <v>FTT Token</v>
      </c>
    </row>
    <row r="4990" spans="1:3" x14ac:dyDescent="0.25">
      <c r="A4990" s="2" t="str">
        <f ca="1">IFERROR(__xludf.DUMMYFUNCTION("""COMPUTED_VALUE"""),"flat-money")</f>
        <v>flat-money</v>
      </c>
      <c r="B4990" s="2" t="str">
        <f ca="1">IFERROR(__xludf.DUMMYFUNCTION("""COMPUTED_VALUE"""),"unit")</f>
        <v>unit</v>
      </c>
      <c r="C4990" s="2" t="str">
        <f ca="1">IFERROR(__xludf.DUMMYFUNCTION("""COMPUTED_VALUE"""),"Flat Money")</f>
        <v>Flat Money</v>
      </c>
    </row>
    <row r="4991" spans="1:3" x14ac:dyDescent="0.25">
      <c r="A4991" s="2" t="str">
        <f ca="1">IFERROR(__xludf.DUMMYFUNCTION("""COMPUTED_VALUE"""),"flatqube")</f>
        <v>flatqube</v>
      </c>
      <c r="B4991" s="2" t="str">
        <f ca="1">IFERROR(__xludf.DUMMYFUNCTION("""COMPUTED_VALUE"""),"qube")</f>
        <v>qube</v>
      </c>
      <c r="C4991" s="2" t="str">
        <f ca="1">IFERROR(__xludf.DUMMYFUNCTION("""COMPUTED_VALUE"""),"FlatQube")</f>
        <v>FlatQube</v>
      </c>
    </row>
    <row r="4992" spans="1:3" x14ac:dyDescent="0.25">
      <c r="A4992" s="2" t="str">
        <f ca="1">IFERROR(__xludf.DUMMYFUNCTION("""COMPUTED_VALUE"""),"flayer")</f>
        <v>flayer</v>
      </c>
      <c r="B4992" s="2" t="str">
        <f ca="1">IFERROR(__xludf.DUMMYFUNCTION("""COMPUTED_VALUE"""),"flay")</f>
        <v>flay</v>
      </c>
      <c r="C4992" s="2" t="str">
        <f ca="1">IFERROR(__xludf.DUMMYFUNCTION("""COMPUTED_VALUE"""),"Flayer")</f>
        <v>Flayer</v>
      </c>
    </row>
    <row r="4993" spans="1:3" x14ac:dyDescent="0.25">
      <c r="A4993" s="2" t="str">
        <f ca="1">IFERROR(__xludf.DUMMYFUNCTION("""COMPUTED_VALUE"""),"flex")</f>
        <v>flex</v>
      </c>
      <c r="B4993" s="2" t="str">
        <f ca="1">IFERROR(__xludf.DUMMYFUNCTION("""COMPUTED_VALUE"""),"flex")</f>
        <v>flex</v>
      </c>
      <c r="C4993" s="2" t="str">
        <f ca="1">IFERROR(__xludf.DUMMYFUNCTION("""COMPUTED_VALUE"""),"FLEX")</f>
        <v>FLEX</v>
      </c>
    </row>
    <row r="4994" spans="1:3" x14ac:dyDescent="0.25">
      <c r="A4994" s="2" t="str">
        <f ca="1">IFERROR(__xludf.DUMMYFUNCTION("""COMPUTED_VALUE"""),"flex-coin")</f>
        <v>flex-coin</v>
      </c>
      <c r="B4994" s="2" t="str">
        <f ca="1">IFERROR(__xludf.DUMMYFUNCTION("""COMPUTED_VALUE"""),"flex")</f>
        <v>flex</v>
      </c>
      <c r="C4994" s="2" t="str">
        <f ca="1">IFERROR(__xludf.DUMMYFUNCTION("""COMPUTED_VALUE"""),"FLEX Coin")</f>
        <v>FLEX Coin</v>
      </c>
    </row>
    <row r="4995" spans="1:3" x14ac:dyDescent="0.25">
      <c r="A4995" s="2" t="str">
        <f ca="1">IFERROR(__xludf.DUMMYFUNCTION("""COMPUTED_VALUE"""),"flexmeme")</f>
        <v>flexmeme</v>
      </c>
      <c r="B4995" s="2" t="str">
        <f ca="1">IFERROR(__xludf.DUMMYFUNCTION("""COMPUTED_VALUE"""),"flex")</f>
        <v>flex</v>
      </c>
      <c r="C4995" s="2" t="str">
        <f ca="1">IFERROR(__xludf.DUMMYFUNCTION("""COMPUTED_VALUE"""),"FlexMeme")</f>
        <v>FlexMeme</v>
      </c>
    </row>
    <row r="4996" spans="1:3" x14ac:dyDescent="0.25">
      <c r="A4996" s="2" t="str">
        <f ca="1">IFERROR(__xludf.DUMMYFUNCTION("""COMPUTED_VALUE"""),"flex-usd")</f>
        <v>flex-usd</v>
      </c>
      <c r="B4996" s="2" t="str">
        <f ca="1">IFERROR(__xludf.DUMMYFUNCTION("""COMPUTED_VALUE"""),"flexusd")</f>
        <v>flexusd</v>
      </c>
      <c r="C4996" s="2" t="str">
        <f ca="1">IFERROR(__xludf.DUMMYFUNCTION("""COMPUTED_VALUE"""),"flexUSD")</f>
        <v>flexUSD</v>
      </c>
    </row>
    <row r="4997" spans="1:3" x14ac:dyDescent="0.25">
      <c r="A4997" s="2" t="str">
        <f ca="1">IFERROR(__xludf.DUMMYFUNCTION("""COMPUTED_VALUE"""),"flicker")</f>
        <v>flicker</v>
      </c>
      <c r="B4997" s="2" t="str">
        <f ca="1">IFERROR(__xludf.DUMMYFUNCTION("""COMPUTED_VALUE"""),"fkr")</f>
        <v>fkr</v>
      </c>
      <c r="C4997" s="2" t="str">
        <f ca="1">IFERROR(__xludf.DUMMYFUNCTION("""COMPUTED_VALUE"""),"Flicker")</f>
        <v>Flicker</v>
      </c>
    </row>
    <row r="4998" spans="1:3" x14ac:dyDescent="0.25">
      <c r="A4998" s="2" t="str">
        <f ca="1">IFERROR(__xludf.DUMMYFUNCTION("""COMPUTED_VALUE"""),"flickerpro")</f>
        <v>flickerpro</v>
      </c>
      <c r="B4998" s="2" t="str">
        <f ca="1">IFERROR(__xludf.DUMMYFUNCTION("""COMPUTED_VALUE"""),"fkrpro")</f>
        <v>fkrpro</v>
      </c>
      <c r="C4998" s="2" t="str">
        <f ca="1">IFERROR(__xludf.DUMMYFUNCTION("""COMPUTED_VALUE"""),"FlickerPro")</f>
        <v>FlickerPro</v>
      </c>
    </row>
    <row r="4999" spans="1:3" x14ac:dyDescent="0.25">
      <c r="A4999" s="2" t="str">
        <f ca="1">IFERROR(__xludf.DUMMYFUNCTION("""COMPUTED_VALUE"""),"flightclupcoin")</f>
        <v>flightclupcoin</v>
      </c>
      <c r="B4999" s="2" t="str">
        <f ca="1">IFERROR(__xludf.DUMMYFUNCTION("""COMPUTED_VALUE"""),"flight")</f>
        <v>flight</v>
      </c>
      <c r="C4999" s="2" t="str">
        <f ca="1">IFERROR(__xludf.DUMMYFUNCTION("""COMPUTED_VALUE"""),"FlightClupcoin")</f>
        <v>FlightClupcoin</v>
      </c>
    </row>
    <row r="5000" spans="1:3" x14ac:dyDescent="0.25">
      <c r="A5000" s="2" t="str">
        <f ca="1">IFERROR(__xludf.DUMMYFUNCTION("""COMPUTED_VALUE"""),"flipcat")</f>
        <v>flipcat</v>
      </c>
      <c r="B5000" s="2" t="str">
        <f ca="1">IFERROR(__xludf.DUMMYFUNCTION("""COMPUTED_VALUE"""),"flipcat")</f>
        <v>flipcat</v>
      </c>
      <c r="C5000" s="2" t="str">
        <f ca="1">IFERROR(__xludf.DUMMYFUNCTION("""COMPUTED_VALUE"""),"FlipCat")</f>
        <v>FlipCat</v>
      </c>
    </row>
    <row r="5001" spans="1:3" x14ac:dyDescent="0.25">
      <c r="A5001" s="2" t="str">
        <f ca="1">IFERROR(__xludf.DUMMYFUNCTION("""COMPUTED_VALUE"""),"flits")</f>
        <v>flits</v>
      </c>
      <c r="B5001" s="2" t="str">
        <f ca="1">IFERROR(__xludf.DUMMYFUNCTION("""COMPUTED_VALUE"""),"fls")</f>
        <v>fls</v>
      </c>
      <c r="C5001" s="2" t="str">
        <f ca="1">IFERROR(__xludf.DUMMYFUNCTION("""COMPUTED_VALUE"""),"Flits")</f>
        <v>Flits</v>
      </c>
    </row>
    <row r="5002" spans="1:3" x14ac:dyDescent="0.25">
      <c r="A5002" s="2" t="str">
        <f ca="1">IFERROR(__xludf.DUMMYFUNCTION("""COMPUTED_VALUE"""),"floating-tim")</f>
        <v>floating-tim</v>
      </c>
      <c r="B5002" s="2" t="str">
        <f ca="1">IFERROR(__xludf.DUMMYFUNCTION("""COMPUTED_VALUE"""),"tim")</f>
        <v>tim</v>
      </c>
      <c r="C5002" s="2" t="str">
        <f ca="1">IFERROR(__xludf.DUMMYFUNCTION("""COMPUTED_VALUE"""),"Tim")</f>
        <v>Tim</v>
      </c>
    </row>
    <row r="5003" spans="1:3" x14ac:dyDescent="0.25">
      <c r="A5003" s="2" t="str">
        <f ca="1">IFERROR(__xludf.DUMMYFUNCTION("""COMPUTED_VALUE"""),"float-protocol")</f>
        <v>float-protocol</v>
      </c>
      <c r="B5003" s="2" t="str">
        <f ca="1">IFERROR(__xludf.DUMMYFUNCTION("""COMPUTED_VALUE"""),"bank")</f>
        <v>bank</v>
      </c>
      <c r="C5003" s="2" t="str">
        <f ca="1">IFERROR(__xludf.DUMMYFUNCTION("""COMPUTED_VALUE"""),"Float Protocol")</f>
        <v>Float Protocol</v>
      </c>
    </row>
    <row r="5004" spans="1:3" x14ac:dyDescent="0.25">
      <c r="A5004" s="2" t="str">
        <f ca="1">IFERROR(__xludf.DUMMYFUNCTION("""COMPUTED_VALUE"""),"flochi")</f>
        <v>flochi</v>
      </c>
      <c r="B5004" s="2" t="str">
        <f ca="1">IFERROR(__xludf.DUMMYFUNCTION("""COMPUTED_VALUE"""),"flochi")</f>
        <v>flochi</v>
      </c>
      <c r="C5004" s="2" t="str">
        <f ca="1">IFERROR(__xludf.DUMMYFUNCTION("""COMPUTED_VALUE"""),"Flochi")</f>
        <v>Flochi</v>
      </c>
    </row>
    <row r="5005" spans="1:3" x14ac:dyDescent="0.25">
      <c r="A5005" s="2" t="str">
        <f ca="1">IFERROR(__xludf.DUMMYFUNCTION("""COMPUTED_VALUE"""),"flochi-inu")</f>
        <v>flochi-inu</v>
      </c>
      <c r="B5005" s="2" t="str">
        <f ca="1">IFERROR(__xludf.DUMMYFUNCTION("""COMPUTED_VALUE"""),"flochi")</f>
        <v>flochi</v>
      </c>
      <c r="C5005" s="2" t="str">
        <f ca="1">IFERROR(__xludf.DUMMYFUNCTION("""COMPUTED_VALUE"""),"Flochi Inu")</f>
        <v>Flochi Inu</v>
      </c>
    </row>
    <row r="5006" spans="1:3" x14ac:dyDescent="0.25">
      <c r="A5006" s="2" t="str">
        <f ca="1">IFERROR(__xludf.DUMMYFUNCTION("""COMPUTED_VALUE"""),"floki")</f>
        <v>floki</v>
      </c>
      <c r="B5006" s="2" t="str">
        <f ca="1">IFERROR(__xludf.DUMMYFUNCTION("""COMPUTED_VALUE"""),"floki")</f>
        <v>floki</v>
      </c>
      <c r="C5006" s="2" t="str">
        <f ca="1">IFERROR(__xludf.DUMMYFUNCTION("""COMPUTED_VALUE"""),"FLOKI")</f>
        <v>FLOKI</v>
      </c>
    </row>
    <row r="5007" spans="1:3" x14ac:dyDescent="0.25">
      <c r="A5007" s="2" t="str">
        <f ca="1">IFERROR(__xludf.DUMMYFUNCTION("""COMPUTED_VALUE"""),"floki-cash")</f>
        <v>floki-cash</v>
      </c>
      <c r="B5007" s="2" t="str">
        <f ca="1">IFERROR(__xludf.DUMMYFUNCTION("""COMPUTED_VALUE"""),"flokicash")</f>
        <v>flokicash</v>
      </c>
      <c r="C5007" s="2" t="str">
        <f ca="1">IFERROR(__xludf.DUMMYFUNCTION("""COMPUTED_VALUE"""),"Floki Cash")</f>
        <v>Floki Cash</v>
      </c>
    </row>
    <row r="5008" spans="1:3" x14ac:dyDescent="0.25">
      <c r="A5008" s="2" t="str">
        <f ca="1">IFERROR(__xludf.DUMMYFUNCTION("""COMPUTED_VALUE"""),"floki-cat")</f>
        <v>floki-cat</v>
      </c>
      <c r="B5008" s="2" t="str">
        <f ca="1">IFERROR(__xludf.DUMMYFUNCTION("""COMPUTED_VALUE"""),"fcat")</f>
        <v>fcat</v>
      </c>
      <c r="C5008" s="2" t="str">
        <f ca="1">IFERROR(__xludf.DUMMYFUNCTION("""COMPUTED_VALUE"""),"Floki Cat")</f>
        <v>Floki Cat</v>
      </c>
    </row>
    <row r="5009" spans="1:3" x14ac:dyDescent="0.25">
      <c r="A5009" s="2" t="str">
        <f ca="1">IFERROR(__xludf.DUMMYFUNCTION("""COMPUTED_VALUE"""),"floki-ceo")</f>
        <v>floki-ceo</v>
      </c>
      <c r="B5009" s="2" t="str">
        <f ca="1">IFERROR(__xludf.DUMMYFUNCTION("""COMPUTED_VALUE"""),"flokiceo")</f>
        <v>flokiceo</v>
      </c>
      <c r="C5009" s="2" t="str">
        <f ca="1">IFERROR(__xludf.DUMMYFUNCTION("""COMPUTED_VALUE"""),"FLOKI CEO")</f>
        <v>FLOKI CEO</v>
      </c>
    </row>
    <row r="5010" spans="1:3" x14ac:dyDescent="0.25">
      <c r="A5010" s="2" t="str">
        <f ca="1">IFERROR(__xludf.DUMMYFUNCTION("""COMPUTED_VALUE"""),"flokifork")</f>
        <v>flokifork</v>
      </c>
      <c r="B5010" s="2" t="str">
        <f ca="1">IFERROR(__xludf.DUMMYFUNCTION("""COMPUTED_VALUE"""),"fork")</f>
        <v>fork</v>
      </c>
      <c r="C5010" s="2" t="str">
        <f ca="1">IFERROR(__xludf.DUMMYFUNCTION("""COMPUTED_VALUE"""),"FlokiFork")</f>
        <v>FlokiFork</v>
      </c>
    </row>
    <row r="5011" spans="1:3" x14ac:dyDescent="0.25">
      <c r="A5011" s="2" t="str">
        <f ca="1">IFERROR(__xludf.DUMMYFUNCTION("""COMPUTED_VALUE"""),"flokis")</f>
        <v>flokis</v>
      </c>
      <c r="B5011" s="2" t="str">
        <f ca="1">IFERROR(__xludf.DUMMYFUNCTION("""COMPUTED_VALUE"""),"flokis")</f>
        <v>flokis</v>
      </c>
      <c r="C5011" s="2" t="str">
        <f ca="1">IFERROR(__xludf.DUMMYFUNCTION("""COMPUTED_VALUE"""),"Flokis")</f>
        <v>Flokis</v>
      </c>
    </row>
    <row r="5012" spans="1:3" x14ac:dyDescent="0.25">
      <c r="A5012" s="2" t="str">
        <f ca="1">IFERROR(__xludf.DUMMYFUNCTION("""COMPUTED_VALUE"""),"flokiwifhat")</f>
        <v>flokiwifhat</v>
      </c>
      <c r="B5012" s="2" t="str">
        <f ca="1">IFERROR(__xludf.DUMMYFUNCTION("""COMPUTED_VALUE"""),"floki")</f>
        <v>floki</v>
      </c>
      <c r="C5012" s="2" t="str">
        <f ca="1">IFERROR(__xludf.DUMMYFUNCTION("""COMPUTED_VALUE"""),"Flokiwifhat")</f>
        <v>Flokiwifhat</v>
      </c>
    </row>
    <row r="5013" spans="1:3" x14ac:dyDescent="0.25">
      <c r="A5013" s="2" t="str">
        <f ca="1">IFERROR(__xludf.DUMMYFUNCTION("""COMPUTED_VALUE"""),"floof")</f>
        <v>floof</v>
      </c>
      <c r="B5013" s="2" t="str">
        <f ca="1">IFERROR(__xludf.DUMMYFUNCTION("""COMPUTED_VALUE"""),"floof")</f>
        <v>floof</v>
      </c>
      <c r="C5013" s="2" t="str">
        <f ca="1">IFERROR(__xludf.DUMMYFUNCTION("""COMPUTED_VALUE"""),"FLOOF")</f>
        <v>FLOOF</v>
      </c>
    </row>
    <row r="5014" spans="1:3" x14ac:dyDescent="0.25">
      <c r="A5014" s="2" t="str">
        <f ca="1">IFERROR(__xludf.DUMMYFUNCTION("""COMPUTED_VALUE"""),"floop")</f>
        <v>floop</v>
      </c>
      <c r="B5014" s="2" t="str">
        <f ca="1">IFERROR(__xludf.DUMMYFUNCTION("""COMPUTED_VALUE"""),"floop")</f>
        <v>floop</v>
      </c>
      <c r="C5014" s="2" t="str">
        <f ca="1">IFERROR(__xludf.DUMMYFUNCTION("""COMPUTED_VALUE"""),"Floop")</f>
        <v>Floop</v>
      </c>
    </row>
    <row r="5015" spans="1:3" x14ac:dyDescent="0.25">
      <c r="A5015" s="2" t="str">
        <f ca="1">IFERROR(__xludf.DUMMYFUNCTION("""COMPUTED_VALUE"""),"floor-cheese-burger")</f>
        <v>floor-cheese-burger</v>
      </c>
      <c r="B5015" s="2" t="str">
        <f ca="1">IFERROR(__xludf.DUMMYFUNCTION("""COMPUTED_VALUE"""),"flrbrg")</f>
        <v>flrbrg</v>
      </c>
      <c r="C5015" s="2" t="str">
        <f ca="1">IFERROR(__xludf.DUMMYFUNCTION("""COMPUTED_VALUE"""),"Floor Cheese Burger")</f>
        <v>Floor Cheese Burger</v>
      </c>
    </row>
    <row r="5016" spans="1:3" x14ac:dyDescent="0.25">
      <c r="A5016" s="2" t="str">
        <f ca="1">IFERROR(__xludf.DUMMYFUNCTION("""COMPUTED_VALUE"""),"flooring-lab-credit")</f>
        <v>flooring-lab-credit</v>
      </c>
      <c r="B5016" s="2" t="str">
        <f ca="1">IFERROR(__xludf.DUMMYFUNCTION("""COMPUTED_VALUE"""),"flc")</f>
        <v>flc</v>
      </c>
      <c r="C5016" s="2" t="str">
        <f ca="1">IFERROR(__xludf.DUMMYFUNCTION("""COMPUTED_VALUE"""),"Floor Protocol")</f>
        <v>Floor Protocol</v>
      </c>
    </row>
    <row r="5017" spans="1:3" x14ac:dyDescent="0.25">
      <c r="A5017" s="2" t="str">
        <f ca="1">IFERROR(__xludf.DUMMYFUNCTION("""COMPUTED_VALUE"""),"flooring-protocol-microelemental")</f>
        <v>flooring-protocol-microelemental</v>
      </c>
      <c r="B5017" s="2" t="str">
        <f ca="1">IFERROR(__xludf.DUMMYFUNCTION("""COMPUTED_VALUE"""),"uelem")</f>
        <v>uelem</v>
      </c>
      <c r="C5017" s="2" t="str">
        <f ca="1">IFERROR(__xludf.DUMMYFUNCTION("""COMPUTED_VALUE"""),"FP μElemental")</f>
        <v>FP μElemental</v>
      </c>
    </row>
    <row r="5018" spans="1:3" x14ac:dyDescent="0.25">
      <c r="A5018" s="2" t="str">
        <f ca="1">IFERROR(__xludf.DUMMYFUNCTION("""COMPUTED_VALUE"""),"flooring-protocol-microlilpudgys")</f>
        <v>flooring-protocol-microlilpudgys</v>
      </c>
      <c r="B5018" s="2" t="str">
        <f ca="1">IFERROR(__xludf.DUMMYFUNCTION("""COMPUTED_VALUE"""),"ulp")</f>
        <v>ulp</v>
      </c>
      <c r="C5018" s="2" t="str">
        <f ca="1">IFERROR(__xludf.DUMMYFUNCTION("""COMPUTED_VALUE"""),"FP μLilPudgys")</f>
        <v>FP μLilPudgys</v>
      </c>
    </row>
    <row r="5019" spans="1:3" x14ac:dyDescent="0.25">
      <c r="A5019" s="2" t="str">
        <f ca="1">IFERROR(__xludf.DUMMYFUNCTION("""COMPUTED_VALUE"""),"flooring-protocol-micropudgypenguins")</f>
        <v>flooring-protocol-micropudgypenguins</v>
      </c>
      <c r="B5019" s="2" t="str">
        <f ca="1">IFERROR(__xludf.DUMMYFUNCTION("""COMPUTED_VALUE"""),"uppg")</f>
        <v>uppg</v>
      </c>
      <c r="C5019" s="2" t="str">
        <f ca="1">IFERROR(__xludf.DUMMYFUNCTION("""COMPUTED_VALUE"""),"FP μPudgyPenguins")</f>
        <v>FP μPudgyPenguins</v>
      </c>
    </row>
    <row r="5020" spans="1:3" x14ac:dyDescent="0.25">
      <c r="A5020" s="2" t="str">
        <f ca="1">IFERROR(__xludf.DUMMYFUNCTION("""COMPUTED_VALUE"""),"floos")</f>
        <v>floos</v>
      </c>
      <c r="B5020" s="2" t="str">
        <f ca="1">IFERROR(__xludf.DUMMYFUNCTION("""COMPUTED_VALUE"""),"fls")</f>
        <v>fls</v>
      </c>
      <c r="C5020" s="2" t="str">
        <f ca="1">IFERROR(__xludf.DUMMYFUNCTION("""COMPUTED_VALUE"""),"Floos")</f>
        <v>Floos</v>
      </c>
    </row>
    <row r="5021" spans="1:3" x14ac:dyDescent="0.25">
      <c r="A5021" s="2" t="str">
        <f ca="1">IFERROR(__xludf.DUMMYFUNCTION("""COMPUTED_VALUE"""),"floppa-cat")</f>
        <v>floppa-cat</v>
      </c>
      <c r="B5021" s="2" t="str">
        <f ca="1">IFERROR(__xludf.DUMMYFUNCTION("""COMPUTED_VALUE"""),"floppa")</f>
        <v>floppa</v>
      </c>
      <c r="C5021" s="2" t="str">
        <f ca="1">IFERROR(__xludf.DUMMYFUNCTION("""COMPUTED_VALUE"""),"Floppa Cat")</f>
        <v>Floppa Cat</v>
      </c>
    </row>
    <row r="5022" spans="1:3" x14ac:dyDescent="0.25">
      <c r="A5022" s="2" t="str">
        <f ca="1">IFERROR(__xludf.DUMMYFUNCTION("""COMPUTED_VALUE"""),"florence-finance-medici")</f>
        <v>florence-finance-medici</v>
      </c>
      <c r="B5022" s="2" t="str">
        <f ca="1">IFERROR(__xludf.DUMMYFUNCTION("""COMPUTED_VALUE"""),"ffm")</f>
        <v>ffm</v>
      </c>
      <c r="C5022" s="2" t="str">
        <f ca="1">IFERROR(__xludf.DUMMYFUNCTION("""COMPUTED_VALUE"""),"Florence Finance Medici")</f>
        <v>Florence Finance Medici</v>
      </c>
    </row>
    <row r="5023" spans="1:3" x14ac:dyDescent="0.25">
      <c r="A5023" s="2" t="str">
        <f ca="1">IFERROR(__xludf.DUMMYFUNCTION("""COMPUTED_VALUE"""),"flork")</f>
        <v>flork</v>
      </c>
      <c r="B5023" s="2" t="str">
        <f ca="1">IFERROR(__xludf.DUMMYFUNCTION("""COMPUTED_VALUE"""),"$flork")</f>
        <v>$flork</v>
      </c>
      <c r="C5023" s="2" t="str">
        <f ca="1">IFERROR(__xludf.DUMMYFUNCTION("""COMPUTED_VALUE"""),"Flork")</f>
        <v>Flork</v>
      </c>
    </row>
    <row r="5024" spans="1:3" x14ac:dyDescent="0.25">
      <c r="A5024" s="2" t="str">
        <f ca="1">IFERROR(__xludf.DUMMYFUNCTION("""COMPUTED_VALUE"""),"flourishing-ai-token")</f>
        <v>flourishing-ai-token</v>
      </c>
      <c r="B5024" s="2" t="str">
        <f ca="1">IFERROR(__xludf.DUMMYFUNCTION("""COMPUTED_VALUE"""),"ai")</f>
        <v>ai</v>
      </c>
      <c r="C5024" s="2" t="str">
        <f ca="1">IFERROR(__xludf.DUMMYFUNCTION("""COMPUTED_VALUE"""),"Flourishing AI")</f>
        <v>Flourishing AI</v>
      </c>
    </row>
    <row r="5025" spans="1:3" x14ac:dyDescent="0.25">
      <c r="A5025" s="2" t="str">
        <f ca="1">IFERROR(__xludf.DUMMYFUNCTION("""COMPUTED_VALUE"""),"flovatar-dust")</f>
        <v>flovatar-dust</v>
      </c>
      <c r="B5025" s="2" t="str">
        <f ca="1">IFERROR(__xludf.DUMMYFUNCTION("""COMPUTED_VALUE"""),"fdust")</f>
        <v>fdust</v>
      </c>
      <c r="C5025" s="2" t="str">
        <f ca="1">IFERROR(__xludf.DUMMYFUNCTION("""COMPUTED_VALUE"""),"Flovatar Dust")</f>
        <v>Flovatar Dust</v>
      </c>
    </row>
    <row r="5026" spans="1:3" x14ac:dyDescent="0.25">
      <c r="A5026" s="2" t="str">
        <f ca="1">IFERROR(__xludf.DUMMYFUNCTION("""COMPUTED_VALUE"""),"flovi-inu")</f>
        <v>flovi-inu</v>
      </c>
      <c r="B5026" s="2" t="str">
        <f ca="1">IFERROR(__xludf.DUMMYFUNCTION("""COMPUTED_VALUE"""),"flovi")</f>
        <v>flovi</v>
      </c>
      <c r="C5026" s="2" t="str">
        <f ca="1">IFERROR(__xludf.DUMMYFUNCTION("""COMPUTED_VALUE"""),"Flovi Inu")</f>
        <v>Flovi Inu</v>
      </c>
    </row>
    <row r="5027" spans="1:3" x14ac:dyDescent="0.25">
      <c r="A5027" s="2" t="str">
        <f ca="1">IFERROR(__xludf.DUMMYFUNCTION("""COMPUTED_VALUE"""),"flow")</f>
        <v>flow</v>
      </c>
      <c r="B5027" s="2" t="str">
        <f ca="1">IFERROR(__xludf.DUMMYFUNCTION("""COMPUTED_VALUE"""),"flow")</f>
        <v>flow</v>
      </c>
      <c r="C5027" s="2" t="str">
        <f ca="1">IFERROR(__xludf.DUMMYFUNCTION("""COMPUTED_VALUE"""),"Flow")</f>
        <v>Flow</v>
      </c>
    </row>
    <row r="5028" spans="1:3" x14ac:dyDescent="0.25">
      <c r="A5028" s="2" t="str">
        <f ca="1">IFERROR(__xludf.DUMMYFUNCTION("""COMPUTED_VALUE"""),"flow-bridged-usdc-flow")</f>
        <v>flow-bridged-usdc-flow</v>
      </c>
      <c r="B5028" s="2" t="str">
        <f ca="1">IFERROR(__xludf.DUMMYFUNCTION("""COMPUTED_VALUE"""),"usdc.e")</f>
        <v>usdc.e</v>
      </c>
      <c r="C5028" s="2" t="str">
        <f ca="1">IFERROR(__xludf.DUMMYFUNCTION("""COMPUTED_VALUE"""),"Flow Bridged USDC (Flow)")</f>
        <v>Flow Bridged USDC (Flow)</v>
      </c>
    </row>
    <row r="5029" spans="1:3" x14ac:dyDescent="0.25">
      <c r="A5029" s="2" t="str">
        <f ca="1">IFERROR(__xludf.DUMMYFUNCTION("""COMPUTED_VALUE"""),"flowmatic")</f>
        <v>flowmatic</v>
      </c>
      <c r="B5029" s="2" t="str">
        <f ca="1">IFERROR(__xludf.DUMMYFUNCTION("""COMPUTED_VALUE"""),"fm")</f>
        <v>fm</v>
      </c>
      <c r="C5029" s="2" t="str">
        <f ca="1">IFERROR(__xludf.DUMMYFUNCTION("""COMPUTED_VALUE"""),"Flowmatic")</f>
        <v>Flowmatic</v>
      </c>
    </row>
    <row r="5030" spans="1:3" x14ac:dyDescent="0.25">
      <c r="A5030" s="2" t="str">
        <f ca="1">IFERROR(__xludf.DUMMYFUNCTION("""COMPUTED_VALUE"""),"flowx-finance")</f>
        <v>flowx-finance</v>
      </c>
      <c r="B5030" s="2" t="str">
        <f ca="1">IFERROR(__xludf.DUMMYFUNCTION("""COMPUTED_VALUE"""),"flx")</f>
        <v>flx</v>
      </c>
      <c r="C5030" s="2" t="str">
        <f ca="1">IFERROR(__xludf.DUMMYFUNCTION("""COMPUTED_VALUE"""),"FlowX Finance")</f>
        <v>FlowX Finance</v>
      </c>
    </row>
    <row r="5031" spans="1:3" x14ac:dyDescent="0.25">
      <c r="A5031" s="2" t="str">
        <f ca="1">IFERROR(__xludf.DUMMYFUNCTION("""COMPUTED_VALUE"""),"floxypay")</f>
        <v>floxypay</v>
      </c>
      <c r="B5031" s="2" t="str">
        <f ca="1">IFERROR(__xludf.DUMMYFUNCTION("""COMPUTED_VALUE"""),"fxy")</f>
        <v>fxy</v>
      </c>
      <c r="C5031" s="2" t="str">
        <f ca="1">IFERROR(__xludf.DUMMYFUNCTION("""COMPUTED_VALUE"""),"Floxypay")</f>
        <v>Floxypay</v>
      </c>
    </row>
    <row r="5032" spans="1:3" x14ac:dyDescent="0.25">
      <c r="A5032" s="2" t="str">
        <f ca="1">IFERROR(__xludf.DUMMYFUNCTION("""COMPUTED_VALUE"""),"floyx-new")</f>
        <v>floyx-new</v>
      </c>
      <c r="B5032" s="2" t="str">
        <f ca="1">IFERROR(__xludf.DUMMYFUNCTION("""COMPUTED_VALUE"""),"floyx")</f>
        <v>floyx</v>
      </c>
      <c r="C5032" s="2" t="str">
        <f ca="1">IFERROR(__xludf.DUMMYFUNCTION("""COMPUTED_VALUE"""),"Floyx")</f>
        <v>Floyx</v>
      </c>
    </row>
    <row r="5033" spans="1:3" x14ac:dyDescent="0.25">
      <c r="A5033" s="2" t="str">
        <f ca="1">IFERROR(__xludf.DUMMYFUNCTION("""COMPUTED_VALUE"""),"fluence-2")</f>
        <v>fluence-2</v>
      </c>
      <c r="B5033" s="2" t="str">
        <f ca="1">IFERROR(__xludf.DUMMYFUNCTION("""COMPUTED_VALUE"""),"flt")</f>
        <v>flt</v>
      </c>
      <c r="C5033" s="2" t="str">
        <f ca="1">IFERROR(__xludf.DUMMYFUNCTION("""COMPUTED_VALUE"""),"Fluence")</f>
        <v>Fluence</v>
      </c>
    </row>
    <row r="5034" spans="1:3" x14ac:dyDescent="0.25">
      <c r="A5034" s="2" t="str">
        <f ca="1">IFERROR(__xludf.DUMMYFUNCTION("""COMPUTED_VALUE"""),"fluffington")</f>
        <v>fluffington</v>
      </c>
      <c r="B5034" s="2" t="str">
        <f ca="1">IFERROR(__xludf.DUMMYFUNCTION("""COMPUTED_VALUE"""),"fluffi")</f>
        <v>fluffi</v>
      </c>
      <c r="C5034" s="2" t="str">
        <f ca="1">IFERROR(__xludf.DUMMYFUNCTION("""COMPUTED_VALUE"""),"Fluffington")</f>
        <v>Fluffington</v>
      </c>
    </row>
    <row r="5035" spans="1:3" x14ac:dyDescent="0.25">
      <c r="A5035" s="2" t="str">
        <f ca="1">IFERROR(__xludf.DUMMYFUNCTION("""COMPUTED_VALUE"""),"fluffy-coin")</f>
        <v>fluffy-coin</v>
      </c>
      <c r="B5035" s="2" t="str">
        <f ca="1">IFERROR(__xludf.DUMMYFUNCTION("""COMPUTED_VALUE"""),"fluf")</f>
        <v>fluf</v>
      </c>
      <c r="C5035" s="2" t="str">
        <f ca="1">IFERROR(__xludf.DUMMYFUNCTION("""COMPUTED_VALUE"""),"Fluffy Coin")</f>
        <v>Fluffy Coin</v>
      </c>
    </row>
    <row r="5036" spans="1:3" x14ac:dyDescent="0.25">
      <c r="A5036" s="2" t="str">
        <f ca="1">IFERROR(__xludf.DUMMYFUNCTION("""COMPUTED_VALUE"""),"fluffys")</f>
        <v>fluffys</v>
      </c>
      <c r="B5036" s="2" t="str">
        <f ca="1">IFERROR(__xludf.DUMMYFUNCTION("""COMPUTED_VALUE"""),"fluff")</f>
        <v>fluff</v>
      </c>
      <c r="C5036" s="2" t="str">
        <f ca="1">IFERROR(__xludf.DUMMYFUNCTION("""COMPUTED_VALUE"""),"Fluffys")</f>
        <v>Fluffys</v>
      </c>
    </row>
    <row r="5037" spans="1:3" x14ac:dyDescent="0.25">
      <c r="A5037" s="2" t="str">
        <f ca="1">IFERROR(__xludf.DUMMYFUNCTION("""COMPUTED_VALUE"""),"fluid-2")</f>
        <v>fluid-2</v>
      </c>
      <c r="B5037" s="2" t="str">
        <f ca="1">IFERROR(__xludf.DUMMYFUNCTION("""COMPUTED_VALUE"""),"fluid")</f>
        <v>fluid</v>
      </c>
      <c r="C5037" s="2" t="str">
        <f ca="1">IFERROR(__xludf.DUMMYFUNCTION("""COMPUTED_VALUE"""),"Fluid")</f>
        <v>Fluid</v>
      </c>
    </row>
    <row r="5038" spans="1:3" x14ac:dyDescent="0.25">
      <c r="A5038" s="2" t="str">
        <f ca="1">IFERROR(__xludf.DUMMYFUNCTION("""COMPUTED_VALUE"""),"fluid-dai")</f>
        <v>fluid-dai</v>
      </c>
      <c r="B5038" s="2" t="str">
        <f ca="1">IFERROR(__xludf.DUMMYFUNCTION("""COMPUTED_VALUE"""),"fdai")</f>
        <v>fdai</v>
      </c>
      <c r="C5038" s="2" t="str">
        <f ca="1">IFERROR(__xludf.DUMMYFUNCTION("""COMPUTED_VALUE"""),"Fluid DAI")</f>
        <v>Fluid DAI</v>
      </c>
    </row>
    <row r="5039" spans="1:3" x14ac:dyDescent="0.25">
      <c r="A5039" s="2" t="str">
        <f ca="1">IFERROR(__xludf.DUMMYFUNCTION("""COMPUTED_VALUE"""),"fluidity")</f>
        <v>fluidity</v>
      </c>
      <c r="B5039" s="2" t="str">
        <f ca="1">IFERROR(__xludf.DUMMYFUNCTION("""COMPUTED_VALUE"""),"fly")</f>
        <v>fly</v>
      </c>
      <c r="C5039" s="2" t="str">
        <f ca="1">IFERROR(__xludf.DUMMYFUNCTION("""COMPUTED_VALUE"""),"Fluidity")</f>
        <v>Fluidity</v>
      </c>
    </row>
    <row r="5040" spans="1:3" x14ac:dyDescent="0.25">
      <c r="A5040" s="2" t="str">
        <f ca="1">IFERROR(__xludf.DUMMYFUNCTION("""COMPUTED_VALUE"""),"fluid-protocol")</f>
        <v>fluid-protocol</v>
      </c>
      <c r="B5040" s="2" t="str">
        <f ca="1">IFERROR(__xludf.DUMMYFUNCTION("""COMPUTED_VALUE"""),"fpt")</f>
        <v>fpt</v>
      </c>
      <c r="C5040" s="2" t="str">
        <f ca="1">IFERROR(__xludf.DUMMYFUNCTION("""COMPUTED_VALUE"""),"Fluid Protocol")</f>
        <v>Fluid Protocol</v>
      </c>
    </row>
    <row r="5041" spans="1:3" x14ac:dyDescent="0.25">
      <c r="A5041" s="2" t="str">
        <f ca="1">IFERROR(__xludf.DUMMYFUNCTION("""COMPUTED_VALUE"""),"fluid-tether-usd")</f>
        <v>fluid-tether-usd</v>
      </c>
      <c r="B5041" s="2" t="str">
        <f ca="1">IFERROR(__xludf.DUMMYFUNCTION("""COMPUTED_VALUE"""),"fusdt")</f>
        <v>fusdt</v>
      </c>
      <c r="C5041" s="2" t="str">
        <f ca="1">IFERROR(__xludf.DUMMYFUNCTION("""COMPUTED_VALUE"""),"Fluid Tether USD")</f>
        <v>Fluid Tether USD</v>
      </c>
    </row>
    <row r="5042" spans="1:3" x14ac:dyDescent="0.25">
      <c r="A5042" s="2" t="str">
        <f ca="1">IFERROR(__xludf.DUMMYFUNCTION("""COMPUTED_VALUE"""),"fluidtokens")</f>
        <v>fluidtokens</v>
      </c>
      <c r="B5042" s="2" t="str">
        <f ca="1">IFERROR(__xludf.DUMMYFUNCTION("""COMPUTED_VALUE"""),"fldt")</f>
        <v>fldt</v>
      </c>
      <c r="C5042" s="2" t="str">
        <f ca="1">IFERROR(__xludf.DUMMYFUNCTION("""COMPUTED_VALUE"""),"FluidTokens")</f>
        <v>FluidTokens</v>
      </c>
    </row>
    <row r="5043" spans="1:3" x14ac:dyDescent="0.25">
      <c r="A5043" s="2" t="str">
        <f ca="1">IFERROR(__xludf.DUMMYFUNCTION("""COMPUTED_VALUE"""),"fluid-tusd")</f>
        <v>fluid-tusd</v>
      </c>
      <c r="B5043" s="2" t="str">
        <f ca="1">IFERROR(__xludf.DUMMYFUNCTION("""COMPUTED_VALUE"""),"ftusd")</f>
        <v>ftusd</v>
      </c>
      <c r="C5043" s="2" t="str">
        <f ca="1">IFERROR(__xludf.DUMMYFUNCTION("""COMPUTED_VALUE"""),"Fluid TUSD")</f>
        <v>Fluid TUSD</v>
      </c>
    </row>
    <row r="5044" spans="1:3" x14ac:dyDescent="0.25">
      <c r="A5044" s="2" t="str">
        <f ca="1">IFERROR(__xludf.DUMMYFUNCTION("""COMPUTED_VALUE"""),"fluid-usd")</f>
        <v>fluid-usd</v>
      </c>
      <c r="B5044" s="2" t="str">
        <f ca="1">IFERROR(__xludf.DUMMYFUNCTION("""COMPUTED_VALUE"""),"usdf")</f>
        <v>usdf</v>
      </c>
      <c r="C5044" s="2" t="str">
        <f ca="1">IFERROR(__xludf.DUMMYFUNCTION("""COMPUTED_VALUE"""),"Fluid USD")</f>
        <v>Fluid USD</v>
      </c>
    </row>
    <row r="5045" spans="1:3" x14ac:dyDescent="0.25">
      <c r="A5045" s="2" t="str">
        <f ca="1">IFERROR(__xludf.DUMMYFUNCTION("""COMPUTED_VALUE"""),"fluid-usdc")</f>
        <v>fluid-usdc</v>
      </c>
      <c r="B5045" s="2" t="str">
        <f ca="1">IFERROR(__xludf.DUMMYFUNCTION("""COMPUTED_VALUE"""),"fusdc")</f>
        <v>fusdc</v>
      </c>
      <c r="C5045" s="2" t="str">
        <f ca="1">IFERROR(__xludf.DUMMYFUNCTION("""COMPUTED_VALUE"""),"Fluid USDC")</f>
        <v>Fluid USDC</v>
      </c>
    </row>
    <row r="5046" spans="1:3" x14ac:dyDescent="0.25">
      <c r="A5046" s="2" t="str">
        <f ca="1">IFERROR(__xludf.DUMMYFUNCTION("""COMPUTED_VALUE"""),"fluid-usd-coin")</f>
        <v>fluid-usd-coin</v>
      </c>
      <c r="B5046" s="2" t="str">
        <f ca="1">IFERROR(__xludf.DUMMYFUNCTION("""COMPUTED_VALUE"""),"fusdc")</f>
        <v>fusdc</v>
      </c>
      <c r="C5046" s="2" t="str">
        <f ca="1">IFERROR(__xludf.DUMMYFUNCTION("""COMPUTED_VALUE"""),"Fluid USD Coin")</f>
        <v>Fluid USD Coin</v>
      </c>
    </row>
    <row r="5047" spans="1:3" x14ac:dyDescent="0.25">
      <c r="A5047" s="2" t="str">
        <f ca="1">IFERROR(__xludf.DUMMYFUNCTION("""COMPUTED_VALUE"""),"fluid-wrapped-ether")</f>
        <v>fluid-wrapped-ether</v>
      </c>
      <c r="B5047" s="2" t="str">
        <f ca="1">IFERROR(__xludf.DUMMYFUNCTION("""COMPUTED_VALUE"""),"fweth")</f>
        <v>fweth</v>
      </c>
      <c r="C5047" s="2" t="str">
        <f ca="1">IFERROR(__xludf.DUMMYFUNCTION("""COMPUTED_VALUE"""),"Fluid Wrapped Ether")</f>
        <v>Fluid Wrapped Ether</v>
      </c>
    </row>
    <row r="5048" spans="1:3" x14ac:dyDescent="0.25">
      <c r="A5048" s="2" t="str">
        <f ca="1">IFERROR(__xludf.DUMMYFUNCTION("""COMPUTED_VALUE"""),"fluid-wrapped-staked-eth")</f>
        <v>fluid-wrapped-staked-eth</v>
      </c>
      <c r="B5048" s="2" t="str">
        <f ca="1">IFERROR(__xludf.DUMMYFUNCTION("""COMPUTED_VALUE"""),"fwsteth")</f>
        <v>fwsteth</v>
      </c>
      <c r="C5048" s="2" t="str">
        <f ca="1">IFERROR(__xludf.DUMMYFUNCTION("""COMPUTED_VALUE"""),"Fluid Wrapped Staked ETH")</f>
        <v>Fluid Wrapped Staked ETH</v>
      </c>
    </row>
    <row r="5049" spans="1:3" x14ac:dyDescent="0.25">
      <c r="A5049" s="2" t="str">
        <f ca="1">IFERROR(__xludf.DUMMYFUNCTION("""COMPUTED_VALUE"""),"fluminense-fc-fan-token")</f>
        <v>fluminense-fc-fan-token</v>
      </c>
      <c r="B5049" s="2" t="str">
        <f ca="1">IFERROR(__xludf.DUMMYFUNCTION("""COMPUTED_VALUE"""),"flu")</f>
        <v>flu</v>
      </c>
      <c r="C5049" s="2" t="str">
        <f ca="1">IFERROR(__xludf.DUMMYFUNCTION("""COMPUTED_VALUE"""),"Fluminense FC Fan Token")</f>
        <v>Fluminense FC Fan Token</v>
      </c>
    </row>
    <row r="5050" spans="1:3" x14ac:dyDescent="0.25">
      <c r="A5050" s="2" t="str">
        <f ca="1">IFERROR(__xludf.DUMMYFUNCTION("""COMPUTED_VALUE"""),"flurry")</f>
        <v>flurry</v>
      </c>
      <c r="B5050" s="2" t="str">
        <f ca="1">IFERROR(__xludf.DUMMYFUNCTION("""COMPUTED_VALUE"""),"flurry")</f>
        <v>flurry</v>
      </c>
      <c r="C5050" s="2" t="str">
        <f ca="1">IFERROR(__xludf.DUMMYFUNCTION("""COMPUTED_VALUE"""),"Flurry Finance")</f>
        <v>Flurry Finance</v>
      </c>
    </row>
    <row r="5051" spans="1:3" x14ac:dyDescent="0.25">
      <c r="A5051" s="2" t="str">
        <f ca="1">IFERROR(__xludf.DUMMYFUNCTION("""COMPUTED_VALUE"""),"flute")</f>
        <v>flute</v>
      </c>
      <c r="B5051" s="2" t="str">
        <f ca="1">IFERROR(__xludf.DUMMYFUNCTION("""COMPUTED_VALUE"""),"flut")</f>
        <v>flut</v>
      </c>
      <c r="C5051" s="2" t="str">
        <f ca="1">IFERROR(__xludf.DUMMYFUNCTION("""COMPUTED_VALUE"""),"Flute")</f>
        <v>Flute</v>
      </c>
    </row>
    <row r="5052" spans="1:3" x14ac:dyDescent="0.25">
      <c r="A5052" s="2" t="str">
        <f ca="1">IFERROR(__xludf.DUMMYFUNCTION("""COMPUTED_VALUE"""),"flux")</f>
        <v>flux</v>
      </c>
      <c r="B5052" s="2" t="str">
        <f ca="1">IFERROR(__xludf.DUMMYFUNCTION("""COMPUTED_VALUE"""),"flux")</f>
        <v>flux</v>
      </c>
      <c r="C5052" s="2" t="str">
        <f ca="1">IFERROR(__xludf.DUMMYFUNCTION("""COMPUTED_VALUE"""),"Datamine FLUX")</f>
        <v>Datamine FLUX</v>
      </c>
    </row>
    <row r="5053" spans="1:3" x14ac:dyDescent="0.25">
      <c r="A5053" s="2" t="str">
        <f ca="1">IFERROR(__xludf.DUMMYFUNCTION("""COMPUTED_VALUE"""),"fluxbot")</f>
        <v>fluxbot</v>
      </c>
      <c r="B5053" s="2" t="str">
        <f ca="1">IFERROR(__xludf.DUMMYFUNCTION("""COMPUTED_VALUE"""),"fluxb")</f>
        <v>fluxb</v>
      </c>
      <c r="C5053" s="2" t="str">
        <f ca="1">IFERROR(__xludf.DUMMYFUNCTION("""COMPUTED_VALUE"""),"Fluxbot")</f>
        <v>Fluxbot</v>
      </c>
    </row>
    <row r="5054" spans="1:3" x14ac:dyDescent="0.25">
      <c r="A5054" s="2" t="str">
        <f ca="1">IFERROR(__xludf.DUMMYFUNCTION("""COMPUTED_VALUE"""),"flux-dai")</f>
        <v>flux-dai</v>
      </c>
      <c r="B5054" s="2" t="str">
        <f ca="1">IFERROR(__xludf.DUMMYFUNCTION("""COMPUTED_VALUE"""),"fdai")</f>
        <v>fdai</v>
      </c>
      <c r="C5054" s="2" t="str">
        <f ca="1">IFERROR(__xludf.DUMMYFUNCTION("""COMPUTED_VALUE"""),"Flux DAI")</f>
        <v>Flux DAI</v>
      </c>
    </row>
    <row r="5055" spans="1:3" x14ac:dyDescent="0.25">
      <c r="A5055" s="2" t="str">
        <f ca="1">IFERROR(__xludf.DUMMYFUNCTION("""COMPUTED_VALUE"""),"flux-frax")</f>
        <v>flux-frax</v>
      </c>
      <c r="B5055" s="2" t="str">
        <f ca="1">IFERROR(__xludf.DUMMYFUNCTION("""COMPUTED_VALUE"""),"ffrax")</f>
        <v>ffrax</v>
      </c>
      <c r="C5055" s="2" t="str">
        <f ca="1">IFERROR(__xludf.DUMMYFUNCTION("""COMPUTED_VALUE"""),"Flux FRAX")</f>
        <v>Flux FRAX</v>
      </c>
    </row>
    <row r="5056" spans="1:3" x14ac:dyDescent="0.25">
      <c r="A5056" s="2" t="str">
        <f ca="1">IFERROR(__xludf.DUMMYFUNCTION("""COMPUTED_VALUE"""),"flux-point-studios-shards")</f>
        <v>flux-point-studios-shards</v>
      </c>
      <c r="B5056" s="2" t="str">
        <f ca="1">IFERROR(__xludf.DUMMYFUNCTION("""COMPUTED_VALUE"""),"shards")</f>
        <v>shards</v>
      </c>
      <c r="C5056" s="2" t="str">
        <f ca="1">IFERROR(__xludf.DUMMYFUNCTION("""COMPUTED_VALUE"""),"Flux Point Studios SHARDS")</f>
        <v>Flux Point Studios SHARDS</v>
      </c>
    </row>
    <row r="5057" spans="1:3" x14ac:dyDescent="0.25">
      <c r="A5057" s="2" t="str">
        <f ca="1">IFERROR(__xludf.DUMMYFUNCTION("""COMPUTED_VALUE"""),"flux-protocol")</f>
        <v>flux-protocol</v>
      </c>
      <c r="B5057" s="2" t="str">
        <f ca="1">IFERROR(__xludf.DUMMYFUNCTION("""COMPUTED_VALUE"""),"flux")</f>
        <v>flux</v>
      </c>
      <c r="C5057" s="2" t="str">
        <f ca="1">IFERROR(__xludf.DUMMYFUNCTION("""COMPUTED_VALUE"""),"Flux Protocol")</f>
        <v>Flux Protocol</v>
      </c>
    </row>
    <row r="5058" spans="1:3" x14ac:dyDescent="0.25">
      <c r="A5058" s="2" t="str">
        <f ca="1">IFERROR(__xludf.DUMMYFUNCTION("""COMPUTED_VALUE"""),"flux-terminal")</f>
        <v>flux-terminal</v>
      </c>
      <c r="B5058" s="2" t="str">
        <f ca="1">IFERROR(__xludf.DUMMYFUNCTION("""COMPUTED_VALUE"""),"fluxt")</f>
        <v>fluxt</v>
      </c>
      <c r="C5058" s="2" t="str">
        <f ca="1">IFERROR(__xludf.DUMMYFUNCTION("""COMPUTED_VALUE"""),"Flux Terminal")</f>
        <v>Flux Terminal</v>
      </c>
    </row>
    <row r="5059" spans="1:3" x14ac:dyDescent="0.25">
      <c r="A5059" s="2" t="str">
        <f ca="1">IFERROR(__xludf.DUMMYFUNCTION("""COMPUTED_VALUE"""),"flux-token")</f>
        <v>flux-token</v>
      </c>
      <c r="B5059" s="2" t="str">
        <f ca="1">IFERROR(__xludf.DUMMYFUNCTION("""COMPUTED_VALUE"""),"flx")</f>
        <v>flx</v>
      </c>
      <c r="C5059" s="2" t="str">
        <f ca="1">IFERROR(__xludf.DUMMYFUNCTION("""COMPUTED_VALUE"""),"Flux Protocol")</f>
        <v>Flux Protocol</v>
      </c>
    </row>
    <row r="5060" spans="1:3" x14ac:dyDescent="0.25">
      <c r="A5060" s="2" t="str">
        <f ca="1">IFERROR(__xludf.DUMMYFUNCTION("""COMPUTED_VALUE"""),"flux-usdt")</f>
        <v>flux-usdt</v>
      </c>
      <c r="B5060" s="2" t="str">
        <f ca="1">IFERROR(__xludf.DUMMYFUNCTION("""COMPUTED_VALUE"""),"fusdt")</f>
        <v>fusdt</v>
      </c>
      <c r="C5060" s="2" t="str">
        <f ca="1">IFERROR(__xludf.DUMMYFUNCTION("""COMPUTED_VALUE"""),"Flux USDT")</f>
        <v>Flux USDT</v>
      </c>
    </row>
    <row r="5061" spans="1:3" x14ac:dyDescent="0.25">
      <c r="A5061" s="2" t="str">
        <f ca="1">IFERROR(__xludf.DUMMYFUNCTION("""COMPUTED_VALUE"""),"flux-yin")</f>
        <v>flux-yin</v>
      </c>
      <c r="B5061" s="2" t="str">
        <f ca="1">IFERROR(__xludf.DUMMYFUNCTION("""COMPUTED_VALUE"""),"yin")</f>
        <v>yin</v>
      </c>
      <c r="C5061" s="2" t="str">
        <f ca="1">IFERROR(__xludf.DUMMYFUNCTION("""COMPUTED_VALUE"""),"Flux YIN")</f>
        <v>Flux YIN</v>
      </c>
    </row>
    <row r="5062" spans="1:3" x14ac:dyDescent="0.25">
      <c r="A5062" s="2" t="str">
        <f ca="1">IFERROR(__xludf.DUMMYFUNCTION("""COMPUTED_VALUE"""),"fly")</f>
        <v>fly</v>
      </c>
      <c r="B5062" s="2" t="str">
        <f ca="1">IFERROR(__xludf.DUMMYFUNCTION("""COMPUTED_VALUE"""),"fly")</f>
        <v>fly</v>
      </c>
      <c r="C5062" s="2" t="str">
        <f ca="1">IFERROR(__xludf.DUMMYFUNCTION("""COMPUTED_VALUE"""),"FLY")</f>
        <v>FLY</v>
      </c>
    </row>
    <row r="5063" spans="1:3" x14ac:dyDescent="0.25">
      <c r="A5063" s="2" t="str">
        <f ca="1">IFERROR(__xludf.DUMMYFUNCTION("""COMPUTED_VALUE"""),"flycat")</f>
        <v>flycat</v>
      </c>
      <c r="B5063" s="2" t="str">
        <f ca="1">IFERROR(__xludf.DUMMYFUNCTION("""COMPUTED_VALUE"""),"flycat")</f>
        <v>flycat</v>
      </c>
      <c r="C5063" s="2" t="str">
        <f ca="1">IFERROR(__xludf.DUMMYFUNCTION("""COMPUTED_VALUE"""),"Flycat")</f>
        <v>Flycat</v>
      </c>
    </row>
    <row r="5064" spans="1:3" x14ac:dyDescent="0.25">
      <c r="A5064" s="2" t="str">
        <f ca="1">IFERROR(__xludf.DUMMYFUNCTION("""COMPUTED_VALUE"""),"flying-avocado-cat")</f>
        <v>flying-avocado-cat</v>
      </c>
      <c r="B5064" s="2" t="str">
        <f ca="1">IFERROR(__xludf.DUMMYFUNCTION("""COMPUTED_VALUE"""),"fac")</f>
        <v>fac</v>
      </c>
      <c r="C5064" s="2" t="str">
        <f ca="1">IFERROR(__xludf.DUMMYFUNCTION("""COMPUTED_VALUE"""),"Flying Avocado Cat")</f>
        <v>Flying Avocado Cat</v>
      </c>
    </row>
    <row r="5065" spans="1:3" x14ac:dyDescent="0.25">
      <c r="A5065" s="2" t="str">
        <f ca="1">IFERROR(__xludf.DUMMYFUNCTION("""COMPUTED_VALUE"""),"fncy")</f>
        <v>fncy</v>
      </c>
      <c r="B5065" s="2" t="str">
        <f ca="1">IFERROR(__xludf.DUMMYFUNCTION("""COMPUTED_VALUE"""),"fncy")</f>
        <v>fncy</v>
      </c>
      <c r="C5065" s="2" t="str">
        <f ca="1">IFERROR(__xludf.DUMMYFUNCTION("""COMPUTED_VALUE"""),"FNCY")</f>
        <v>FNCY</v>
      </c>
    </row>
    <row r="5066" spans="1:3" x14ac:dyDescent="0.25">
      <c r="A5066" s="2" t="str">
        <f ca="1">IFERROR(__xludf.DUMMYFUNCTION("""COMPUTED_VALUE"""),"fnkcom")</f>
        <v>fnkcom</v>
      </c>
      <c r="B5066" s="2" t="str">
        <f ca="1">IFERROR(__xludf.DUMMYFUNCTION("""COMPUTED_VALUE"""),"fnk")</f>
        <v>fnk</v>
      </c>
      <c r="C5066" s="3" t="str">
        <f ca="1">IFERROR(__xludf.DUMMYFUNCTION("""COMPUTED_VALUE"""),"Fnk.com")</f>
        <v>Fnk.com</v>
      </c>
    </row>
    <row r="5067" spans="1:3" x14ac:dyDescent="0.25">
      <c r="A5067" s="2" t="str">
        <f ca="1">IFERROR(__xludf.DUMMYFUNCTION("""COMPUTED_VALUE"""),"foam-protocol")</f>
        <v>foam-protocol</v>
      </c>
      <c r="B5067" s="2" t="str">
        <f ca="1">IFERROR(__xludf.DUMMYFUNCTION("""COMPUTED_VALUE"""),"foam")</f>
        <v>foam</v>
      </c>
      <c r="C5067" s="2" t="str">
        <f ca="1">IFERROR(__xludf.DUMMYFUNCTION("""COMPUTED_VALUE"""),"FOAM")</f>
        <v>FOAM</v>
      </c>
    </row>
    <row r="5068" spans="1:3" x14ac:dyDescent="0.25">
      <c r="A5068" s="2" t="str">
        <f ca="1">IFERROR(__xludf.DUMMYFUNCTION("""COMPUTED_VALUE"""),"foc")</f>
        <v>foc</v>
      </c>
      <c r="B5068" s="2" t="str">
        <f ca="1">IFERROR(__xludf.DUMMYFUNCTION("""COMPUTED_VALUE"""),"foc")</f>
        <v>foc</v>
      </c>
      <c r="C5068" s="2" t="str">
        <f ca="1">IFERROR(__xludf.DUMMYFUNCTION("""COMPUTED_VALUE"""),"FOC")</f>
        <v>FOC</v>
      </c>
    </row>
    <row r="5069" spans="1:3" x14ac:dyDescent="0.25">
      <c r="A5069" s="2" t="str">
        <f ca="1">IFERROR(__xludf.DUMMYFUNCTION("""COMPUTED_VALUE"""),"fodl-finance")</f>
        <v>fodl-finance</v>
      </c>
      <c r="B5069" s="2" t="str">
        <f ca="1">IFERROR(__xludf.DUMMYFUNCTION("""COMPUTED_VALUE"""),"fodl")</f>
        <v>fodl</v>
      </c>
      <c r="C5069" s="2" t="str">
        <f ca="1">IFERROR(__xludf.DUMMYFUNCTION("""COMPUTED_VALUE"""),"Fodl Finance")</f>
        <v>Fodl Finance</v>
      </c>
    </row>
    <row r="5070" spans="1:3" x14ac:dyDescent="0.25">
      <c r="A5070" s="2" t="str">
        <f ca="1">IFERROR(__xludf.DUMMYFUNCTION("""COMPUTED_VALUE"""),"fofar")</f>
        <v>fofar</v>
      </c>
      <c r="B5070" s="2" t="str">
        <f ca="1">IFERROR(__xludf.DUMMYFUNCTION("""COMPUTED_VALUE"""),"fofar")</f>
        <v>fofar</v>
      </c>
      <c r="C5070" s="2" t="str">
        <f ca="1">IFERROR(__xludf.DUMMYFUNCTION("""COMPUTED_VALUE"""),"Fofar")</f>
        <v>Fofar</v>
      </c>
    </row>
    <row r="5071" spans="1:3" x14ac:dyDescent="0.25">
      <c r="A5071" s="2" t="str">
        <f ca="1">IFERROR(__xludf.DUMMYFUNCTION("""COMPUTED_VALUE"""),"fofar0x71")</f>
        <v>fofar0x71</v>
      </c>
      <c r="B5071" s="2" t="str">
        <f ca="1">IFERROR(__xludf.DUMMYFUNCTION("""COMPUTED_VALUE"""),"fofar")</f>
        <v>fofar</v>
      </c>
      <c r="C5071" s="2" t="str">
        <f ca="1">IFERROR(__xludf.DUMMYFUNCTION("""COMPUTED_VALUE"""),"Fofar0x71")</f>
        <v>Fofar0x71</v>
      </c>
    </row>
    <row r="5072" spans="1:3" x14ac:dyDescent="0.25">
      <c r="A5072" s="2" t="str">
        <f ca="1">IFERROR(__xludf.DUMMYFUNCTION("""COMPUTED_VALUE"""),"fofar-2")</f>
        <v>fofar-2</v>
      </c>
      <c r="B5072" s="2" t="str">
        <f ca="1">IFERROR(__xludf.DUMMYFUNCTION("""COMPUTED_VALUE"""),"fofar")</f>
        <v>fofar</v>
      </c>
      <c r="C5072" s="2" t="str">
        <f ca="1">IFERROR(__xludf.DUMMYFUNCTION("""COMPUTED_VALUE"""),"FoFar")</f>
        <v>FoFar</v>
      </c>
    </row>
    <row r="5073" spans="1:3" x14ac:dyDescent="0.25">
      <c r="A5073" s="2" t="str">
        <f ca="1">IFERROR(__xludf.DUMMYFUNCTION("""COMPUTED_VALUE"""),"fofo-token")</f>
        <v>fofo-token</v>
      </c>
      <c r="B5073" s="2" t="str">
        <f ca="1">IFERROR(__xludf.DUMMYFUNCTION("""COMPUTED_VALUE"""),"fofo")</f>
        <v>fofo</v>
      </c>
      <c r="C5073" s="2" t="str">
        <f ca="1">IFERROR(__xludf.DUMMYFUNCTION("""COMPUTED_VALUE"""),"FOFO Token")</f>
        <v>FOFO Token</v>
      </c>
    </row>
    <row r="5074" spans="1:3" x14ac:dyDescent="0.25">
      <c r="A5074" s="2" t="str">
        <f ca="1">IFERROR(__xludf.DUMMYFUNCTION("""COMPUTED_VALUE"""),"fognet")</f>
        <v>fognet</v>
      </c>
      <c r="B5074" s="2" t="str">
        <f ca="1">IFERROR(__xludf.DUMMYFUNCTION("""COMPUTED_VALUE"""),"fog")</f>
        <v>fog</v>
      </c>
      <c r="C5074" s="2" t="str">
        <f ca="1">IFERROR(__xludf.DUMMYFUNCTION("""COMPUTED_VALUE"""),"FOGnet")</f>
        <v>FOGnet</v>
      </c>
    </row>
    <row r="5075" spans="1:3" x14ac:dyDescent="0.25">
      <c r="A5075" s="2" t="str">
        <f ca="1">IFERROR(__xludf.DUMMYFUNCTION("""COMPUTED_VALUE"""),"foho-coin")</f>
        <v>foho-coin</v>
      </c>
      <c r="B5075" s="2" t="str">
        <f ca="1">IFERROR(__xludf.DUMMYFUNCTION("""COMPUTED_VALUE"""),"foho")</f>
        <v>foho</v>
      </c>
      <c r="C5075" s="2" t="str">
        <f ca="1">IFERROR(__xludf.DUMMYFUNCTION("""COMPUTED_VALUE"""),"Foho Coin")</f>
        <v>Foho Coin</v>
      </c>
    </row>
    <row r="5076" spans="1:3" x14ac:dyDescent="0.25">
      <c r="A5076" s="2" t="str">
        <f ca="1">IFERROR(__xludf.DUMMYFUNCTION("""COMPUTED_VALUE"""),"fold")</f>
        <v>fold</v>
      </c>
      <c r="B5076" s="2" t="str">
        <f ca="1">IFERROR(__xludf.DUMMYFUNCTION("""COMPUTED_VALUE"""),"fld")</f>
        <v>fld</v>
      </c>
      <c r="C5076" s="2" t="str">
        <f ca="1">IFERROR(__xludf.DUMMYFUNCTION("""COMPUTED_VALUE"""),"Fold")</f>
        <v>Fold</v>
      </c>
    </row>
    <row r="5077" spans="1:3" x14ac:dyDescent="0.25">
      <c r="A5077" s="2" t="str">
        <f ca="1">IFERROR(__xludf.DUMMYFUNCTION("""COMPUTED_VALUE"""),"follow-token")</f>
        <v>follow-token</v>
      </c>
      <c r="B5077" s="2" t="str">
        <f ca="1">IFERROR(__xludf.DUMMYFUNCTION("""COMPUTED_VALUE"""),"folo")</f>
        <v>folo</v>
      </c>
      <c r="C5077" s="2" t="str">
        <f ca="1">IFERROR(__xludf.DUMMYFUNCTION("""COMPUTED_VALUE"""),"Alpha Impact")</f>
        <v>Alpha Impact</v>
      </c>
    </row>
    <row r="5078" spans="1:3" x14ac:dyDescent="0.25">
      <c r="A5078" s="2" t="str">
        <f ca="1">IFERROR(__xludf.DUMMYFUNCTION("""COMPUTED_VALUE"""),"fomeow")</f>
        <v>fomeow</v>
      </c>
      <c r="B5078" s="2" t="str">
        <f ca="1">IFERROR(__xludf.DUMMYFUNCTION("""COMPUTED_VALUE"""),"fomeow")</f>
        <v>fomeow</v>
      </c>
      <c r="C5078" s="2" t="str">
        <f ca="1">IFERROR(__xludf.DUMMYFUNCTION("""COMPUTED_VALUE"""),"fomeow")</f>
        <v>fomeow</v>
      </c>
    </row>
    <row r="5079" spans="1:3" x14ac:dyDescent="0.25">
      <c r="A5079" s="2" t="str">
        <f ca="1">IFERROR(__xludf.DUMMYFUNCTION("""COMPUTED_VALUE"""),"fomo-2")</f>
        <v>fomo-2</v>
      </c>
      <c r="B5079" s="2" t="str">
        <f ca="1">IFERROR(__xludf.DUMMYFUNCTION("""COMPUTED_VALUE"""),"fomo")</f>
        <v>fomo</v>
      </c>
      <c r="C5079" s="2" t="str">
        <f ca="1">IFERROR(__xludf.DUMMYFUNCTION("""COMPUTED_VALUE"""),"FOMO")</f>
        <v>FOMO</v>
      </c>
    </row>
    <row r="5080" spans="1:3" x14ac:dyDescent="0.25">
      <c r="A5080" s="2" t="str">
        <f ca="1">IFERROR(__xludf.DUMMYFUNCTION("""COMPUTED_VALUE"""),"fomo-base")</f>
        <v>fomo-base</v>
      </c>
      <c r="B5080" s="2" t="str">
        <f ca="1">IFERROR(__xludf.DUMMYFUNCTION("""COMPUTED_VALUE"""),"fomo")</f>
        <v>fomo</v>
      </c>
      <c r="C5080" s="2" t="str">
        <f ca="1">IFERROR(__xludf.DUMMYFUNCTION("""COMPUTED_VALUE"""),"FOMO Base")</f>
        <v>FOMO Base</v>
      </c>
    </row>
    <row r="5081" spans="1:3" x14ac:dyDescent="0.25">
      <c r="A5081" s="2" t="str">
        <f ca="1">IFERROR(__xludf.DUMMYFUNCTION("""COMPUTED_VALUE"""),"fomo-bond")</f>
        <v>fomo-bond</v>
      </c>
      <c r="B5081" s="2" t="str">
        <f ca="1">IFERROR(__xludf.DUMMYFUNCTION("""COMPUTED_VALUE"""),"fomo")</f>
        <v>fomo</v>
      </c>
      <c r="C5081" s="2" t="str">
        <f ca="1">IFERROR(__xludf.DUMMYFUNCTION("""COMPUTED_VALUE"""),"FOMO.bond")</f>
        <v>FOMO.bond</v>
      </c>
    </row>
    <row r="5082" spans="1:3" x14ac:dyDescent="0.25">
      <c r="A5082" s="2" t="str">
        <f ca="1">IFERROR(__xludf.DUMMYFUNCTION("""COMPUTED_VALUE"""),"fomo-bull-club")</f>
        <v>fomo-bull-club</v>
      </c>
      <c r="B5082" s="2" t="str">
        <f ca="1">IFERROR(__xludf.DUMMYFUNCTION("""COMPUTED_VALUE"""),"fomo")</f>
        <v>fomo</v>
      </c>
      <c r="C5082" s="2" t="str">
        <f ca="1">IFERROR(__xludf.DUMMYFUNCTION("""COMPUTED_VALUE"""),"FOMO BULL CLUB")</f>
        <v>FOMO BULL CLUB</v>
      </c>
    </row>
    <row r="5083" spans="1:3" x14ac:dyDescent="0.25">
      <c r="A5083" s="2" t="str">
        <f ca="1">IFERROR(__xludf.DUMMYFUNCTION("""COMPUTED_VALUE"""),"fomofi")</f>
        <v>fomofi</v>
      </c>
      <c r="B5083" s="2" t="str">
        <f ca="1">IFERROR(__xludf.DUMMYFUNCTION("""COMPUTED_VALUE"""),"fomo")</f>
        <v>fomo</v>
      </c>
      <c r="C5083" s="2" t="str">
        <f ca="1">IFERROR(__xludf.DUMMYFUNCTION("""COMPUTED_VALUE"""),"FomoFi")</f>
        <v>FomoFi</v>
      </c>
    </row>
    <row r="5084" spans="1:3" x14ac:dyDescent="0.25">
      <c r="A5084" s="2" t="str">
        <f ca="1">IFERROR(__xludf.DUMMYFUNCTION("""COMPUTED_VALUE"""),"fomo-network")</f>
        <v>fomo-network</v>
      </c>
      <c r="B5084" s="2" t="str">
        <f ca="1">IFERROR(__xludf.DUMMYFUNCTION("""COMPUTED_VALUE"""),"fomo")</f>
        <v>fomo</v>
      </c>
      <c r="C5084" s="2" t="str">
        <f ca="1">IFERROR(__xludf.DUMMYFUNCTION("""COMPUTED_VALUE"""),"FOMO Network")</f>
        <v>FOMO Network</v>
      </c>
    </row>
    <row r="5085" spans="1:3" x14ac:dyDescent="0.25">
      <c r="A5085" s="2" t="str">
        <f ca="1">IFERROR(__xludf.DUMMYFUNCTION("""COMPUTED_VALUE"""),"fomosfi")</f>
        <v>fomosfi</v>
      </c>
      <c r="B5085" s="2" t="str">
        <f ca="1">IFERROR(__xludf.DUMMYFUNCTION("""COMPUTED_VALUE"""),"fomos")</f>
        <v>fomos</v>
      </c>
      <c r="C5085" s="2" t="str">
        <f ca="1">IFERROR(__xludf.DUMMYFUNCTION("""COMPUTED_VALUE"""),"FomosFi")</f>
        <v>FomosFi</v>
      </c>
    </row>
    <row r="5086" spans="1:3" x14ac:dyDescent="0.25">
      <c r="A5086" s="2" t="str">
        <f ca="1">IFERROR(__xludf.DUMMYFUNCTION("""COMPUTED_VALUE"""),"fomo-tocd")</f>
        <v>fomo-tocd</v>
      </c>
      <c r="B5086" s="2" t="str">
        <f ca="1">IFERROR(__xludf.DUMMYFUNCTION("""COMPUTED_VALUE"""),"fomo")</f>
        <v>fomo</v>
      </c>
      <c r="C5086" s="2" t="str">
        <f ca="1">IFERROR(__xludf.DUMMYFUNCTION("""COMPUTED_VALUE"""),"FOMO TOCD")</f>
        <v>FOMO TOCD</v>
      </c>
    </row>
    <row r="5087" spans="1:3" x14ac:dyDescent="0.25">
      <c r="A5087" s="2" t="str">
        <f ca="1">IFERROR(__xludf.DUMMYFUNCTION("""COMPUTED_VALUE"""),"fonsmartchain")</f>
        <v>fonsmartchain</v>
      </c>
      <c r="B5087" s="2" t="str">
        <f ca="1">IFERROR(__xludf.DUMMYFUNCTION("""COMPUTED_VALUE"""),"fon")</f>
        <v>fon</v>
      </c>
      <c r="C5087" s="2" t="str">
        <f ca="1">IFERROR(__xludf.DUMMYFUNCTION("""COMPUTED_VALUE"""),"FONSmartChain")</f>
        <v>FONSmartChain</v>
      </c>
    </row>
    <row r="5088" spans="1:3" x14ac:dyDescent="0.25">
      <c r="A5088" s="2" t="str">
        <f ca="1">IFERROR(__xludf.DUMMYFUNCTION("""COMPUTED_VALUE"""),"fonzy")</f>
        <v>fonzy</v>
      </c>
      <c r="B5088" s="2" t="str">
        <f ca="1">IFERROR(__xludf.DUMMYFUNCTION("""COMPUTED_VALUE"""),"fonzy")</f>
        <v>fonzy</v>
      </c>
      <c r="C5088" s="2" t="str">
        <f ca="1">IFERROR(__xludf.DUMMYFUNCTION("""COMPUTED_VALUE"""),"Fonzy")</f>
        <v>Fonzy</v>
      </c>
    </row>
    <row r="5089" spans="1:3" x14ac:dyDescent="0.25">
      <c r="A5089" s="2" t="str">
        <f ca="1">IFERROR(__xludf.DUMMYFUNCTION("""COMPUTED_VALUE"""),"food")</f>
        <v>food</v>
      </c>
      <c r="B5089" s="2" t="str">
        <f ca="1">IFERROR(__xludf.DUMMYFUNCTION("""COMPUTED_VALUE"""),"food")</f>
        <v>food</v>
      </c>
      <c r="C5089" s="2" t="str">
        <f ca="1">IFERROR(__xludf.DUMMYFUNCTION("""COMPUTED_VALUE"""),"Food")</f>
        <v>Food</v>
      </c>
    </row>
    <row r="5090" spans="1:3" x14ac:dyDescent="0.25">
      <c r="A5090" s="2" t="str">
        <f ca="1">IFERROR(__xludf.DUMMYFUNCTION("""COMPUTED_VALUE"""),"fooday")</f>
        <v>fooday</v>
      </c>
      <c r="B5090" s="2" t="str">
        <f ca="1">IFERROR(__xludf.DUMMYFUNCTION("""COMPUTED_VALUE"""),"food")</f>
        <v>food</v>
      </c>
      <c r="C5090" s="2" t="str">
        <f ca="1">IFERROR(__xludf.DUMMYFUNCTION("""COMPUTED_VALUE"""),"Fooday")</f>
        <v>Fooday</v>
      </c>
    </row>
    <row r="5091" spans="1:3" x14ac:dyDescent="0.25">
      <c r="A5091" s="2" t="str">
        <f ca="1">IFERROR(__xludf.DUMMYFUNCTION("""COMPUTED_VALUE"""),"foodchain-global")</f>
        <v>foodchain-global</v>
      </c>
      <c r="B5091" s="2" t="str">
        <f ca="1">IFERROR(__xludf.DUMMYFUNCTION("""COMPUTED_VALUE"""),"food")</f>
        <v>food</v>
      </c>
      <c r="C5091" s="2" t="str">
        <f ca="1">IFERROR(__xludf.DUMMYFUNCTION("""COMPUTED_VALUE"""),"FoodChain Global")</f>
        <v>FoodChain Global</v>
      </c>
    </row>
    <row r="5092" spans="1:3" x14ac:dyDescent="0.25">
      <c r="A5092" s="2" t="str">
        <f ca="1">IFERROR(__xludf.DUMMYFUNCTION("""COMPUTED_VALUE"""),"food-token-2")</f>
        <v>food-token-2</v>
      </c>
      <c r="B5092" s="2" t="str">
        <f ca="1">IFERROR(__xludf.DUMMYFUNCTION("""COMPUTED_VALUE"""),"food")</f>
        <v>food</v>
      </c>
      <c r="C5092" s="2" t="str">
        <f ca="1">IFERROR(__xludf.DUMMYFUNCTION("""COMPUTED_VALUE"""),"Food Token")</f>
        <v>Food Token</v>
      </c>
    </row>
    <row r="5093" spans="1:3" x14ac:dyDescent="0.25">
      <c r="A5093" s="2" t="str">
        <f ca="1">IFERROR(__xludf.DUMMYFUNCTION("""COMPUTED_VALUE"""),"fool")</f>
        <v>fool</v>
      </c>
      <c r="B5093" s="2" t="str">
        <f ca="1">IFERROR(__xludf.DUMMYFUNCTION("""COMPUTED_VALUE"""),"fool")</f>
        <v>fool</v>
      </c>
      <c r="C5093" s="2" t="str">
        <f ca="1">IFERROR(__xludf.DUMMYFUNCTION("""COMPUTED_VALUE"""),"fool")</f>
        <v>fool</v>
      </c>
    </row>
    <row r="5094" spans="1:3" x14ac:dyDescent="0.25">
      <c r="A5094" s="2" t="str">
        <f ca="1">IFERROR(__xludf.DUMMYFUNCTION("""COMPUTED_VALUE"""),"foom")</f>
        <v>foom</v>
      </c>
      <c r="B5094" s="2" t="str">
        <f ca="1">IFERROR(__xludf.DUMMYFUNCTION("""COMPUTED_VALUE"""),"foom")</f>
        <v>foom</v>
      </c>
      <c r="C5094" s="2" t="str">
        <f ca="1">IFERROR(__xludf.DUMMYFUNCTION("""COMPUTED_VALUE"""),"Foom")</f>
        <v>Foom</v>
      </c>
    </row>
    <row r="5095" spans="1:3" x14ac:dyDescent="0.25">
      <c r="A5095" s="2" t="str">
        <f ca="1">IFERROR(__xludf.DUMMYFUNCTION("""COMPUTED_VALUE"""),"football-at-alphaverse")</f>
        <v>football-at-alphaverse</v>
      </c>
      <c r="B5095" s="2" t="str">
        <f ca="1">IFERROR(__xludf.DUMMYFUNCTION("""COMPUTED_VALUE"""),"fav")</f>
        <v>fav</v>
      </c>
      <c r="C5095" s="2" t="str">
        <f ca="1">IFERROR(__xludf.DUMMYFUNCTION("""COMPUTED_VALUE"""),"Football at AlphaVerse")</f>
        <v>Football at AlphaVerse</v>
      </c>
    </row>
    <row r="5096" spans="1:3" x14ac:dyDescent="0.25">
      <c r="A5096" s="2" t="str">
        <f ca="1">IFERROR(__xludf.DUMMYFUNCTION("""COMPUTED_VALUE"""),"football-coin")</f>
        <v>football-coin</v>
      </c>
      <c r="B5096" s="2" t="str">
        <f ca="1">IFERROR(__xludf.DUMMYFUNCTION("""COMPUTED_VALUE"""),"xfc")</f>
        <v>xfc</v>
      </c>
      <c r="C5096" s="2" t="str">
        <f ca="1">IFERROR(__xludf.DUMMYFUNCTION("""COMPUTED_VALUE"""),"Football Coin")</f>
        <v>Football Coin</v>
      </c>
    </row>
    <row r="5097" spans="1:3" x14ac:dyDescent="0.25">
      <c r="A5097" s="2" t="str">
        <f ca="1">IFERROR(__xludf.DUMMYFUNCTION("""COMPUTED_VALUE"""),"football-world-community")</f>
        <v>football-world-community</v>
      </c>
      <c r="B5097" s="2" t="str">
        <f ca="1">IFERROR(__xludf.DUMMYFUNCTION("""COMPUTED_VALUE"""),"fwc")</f>
        <v>fwc</v>
      </c>
      <c r="C5097" s="2" t="str">
        <f ca="1">IFERROR(__xludf.DUMMYFUNCTION("""COMPUTED_VALUE"""),"Football World Community")</f>
        <v>Football World Community</v>
      </c>
    </row>
    <row r="5098" spans="1:3" x14ac:dyDescent="0.25">
      <c r="A5098" s="2" t="str">
        <f ca="1">IFERROR(__xludf.DUMMYFUNCTION("""COMPUTED_VALUE"""),"foox-ordinals")</f>
        <v>foox-ordinals</v>
      </c>
      <c r="B5098" s="2" t="str">
        <f ca="1">IFERROR(__xludf.DUMMYFUNCTION("""COMPUTED_VALUE"""),"foox")</f>
        <v>foox</v>
      </c>
      <c r="C5098" s="2" t="str">
        <f ca="1">IFERROR(__xludf.DUMMYFUNCTION("""COMPUTED_VALUE"""),"Foox (Ordinals)")</f>
        <v>Foox (Ordinals)</v>
      </c>
    </row>
    <row r="5099" spans="1:3" x14ac:dyDescent="0.25">
      <c r="A5099" s="2" t="str">
        <f ca="1">IFERROR(__xludf.DUMMYFUNCTION("""COMPUTED_VALUE"""),"forbidden-fruit-energy")</f>
        <v>forbidden-fruit-energy</v>
      </c>
      <c r="B5099" s="2" t="str">
        <f ca="1">IFERROR(__xludf.DUMMYFUNCTION("""COMPUTED_VALUE"""),"ffe")</f>
        <v>ffe</v>
      </c>
      <c r="C5099" s="2" t="str">
        <f ca="1">IFERROR(__xludf.DUMMYFUNCTION("""COMPUTED_VALUE"""),"Forbidden Fruit Energy")</f>
        <v>Forbidden Fruit Energy</v>
      </c>
    </row>
    <row r="5100" spans="1:3" x14ac:dyDescent="0.25">
      <c r="A5100" s="2" t="str">
        <f ca="1">IFERROR(__xludf.DUMMYFUNCTION("""COMPUTED_VALUE"""),"force-2")</f>
        <v>force-2</v>
      </c>
      <c r="B5100" s="2" t="str">
        <f ca="1">IFERROR(__xludf.DUMMYFUNCTION("""COMPUTED_VALUE"""),"frc")</f>
        <v>frc</v>
      </c>
      <c r="C5100" s="2" t="str">
        <f ca="1">IFERROR(__xludf.DUMMYFUNCTION("""COMPUTED_VALUE"""),"Force")</f>
        <v>Force</v>
      </c>
    </row>
    <row r="5101" spans="1:3" x14ac:dyDescent="0.25">
      <c r="A5101" s="2" t="str">
        <f ca="1">IFERROR(__xludf.DUMMYFUNCTION("""COMPUTED_VALUE"""),"force-3")</f>
        <v>force-3</v>
      </c>
      <c r="B5101" s="2" t="str">
        <f ca="1">IFERROR(__xludf.DUMMYFUNCTION("""COMPUTED_VALUE"""),"force")</f>
        <v>force</v>
      </c>
      <c r="C5101" s="2" t="str">
        <f ca="1">IFERROR(__xludf.DUMMYFUNCTION("""COMPUTED_VALUE"""),"Force")</f>
        <v>Force</v>
      </c>
    </row>
    <row r="5102" spans="1:3" x14ac:dyDescent="0.25">
      <c r="A5102" s="2" t="str">
        <f ca="1">IFERROR(__xludf.DUMMYFUNCTION("""COMPUTED_VALUE"""),"force-bridge-usdc")</f>
        <v>force-bridge-usdc</v>
      </c>
      <c r="B5102" s="2" t="str">
        <f ca="1">IFERROR(__xludf.DUMMYFUNCTION("""COMPUTED_VALUE"""),"usdc")</f>
        <v>usdc</v>
      </c>
      <c r="C5102" s="2" t="str">
        <f ca="1">IFERROR(__xludf.DUMMYFUNCTION("""COMPUTED_VALUE"""),"Bridged USD Coin (Force Bridge)")</f>
        <v>Bridged USD Coin (Force Bridge)</v>
      </c>
    </row>
    <row r="5103" spans="1:3" x14ac:dyDescent="0.25">
      <c r="A5103" s="2" t="str">
        <f ca="1">IFERROR(__xludf.DUMMYFUNCTION("""COMPUTED_VALUE"""),"forcefi")</f>
        <v>forcefi</v>
      </c>
      <c r="B5103" s="2" t="str">
        <f ca="1">IFERROR(__xludf.DUMMYFUNCTION("""COMPUTED_VALUE"""),"forc")</f>
        <v>forc</v>
      </c>
      <c r="C5103" s="2" t="str">
        <f ca="1">IFERROR(__xludf.DUMMYFUNCTION("""COMPUTED_VALUE"""),"Forcefi")</f>
        <v>Forcefi</v>
      </c>
    </row>
    <row r="5104" spans="1:3" x14ac:dyDescent="0.25">
      <c r="A5104" s="2" t="str">
        <f ca="1">IFERROR(__xludf.DUMMYFUNCTION("""COMPUTED_VALUE"""),"force-protocol")</f>
        <v>force-protocol</v>
      </c>
      <c r="B5104" s="2" t="str">
        <f ca="1">IFERROR(__xludf.DUMMYFUNCTION("""COMPUTED_VALUE"""),"for")</f>
        <v>for</v>
      </c>
      <c r="C5104" s="2" t="str">
        <f ca="1">IFERROR(__xludf.DUMMYFUNCTION("""COMPUTED_VALUE"""),"ForTube")</f>
        <v>ForTube</v>
      </c>
    </row>
    <row r="5105" spans="1:3" x14ac:dyDescent="0.25">
      <c r="A5105" s="2" t="str">
        <f ca="1">IFERROR(__xludf.DUMMYFUNCTION("""COMPUTED_VALUE"""),"fore-protocol")</f>
        <v>fore-protocol</v>
      </c>
      <c r="B5105" s="2" t="str">
        <f ca="1">IFERROR(__xludf.DUMMYFUNCTION("""COMPUTED_VALUE"""),"fore")</f>
        <v>fore</v>
      </c>
      <c r="C5105" s="2" t="str">
        <f ca="1">IFERROR(__xludf.DUMMYFUNCTION("""COMPUTED_VALUE"""),"FORE Protocol")</f>
        <v>FORE Protocol</v>
      </c>
    </row>
    <row r="5106" spans="1:3" x14ac:dyDescent="0.25">
      <c r="A5106" s="2" t="str">
        <f ca="1">IFERROR(__xludf.DUMMYFUNCTION("""COMPUTED_VALUE"""),"forest-knight")</f>
        <v>forest-knight</v>
      </c>
      <c r="B5106" s="2" t="str">
        <f ca="1">IFERROR(__xludf.DUMMYFUNCTION("""COMPUTED_VALUE"""),"knight")</f>
        <v>knight</v>
      </c>
      <c r="C5106" s="2" t="str">
        <f ca="1">IFERROR(__xludf.DUMMYFUNCTION("""COMPUTED_VALUE"""),"Forest Knight")</f>
        <v>Forest Knight</v>
      </c>
    </row>
    <row r="5107" spans="1:3" x14ac:dyDescent="0.25">
      <c r="A5107" s="2" t="str">
        <f ca="1">IFERROR(__xludf.DUMMYFUNCTION("""COMPUTED_VALUE"""),"forestry")</f>
        <v>forestry</v>
      </c>
      <c r="B5107" s="2" t="str">
        <f ca="1">IFERROR(__xludf.DUMMYFUNCTION("""COMPUTED_VALUE"""),"fry")</f>
        <v>fry</v>
      </c>
      <c r="C5107" s="2" t="str">
        <f ca="1">IFERROR(__xludf.DUMMYFUNCTION("""COMPUTED_VALUE"""),"Forestry")</f>
        <v>Forestry</v>
      </c>
    </row>
    <row r="5108" spans="1:3" x14ac:dyDescent="0.25">
      <c r="A5108" s="2" t="str">
        <f ca="1">IFERROR(__xludf.DUMMYFUNCTION("""COMPUTED_VALUE"""),"forever-aid-token")</f>
        <v>forever-aid-token</v>
      </c>
      <c r="B5108" s="2" t="str">
        <f ca="1">IFERROR(__xludf.DUMMYFUNCTION("""COMPUTED_VALUE"""),"foat")</f>
        <v>foat</v>
      </c>
      <c r="C5108" s="2" t="str">
        <f ca="1">IFERROR(__xludf.DUMMYFUNCTION("""COMPUTED_VALUE"""),"Forever Aid Token")</f>
        <v>Forever Aid Token</v>
      </c>
    </row>
    <row r="5109" spans="1:3" x14ac:dyDescent="0.25">
      <c r="A5109" s="2" t="str">
        <f ca="1">IFERROR(__xludf.DUMMYFUNCTION("""COMPUTED_VALUE"""),"forgotten-playland")</f>
        <v>forgotten-playland</v>
      </c>
      <c r="B5109" s="2" t="str">
        <f ca="1">IFERROR(__xludf.DUMMYFUNCTION("""COMPUTED_VALUE"""),"fp")</f>
        <v>fp</v>
      </c>
      <c r="C5109" s="2" t="str">
        <f ca="1">IFERROR(__xludf.DUMMYFUNCTION("""COMPUTED_VALUE"""),"Forgotten Playland")</f>
        <v>Forgotten Playland</v>
      </c>
    </row>
    <row r="5110" spans="1:3" x14ac:dyDescent="0.25">
      <c r="A5110" s="2" t="str">
        <f ca="1">IFERROR(__xludf.DUMMYFUNCTION("""COMPUTED_VALUE"""),"for-loot-and-glory")</f>
        <v>for-loot-and-glory</v>
      </c>
      <c r="B5110" s="2" t="str">
        <f ca="1">IFERROR(__xludf.DUMMYFUNCTION("""COMPUTED_VALUE"""),"flag")</f>
        <v>flag</v>
      </c>
      <c r="C5110" s="2" t="str">
        <f ca="1">IFERROR(__xludf.DUMMYFUNCTION("""COMPUTED_VALUE"""),"For Loot And Glory")</f>
        <v>For Loot And Glory</v>
      </c>
    </row>
    <row r="5111" spans="1:3" x14ac:dyDescent="0.25">
      <c r="A5111" s="2" t="str">
        <f ca="1">IFERROR(__xludf.DUMMYFUNCTION("""COMPUTED_VALUE"""),"formation-fi")</f>
        <v>formation-fi</v>
      </c>
      <c r="B5111" s="2" t="str">
        <f ca="1">IFERROR(__xludf.DUMMYFUNCTION("""COMPUTED_VALUE"""),"form")</f>
        <v>form</v>
      </c>
      <c r="C5111" s="2" t="str">
        <f ca="1">IFERROR(__xludf.DUMMYFUNCTION("""COMPUTED_VALUE"""),"Formation FI")</f>
        <v>Formation FI</v>
      </c>
    </row>
    <row r="5112" spans="1:3" x14ac:dyDescent="0.25">
      <c r="A5112" s="2" t="str">
        <f ca="1">IFERROR(__xludf.DUMMYFUNCTION("""COMPUTED_VALUE"""),"formula-inu")</f>
        <v>formula-inu</v>
      </c>
      <c r="B5112" s="2" t="str">
        <f ca="1">IFERROR(__xludf.DUMMYFUNCTION("""COMPUTED_VALUE"""),"finu")</f>
        <v>finu</v>
      </c>
      <c r="C5112" s="2" t="str">
        <f ca="1">IFERROR(__xludf.DUMMYFUNCTION("""COMPUTED_VALUE"""),"FINU")</f>
        <v>FINU</v>
      </c>
    </row>
    <row r="5113" spans="1:3" x14ac:dyDescent="0.25">
      <c r="A5113" s="2" t="str">
        <f ca="1">IFERROR(__xludf.DUMMYFUNCTION("""COMPUTED_VALUE"""),"forrealog")</f>
        <v>forrealog</v>
      </c>
      <c r="B5113" s="2" t="str">
        <f ca="1">IFERROR(__xludf.DUMMYFUNCTION("""COMPUTED_VALUE"""),"frog")</f>
        <v>frog</v>
      </c>
      <c r="C5113" s="2" t="str">
        <f ca="1">IFERROR(__xludf.DUMMYFUNCTION("""COMPUTED_VALUE"""),"ForRealOG")</f>
        <v>ForRealOG</v>
      </c>
    </row>
    <row r="5114" spans="1:3" x14ac:dyDescent="0.25">
      <c r="A5114" s="2" t="str">
        <f ca="1">IFERROR(__xludf.DUMMYFUNCTION("""COMPUTED_VALUE"""),"forta")</f>
        <v>forta</v>
      </c>
      <c r="B5114" s="2" t="str">
        <f ca="1">IFERROR(__xludf.DUMMYFUNCTION("""COMPUTED_VALUE"""),"fort")</f>
        <v>fort</v>
      </c>
      <c r="C5114" s="2" t="str">
        <f ca="1">IFERROR(__xludf.DUMMYFUNCTION("""COMPUTED_VALUE"""),"Forta")</f>
        <v>Forta</v>
      </c>
    </row>
    <row r="5115" spans="1:3" x14ac:dyDescent="0.25">
      <c r="A5115" s="2" t="str">
        <f ca="1">IFERROR(__xludf.DUMMYFUNCTION("""COMPUTED_VALUE"""),"fort-block-games")</f>
        <v>fort-block-games</v>
      </c>
      <c r="B5115" s="2" t="str">
        <f ca="1">IFERROR(__xludf.DUMMYFUNCTION("""COMPUTED_VALUE"""),"fbg")</f>
        <v>fbg</v>
      </c>
      <c r="C5115" s="2" t="str">
        <f ca="1">IFERROR(__xludf.DUMMYFUNCTION("""COMPUTED_VALUE"""),"Fort Block Games")</f>
        <v>Fort Block Games</v>
      </c>
    </row>
    <row r="5116" spans="1:3" x14ac:dyDescent="0.25">
      <c r="A5116" s="2" t="str">
        <f ca="1">IFERROR(__xludf.DUMMYFUNCTION("""COMPUTED_VALUE"""),"forte-aud")</f>
        <v>forte-aud</v>
      </c>
      <c r="B5116" s="2" t="str">
        <f ca="1">IFERROR(__xludf.DUMMYFUNCTION("""COMPUTED_VALUE"""),"audf")</f>
        <v>audf</v>
      </c>
      <c r="C5116" s="2" t="str">
        <f ca="1">IFERROR(__xludf.DUMMYFUNCTION("""COMPUTED_VALUE"""),"Forte AUD")</f>
        <v>Forte AUD</v>
      </c>
    </row>
    <row r="5117" spans="1:3" x14ac:dyDescent="0.25">
      <c r="A5117" s="2" t="str">
        <f ca="1">IFERROR(__xludf.DUMMYFUNCTION("""COMPUTED_VALUE"""),"fortress")</f>
        <v>fortress</v>
      </c>
      <c r="B5117" s="2" t="str">
        <f ca="1">IFERROR(__xludf.DUMMYFUNCTION("""COMPUTED_VALUE"""),"fts")</f>
        <v>fts</v>
      </c>
      <c r="C5117" s="2" t="str">
        <f ca="1">IFERROR(__xludf.DUMMYFUNCTION("""COMPUTED_VALUE"""),"Fortress Loans")</f>
        <v>Fortress Loans</v>
      </c>
    </row>
    <row r="5118" spans="1:3" x14ac:dyDescent="0.25">
      <c r="A5118" s="2" t="str">
        <f ca="1">IFERROR(__xludf.DUMMYFUNCTION("""COMPUTED_VALUE"""),"fortress-chain-network")</f>
        <v>fortress-chain-network</v>
      </c>
      <c r="B5118" s="2" t="str">
        <f ca="1">IFERROR(__xludf.DUMMYFUNCTION("""COMPUTED_VALUE"""),"ftsc")</f>
        <v>ftsc</v>
      </c>
      <c r="C5118" s="2" t="str">
        <f ca="1">IFERROR(__xludf.DUMMYFUNCTION("""COMPUTED_VALUE"""),"Fortress Chain Network")</f>
        <v>Fortress Chain Network</v>
      </c>
    </row>
    <row r="5119" spans="1:3" x14ac:dyDescent="0.25">
      <c r="A5119" s="2" t="str">
        <f ca="1">IFERROR(__xludf.DUMMYFUNCTION("""COMPUTED_VALUE"""),"fortunafi-tokenized-short-term-u-s-treasury-bills-for-non-us-residents")</f>
        <v>fortunafi-tokenized-short-term-u-s-treasury-bills-for-non-us-residents</v>
      </c>
      <c r="B5119" s="2" t="str">
        <f ca="1">IFERROR(__xludf.DUMMYFUNCTION("""COMPUTED_VALUE"""),"ifbill")</f>
        <v>ifbill</v>
      </c>
      <c r="C5119" s="2" t="str">
        <f ca="1">IFERROR(__xludf.DUMMYFUNCTION("""COMPUTED_VALUE"""),"Fortunafi Tokenized Short-term U.S. Treasury Bills for Non US Residents")</f>
        <v>Fortunafi Tokenized Short-term U.S. Treasury Bills for Non US Residents</v>
      </c>
    </row>
    <row r="5120" spans="1:3" x14ac:dyDescent="0.25">
      <c r="A5120" s="2" t="str">
        <f ca="1">IFERROR(__xludf.DUMMYFUNCTION("""COMPUTED_VALUE"""),"fortuna-sittard-fan-token")</f>
        <v>fortuna-sittard-fan-token</v>
      </c>
      <c r="B5120" s="2" t="str">
        <f ca="1">IFERROR(__xludf.DUMMYFUNCTION("""COMPUTED_VALUE"""),"for")</f>
        <v>for</v>
      </c>
      <c r="C5120" s="2" t="str">
        <f ca="1">IFERROR(__xludf.DUMMYFUNCTION("""COMPUTED_VALUE"""),"Fortuna Sittard Fan Token")</f>
        <v>Fortuna Sittard Fan Token</v>
      </c>
    </row>
    <row r="5121" spans="1:3" x14ac:dyDescent="0.25">
      <c r="A5121" s="2" t="str">
        <f ca="1">IFERROR(__xludf.DUMMYFUNCTION("""COMPUTED_VALUE"""),"fortune-bets")</f>
        <v>fortune-bets</v>
      </c>
      <c r="B5121" s="2" t="str">
        <f ca="1">IFERROR(__xludf.DUMMYFUNCTION("""COMPUTED_VALUE"""),"fortune")</f>
        <v>fortune</v>
      </c>
      <c r="C5121" s="2" t="str">
        <f ca="1">IFERROR(__xludf.DUMMYFUNCTION("""COMPUTED_VALUE"""),"Fortune Bets")</f>
        <v>Fortune Bets</v>
      </c>
    </row>
    <row r="5122" spans="1:3" x14ac:dyDescent="0.25">
      <c r="A5122" s="2" t="str">
        <f ca="1">IFERROR(__xludf.DUMMYFUNCTION("""COMPUTED_VALUE"""),"fortune-favours-the-brave")</f>
        <v>fortune-favours-the-brave</v>
      </c>
      <c r="B5122" s="2" t="str">
        <f ca="1">IFERROR(__xludf.DUMMYFUNCTION("""COMPUTED_VALUE"""),"fftb")</f>
        <v>fftb</v>
      </c>
      <c r="C5122" s="2" t="str">
        <f ca="1">IFERROR(__xludf.DUMMYFUNCTION("""COMPUTED_VALUE"""),"FORTUNE FAVOURS THE BRAVE")</f>
        <v>FORTUNE FAVOURS THE BRAVE</v>
      </c>
    </row>
    <row r="5123" spans="1:3" x14ac:dyDescent="0.25">
      <c r="A5123" s="2" t="str">
        <f ca="1">IFERROR(__xludf.DUMMYFUNCTION("""COMPUTED_VALUE"""),"forward")</f>
        <v>forward</v>
      </c>
      <c r="B5123" s="2" t="str">
        <f ca="1">IFERROR(__xludf.DUMMYFUNCTION("""COMPUTED_VALUE"""),"forward")</f>
        <v>forward</v>
      </c>
      <c r="C5123" s="2" t="str">
        <f ca="1">IFERROR(__xludf.DUMMYFUNCTION("""COMPUTED_VALUE"""),"Forward")</f>
        <v>Forward</v>
      </c>
    </row>
    <row r="5124" spans="1:3" x14ac:dyDescent="0.25">
      <c r="A5124" s="2" t="str">
        <f ca="1">IFERROR(__xludf.DUMMYFUNCTION("""COMPUTED_VALUE"""),"forwards-rec-bh-2024")</f>
        <v>forwards-rec-bh-2024</v>
      </c>
      <c r="B5124" s="2" t="str">
        <f ca="1">IFERROR(__xludf.DUMMYFUNCTION("""COMPUTED_VALUE"""),"fjlt-b24")</f>
        <v>fjlt-b24</v>
      </c>
      <c r="C5124" s="2" t="str">
        <f ca="1">IFERROR(__xludf.DUMMYFUNCTION("""COMPUTED_VALUE"""),"Forwards Rec BH-2024")</f>
        <v>Forwards Rec BH-2024</v>
      </c>
    </row>
    <row r="5125" spans="1:3" x14ac:dyDescent="0.25">
      <c r="A5125" s="2" t="str">
        <f ca="1">IFERROR(__xludf.DUMMYFUNCTION("""COMPUTED_VALUE"""),"fottie")</f>
        <v>fottie</v>
      </c>
      <c r="B5125" s="2" t="str">
        <f ca="1">IFERROR(__xludf.DUMMYFUNCTION("""COMPUTED_VALUE"""),"fottie")</f>
        <v>fottie</v>
      </c>
      <c r="C5125" s="2" t="str">
        <f ca="1">IFERROR(__xludf.DUMMYFUNCTION("""COMPUTED_VALUE"""),"Fottie")</f>
        <v>Fottie</v>
      </c>
    </row>
    <row r="5126" spans="1:3" x14ac:dyDescent="0.25">
      <c r="A5126" s="2" t="str">
        <f ca="1">IFERROR(__xludf.DUMMYFUNCTION("""COMPUTED_VALUE"""),"fountain-protocol")</f>
        <v>fountain-protocol</v>
      </c>
      <c r="B5126" s="2" t="str">
        <f ca="1">IFERROR(__xludf.DUMMYFUNCTION("""COMPUTED_VALUE"""),"ftp")</f>
        <v>ftp</v>
      </c>
      <c r="C5126" s="2" t="str">
        <f ca="1">IFERROR(__xludf.DUMMYFUNCTION("""COMPUTED_VALUE"""),"Fountain Protocol")</f>
        <v>Fountain Protocol</v>
      </c>
    </row>
    <row r="5127" spans="1:3" x14ac:dyDescent="0.25">
      <c r="A5127" s="2" t="str">
        <f ca="1">IFERROR(__xludf.DUMMYFUNCTION("""COMPUTED_VALUE"""),"fourcoin")</f>
        <v>fourcoin</v>
      </c>
      <c r="B5127" s="2" t="str">
        <f ca="1">IFERROR(__xludf.DUMMYFUNCTION("""COMPUTED_VALUE"""),"four")</f>
        <v>four</v>
      </c>
      <c r="C5127" s="2" t="str">
        <f ca="1">IFERROR(__xludf.DUMMYFUNCTION("""COMPUTED_VALUE"""),"FourCoin")</f>
        <v>FourCoin</v>
      </c>
    </row>
    <row r="5128" spans="1:3" x14ac:dyDescent="0.25">
      <c r="A5128" s="2" t="str">
        <f ca="1">IFERROR(__xludf.DUMMYFUNCTION("""COMPUTED_VALUE"""),"foxcon")</f>
        <v>foxcon</v>
      </c>
      <c r="B5128" s="2" t="str">
        <f ca="1">IFERROR(__xludf.DUMMYFUNCTION("""COMPUTED_VALUE"""),"fox")</f>
        <v>fox</v>
      </c>
      <c r="C5128" s="2" t="str">
        <f ca="1">IFERROR(__xludf.DUMMYFUNCTION("""COMPUTED_VALUE"""),"Foxcon")</f>
        <v>Foxcon</v>
      </c>
    </row>
    <row r="5129" spans="1:3" x14ac:dyDescent="0.25">
      <c r="A5129" s="2" t="str">
        <f ca="1">IFERROR(__xludf.DUMMYFUNCTION("""COMPUTED_VALUE"""),"foxe")</f>
        <v>foxe</v>
      </c>
      <c r="B5129" s="2" t="str">
        <f ca="1">IFERROR(__xludf.DUMMYFUNCTION("""COMPUTED_VALUE"""),"foxe")</f>
        <v>foxe</v>
      </c>
      <c r="C5129" s="2" t="str">
        <f ca="1">IFERROR(__xludf.DUMMYFUNCTION("""COMPUTED_VALUE"""),"FOXE")</f>
        <v>FOXE</v>
      </c>
    </row>
    <row r="5130" spans="1:3" x14ac:dyDescent="0.25">
      <c r="A5130" s="2" t="str">
        <f ca="1">IFERROR(__xludf.DUMMYFUNCTION("""COMPUTED_VALUE"""),"fox-europe")</f>
        <v>fox-europe</v>
      </c>
      <c r="B5130" s="2" t="str">
        <f ca="1">IFERROR(__xludf.DUMMYFUNCTION("""COMPUTED_VALUE"""),"foxe")</f>
        <v>foxe</v>
      </c>
      <c r="C5130" s="2" t="str">
        <f ca="1">IFERROR(__xludf.DUMMYFUNCTION("""COMPUTED_VALUE"""),"Fox Europe")</f>
        <v>Fox Europe</v>
      </c>
    </row>
    <row r="5131" spans="1:3" x14ac:dyDescent="0.25">
      <c r="A5131" s="2" t="str">
        <f ca="1">IFERROR(__xludf.DUMMYFUNCTION("""COMPUTED_VALUE"""),"foxgirl")</f>
        <v>foxgirl</v>
      </c>
      <c r="B5131" s="2" t="str">
        <f ca="1">IFERROR(__xludf.DUMMYFUNCTION("""COMPUTED_VALUE"""),"foxgirl")</f>
        <v>foxgirl</v>
      </c>
      <c r="C5131" s="2" t="str">
        <f ca="1">IFERROR(__xludf.DUMMYFUNCTION("""COMPUTED_VALUE"""),"FoxGirl")</f>
        <v>FoxGirl</v>
      </c>
    </row>
    <row r="5132" spans="1:3" x14ac:dyDescent="0.25">
      <c r="A5132" s="2" t="str">
        <f ca="1">IFERROR(__xludf.DUMMYFUNCTION("""COMPUTED_VALUE"""),"foxify")</f>
        <v>foxify</v>
      </c>
      <c r="B5132" s="2" t="str">
        <f ca="1">IFERROR(__xludf.DUMMYFUNCTION("""COMPUTED_VALUE"""),"fox")</f>
        <v>fox</v>
      </c>
      <c r="C5132" s="2" t="str">
        <f ca="1">IFERROR(__xludf.DUMMYFUNCTION("""COMPUTED_VALUE"""),"Foxify")</f>
        <v>Foxify</v>
      </c>
    </row>
    <row r="5133" spans="1:3" x14ac:dyDescent="0.25">
      <c r="A5133" s="2" t="str">
        <f ca="1">IFERROR(__xludf.DUMMYFUNCTION("""COMPUTED_VALUE"""),"foxsy-ai")</f>
        <v>foxsy-ai</v>
      </c>
      <c r="B5133" s="2" t="str">
        <f ca="1">IFERROR(__xludf.DUMMYFUNCTION("""COMPUTED_VALUE"""),"foxsy")</f>
        <v>foxsy</v>
      </c>
      <c r="C5133" s="2" t="str">
        <f ca="1">IFERROR(__xludf.DUMMYFUNCTION("""COMPUTED_VALUE"""),"Foxsy AI")</f>
        <v>Foxsy AI</v>
      </c>
    </row>
    <row r="5134" spans="1:3" x14ac:dyDescent="0.25">
      <c r="A5134" s="2" t="str">
        <f ca="1">IFERROR(__xludf.DUMMYFUNCTION("""COMPUTED_VALUE"""),"foxxy")</f>
        <v>foxxy</v>
      </c>
      <c r="B5134" s="2" t="str">
        <f ca="1">IFERROR(__xludf.DUMMYFUNCTION("""COMPUTED_VALUE"""),"foxxy")</f>
        <v>foxxy</v>
      </c>
      <c r="C5134" s="2" t="str">
        <f ca="1">IFERROR(__xludf.DUMMYFUNCTION("""COMPUTED_VALUE"""),"FOXXY")</f>
        <v>FOXXY</v>
      </c>
    </row>
    <row r="5135" spans="1:3" x14ac:dyDescent="0.25">
      <c r="A5135" s="2" t="str">
        <f ca="1">IFERROR(__xludf.DUMMYFUNCTION("""COMPUTED_VALUE"""),"foxy")</f>
        <v>foxy</v>
      </c>
      <c r="B5135" s="2" t="str">
        <f ca="1">IFERROR(__xludf.DUMMYFUNCTION("""COMPUTED_VALUE"""),"foxy")</f>
        <v>foxy</v>
      </c>
      <c r="C5135" s="2" t="str">
        <f ca="1">IFERROR(__xludf.DUMMYFUNCTION("""COMPUTED_VALUE"""),"Foxy")</f>
        <v>Foxy</v>
      </c>
    </row>
    <row r="5136" spans="1:3" x14ac:dyDescent="0.25">
      <c r="A5136" s="2" t="str">
        <f ca="1">IFERROR(__xludf.DUMMYFUNCTION("""COMPUTED_VALUE"""),"fr33-gpt")</f>
        <v>fr33-gpt</v>
      </c>
      <c r="B5136" s="2" t="str">
        <f ca="1">IFERROR(__xludf.DUMMYFUNCTION("""COMPUTED_VALUE"""),"fr33")</f>
        <v>fr33</v>
      </c>
      <c r="C5136" s="2" t="str">
        <f ca="1">IFERROR(__xludf.DUMMYFUNCTION("""COMPUTED_VALUE"""),"FR33 GPT")</f>
        <v>FR33 GPT</v>
      </c>
    </row>
    <row r="5137" spans="1:3" x14ac:dyDescent="0.25">
      <c r="A5137" s="2" t="str">
        <f ca="1">IFERROR(__xludf.DUMMYFUNCTION("""COMPUTED_VALUE"""),"fractal")</f>
        <v>fractal</v>
      </c>
      <c r="B5137" s="2" t="str">
        <f ca="1">IFERROR(__xludf.DUMMYFUNCTION("""COMPUTED_VALUE"""),"fcl")</f>
        <v>fcl</v>
      </c>
      <c r="C5137" s="2" t="str">
        <f ca="1">IFERROR(__xludf.DUMMYFUNCTION("""COMPUTED_VALUE"""),"Fractal")</f>
        <v>Fractal</v>
      </c>
    </row>
    <row r="5138" spans="1:3" x14ac:dyDescent="0.25">
      <c r="A5138" s="2" t="str">
        <f ca="1">IFERROR(__xludf.DUMMYFUNCTION("""COMPUTED_VALUE"""),"fractal-bitcoin")</f>
        <v>fractal-bitcoin</v>
      </c>
      <c r="B5138" s="2" t="str">
        <f ca="1">IFERROR(__xludf.DUMMYFUNCTION("""COMPUTED_VALUE"""),"fb")</f>
        <v>fb</v>
      </c>
      <c r="C5138" s="2" t="str">
        <f ca="1">IFERROR(__xludf.DUMMYFUNCTION("""COMPUTED_VALUE"""),"Fractal Bitcoin")</f>
        <v>Fractal Bitcoin</v>
      </c>
    </row>
    <row r="5139" spans="1:3" x14ac:dyDescent="0.25">
      <c r="A5139" s="2" t="str">
        <f ca="1">IFERROR(__xludf.DUMMYFUNCTION("""COMPUTED_VALUE"""),"fracton-protocol")</f>
        <v>fracton-protocol</v>
      </c>
      <c r="B5139" s="2" t="str">
        <f ca="1">IFERROR(__xludf.DUMMYFUNCTION("""COMPUTED_VALUE"""),"ft")</f>
        <v>ft</v>
      </c>
      <c r="C5139" s="2" t="str">
        <f ca="1">IFERROR(__xludf.DUMMYFUNCTION("""COMPUTED_VALUE"""),"Fracton Protocol")</f>
        <v>Fracton Protocol</v>
      </c>
    </row>
    <row r="5140" spans="1:3" x14ac:dyDescent="0.25">
      <c r="A5140" s="2" t="str">
        <f ca="1">IFERROR(__xludf.DUMMYFUNCTION("""COMPUTED_VALUE"""),"frakt-token")</f>
        <v>frakt-token</v>
      </c>
      <c r="B5140" s="2" t="str">
        <f ca="1">IFERROR(__xludf.DUMMYFUNCTION("""COMPUTED_VALUE"""),"frkt")</f>
        <v>frkt</v>
      </c>
      <c r="C5140" s="2" t="str">
        <f ca="1">IFERROR(__xludf.DUMMYFUNCTION("""COMPUTED_VALUE"""),"FRAKT")</f>
        <v>FRAKT</v>
      </c>
    </row>
    <row r="5141" spans="1:3" x14ac:dyDescent="0.25">
      <c r="A5141" s="2" t="str">
        <f ca="1">IFERROR(__xludf.DUMMYFUNCTION("""COMPUTED_VALUE"""),"frame")</f>
        <v>frame</v>
      </c>
      <c r="B5141" s="2" t="str">
        <f ca="1">IFERROR(__xludf.DUMMYFUNCTION("""COMPUTED_VALUE"""),"frame")</f>
        <v>frame</v>
      </c>
      <c r="C5141" s="2" t="str">
        <f ca="1">IFERROR(__xludf.DUMMYFUNCTION("""COMPUTED_VALUE"""),"Frame")</f>
        <v>Frame</v>
      </c>
    </row>
    <row r="5142" spans="1:3" x14ac:dyDescent="0.25">
      <c r="A5142" s="2" t="str">
        <f ca="1">IFERROR(__xludf.DUMMYFUNCTION("""COMPUTED_VALUE"""),"frame-token")</f>
        <v>frame-token</v>
      </c>
      <c r="B5142" s="2" t="str">
        <f ca="1">IFERROR(__xludf.DUMMYFUNCTION("""COMPUTED_VALUE"""),"frame")</f>
        <v>frame</v>
      </c>
      <c r="C5142" s="2" t="str">
        <f ca="1">IFERROR(__xludf.DUMMYFUNCTION("""COMPUTED_VALUE"""),"Frame Token")</f>
        <v>Frame Token</v>
      </c>
    </row>
    <row r="5143" spans="1:3" x14ac:dyDescent="0.25">
      <c r="A5143" s="2" t="str">
        <f ca="1">IFERROR(__xludf.DUMMYFUNCTION("""COMPUTED_VALUE"""),"france-coin")</f>
        <v>france-coin</v>
      </c>
      <c r="B5143" s="2" t="str">
        <f ca="1">IFERROR(__xludf.DUMMYFUNCTION("""COMPUTED_VALUE"""),"fra")</f>
        <v>fra</v>
      </c>
      <c r="C5143" s="2" t="str">
        <f ca="1">IFERROR(__xludf.DUMMYFUNCTION("""COMPUTED_VALUE"""),"France Coin")</f>
        <v>France Coin</v>
      </c>
    </row>
    <row r="5144" spans="1:3" x14ac:dyDescent="0.25">
      <c r="A5144" s="2" t="str">
        <f ca="1">IFERROR(__xludf.DUMMYFUNCTION("""COMPUTED_VALUE"""),"france-rev-finance")</f>
        <v>france-rev-finance</v>
      </c>
      <c r="B5144" s="2" t="str">
        <f ca="1">IFERROR(__xludf.DUMMYFUNCTION("""COMPUTED_VALUE"""),"frf")</f>
        <v>frf</v>
      </c>
      <c r="C5144" s="2" t="str">
        <f ca="1">IFERROR(__xludf.DUMMYFUNCTION("""COMPUTED_VALUE"""),"FRANCE REV FINANCE")</f>
        <v>FRANCE REV FINANCE</v>
      </c>
    </row>
    <row r="5145" spans="1:3" x14ac:dyDescent="0.25">
      <c r="A5145" s="2" t="str">
        <f ca="1">IFERROR(__xludf.DUMMYFUNCTION("""COMPUTED_VALUE"""),"frankencoin")</f>
        <v>frankencoin</v>
      </c>
      <c r="B5145" s="2" t="str">
        <f ca="1">IFERROR(__xludf.DUMMYFUNCTION("""COMPUTED_VALUE"""),"zchf")</f>
        <v>zchf</v>
      </c>
      <c r="C5145" s="2" t="str">
        <f ca="1">IFERROR(__xludf.DUMMYFUNCTION("""COMPUTED_VALUE"""),"Frankencoin")</f>
        <v>Frankencoin</v>
      </c>
    </row>
    <row r="5146" spans="1:3" x14ac:dyDescent="0.25">
      <c r="A5146" s="2" t="str">
        <f ca="1">IFERROR(__xludf.DUMMYFUNCTION("""COMPUTED_VALUE"""),"frankenfrog")</f>
        <v>frankenfrog</v>
      </c>
      <c r="B5146" s="2" t="str">
        <f ca="1">IFERROR(__xludf.DUMMYFUNCTION("""COMPUTED_VALUE"""),"ffrog")</f>
        <v>ffrog</v>
      </c>
      <c r="C5146" s="2" t="str">
        <f ca="1">IFERROR(__xludf.DUMMYFUNCTION("""COMPUTED_VALUE"""),"FrankenFrog")</f>
        <v>FrankenFrog</v>
      </c>
    </row>
    <row r="5147" spans="1:3" x14ac:dyDescent="0.25">
      <c r="A5147" s="2" t="str">
        <f ca="1">IFERROR(__xludf.DUMMYFUNCTION("""COMPUTED_VALUE"""),"franklin")</f>
        <v>franklin</v>
      </c>
      <c r="B5147" s="2" t="str">
        <f ca="1">IFERROR(__xludf.DUMMYFUNCTION("""COMPUTED_VALUE"""),"fly")</f>
        <v>fly</v>
      </c>
      <c r="C5147" s="2" t="str">
        <f ca="1">IFERROR(__xludf.DUMMYFUNCTION("""COMPUTED_VALUE"""),"Franklin")</f>
        <v>Franklin</v>
      </c>
    </row>
    <row r="5148" spans="1:3" x14ac:dyDescent="0.25">
      <c r="A5148" s="2" t="str">
        <f ca="1">IFERROR(__xludf.DUMMYFUNCTION("""COMPUTED_VALUE"""),"franklin-onchain-u-s-government-money-fund")</f>
        <v>franklin-onchain-u-s-government-money-fund</v>
      </c>
      <c r="B5148" s="2" t="str">
        <f ca="1">IFERROR(__xludf.DUMMYFUNCTION("""COMPUTED_VALUE"""),"benji")</f>
        <v>benji</v>
      </c>
      <c r="C5148" s="2" t="str">
        <f ca="1">IFERROR(__xludf.DUMMYFUNCTION("""COMPUTED_VALUE"""),"Franklin OnChain U.S. Government Money Fund")</f>
        <v>Franklin OnChain U.S. Government Money Fund</v>
      </c>
    </row>
    <row r="5149" spans="1:3" x14ac:dyDescent="0.25">
      <c r="A5149" s="2" t="str">
        <f ca="1">IFERROR(__xludf.DUMMYFUNCTION("""COMPUTED_VALUE"""),"frapped-usdt")</f>
        <v>frapped-usdt</v>
      </c>
      <c r="B5149" s="2" t="str">
        <f ca="1">IFERROR(__xludf.DUMMYFUNCTION("""COMPUTED_VALUE"""),"fusdt")</f>
        <v>fusdt</v>
      </c>
      <c r="C5149" s="2" t="str">
        <f ca="1">IFERROR(__xludf.DUMMYFUNCTION("""COMPUTED_VALUE"""),"Frapped USDT")</f>
        <v>Frapped USDT</v>
      </c>
    </row>
    <row r="5150" spans="1:3" x14ac:dyDescent="0.25">
      <c r="A5150" s="2" t="str">
        <f ca="1">IFERROR(__xludf.DUMMYFUNCTION("""COMPUTED_VALUE"""),"frax")</f>
        <v>frax</v>
      </c>
      <c r="B5150" s="2" t="str">
        <f ca="1">IFERROR(__xludf.DUMMYFUNCTION("""COMPUTED_VALUE"""),"frax")</f>
        <v>frax</v>
      </c>
      <c r="C5150" s="2" t="str">
        <f ca="1">IFERROR(__xludf.DUMMYFUNCTION("""COMPUTED_VALUE"""),"Frax")</f>
        <v>Frax</v>
      </c>
    </row>
    <row r="5151" spans="1:3" x14ac:dyDescent="0.25">
      <c r="A5151" s="2" t="str">
        <f ca="1">IFERROR(__xludf.DUMMYFUNCTION("""COMPUTED_VALUE"""),"frax-bullas")</f>
        <v>frax-bullas</v>
      </c>
      <c r="B5151" s="2" t="str">
        <f ca="1">IFERROR(__xludf.DUMMYFUNCTION("""COMPUTED_VALUE"""),"frxbullas")</f>
        <v>frxbullas</v>
      </c>
      <c r="C5151" s="2" t="str">
        <f ca="1">IFERROR(__xludf.DUMMYFUNCTION("""COMPUTED_VALUE"""),"FRAX Bullas")</f>
        <v>FRAX Bullas</v>
      </c>
    </row>
    <row r="5152" spans="1:3" x14ac:dyDescent="0.25">
      <c r="A5152" s="2" t="str">
        <f ca="1">IFERROR(__xludf.DUMMYFUNCTION("""COMPUTED_VALUE"""),"frax-doge")</f>
        <v>frax-doge</v>
      </c>
      <c r="B5152" s="2" t="str">
        <f ca="1">IFERROR(__xludf.DUMMYFUNCTION("""COMPUTED_VALUE"""),"fxd")</f>
        <v>fxd</v>
      </c>
      <c r="C5152" s="2" t="str">
        <f ca="1">IFERROR(__xludf.DUMMYFUNCTION("""COMPUTED_VALUE"""),"Frax Doge")</f>
        <v>Frax Doge</v>
      </c>
    </row>
    <row r="5153" spans="1:3" x14ac:dyDescent="0.25">
      <c r="A5153" s="2" t="str">
        <f ca="1">IFERROR(__xludf.DUMMYFUNCTION("""COMPUTED_VALUE"""),"frax-ether")</f>
        <v>frax-ether</v>
      </c>
      <c r="B5153" s="2" t="str">
        <f ca="1">IFERROR(__xludf.DUMMYFUNCTION("""COMPUTED_VALUE"""),"frxeth")</f>
        <v>frxeth</v>
      </c>
      <c r="C5153" s="2" t="str">
        <f ca="1">IFERROR(__xludf.DUMMYFUNCTION("""COMPUTED_VALUE"""),"Frax Ether")</f>
        <v>Frax Ether</v>
      </c>
    </row>
    <row r="5154" spans="1:3" x14ac:dyDescent="0.25">
      <c r="A5154" s="2" t="str">
        <f ca="1">IFERROR(__xludf.DUMMYFUNCTION("""COMPUTED_VALUE"""),"frax-price-index")</f>
        <v>frax-price-index</v>
      </c>
      <c r="B5154" s="2" t="str">
        <f ca="1">IFERROR(__xludf.DUMMYFUNCTION("""COMPUTED_VALUE"""),"fpi")</f>
        <v>fpi</v>
      </c>
      <c r="C5154" s="2" t="str">
        <f ca="1">IFERROR(__xludf.DUMMYFUNCTION("""COMPUTED_VALUE"""),"Frax Price Index")</f>
        <v>Frax Price Index</v>
      </c>
    </row>
    <row r="5155" spans="1:3" x14ac:dyDescent="0.25">
      <c r="A5155" s="2" t="str">
        <f ca="1">IFERROR(__xludf.DUMMYFUNCTION("""COMPUTED_VALUE"""),"frax-price-index-share")</f>
        <v>frax-price-index-share</v>
      </c>
      <c r="B5155" s="2" t="str">
        <f ca="1">IFERROR(__xludf.DUMMYFUNCTION("""COMPUTED_VALUE"""),"fpis")</f>
        <v>fpis</v>
      </c>
      <c r="C5155" s="2" t="str">
        <f ca="1">IFERROR(__xludf.DUMMYFUNCTION("""COMPUTED_VALUE"""),"Frax Price Index Share")</f>
        <v>Frax Price Index Share</v>
      </c>
    </row>
    <row r="5156" spans="1:3" x14ac:dyDescent="0.25">
      <c r="A5156" s="2" t="str">
        <f ca="1">IFERROR(__xludf.DUMMYFUNCTION("""COMPUTED_VALUE"""),"frax-share")</f>
        <v>frax-share</v>
      </c>
      <c r="B5156" s="2" t="str">
        <f ca="1">IFERROR(__xludf.DUMMYFUNCTION("""COMPUTED_VALUE"""),"fxs")</f>
        <v>fxs</v>
      </c>
      <c r="C5156" s="2" t="str">
        <f ca="1">IFERROR(__xludf.DUMMYFUNCTION("""COMPUTED_VALUE"""),"Frax Share")</f>
        <v>Frax Share</v>
      </c>
    </row>
    <row r="5157" spans="1:3" x14ac:dyDescent="0.25">
      <c r="A5157" s="2" t="str">
        <f ca="1">IFERROR(__xludf.DUMMYFUNCTION("""COMPUTED_VALUE"""),"fraxtal")</f>
        <v>fraxtal</v>
      </c>
      <c r="B5157" s="2" t="str">
        <f ca="1">IFERROR(__xludf.DUMMYFUNCTION("""COMPUTED_VALUE"""),"fxtl")</f>
        <v>fxtl</v>
      </c>
      <c r="C5157" s="2" t="str">
        <f ca="1">IFERROR(__xludf.DUMMYFUNCTION("""COMPUTED_VALUE"""),"Fraxtal")</f>
        <v>Fraxtal</v>
      </c>
    </row>
    <row r="5158" spans="1:3" x14ac:dyDescent="0.25">
      <c r="A5158" s="2" t="str">
        <f ca="1">IFERROR(__xludf.DUMMYFUNCTION("""COMPUTED_VALUE"""),"fraxtal-bridged-frax-fraxtal")</f>
        <v>fraxtal-bridged-frax-fraxtal</v>
      </c>
      <c r="B5158" s="2" t="str">
        <f ca="1">IFERROR(__xludf.DUMMYFUNCTION("""COMPUTED_VALUE"""),"frax")</f>
        <v>frax</v>
      </c>
      <c r="C5158" s="2" t="str">
        <f ca="1">IFERROR(__xludf.DUMMYFUNCTION("""COMPUTED_VALUE"""),"Fraxtal Bridged FRAX (Fraxtal)")</f>
        <v>Fraxtal Bridged FRAX (Fraxtal)</v>
      </c>
    </row>
    <row r="5159" spans="1:3" x14ac:dyDescent="0.25">
      <c r="A5159" s="2" t="str">
        <f ca="1">IFERROR(__xludf.DUMMYFUNCTION("""COMPUTED_VALUE"""),"freakoff")</f>
        <v>freakoff</v>
      </c>
      <c r="B5159" s="2" t="str">
        <f ca="1">IFERROR(__xludf.DUMMYFUNCTION("""COMPUTED_VALUE"""),"freak")</f>
        <v>freak</v>
      </c>
      <c r="C5159" s="2" t="str">
        <f ca="1">IFERROR(__xludf.DUMMYFUNCTION("""COMPUTED_VALUE"""),"Freakoff")</f>
        <v>Freakoff</v>
      </c>
    </row>
    <row r="5160" spans="1:3" x14ac:dyDescent="0.25">
      <c r="A5160" s="2" t="str">
        <f ca="1">IFERROR(__xludf.DUMMYFUNCTION("""COMPUTED_VALUE"""),"freaky-keke")</f>
        <v>freaky-keke</v>
      </c>
      <c r="B5160" s="2" t="str">
        <f ca="1">IFERROR(__xludf.DUMMYFUNCTION("""COMPUTED_VALUE"""),"keke")</f>
        <v>keke</v>
      </c>
      <c r="C5160" s="2" t="str">
        <f ca="1">IFERROR(__xludf.DUMMYFUNCTION("""COMPUTED_VALUE"""),"Freaky KEKE")</f>
        <v>Freaky KEKE</v>
      </c>
    </row>
    <row r="5161" spans="1:3" x14ac:dyDescent="0.25">
      <c r="A5161" s="2" t="str">
        <f ca="1">IFERROR(__xludf.DUMMYFUNCTION("""COMPUTED_VALUE"""),"freco-coin")</f>
        <v>freco-coin</v>
      </c>
      <c r="B5161" s="2" t="str">
        <f ca="1">IFERROR(__xludf.DUMMYFUNCTION("""COMPUTED_VALUE"""),"freco")</f>
        <v>freco</v>
      </c>
      <c r="C5161" s="2" t="str">
        <f ca="1">IFERROR(__xludf.DUMMYFUNCTION("""COMPUTED_VALUE"""),"Freco Coin")</f>
        <v>Freco Coin</v>
      </c>
    </row>
    <row r="5162" spans="1:3" x14ac:dyDescent="0.25">
      <c r="A5162" s="2" t="str">
        <f ca="1">IFERROR(__xludf.DUMMYFUNCTION("""COMPUTED_VALUE"""),"freddy-fazbear")</f>
        <v>freddy-fazbear</v>
      </c>
      <c r="B5162" s="2" t="str">
        <f ca="1">IFERROR(__xludf.DUMMYFUNCTION("""COMPUTED_VALUE"""),"$fred")</f>
        <v>$fred</v>
      </c>
      <c r="C5162" s="2" t="str">
        <f ca="1">IFERROR(__xludf.DUMMYFUNCTION("""COMPUTED_VALUE"""),"Freddy Fazbear")</f>
        <v>Freddy Fazbear</v>
      </c>
    </row>
    <row r="5163" spans="1:3" x14ac:dyDescent="0.25">
      <c r="A5163" s="2" t="str">
        <f ca="1">IFERROR(__xludf.DUMMYFUNCTION("""COMPUTED_VALUE"""),"fredenergy")</f>
        <v>fredenergy</v>
      </c>
      <c r="B5163" s="2" t="str">
        <f ca="1">IFERROR(__xludf.DUMMYFUNCTION("""COMPUTED_VALUE"""),"fred")</f>
        <v>fred</v>
      </c>
      <c r="C5163" s="2" t="str">
        <f ca="1">IFERROR(__xludf.DUMMYFUNCTION("""COMPUTED_VALUE"""),"FRED Energy")</f>
        <v>FRED Energy</v>
      </c>
    </row>
    <row r="5164" spans="1:3" x14ac:dyDescent="0.25">
      <c r="A5164" s="2" t="str">
        <f ca="1">IFERROR(__xludf.DUMMYFUNCTION("""COMPUTED_VALUE"""),"freebnk")</f>
        <v>freebnk</v>
      </c>
      <c r="B5164" s="2" t="str">
        <f ca="1">IFERROR(__xludf.DUMMYFUNCTION("""COMPUTED_VALUE"""),"frbk")</f>
        <v>frbk</v>
      </c>
      <c r="C5164" s="2" t="str">
        <f ca="1">IFERROR(__xludf.DUMMYFUNCTION("""COMPUTED_VALUE"""),"FreeBnk")</f>
        <v>FreeBnk</v>
      </c>
    </row>
    <row r="5165" spans="1:3" x14ac:dyDescent="0.25">
      <c r="A5165" s="2" t="str">
        <f ca="1">IFERROR(__xludf.DUMMYFUNCTION("""COMPUTED_VALUE"""),"free-bridged-solvbtcb-core")</f>
        <v>free-bridged-solvbtcb-core</v>
      </c>
      <c r="B5165" s="2" t="str">
        <f ca="1">IFERROR(__xludf.DUMMYFUNCTION("""COMPUTED_VALUE"""),"solvbtc.b")</f>
        <v>solvbtc.b</v>
      </c>
      <c r="C5165" s="2" t="str">
        <f ca="1">IFERROR(__xludf.DUMMYFUNCTION("""COMPUTED_VALUE"""),"Free Bridged SolvBTC.b (Core)")</f>
        <v>Free Bridged SolvBTC.b (Core)</v>
      </c>
    </row>
    <row r="5166" spans="1:3" x14ac:dyDescent="0.25">
      <c r="A5166" s="2" t="str">
        <f ca="1">IFERROR(__xludf.DUMMYFUNCTION("""COMPUTED_VALUE"""),"free-bridged-solvbtc-m-core")</f>
        <v>free-bridged-solvbtc-m-core</v>
      </c>
      <c r="B5166" s="2" t="str">
        <f ca="1">IFERROR(__xludf.DUMMYFUNCTION("""COMPUTED_VALUE"""),"solvbtc.m")</f>
        <v>solvbtc.m</v>
      </c>
      <c r="C5166" s="2" t="str">
        <f ca="1">IFERROR(__xludf.DUMMYFUNCTION("""COMPUTED_VALUE"""),"Free Bridged SolvBTC.m (Core)")</f>
        <v>Free Bridged SolvBTC.m (Core)</v>
      </c>
    </row>
    <row r="5167" spans="1:3" x14ac:dyDescent="0.25">
      <c r="A5167" s="2" t="str">
        <f ca="1">IFERROR(__xludf.DUMMYFUNCTION("""COMPUTED_VALUE"""),"freecz")</f>
        <v>freecz</v>
      </c>
      <c r="B5167" s="2" t="str">
        <f ca="1">IFERROR(__xludf.DUMMYFUNCTION("""COMPUTED_VALUE"""),"freecz")</f>
        <v>freecz</v>
      </c>
      <c r="C5167" s="2" t="str">
        <f ca="1">IFERROR(__xludf.DUMMYFUNCTION("""COMPUTED_VALUE"""),"FreeCZ")</f>
        <v>FreeCZ</v>
      </c>
    </row>
    <row r="5168" spans="1:3" x14ac:dyDescent="0.25">
      <c r="A5168" s="2" t="str">
        <f ca="1">IFERROR(__xludf.DUMMYFUNCTION("""COMPUTED_VALUE"""),"freedom-2")</f>
        <v>freedom-2</v>
      </c>
      <c r="B5168" s="2" t="str">
        <f ca="1">IFERROR(__xludf.DUMMYFUNCTION("""COMPUTED_VALUE"""),"fdm")</f>
        <v>fdm</v>
      </c>
      <c r="C5168" s="2" t="str">
        <f ca="1">IFERROR(__xludf.DUMMYFUNCTION("""COMPUTED_VALUE"""),"Freedom")</f>
        <v>Freedom</v>
      </c>
    </row>
    <row r="5169" spans="1:3" x14ac:dyDescent="0.25">
      <c r="A5169" s="2" t="str">
        <f ca="1">IFERROR(__xludf.DUMMYFUNCTION("""COMPUTED_VALUE"""),"freedomcoin")</f>
        <v>freedomcoin</v>
      </c>
      <c r="B5169" s="2" t="str">
        <f ca="1">IFERROR(__xludf.DUMMYFUNCTION("""COMPUTED_VALUE"""),"freed")</f>
        <v>freed</v>
      </c>
      <c r="C5169" s="2" t="str">
        <f ca="1">IFERROR(__xludf.DUMMYFUNCTION("""COMPUTED_VALUE"""),"Freedomcoin")</f>
        <v>Freedomcoin</v>
      </c>
    </row>
    <row r="5170" spans="1:3" x14ac:dyDescent="0.25">
      <c r="A5170" s="2" t="str">
        <f ca="1">IFERROR(__xludf.DUMMYFUNCTION("""COMPUTED_VALUE"""),"freedom-coin")</f>
        <v>freedom-coin</v>
      </c>
      <c r="B5170" s="2" t="str">
        <f ca="1">IFERROR(__xludf.DUMMYFUNCTION("""COMPUTED_VALUE"""),"free")</f>
        <v>free</v>
      </c>
      <c r="C5170" s="2" t="str">
        <f ca="1">IFERROR(__xludf.DUMMYFUNCTION("""COMPUTED_VALUE"""),"FREEdom coin")</f>
        <v>FREEdom coin</v>
      </c>
    </row>
    <row r="5171" spans="1:3" x14ac:dyDescent="0.25">
      <c r="A5171" s="2" t="str">
        <f ca="1">IFERROR(__xludf.DUMMYFUNCTION("""COMPUTED_VALUE"""),"freedom-jobs-business")</f>
        <v>freedom-jobs-business</v>
      </c>
      <c r="B5171" s="2" t="str">
        <f ca="1">IFERROR(__xludf.DUMMYFUNCTION("""COMPUTED_VALUE"""),"$fjb")</f>
        <v>$fjb</v>
      </c>
      <c r="C5171" s="2" t="str">
        <f ca="1">IFERROR(__xludf.DUMMYFUNCTION("""COMPUTED_VALUE"""),"Freedom. Jobs. Business")</f>
        <v>Freedom. Jobs. Business</v>
      </c>
    </row>
    <row r="5172" spans="1:3" x14ac:dyDescent="0.25">
      <c r="A5172" s="2" t="str">
        <f ca="1">IFERROR(__xludf.DUMMYFUNCTION("""COMPUTED_VALUE"""),"freela")</f>
        <v>freela</v>
      </c>
      <c r="B5172" s="2" t="str">
        <f ca="1">IFERROR(__xludf.DUMMYFUNCTION("""COMPUTED_VALUE"""),"frel")</f>
        <v>frel</v>
      </c>
      <c r="C5172" s="2" t="str">
        <f ca="1">IFERROR(__xludf.DUMMYFUNCTION("""COMPUTED_VALUE"""),"Freela")</f>
        <v>Freela</v>
      </c>
    </row>
    <row r="5173" spans="1:3" x14ac:dyDescent="0.25">
      <c r="A5173" s="2" t="str">
        <f ca="1">IFERROR(__xludf.DUMMYFUNCTION("""COMPUTED_VALUE"""),"freemoon-2")</f>
        <v>freemoon-2</v>
      </c>
      <c r="B5173" s="2" t="str">
        <f ca="1">IFERROR(__xludf.DUMMYFUNCTION("""COMPUTED_VALUE"""),"moon")</f>
        <v>moon</v>
      </c>
      <c r="C5173" s="2" t="str">
        <f ca="1">IFERROR(__xludf.DUMMYFUNCTION("""COMPUTED_VALUE"""),"FreeMoon")</f>
        <v>FreeMoon</v>
      </c>
    </row>
    <row r="5174" spans="1:3" x14ac:dyDescent="0.25">
      <c r="A5174" s="2" t="str">
        <f ca="1">IFERROR(__xludf.DUMMYFUNCTION("""COMPUTED_VALUE"""),"freerossdao")</f>
        <v>freerossdao</v>
      </c>
      <c r="B5174" s="2" t="str">
        <f ca="1">IFERROR(__xludf.DUMMYFUNCTION("""COMPUTED_VALUE"""),"free")</f>
        <v>free</v>
      </c>
      <c r="C5174" s="2" t="str">
        <f ca="1">IFERROR(__xludf.DUMMYFUNCTION("""COMPUTED_VALUE"""),"FreeRossDAO")</f>
        <v>FreeRossDAO</v>
      </c>
    </row>
    <row r="5175" spans="1:3" x14ac:dyDescent="0.25">
      <c r="A5175" s="2" t="str">
        <f ca="1">IFERROR(__xludf.DUMMYFUNCTION("""COMPUTED_VALUE"""),"freetrump")</f>
        <v>freetrump</v>
      </c>
      <c r="B5175" s="2" t="str">
        <f ca="1">IFERROR(__xludf.DUMMYFUNCTION("""COMPUTED_VALUE"""),"$trump")</f>
        <v>$trump</v>
      </c>
      <c r="C5175" s="2" t="str">
        <f ca="1">IFERROR(__xludf.DUMMYFUNCTION("""COMPUTED_VALUE"""),"FreeTrump")</f>
        <v>FreeTrump</v>
      </c>
    </row>
    <row r="5176" spans="1:3" x14ac:dyDescent="0.25">
      <c r="A5176" s="2" t="str">
        <f ca="1">IFERROR(__xludf.DUMMYFUNCTION("""COMPUTED_VALUE"""),"freeway")</f>
        <v>freeway</v>
      </c>
      <c r="B5176" s="2" t="str">
        <f ca="1">IFERROR(__xludf.DUMMYFUNCTION("""COMPUTED_VALUE"""),"fwt")</f>
        <v>fwt</v>
      </c>
      <c r="C5176" s="2" t="str">
        <f ca="1">IFERROR(__xludf.DUMMYFUNCTION("""COMPUTED_VALUE"""),"Freeway")</f>
        <v>Freeway</v>
      </c>
    </row>
    <row r="5177" spans="1:3" x14ac:dyDescent="0.25">
      <c r="A5177" s="2" t="str">
        <f ca="1">IFERROR(__xludf.DUMMYFUNCTION("""COMPUTED_VALUE"""),"freicoin")</f>
        <v>freicoin</v>
      </c>
      <c r="B5177" s="2" t="str">
        <f ca="1">IFERROR(__xludf.DUMMYFUNCTION("""COMPUTED_VALUE"""),"frc")</f>
        <v>frc</v>
      </c>
      <c r="C5177" s="2" t="str">
        <f ca="1">IFERROR(__xludf.DUMMYFUNCTION("""COMPUTED_VALUE"""),"Freicoin")</f>
        <v>Freicoin</v>
      </c>
    </row>
    <row r="5178" spans="1:3" x14ac:dyDescent="0.25">
      <c r="A5178" s="2" t="str">
        <f ca="1">IFERROR(__xludf.DUMMYFUNCTION("""COMPUTED_VALUE"""),"french-connection-finance")</f>
        <v>french-connection-finance</v>
      </c>
      <c r="B5178" s="2" t="str">
        <f ca="1">IFERROR(__xludf.DUMMYFUNCTION("""COMPUTED_VALUE"""),"zypto")</f>
        <v>zypto</v>
      </c>
      <c r="C5178" s="2" t="str">
        <f ca="1">IFERROR(__xludf.DUMMYFUNCTION("""COMPUTED_VALUE"""),"Zypto Token")</f>
        <v>Zypto Token</v>
      </c>
    </row>
    <row r="5179" spans="1:3" x14ac:dyDescent="0.25">
      <c r="A5179" s="2" t="str">
        <f ca="1">IFERROR(__xludf.DUMMYFUNCTION("""COMPUTED_VALUE"""),"frencoin-2")</f>
        <v>frencoin-2</v>
      </c>
      <c r="B5179" s="2" t="str">
        <f ca="1">IFERROR(__xludf.DUMMYFUNCTION("""COMPUTED_VALUE"""),"fren")</f>
        <v>fren</v>
      </c>
      <c r="C5179" s="2" t="str">
        <f ca="1">IFERROR(__xludf.DUMMYFUNCTION("""COMPUTED_VALUE"""),"Frencoin")</f>
        <v>Frencoin</v>
      </c>
    </row>
    <row r="5180" spans="1:3" x14ac:dyDescent="0.25">
      <c r="A5180" s="2" t="str">
        <f ca="1">IFERROR(__xludf.DUMMYFUNCTION("""COMPUTED_VALUE"""),"fren-pepe")</f>
        <v>fren-pepe</v>
      </c>
      <c r="B5180" s="2" t="str">
        <f ca="1">IFERROR(__xludf.DUMMYFUNCTION("""COMPUTED_VALUE"""),"frepe")</f>
        <v>frepe</v>
      </c>
      <c r="C5180" s="2" t="str">
        <f ca="1">IFERROR(__xludf.DUMMYFUNCTION("""COMPUTED_VALUE"""),"Fren Pepe")</f>
        <v>Fren Pepe</v>
      </c>
    </row>
    <row r="5181" spans="1:3" x14ac:dyDescent="0.25">
      <c r="A5181" s="2" t="str">
        <f ca="1">IFERROR(__xludf.DUMMYFUNCTION("""COMPUTED_VALUE"""),"frenpet")</f>
        <v>frenpet</v>
      </c>
      <c r="B5181" s="2" t="str">
        <f ca="1">IFERROR(__xludf.DUMMYFUNCTION("""COMPUTED_VALUE"""),"fp")</f>
        <v>fp</v>
      </c>
      <c r="C5181" s="2" t="str">
        <f ca="1">IFERROR(__xludf.DUMMYFUNCTION("""COMPUTED_VALUE"""),"Fren Pet")</f>
        <v>Fren Pet</v>
      </c>
    </row>
    <row r="5182" spans="1:3" x14ac:dyDescent="0.25">
      <c r="A5182" s="2" t="str">
        <f ca="1">IFERROR(__xludf.DUMMYFUNCTION("""COMPUTED_VALUE"""),"frens-club")</f>
        <v>frens-club</v>
      </c>
      <c r="B5182" s="2" t="str">
        <f ca="1">IFERROR(__xludf.DUMMYFUNCTION("""COMPUTED_VALUE"""),"$fren")</f>
        <v>$fren</v>
      </c>
      <c r="C5182" s="2" t="str">
        <f ca="1">IFERROR(__xludf.DUMMYFUNCTION("""COMPUTED_VALUE"""),"Frens Club")</f>
        <v>Frens Club</v>
      </c>
    </row>
    <row r="5183" spans="1:3" x14ac:dyDescent="0.25">
      <c r="A5183" s="2" t="str">
        <f ca="1">IFERROR(__xludf.DUMMYFUNCTION("""COMPUTED_VALUE"""),"frenz")</f>
        <v>frenz</v>
      </c>
      <c r="B5183" s="2" t="str">
        <f ca="1">IFERROR(__xludf.DUMMYFUNCTION("""COMPUTED_VALUE"""),"frenz")</f>
        <v>frenz</v>
      </c>
      <c r="C5183" s="2" t="str">
        <f ca="1">IFERROR(__xludf.DUMMYFUNCTION("""COMPUTED_VALUE"""),"FRENZ")</f>
        <v>FRENZ</v>
      </c>
    </row>
    <row r="5184" spans="1:3" x14ac:dyDescent="0.25">
      <c r="A5184" s="2" t="str">
        <f ca="1">IFERROR(__xludf.DUMMYFUNCTION("""COMPUTED_VALUE"""),"fresco")</f>
        <v>fresco</v>
      </c>
      <c r="B5184" s="2" t="str">
        <f ca="1">IFERROR(__xludf.DUMMYFUNCTION("""COMPUTED_VALUE"""),"fresco")</f>
        <v>fresco</v>
      </c>
      <c r="C5184" s="2" t="str">
        <f ca="1">IFERROR(__xludf.DUMMYFUNCTION("""COMPUTED_VALUE"""),"Fresco")</f>
        <v>Fresco</v>
      </c>
    </row>
    <row r="5185" spans="1:3" x14ac:dyDescent="0.25">
      <c r="A5185" s="2" t="str">
        <f ca="1">IFERROR(__xludf.DUMMYFUNCTION("""COMPUTED_VALUE"""),"freth")</f>
        <v>freth</v>
      </c>
      <c r="B5185" s="2" t="str">
        <f ca="1">IFERROR(__xludf.DUMMYFUNCTION("""COMPUTED_VALUE"""),"freth")</f>
        <v>freth</v>
      </c>
      <c r="C5185" s="2" t="str">
        <f ca="1">IFERROR(__xludf.DUMMYFUNCTION("""COMPUTED_VALUE"""),"frETH")</f>
        <v>frETH</v>
      </c>
    </row>
    <row r="5186" spans="1:3" x14ac:dyDescent="0.25">
      <c r="A5186" s="2" t="str">
        <f ca="1">IFERROR(__xludf.DUMMYFUNCTION("""COMPUTED_VALUE"""),"freyala")</f>
        <v>freyala</v>
      </c>
      <c r="B5186" s="2" t="str">
        <f ca="1">IFERROR(__xludf.DUMMYFUNCTION("""COMPUTED_VALUE"""),"xya")</f>
        <v>xya</v>
      </c>
      <c r="C5186" s="2" t="str">
        <f ca="1">IFERROR(__xludf.DUMMYFUNCTION("""COMPUTED_VALUE"""),"GameFi Crossing")</f>
        <v>GameFi Crossing</v>
      </c>
    </row>
    <row r="5187" spans="1:3" x14ac:dyDescent="0.25">
      <c r="A5187" s="2" t="str">
        <f ca="1">IFERROR(__xludf.DUMMYFUNCTION("""COMPUTED_VALUE"""),"frgx-finance")</f>
        <v>frgx-finance</v>
      </c>
      <c r="B5187" s="2" t="str">
        <f ca="1">IFERROR(__xludf.DUMMYFUNCTION("""COMPUTED_VALUE"""),"frgx")</f>
        <v>frgx</v>
      </c>
      <c r="C5187" s="2" t="str">
        <f ca="1">IFERROR(__xludf.DUMMYFUNCTION("""COMPUTED_VALUE"""),"FRGX Finance")</f>
        <v>FRGX Finance</v>
      </c>
    </row>
    <row r="5188" spans="1:3" x14ac:dyDescent="0.25">
      <c r="A5188" s="2" t="str">
        <f ca="1">IFERROR(__xludf.DUMMYFUNCTION("""COMPUTED_VALUE"""),"frictionless")</f>
        <v>frictionless</v>
      </c>
      <c r="B5188" s="2" t="str">
        <f ca="1">IFERROR(__xludf.DUMMYFUNCTION("""COMPUTED_VALUE"""),"fric")</f>
        <v>fric</v>
      </c>
      <c r="C5188" s="2" t="str">
        <f ca="1">IFERROR(__xludf.DUMMYFUNCTION("""COMPUTED_VALUE"""),"Frictionless")</f>
        <v>Frictionless</v>
      </c>
    </row>
    <row r="5189" spans="1:3" x14ac:dyDescent="0.25">
      <c r="A5189" s="2" t="str">
        <f ca="1">IFERROR(__xludf.DUMMYFUNCTION("""COMPUTED_VALUE"""),"fried-chicken")</f>
        <v>fried-chicken</v>
      </c>
      <c r="B5189" s="2" t="str">
        <f ca="1">IFERROR(__xludf.DUMMYFUNCTION("""COMPUTED_VALUE"""),"fckn")</f>
        <v>fckn</v>
      </c>
      <c r="C5189" s="2" t="str">
        <f ca="1">IFERROR(__xludf.DUMMYFUNCTION("""COMPUTED_VALUE"""),"Fried Chicken")</f>
        <v>Fried Chicken</v>
      </c>
    </row>
    <row r="5190" spans="1:3" x14ac:dyDescent="0.25">
      <c r="A5190" s="2" t="str">
        <f ca="1">IFERROR(__xludf.DUMMYFUNCTION("""COMPUTED_VALUE"""),"friend3")</f>
        <v>friend3</v>
      </c>
      <c r="B5190" s="2" t="str">
        <f ca="1">IFERROR(__xludf.DUMMYFUNCTION("""COMPUTED_VALUE"""),"f3")</f>
        <v>f3</v>
      </c>
      <c r="C5190" s="2" t="str">
        <f ca="1">IFERROR(__xludf.DUMMYFUNCTION("""COMPUTED_VALUE"""),"Friend3")</f>
        <v>Friend3</v>
      </c>
    </row>
    <row r="5191" spans="1:3" x14ac:dyDescent="0.25">
      <c r="A5191" s="2" t="str">
        <f ca="1">IFERROR(__xludf.DUMMYFUNCTION("""COMPUTED_VALUE"""),"friends-with-benefits-network")</f>
        <v>friends-with-benefits-network</v>
      </c>
      <c r="B5191" s="2" t="str">
        <f ca="1">IFERROR(__xludf.DUMMYFUNCTION("""COMPUTED_VALUE"""),"fwb")</f>
        <v>fwb</v>
      </c>
      <c r="C5191" s="2" t="str">
        <f ca="1">IFERROR(__xludf.DUMMYFUNCTION("""COMPUTED_VALUE"""),"Friends with Benefits Network")</f>
        <v>Friends with Benefits Network</v>
      </c>
    </row>
    <row r="5192" spans="1:3" x14ac:dyDescent="0.25">
      <c r="A5192" s="2" t="str">
        <f ca="1">IFERROR(__xludf.DUMMYFUNCTION("""COMPUTED_VALUE"""),"friends-with-benefits-pro")</f>
        <v>friends-with-benefits-pro</v>
      </c>
      <c r="B5192" s="2" t="str">
        <f ca="1">IFERROR(__xludf.DUMMYFUNCTION("""COMPUTED_VALUE"""),"fwb")</f>
        <v>fwb</v>
      </c>
      <c r="C5192" s="2" t="str">
        <f ca="1">IFERROR(__xludf.DUMMYFUNCTION("""COMPUTED_VALUE"""),"Friends With Benefits Pro")</f>
        <v>Friends With Benefits Pro</v>
      </c>
    </row>
    <row r="5193" spans="1:3" x14ac:dyDescent="0.25">
      <c r="A5193" s="2" t="str">
        <f ca="1">IFERROR(__xludf.DUMMYFUNCTION("""COMPUTED_VALUE"""),"friend-tech")</f>
        <v>friend-tech</v>
      </c>
      <c r="B5193" s="2" t="str">
        <f ca="1">IFERROR(__xludf.DUMMYFUNCTION("""COMPUTED_VALUE"""),"friend")</f>
        <v>friend</v>
      </c>
      <c r="C5193" s="2" t="str">
        <f ca="1">IFERROR(__xludf.DUMMYFUNCTION("""COMPUTED_VALUE"""),"Friend.tech")</f>
        <v>Friend.tech</v>
      </c>
    </row>
    <row r="5194" spans="1:3" x14ac:dyDescent="0.25">
      <c r="A5194" s="2" t="str">
        <f ca="1">IFERROR(__xludf.DUMMYFUNCTION("""COMPUTED_VALUE"""),"friendtech33")</f>
        <v>friendtech33</v>
      </c>
      <c r="B5194" s="2" t="str">
        <f ca="1">IFERROR(__xludf.DUMMYFUNCTION("""COMPUTED_VALUE"""),"ftw")</f>
        <v>ftw</v>
      </c>
      <c r="C5194" s="2" t="str">
        <f ca="1">IFERROR(__xludf.DUMMYFUNCTION("""COMPUTED_VALUE"""),"FriendTech33")</f>
        <v>FriendTech33</v>
      </c>
    </row>
    <row r="5195" spans="1:3" x14ac:dyDescent="0.25">
      <c r="A5195" s="2" t="str">
        <f ca="1">IFERROR(__xludf.DUMMYFUNCTION("""COMPUTED_VALUE"""),"fringe-finance")</f>
        <v>fringe-finance</v>
      </c>
      <c r="B5195" s="2" t="str">
        <f ca="1">IFERROR(__xludf.DUMMYFUNCTION("""COMPUTED_VALUE"""),"frin")</f>
        <v>frin</v>
      </c>
      <c r="C5195" s="2" t="str">
        <f ca="1">IFERROR(__xludf.DUMMYFUNCTION("""COMPUTED_VALUE"""),"Fringe Finance")</f>
        <v>Fringe Finance</v>
      </c>
    </row>
    <row r="5196" spans="1:3" x14ac:dyDescent="0.25">
      <c r="A5196" s="2" t="str">
        <f ca="1">IFERROR(__xludf.DUMMYFUNCTION("""COMPUTED_VALUE"""),"frog-2")</f>
        <v>frog-2</v>
      </c>
      <c r="B5196" s="2" t="str">
        <f ca="1">IFERROR(__xludf.DUMMYFUNCTION("""COMPUTED_VALUE"""),"frog")</f>
        <v>frog</v>
      </c>
      <c r="C5196" s="2" t="str">
        <f ca="1">IFERROR(__xludf.DUMMYFUNCTION("""COMPUTED_VALUE"""),"Frog")</f>
        <v>Frog</v>
      </c>
    </row>
    <row r="5197" spans="1:3" x14ac:dyDescent="0.25">
      <c r="A5197" s="2" t="str">
        <f ca="1">IFERROR(__xludf.DUMMYFUNCTION("""COMPUTED_VALUE"""),"frog-ceo")</f>
        <v>frog-ceo</v>
      </c>
      <c r="B5197" s="2" t="str">
        <f ca="1">IFERROR(__xludf.DUMMYFUNCTION("""COMPUTED_VALUE"""),"frog ceo")</f>
        <v>frog ceo</v>
      </c>
      <c r="C5197" s="2" t="str">
        <f ca="1">IFERROR(__xludf.DUMMYFUNCTION("""COMPUTED_VALUE"""),"FROG CEO")</f>
        <v>FROG CEO</v>
      </c>
    </row>
    <row r="5198" spans="1:3" x14ac:dyDescent="0.25">
      <c r="A5198" s="2" t="str">
        <f ca="1">IFERROR(__xludf.DUMMYFUNCTION("""COMPUTED_VALUE"""),"froge-finance")</f>
        <v>froge-finance</v>
      </c>
      <c r="B5198" s="2" t="str">
        <f ca="1">IFERROR(__xludf.DUMMYFUNCTION("""COMPUTED_VALUE"""),"frogex")</f>
        <v>frogex</v>
      </c>
      <c r="C5198" s="2" t="str">
        <f ca="1">IFERROR(__xludf.DUMMYFUNCTION("""COMPUTED_VALUE"""),"FrogeX")</f>
        <v>FrogeX</v>
      </c>
    </row>
    <row r="5199" spans="1:3" x14ac:dyDescent="0.25">
      <c r="A5199" s="2" t="str">
        <f ca="1">IFERROR(__xludf.DUMMYFUNCTION("""COMPUTED_VALUE"""),"frogevip")</f>
        <v>frogevip</v>
      </c>
      <c r="B5199" s="2" t="str">
        <f ca="1">IFERROR(__xludf.DUMMYFUNCTION("""COMPUTED_VALUE"""),"froge")</f>
        <v>froge</v>
      </c>
      <c r="C5199" s="2" t="str">
        <f ca="1">IFERROR(__xludf.DUMMYFUNCTION("""COMPUTED_VALUE"""),"Froge")</f>
        <v>Froge</v>
      </c>
    </row>
    <row r="5200" spans="1:3" x14ac:dyDescent="0.25">
      <c r="A5200" s="2" t="str">
        <f ca="1">IFERROR(__xludf.DUMMYFUNCTION("""COMPUTED_VALUE"""),"froggies-token-2")</f>
        <v>froggies-token-2</v>
      </c>
      <c r="B5200" s="2" t="str">
        <f ca="1">IFERROR(__xludf.DUMMYFUNCTION("""COMPUTED_VALUE"""),"frgst")</f>
        <v>frgst</v>
      </c>
      <c r="C5200" s="2" t="str">
        <f ca="1">IFERROR(__xludf.DUMMYFUNCTION("""COMPUTED_VALUE"""),"Froggies")</f>
        <v>Froggies</v>
      </c>
    </row>
    <row r="5201" spans="1:3" x14ac:dyDescent="0.25">
      <c r="A5201" s="2" t="str">
        <f ca="1">IFERROR(__xludf.DUMMYFUNCTION("""COMPUTED_VALUE"""),"froggy")</f>
        <v>froggy</v>
      </c>
      <c r="B5201" s="2" t="str">
        <f ca="1">IFERROR(__xludf.DUMMYFUNCTION("""COMPUTED_VALUE"""),"froggy")</f>
        <v>froggy</v>
      </c>
      <c r="C5201" s="2" t="str">
        <f ca="1">IFERROR(__xludf.DUMMYFUNCTION("""COMPUTED_VALUE"""),"Froggy")</f>
        <v>Froggy</v>
      </c>
    </row>
    <row r="5202" spans="1:3" x14ac:dyDescent="0.25">
      <c r="A5202" s="2" t="str">
        <f ca="1">IFERROR(__xludf.DUMMYFUNCTION("""COMPUTED_VALUE"""),"frogie")</f>
        <v>frogie</v>
      </c>
      <c r="B5202" s="2" t="str">
        <f ca="1">IFERROR(__xludf.DUMMYFUNCTION("""COMPUTED_VALUE"""),"frogie")</f>
        <v>frogie</v>
      </c>
      <c r="C5202" s="2" t="str">
        <f ca="1">IFERROR(__xludf.DUMMYFUNCTION("""COMPUTED_VALUE"""),"Frogie")</f>
        <v>Frogie</v>
      </c>
    </row>
    <row r="5203" spans="1:3" x14ac:dyDescent="0.25">
      <c r="A5203" s="2" t="str">
        <f ca="1">IFERROR(__xludf.DUMMYFUNCTION("""COMPUTED_VALUE"""),"frog-on-eth")</f>
        <v>frog-on-eth</v>
      </c>
      <c r="B5203" s="2" t="str">
        <f ca="1">IFERROR(__xludf.DUMMYFUNCTION("""COMPUTED_VALUE"""),"frog")</f>
        <v>frog</v>
      </c>
      <c r="C5203" s="2" t="str">
        <f ca="1">IFERROR(__xludf.DUMMYFUNCTION("""COMPUTED_VALUE"""),"Frog on ETH")</f>
        <v>Frog on ETH</v>
      </c>
    </row>
    <row r="5204" spans="1:3" x14ac:dyDescent="0.25">
      <c r="A5204" s="2" t="str">
        <f ca="1">IFERROR(__xludf.DUMMYFUNCTION("""COMPUTED_VALUE"""),"frogonsol")</f>
        <v>frogonsol</v>
      </c>
      <c r="B5204" s="2" t="str">
        <f ca="1">IFERROR(__xludf.DUMMYFUNCTION("""COMPUTED_VALUE"""),"frog")</f>
        <v>frog</v>
      </c>
      <c r="C5204" s="2" t="str">
        <f ca="1">IFERROR(__xludf.DUMMYFUNCTION("""COMPUTED_VALUE"""),"Frogonsol")</f>
        <v>Frogonsol</v>
      </c>
    </row>
    <row r="5205" spans="1:3" x14ac:dyDescent="0.25">
      <c r="A5205" s="2" t="str">
        <f ca="1">IFERROR(__xludf.DUMMYFUNCTION("""COMPUTED_VALUE"""),"frogswap")</f>
        <v>frogswap</v>
      </c>
      <c r="B5205" s="2" t="str">
        <f ca="1">IFERROR(__xludf.DUMMYFUNCTION("""COMPUTED_VALUE"""),"frog")</f>
        <v>frog</v>
      </c>
      <c r="C5205" s="2" t="str">
        <f ca="1">IFERROR(__xludf.DUMMYFUNCTION("""COMPUTED_VALUE"""),"FrogSwap")</f>
        <v>FrogSwap</v>
      </c>
    </row>
    <row r="5206" spans="1:3" x14ac:dyDescent="0.25">
      <c r="A5206" s="2" t="str">
        <f ca="1">IFERROR(__xludf.DUMMYFUNCTION("""COMPUTED_VALUE"""),"frog-wif-peen")</f>
        <v>frog-wif-peen</v>
      </c>
      <c r="B5206" s="2" t="str">
        <f ca="1">IFERROR(__xludf.DUMMYFUNCTION("""COMPUTED_VALUE"""),"peen")</f>
        <v>peen</v>
      </c>
      <c r="C5206" s="2" t="str">
        <f ca="1">IFERROR(__xludf.DUMMYFUNCTION("""COMPUTED_VALUE"""),"Frog Wif Peen")</f>
        <v>Frog Wif Peen</v>
      </c>
    </row>
    <row r="5207" spans="1:3" x14ac:dyDescent="0.25">
      <c r="A5207" s="2" t="str">
        <f ca="1">IFERROR(__xludf.DUMMYFUNCTION("""COMPUTED_VALUE"""),"frokai")</f>
        <v>frokai</v>
      </c>
      <c r="B5207" s="2" t="str">
        <f ca="1">IFERROR(__xludf.DUMMYFUNCTION("""COMPUTED_VALUE"""),"frokai")</f>
        <v>frokai</v>
      </c>
      <c r="C5207" s="2" t="str">
        <f ca="1">IFERROR(__xludf.DUMMYFUNCTION("""COMPUTED_VALUE"""),"FrokAI")</f>
        <v>FrokAI</v>
      </c>
    </row>
    <row r="5208" spans="1:3" x14ac:dyDescent="0.25">
      <c r="A5208" s="2" t="str">
        <f ca="1">IFERROR(__xludf.DUMMYFUNCTION("""COMPUTED_VALUE"""),"frok-ai")</f>
        <v>frok-ai</v>
      </c>
      <c r="B5208" s="2" t="str">
        <f ca="1">IFERROR(__xludf.DUMMYFUNCTION("""COMPUTED_VALUE"""),"frok")</f>
        <v>frok</v>
      </c>
      <c r="C5208" s="3" t="str">
        <f ca="1">IFERROR(__xludf.DUMMYFUNCTION("""COMPUTED_VALUE"""),"Frok.ai")</f>
        <v>Frok.ai</v>
      </c>
    </row>
    <row r="5209" spans="1:3" x14ac:dyDescent="0.25">
      <c r="A5209" s="2" t="str">
        <f ca="1">IFERROR(__xludf.DUMMYFUNCTION("""COMPUTED_VALUE"""),"fronk")</f>
        <v>fronk</v>
      </c>
      <c r="B5209" s="2" t="str">
        <f ca="1">IFERROR(__xludf.DUMMYFUNCTION("""COMPUTED_VALUE"""),"fronk")</f>
        <v>fronk</v>
      </c>
      <c r="C5209" s="2" t="str">
        <f ca="1">IFERROR(__xludf.DUMMYFUNCTION("""COMPUTED_VALUE"""),"Fronk")</f>
        <v>Fronk</v>
      </c>
    </row>
    <row r="5210" spans="1:3" x14ac:dyDescent="0.25">
      <c r="A5210" s="2" t="str">
        <f ca="1">IFERROR(__xludf.DUMMYFUNCTION("""COMPUTED_VALUE"""),"frontfanz-2")</f>
        <v>frontfanz-2</v>
      </c>
      <c r="B5210" s="2" t="str">
        <f ca="1">IFERROR(__xludf.DUMMYFUNCTION("""COMPUTED_VALUE"""),"fanx")</f>
        <v>fanx</v>
      </c>
      <c r="C5210" s="2" t="str">
        <f ca="1">IFERROR(__xludf.DUMMYFUNCTION("""COMPUTED_VALUE"""),"FrontFanz")</f>
        <v>FrontFanz</v>
      </c>
    </row>
    <row r="5211" spans="1:3" x14ac:dyDescent="0.25">
      <c r="A5211" s="2" t="str">
        <f ca="1">IFERROR(__xludf.DUMMYFUNCTION("""COMPUTED_VALUE"""),"frontier-token")</f>
        <v>frontier-token</v>
      </c>
      <c r="B5211" s="2" t="str">
        <f ca="1">IFERROR(__xludf.DUMMYFUNCTION("""COMPUTED_VALUE"""),"front")</f>
        <v>front</v>
      </c>
      <c r="C5211" s="2" t="str">
        <f ca="1">IFERROR(__xludf.DUMMYFUNCTION("""COMPUTED_VALUE"""),"Frontier")</f>
        <v>Frontier</v>
      </c>
    </row>
    <row r="5212" spans="1:3" x14ac:dyDescent="0.25">
      <c r="A5212" s="2" t="str">
        <f ca="1">IFERROR(__xludf.DUMMYFUNCTION("""COMPUTED_VALUE"""),"front-row")</f>
        <v>front-row</v>
      </c>
      <c r="B5212" s="2" t="str">
        <f ca="1">IFERROR(__xludf.DUMMYFUNCTION("""COMPUTED_VALUE"""),"frr")</f>
        <v>frr</v>
      </c>
      <c r="C5212" s="2" t="str">
        <f ca="1">IFERROR(__xludf.DUMMYFUNCTION("""COMPUTED_VALUE"""),"Frontrow")</f>
        <v>Frontrow</v>
      </c>
    </row>
    <row r="5213" spans="1:3" x14ac:dyDescent="0.25">
      <c r="A5213" s="2" t="str">
        <f ca="1">IFERROR(__xludf.DUMMYFUNCTION("""COMPUTED_VALUE"""),"froodoo")</f>
        <v>froodoo</v>
      </c>
      <c r="B5213" s="2" t="str">
        <f ca="1">IFERROR(__xludf.DUMMYFUNCTION("""COMPUTED_VALUE"""),"fodo")</f>
        <v>fodo</v>
      </c>
      <c r="C5213" s="2" t="str">
        <f ca="1">IFERROR(__xludf.DUMMYFUNCTION("""COMPUTED_VALUE"""),"FrooDoo")</f>
        <v>FrooDoo</v>
      </c>
    </row>
    <row r="5214" spans="1:3" x14ac:dyDescent="0.25">
      <c r="A5214" s="2" t="str">
        <f ca="1">IFERROR(__xludf.DUMMYFUNCTION("""COMPUTED_VALUE"""),"frop")</f>
        <v>frop</v>
      </c>
      <c r="B5214" s="2" t="str">
        <f ca="1">IFERROR(__xludf.DUMMYFUNCTION("""COMPUTED_VALUE"""),"frop")</f>
        <v>frop</v>
      </c>
      <c r="C5214" s="2" t="str">
        <f ca="1">IFERROR(__xludf.DUMMYFUNCTION("""COMPUTED_VALUE"""),"FROP")</f>
        <v>FROP</v>
      </c>
    </row>
    <row r="5215" spans="1:3" x14ac:dyDescent="0.25">
      <c r="A5215" s="2" t="str">
        <f ca="1">IFERROR(__xludf.DUMMYFUNCTION("""COMPUTED_VALUE"""),"frosty-the-polar-bear")</f>
        <v>frosty-the-polar-bear</v>
      </c>
      <c r="B5215" s="2" t="str">
        <f ca="1">IFERROR(__xludf.DUMMYFUNCTION("""COMPUTED_VALUE"""),"frosty")</f>
        <v>frosty</v>
      </c>
      <c r="C5215" s="2" t="str">
        <f ca="1">IFERROR(__xludf.DUMMYFUNCTION("""COMPUTED_VALUE"""),"Frosty the Polar Bear")</f>
        <v>Frosty the Polar Bear</v>
      </c>
    </row>
    <row r="5216" spans="1:3" x14ac:dyDescent="0.25">
      <c r="A5216" s="2" t="str">
        <f ca="1">IFERROR(__xludf.DUMMYFUNCTION("""COMPUTED_VALUE"""),"froyo-games")</f>
        <v>froyo-games</v>
      </c>
      <c r="B5216" s="2" t="str">
        <f ca="1">IFERROR(__xludf.DUMMYFUNCTION("""COMPUTED_VALUE"""),"froyo")</f>
        <v>froyo</v>
      </c>
      <c r="C5216" s="2" t="str">
        <f ca="1">IFERROR(__xludf.DUMMYFUNCTION("""COMPUTED_VALUE"""),"Froyo Games")</f>
        <v>Froyo Games</v>
      </c>
    </row>
    <row r="5217" spans="1:3" x14ac:dyDescent="0.25">
      <c r="A5217" s="2" t="str">
        <f ca="1">IFERROR(__xludf.DUMMYFUNCTION("""COMPUTED_VALUE"""),"frug")</f>
        <v>frug</v>
      </c>
      <c r="B5217" s="2" t="str">
        <f ca="1">IFERROR(__xludf.DUMMYFUNCTION("""COMPUTED_VALUE"""),"frug")</f>
        <v>frug</v>
      </c>
      <c r="C5217" s="2" t="str">
        <f ca="1">IFERROR(__xludf.DUMMYFUNCTION("""COMPUTED_VALUE"""),"FRUG")</f>
        <v>FRUG</v>
      </c>
    </row>
    <row r="5218" spans="1:3" x14ac:dyDescent="0.25">
      <c r="A5218" s="2" t="str">
        <f ca="1">IFERROR(__xludf.DUMMYFUNCTION("""COMPUTED_VALUE"""),"fruits")</f>
        <v>fruits</v>
      </c>
      <c r="B5218" s="2" t="str">
        <f ca="1">IFERROR(__xludf.DUMMYFUNCTION("""COMPUTED_VALUE"""),"frts")</f>
        <v>frts</v>
      </c>
      <c r="C5218" s="2" t="str">
        <f ca="1">IFERROR(__xludf.DUMMYFUNCTION("""COMPUTED_VALUE"""),"Fruits")</f>
        <v>Fruits</v>
      </c>
    </row>
    <row r="5219" spans="1:3" x14ac:dyDescent="0.25">
      <c r="A5219" s="2" t="str">
        <f ca="1">IFERROR(__xludf.DUMMYFUNCTION("""COMPUTED_VALUE"""),"frutti-dino")</f>
        <v>frutti-dino</v>
      </c>
      <c r="B5219" s="2" t="str">
        <f ca="1">IFERROR(__xludf.DUMMYFUNCTION("""COMPUTED_VALUE"""),"fdt")</f>
        <v>fdt</v>
      </c>
      <c r="C5219" s="2" t="str">
        <f ca="1">IFERROR(__xludf.DUMMYFUNCTION("""COMPUTED_VALUE"""),"Frutti Dino")</f>
        <v>Frutti Dino</v>
      </c>
    </row>
    <row r="5220" spans="1:3" x14ac:dyDescent="0.25">
      <c r="A5220" s="2" t="str">
        <f ca="1">IFERROR(__xludf.DUMMYFUNCTION("""COMPUTED_VALUE"""),"fryscrypto")</f>
        <v>fryscrypto</v>
      </c>
      <c r="B5220" s="2" t="str">
        <f ca="1">IFERROR(__xludf.DUMMYFUNCTION("""COMPUTED_VALUE"""),"fry")</f>
        <v>fry</v>
      </c>
      <c r="C5220" s="2" t="str">
        <f ca="1">IFERROR(__xludf.DUMMYFUNCTION("""COMPUTED_VALUE"""),"FrysCrypto")</f>
        <v>FrysCrypto</v>
      </c>
    </row>
    <row r="5221" spans="1:3" x14ac:dyDescent="0.25">
      <c r="A5221" s="2" t="str">
        <f ca="1">IFERROR(__xludf.DUMMYFUNCTION("""COMPUTED_VALUE"""),"fsn")</f>
        <v>fsn</v>
      </c>
      <c r="B5221" s="2" t="str">
        <f ca="1">IFERROR(__xludf.DUMMYFUNCTION("""COMPUTED_VALUE"""),"fsn")</f>
        <v>fsn</v>
      </c>
      <c r="C5221" s="2" t="str">
        <f ca="1">IFERROR(__xludf.DUMMYFUNCTION("""COMPUTED_VALUE"""),"FUSION")</f>
        <v>FUSION</v>
      </c>
    </row>
    <row r="5222" spans="1:3" x14ac:dyDescent="0.25">
      <c r="A5222" s="2" t="str">
        <f ca="1">IFERROR(__xludf.DUMMYFUNCTION("""COMPUTED_VALUE"""),"fsociety")</f>
        <v>fsociety</v>
      </c>
      <c r="B5222" s="2" t="str">
        <f ca="1">IFERROR(__xludf.DUMMYFUNCTION("""COMPUTED_VALUE"""),"fsc")</f>
        <v>fsc</v>
      </c>
      <c r="C5222" s="2" t="str">
        <f ca="1">IFERROR(__xludf.DUMMYFUNCTION("""COMPUTED_VALUE"""),"FSOCIETY")</f>
        <v>FSOCIETY</v>
      </c>
    </row>
    <row r="5223" spans="1:3" x14ac:dyDescent="0.25">
      <c r="A5223" s="2" t="str">
        <f ca="1">IFERROR(__xludf.DUMMYFUNCTION("""COMPUTED_VALUE"""),"ftails")</f>
        <v>ftails</v>
      </c>
      <c r="B5223" s="2" t="str">
        <f ca="1">IFERROR(__xludf.DUMMYFUNCTION("""COMPUTED_VALUE"""),"ftails")</f>
        <v>ftails</v>
      </c>
      <c r="C5223" s="2" t="str">
        <f ca="1">IFERROR(__xludf.DUMMYFUNCTION("""COMPUTED_VALUE"""),"fTails")</f>
        <v>fTails</v>
      </c>
    </row>
    <row r="5224" spans="1:3" x14ac:dyDescent="0.25">
      <c r="A5224" s="2" t="str">
        <f ca="1">IFERROR(__xludf.DUMMYFUNCTION("""COMPUTED_VALUE"""),"ftm-guru")</f>
        <v>ftm-guru</v>
      </c>
      <c r="B5224" s="2" t="str">
        <f ca="1">IFERROR(__xludf.DUMMYFUNCTION("""COMPUTED_VALUE"""),"elite")</f>
        <v>elite</v>
      </c>
      <c r="C5224" s="2" t="str">
        <f ca="1">IFERROR(__xludf.DUMMYFUNCTION("""COMPUTED_VALUE"""),"ftm.guru")</f>
        <v>ftm.guru</v>
      </c>
    </row>
    <row r="5225" spans="1:3" x14ac:dyDescent="0.25">
      <c r="A5225" s="2" t="str">
        <f ca="1">IFERROR(__xludf.DUMMYFUNCTION("""COMPUTED_VALUE"""),"ftribe-fighters")</f>
        <v>ftribe-fighters</v>
      </c>
      <c r="B5225" s="2" t="str">
        <f ca="1">IFERROR(__xludf.DUMMYFUNCTION("""COMPUTED_VALUE"""),"f2c")</f>
        <v>f2c</v>
      </c>
      <c r="C5225" s="2" t="str">
        <f ca="1">IFERROR(__xludf.DUMMYFUNCTION("""COMPUTED_VALUE"""),"Ftribe Fighters")</f>
        <v>Ftribe Fighters</v>
      </c>
    </row>
    <row r="5226" spans="1:3" x14ac:dyDescent="0.25">
      <c r="A5226" s="2" t="str">
        <f ca="1">IFERROR(__xludf.DUMMYFUNCTION("""COMPUTED_VALUE"""),"ftx-token")</f>
        <v>ftx-token</v>
      </c>
      <c r="B5226" s="2" t="str">
        <f ca="1">IFERROR(__xludf.DUMMYFUNCTION("""COMPUTED_VALUE"""),"ftt")</f>
        <v>ftt</v>
      </c>
      <c r="C5226" s="2" t="str">
        <f ca="1">IFERROR(__xludf.DUMMYFUNCTION("""COMPUTED_VALUE"""),"FTX")</f>
        <v>FTX</v>
      </c>
    </row>
    <row r="5227" spans="1:3" x14ac:dyDescent="0.25">
      <c r="A5227" s="2" t="str">
        <f ca="1">IFERROR(__xludf.DUMMYFUNCTION("""COMPUTED_VALUE"""),"ftx-users-debt")</f>
        <v>ftx-users-debt</v>
      </c>
      <c r="B5227" s="2" t="str">
        <f ca="1">IFERROR(__xludf.DUMMYFUNCTION("""COMPUTED_VALUE"""),"fud")</f>
        <v>fud</v>
      </c>
      <c r="C5227" s="2" t="str">
        <f ca="1">IFERROR(__xludf.DUMMYFUNCTION("""COMPUTED_VALUE"""),"FTX Users' Debt")</f>
        <v>FTX Users' Debt</v>
      </c>
    </row>
    <row r="5228" spans="1:3" x14ac:dyDescent="0.25">
      <c r="A5228" s="2" t="str">
        <f ca="1">IFERROR(__xludf.DUMMYFUNCTION("""COMPUTED_VALUE"""),"fu")</f>
        <v>fu</v>
      </c>
      <c r="B5228" s="2" t="str">
        <f ca="1">IFERROR(__xludf.DUMMYFUNCTION("""COMPUTED_VALUE"""),"fu")</f>
        <v>fu</v>
      </c>
      <c r="C5228" s="2" t="str">
        <f ca="1">IFERROR(__xludf.DUMMYFUNCTION("""COMPUTED_VALUE"""),"FU")</f>
        <v>FU</v>
      </c>
    </row>
    <row r="5229" spans="1:3" x14ac:dyDescent="0.25">
      <c r="A5229" s="2" t="str">
        <f ca="1">IFERROR(__xludf.DUMMYFUNCTION("""COMPUTED_VALUE"""),"fuack")</f>
        <v>fuack</v>
      </c>
      <c r="B5229" s="2" t="str">
        <f ca="1">IFERROR(__xludf.DUMMYFUNCTION("""COMPUTED_VALUE"""),"fuack")</f>
        <v>fuack</v>
      </c>
      <c r="C5229" s="2" t="str">
        <f ca="1">IFERROR(__xludf.DUMMYFUNCTION("""COMPUTED_VALUE"""),"FUACK")</f>
        <v>FUACK</v>
      </c>
    </row>
    <row r="5230" spans="1:3" x14ac:dyDescent="0.25">
      <c r="A5230" s="2" t="str">
        <f ca="1">IFERROR(__xludf.DUMMYFUNCTION("""COMPUTED_VALUE"""),"fud-the-pug")</f>
        <v>fud-the-pug</v>
      </c>
      <c r="B5230" s="2" t="str">
        <f ca="1">IFERROR(__xludf.DUMMYFUNCTION("""COMPUTED_VALUE"""),"fud")</f>
        <v>fud</v>
      </c>
      <c r="C5230" s="2" t="str">
        <f ca="1">IFERROR(__xludf.DUMMYFUNCTION("""COMPUTED_VALUE"""),"Fud the Pug")</f>
        <v>Fud the Pug</v>
      </c>
    </row>
    <row r="5231" spans="1:3" x14ac:dyDescent="0.25">
      <c r="A5231" s="2" t="str">
        <f ca="1">IFERROR(__xludf.DUMMYFUNCTION("""COMPUTED_VALUE"""),"fuel")</f>
        <v>fuel</v>
      </c>
      <c r="B5231" s="2" t="str">
        <f ca="1">IFERROR(__xludf.DUMMYFUNCTION("""COMPUTED_VALUE"""),"fuel")</f>
        <v>fuel</v>
      </c>
      <c r="C5231" s="2" t="str">
        <f ca="1">IFERROR(__xludf.DUMMYFUNCTION("""COMPUTED_VALUE"""),"FUEL")</f>
        <v>FUEL</v>
      </c>
    </row>
    <row r="5232" spans="1:3" x14ac:dyDescent="0.25">
      <c r="A5232" s="2" t="str">
        <f ca="1">IFERROR(__xludf.DUMMYFUNCTION("""COMPUTED_VALUE"""),"fuel-network")</f>
        <v>fuel-network</v>
      </c>
      <c r="B5232" s="2" t="str">
        <f ca="1">IFERROR(__xludf.DUMMYFUNCTION("""COMPUTED_VALUE"""),"fuel")</f>
        <v>fuel</v>
      </c>
      <c r="C5232" s="2" t="str">
        <f ca="1">IFERROR(__xludf.DUMMYFUNCTION("""COMPUTED_VALUE"""),"Fuel Network")</f>
        <v>Fuel Network</v>
      </c>
    </row>
    <row r="5233" spans="1:3" x14ac:dyDescent="0.25">
      <c r="A5233" s="2" t="str">
        <f ca="1">IFERROR(__xludf.DUMMYFUNCTION("""COMPUTED_VALUE"""),"fuertecoin")</f>
        <v>fuertecoin</v>
      </c>
      <c r="B5233" s="2" t="str">
        <f ca="1">IFERROR(__xludf.DUMMYFUNCTION("""COMPUTED_VALUE"""),"fuec")</f>
        <v>fuec</v>
      </c>
      <c r="C5233" s="2" t="str">
        <f ca="1">IFERROR(__xludf.DUMMYFUNCTION("""COMPUTED_VALUE"""),"Fuertecoin")</f>
        <v>Fuertecoin</v>
      </c>
    </row>
    <row r="5234" spans="1:3" x14ac:dyDescent="0.25">
      <c r="A5234" s="2" t="str">
        <f ca="1">IFERROR(__xludf.DUMMYFUNCTION("""COMPUTED_VALUE"""),"fufu")</f>
        <v>fufu</v>
      </c>
      <c r="B5234" s="2" t="str">
        <f ca="1">IFERROR(__xludf.DUMMYFUNCTION("""COMPUTED_VALUE"""),"fufu")</f>
        <v>fufu</v>
      </c>
      <c r="C5234" s="2" t="str">
        <f ca="1">IFERROR(__xludf.DUMMYFUNCTION("""COMPUTED_VALUE"""),"Fufu")</f>
        <v>Fufu</v>
      </c>
    </row>
    <row r="5235" spans="1:3" x14ac:dyDescent="0.25">
      <c r="A5235" s="2" t="str">
        <f ca="1">IFERROR(__xludf.DUMMYFUNCTION("""COMPUTED_VALUE"""),"fufu-token")</f>
        <v>fufu-token</v>
      </c>
      <c r="B5235" s="2" t="str">
        <f ca="1">IFERROR(__xludf.DUMMYFUNCTION("""COMPUTED_VALUE"""),"fufu")</f>
        <v>fufu</v>
      </c>
      <c r="C5235" s="2" t="str">
        <f ca="1">IFERROR(__xludf.DUMMYFUNCTION("""COMPUTED_VALUE"""),"Fufu Token")</f>
        <v>Fufu Token</v>
      </c>
    </row>
    <row r="5236" spans="1:3" x14ac:dyDescent="0.25">
      <c r="A5236" s="2" t="str">
        <f ca="1">IFERROR(__xludf.DUMMYFUNCTION("""COMPUTED_VALUE"""),"fujicoin")</f>
        <v>fujicoin</v>
      </c>
      <c r="B5236" s="2" t="str">
        <f ca="1">IFERROR(__xludf.DUMMYFUNCTION("""COMPUTED_VALUE"""),"fjc")</f>
        <v>fjc</v>
      </c>
      <c r="C5236" s="2" t="str">
        <f ca="1">IFERROR(__xludf.DUMMYFUNCTION("""COMPUTED_VALUE"""),"Fujicoin")</f>
        <v>Fujicoin</v>
      </c>
    </row>
    <row r="5237" spans="1:3" x14ac:dyDescent="0.25">
      <c r="A5237" s="2" t="str">
        <f ca="1">IFERROR(__xludf.DUMMYFUNCTION("""COMPUTED_VALUE"""),"fujitoken")</f>
        <v>fujitoken</v>
      </c>
      <c r="B5237" s="2" t="str">
        <f ca="1">IFERROR(__xludf.DUMMYFUNCTION("""COMPUTED_VALUE"""),"fjt")</f>
        <v>fjt</v>
      </c>
      <c r="C5237" s="2" t="str">
        <f ca="1">IFERROR(__xludf.DUMMYFUNCTION("""COMPUTED_VALUE"""),"Fuji FJT")</f>
        <v>Fuji FJT</v>
      </c>
    </row>
    <row r="5238" spans="1:3" x14ac:dyDescent="0.25">
      <c r="A5238" s="2" t="str">
        <f ca="1">IFERROR(__xludf.DUMMYFUNCTION("""COMPUTED_VALUE"""),"fuku")</f>
        <v>fuku</v>
      </c>
      <c r="B5238" s="2" t="str">
        <f ca="1">IFERROR(__xludf.DUMMYFUNCTION("""COMPUTED_VALUE"""),"fuku")</f>
        <v>fuku</v>
      </c>
      <c r="C5238" s="2" t="str">
        <f ca="1">IFERROR(__xludf.DUMMYFUNCTION("""COMPUTED_VALUE"""),"FUKU")</f>
        <v>FUKU</v>
      </c>
    </row>
    <row r="5239" spans="1:3" x14ac:dyDescent="0.25">
      <c r="A5239" s="2" t="str">
        <f ca="1">IFERROR(__xludf.DUMMYFUNCTION("""COMPUTED_VALUE"""),"fuku-kun")</f>
        <v>fuku-kun</v>
      </c>
      <c r="B5239" s="2" t="str">
        <f ca="1">IFERROR(__xludf.DUMMYFUNCTION("""COMPUTED_VALUE"""),"fuku")</f>
        <v>fuku</v>
      </c>
      <c r="C5239" s="2" t="str">
        <f ca="1">IFERROR(__xludf.DUMMYFUNCTION("""COMPUTED_VALUE"""),"Fuku-Kun")</f>
        <v>Fuku-Kun</v>
      </c>
    </row>
    <row r="5240" spans="1:3" x14ac:dyDescent="0.25">
      <c r="A5240" s="2" t="str">
        <f ca="1">IFERROR(__xludf.DUMMYFUNCTION("""COMPUTED_VALUE"""),"fulcrom")</f>
        <v>fulcrom</v>
      </c>
      <c r="B5240" s="2" t="str">
        <f ca="1">IFERROR(__xludf.DUMMYFUNCTION("""COMPUTED_VALUE"""),"ful")</f>
        <v>ful</v>
      </c>
      <c r="C5240" s="2" t="str">
        <f ca="1">IFERROR(__xludf.DUMMYFUNCTION("""COMPUTED_VALUE"""),"Fulcrom")</f>
        <v>Fulcrom</v>
      </c>
    </row>
    <row r="5241" spans="1:3" x14ac:dyDescent="0.25">
      <c r="A5241" s="2" t="str">
        <f ca="1">IFERROR(__xludf.DUMMYFUNCTION("""COMPUTED_VALUE"""),"fu-money")</f>
        <v>fu-money</v>
      </c>
      <c r="B5241" s="2" t="str">
        <f ca="1">IFERROR(__xludf.DUMMYFUNCTION("""COMPUTED_VALUE"""),"fu")</f>
        <v>fu</v>
      </c>
      <c r="C5241" s="2" t="str">
        <f ca="1">IFERROR(__xludf.DUMMYFUNCTION("""COMPUTED_VALUE"""),"FU Money")</f>
        <v>FU Money</v>
      </c>
    </row>
    <row r="5242" spans="1:3" x14ac:dyDescent="0.25">
      <c r="A5242" s="2" t="str">
        <f ca="1">IFERROR(__xludf.DUMMYFUNCTION("""COMPUTED_VALUE"""),"funded")</f>
        <v>funded</v>
      </c>
      <c r="B5242" s="2" t="str">
        <f ca="1">IFERROR(__xludf.DUMMYFUNCTION("""COMPUTED_VALUE"""),"funded")</f>
        <v>funded</v>
      </c>
      <c r="C5242" s="2" t="str">
        <f ca="1">IFERROR(__xludf.DUMMYFUNCTION("""COMPUTED_VALUE"""),"Funded")</f>
        <v>Funded</v>
      </c>
    </row>
    <row r="5243" spans="1:3" x14ac:dyDescent="0.25">
      <c r="A5243" s="2" t="str">
        <f ca="1">IFERROR(__xludf.DUMMYFUNCTION("""COMPUTED_VALUE"""),"fund-of-yours")</f>
        <v>fund-of-yours</v>
      </c>
      <c r="B5243" s="2" t="str">
        <f ca="1">IFERROR(__xludf.DUMMYFUNCTION("""COMPUTED_VALUE"""),"foy")</f>
        <v>foy</v>
      </c>
      <c r="C5243" s="2" t="str">
        <f ca="1">IFERROR(__xludf.DUMMYFUNCTION("""COMPUTED_VALUE"""),"Fund Of Yours")</f>
        <v>Fund Of Yours</v>
      </c>
    </row>
    <row r="5244" spans="1:3" x14ac:dyDescent="0.25">
      <c r="A5244" s="2" t="str">
        <f ca="1">IFERROR(__xludf.DUMMYFUNCTION("""COMPUTED_VALUE"""),"funfair")</f>
        <v>funfair</v>
      </c>
      <c r="B5244" s="2" t="str">
        <f ca="1">IFERROR(__xludf.DUMMYFUNCTION("""COMPUTED_VALUE"""),"fun")</f>
        <v>fun</v>
      </c>
      <c r="C5244" s="2" t="str">
        <f ca="1">IFERROR(__xludf.DUMMYFUNCTION("""COMPUTED_VALUE"""),"FUNToken")</f>
        <v>FUNToken</v>
      </c>
    </row>
    <row r="5245" spans="1:3" x14ac:dyDescent="0.25">
      <c r="A5245" s="2" t="str">
        <f ca="1">IFERROR(__xludf.DUMMYFUNCTION("""COMPUTED_VALUE"""),"funfi")</f>
        <v>funfi</v>
      </c>
      <c r="B5245" s="2" t="str">
        <f ca="1">IFERROR(__xludf.DUMMYFUNCTION("""COMPUTED_VALUE"""),"fnf")</f>
        <v>fnf</v>
      </c>
      <c r="C5245" s="2" t="str">
        <f ca="1">IFERROR(__xludf.DUMMYFUNCTION("""COMPUTED_VALUE"""),"FunFi")</f>
        <v>FunFi</v>
      </c>
    </row>
    <row r="5246" spans="1:3" x14ac:dyDescent="0.25">
      <c r="A5246" s="2" t="str">
        <f ca="1">IFERROR(__xludf.DUMMYFUNCTION("""COMPUTED_VALUE"""),"fungi")</f>
        <v>fungi</v>
      </c>
      <c r="B5246" s="2" t="str">
        <f ca="1">IFERROR(__xludf.DUMMYFUNCTION("""COMPUTED_VALUE"""),"fungi")</f>
        <v>fungi</v>
      </c>
      <c r="C5246" s="2" t="str">
        <f ca="1">IFERROR(__xludf.DUMMYFUNCTION("""COMPUTED_VALUE"""),"Fungi")</f>
        <v>Fungi</v>
      </c>
    </row>
    <row r="5247" spans="1:3" x14ac:dyDescent="0.25">
      <c r="A5247" s="2" t="str">
        <f ca="1">IFERROR(__xludf.DUMMYFUNCTION("""COMPUTED_VALUE"""),"fungify-nft-index")</f>
        <v>fungify-nft-index</v>
      </c>
      <c r="B5247" s="2" t="str">
        <f ca="1">IFERROR(__xludf.DUMMYFUNCTION("""COMPUTED_VALUE"""),"nft")</f>
        <v>nft</v>
      </c>
      <c r="C5247" s="2" t="str">
        <f ca="1">IFERROR(__xludf.DUMMYFUNCTION("""COMPUTED_VALUE"""),"Fungify NFT Index")</f>
        <v>Fungify NFT Index</v>
      </c>
    </row>
    <row r="5248" spans="1:3" x14ac:dyDescent="0.25">
      <c r="A5248" s="2" t="str">
        <f ca="1">IFERROR(__xludf.DUMMYFUNCTION("""COMPUTED_VALUE"""),"fungify-token")</f>
        <v>fungify-token</v>
      </c>
      <c r="B5248" s="2" t="str">
        <f ca="1">IFERROR(__xludf.DUMMYFUNCTION("""COMPUTED_VALUE"""),"fung")</f>
        <v>fung</v>
      </c>
      <c r="C5248" s="2" t="str">
        <f ca="1">IFERROR(__xludf.DUMMYFUNCTION("""COMPUTED_VALUE"""),"Fungify Token")</f>
        <v>Fungify Token</v>
      </c>
    </row>
    <row r="5249" spans="1:3" x14ac:dyDescent="0.25">
      <c r="A5249" s="2" t="str">
        <f ca="1">IFERROR(__xludf.DUMMYFUNCTION("""COMPUTED_VALUE"""),"funny-coin")</f>
        <v>funny-coin</v>
      </c>
      <c r="B5249" s="2" t="str">
        <f ca="1">IFERROR(__xludf.DUMMYFUNCTION("""COMPUTED_VALUE"""),"fuc")</f>
        <v>fuc</v>
      </c>
      <c r="C5249" s="2" t="str">
        <f ca="1">IFERROR(__xludf.DUMMYFUNCTION("""COMPUTED_VALUE"""),"Funny Coin")</f>
        <v>Funny Coin</v>
      </c>
    </row>
    <row r="5250" spans="1:3" x14ac:dyDescent="0.25">
      <c r="A5250" s="2" t="str">
        <f ca="1">IFERROR(__xludf.DUMMYFUNCTION("""COMPUTED_VALUE"""),"furari")</f>
        <v>furari</v>
      </c>
      <c r="B5250" s="2" t="str">
        <f ca="1">IFERROR(__xludf.DUMMYFUNCTION("""COMPUTED_VALUE"""),"cia")</f>
        <v>cia</v>
      </c>
      <c r="C5250" s="2" t="str">
        <f ca="1">IFERROR(__xludf.DUMMYFUNCTION("""COMPUTED_VALUE"""),"Cat Intelligence Agency")</f>
        <v>Cat Intelligence Agency</v>
      </c>
    </row>
    <row r="5251" spans="1:3" x14ac:dyDescent="0.25">
      <c r="A5251" s="2" t="str">
        <f ca="1">IFERROR(__xludf.DUMMYFUNCTION("""COMPUTED_VALUE"""),"furio")</f>
        <v>furio</v>
      </c>
      <c r="B5251" s="2" t="str">
        <f ca="1">IFERROR(__xludf.DUMMYFUNCTION("""COMPUTED_VALUE"""),"$fur")</f>
        <v>$fur</v>
      </c>
      <c r="C5251" s="2" t="str">
        <f ca="1">IFERROR(__xludf.DUMMYFUNCTION("""COMPUTED_VALUE"""),"Furio")</f>
        <v>Furio</v>
      </c>
    </row>
    <row r="5252" spans="1:3" x14ac:dyDescent="0.25">
      <c r="A5252" s="2" t="str">
        <f ca="1">IFERROR(__xludf.DUMMYFUNCTION("""COMPUTED_VALUE"""),"furucombo")</f>
        <v>furucombo</v>
      </c>
      <c r="B5252" s="2" t="str">
        <f ca="1">IFERROR(__xludf.DUMMYFUNCTION("""COMPUTED_VALUE"""),"combo")</f>
        <v>combo</v>
      </c>
      <c r="C5252" s="2" t="str">
        <f ca="1">IFERROR(__xludf.DUMMYFUNCTION("""COMPUTED_VALUE"""),"Furucombo")</f>
        <v>Furucombo</v>
      </c>
    </row>
    <row r="5253" spans="1:3" x14ac:dyDescent="0.25">
      <c r="A5253" s="2" t="str">
        <f ca="1">IFERROR(__xludf.DUMMYFUNCTION("""COMPUTED_VALUE"""),"fuse-bridged-wbtc-fuse")</f>
        <v>fuse-bridged-wbtc-fuse</v>
      </c>
      <c r="B5253" s="2" t="str">
        <f ca="1">IFERROR(__xludf.DUMMYFUNCTION("""COMPUTED_VALUE"""),"wbtc")</f>
        <v>wbtc</v>
      </c>
      <c r="C5253" s="2" t="str">
        <f ca="1">IFERROR(__xludf.DUMMYFUNCTION("""COMPUTED_VALUE"""),"Fuse Bridged WBTC (Fuse)")</f>
        <v>Fuse Bridged WBTC (Fuse)</v>
      </c>
    </row>
    <row r="5254" spans="1:3" x14ac:dyDescent="0.25">
      <c r="A5254" s="2" t="str">
        <f ca="1">IFERROR(__xludf.DUMMYFUNCTION("""COMPUTED_VALUE"""),"fuse-dollar")</f>
        <v>fuse-dollar</v>
      </c>
      <c r="B5254" s="2" t="str">
        <f ca="1">IFERROR(__xludf.DUMMYFUNCTION("""COMPUTED_VALUE"""),"fusd")</f>
        <v>fusd</v>
      </c>
      <c r="C5254" s="2" t="str">
        <f ca="1">IFERROR(__xludf.DUMMYFUNCTION("""COMPUTED_VALUE"""),"Fuse Dollar V3")</f>
        <v>Fuse Dollar V3</v>
      </c>
    </row>
    <row r="5255" spans="1:3" x14ac:dyDescent="0.25">
      <c r="A5255" s="2" t="str">
        <f ca="1">IFERROR(__xludf.DUMMYFUNCTION("""COMPUTED_VALUE"""),"fusefi")</f>
        <v>fusefi</v>
      </c>
      <c r="B5255" s="2" t="str">
        <f ca="1">IFERROR(__xludf.DUMMYFUNCTION("""COMPUTED_VALUE"""),"volt")</f>
        <v>volt</v>
      </c>
      <c r="C5255" s="2" t="str">
        <f ca="1">IFERROR(__xludf.DUMMYFUNCTION("""COMPUTED_VALUE"""),"Voltage Finance")</f>
        <v>Voltage Finance</v>
      </c>
    </row>
    <row r="5256" spans="1:3" x14ac:dyDescent="0.25">
      <c r="A5256" s="2" t="str">
        <f ca="1">IFERROR(__xludf.DUMMYFUNCTION("""COMPUTED_VALUE"""),"fuse-network-token")</f>
        <v>fuse-network-token</v>
      </c>
      <c r="B5256" s="2" t="str">
        <f ca="1">IFERROR(__xludf.DUMMYFUNCTION("""COMPUTED_VALUE"""),"fuse")</f>
        <v>fuse</v>
      </c>
      <c r="C5256" s="2" t="str">
        <f ca="1">IFERROR(__xludf.DUMMYFUNCTION("""COMPUTED_VALUE"""),"Fuse")</f>
        <v>Fuse</v>
      </c>
    </row>
    <row r="5257" spans="1:3" x14ac:dyDescent="0.25">
      <c r="A5257" s="2" t="str">
        <f ca="1">IFERROR(__xludf.DUMMYFUNCTION("""COMPUTED_VALUE"""),"fusion-ai")</f>
        <v>fusion-ai</v>
      </c>
      <c r="B5257" s="2" t="str">
        <f ca="1">IFERROR(__xludf.DUMMYFUNCTION("""COMPUTED_VALUE"""),"fusion")</f>
        <v>fusion</v>
      </c>
      <c r="C5257" s="2" t="str">
        <f ca="1">IFERROR(__xludf.DUMMYFUNCTION("""COMPUTED_VALUE"""),"Fusion Ai")</f>
        <v>Fusion Ai</v>
      </c>
    </row>
    <row r="5258" spans="1:3" x14ac:dyDescent="0.25">
      <c r="A5258" s="2" t="str">
        <f ca="1">IFERROR(__xludf.DUMMYFUNCTION("""COMPUTED_VALUE"""),"fusionbot")</f>
        <v>fusionbot</v>
      </c>
      <c r="B5258" s="2" t="str">
        <f ca="1">IFERROR(__xludf.DUMMYFUNCTION("""COMPUTED_VALUE"""),"fusion")</f>
        <v>fusion</v>
      </c>
      <c r="C5258" s="2" t="str">
        <f ca="1">IFERROR(__xludf.DUMMYFUNCTION("""COMPUTED_VALUE"""),"FusionBot")</f>
        <v>FusionBot</v>
      </c>
    </row>
    <row r="5259" spans="1:3" x14ac:dyDescent="0.25">
      <c r="A5259" s="2" t="str">
        <f ca="1">IFERROR(__xludf.DUMMYFUNCTION("""COMPUTED_VALUE"""),"fusotao")</f>
        <v>fusotao</v>
      </c>
      <c r="B5259" s="2" t="str">
        <f ca="1">IFERROR(__xludf.DUMMYFUNCTION("""COMPUTED_VALUE"""),"tao")</f>
        <v>tao</v>
      </c>
      <c r="C5259" s="2" t="str">
        <f ca="1">IFERROR(__xludf.DUMMYFUNCTION("""COMPUTED_VALUE"""),"Fusotao")</f>
        <v>Fusotao</v>
      </c>
    </row>
    <row r="5260" spans="1:3" x14ac:dyDescent="0.25">
      <c r="A5260" s="2" t="str">
        <f ca="1">IFERROR(__xludf.DUMMYFUNCTION("""COMPUTED_VALUE"""),"futurecoin")</f>
        <v>futurecoin</v>
      </c>
      <c r="B5260" s="2" t="str">
        <f ca="1">IFERROR(__xludf.DUMMYFUNCTION("""COMPUTED_VALUE"""),"future")</f>
        <v>future</v>
      </c>
      <c r="C5260" s="2" t="str">
        <f ca="1">IFERROR(__xludf.DUMMYFUNCTION("""COMPUTED_VALUE"""),"FutureCoin")</f>
        <v>FutureCoin</v>
      </c>
    </row>
    <row r="5261" spans="1:3" x14ac:dyDescent="0.25">
      <c r="A5261" s="2" t="str">
        <f ca="1">IFERROR(__xludf.DUMMYFUNCTION("""COMPUTED_VALUE"""),"futurespl")</f>
        <v>futurespl</v>
      </c>
      <c r="B5261" s="2" t="str">
        <f ca="1">IFERROR(__xludf.DUMMYFUNCTION("""COMPUTED_VALUE"""),"future")</f>
        <v>future</v>
      </c>
      <c r="C5261" s="2" t="str">
        <f ca="1">IFERROR(__xludf.DUMMYFUNCTION("""COMPUTED_VALUE"""),"Future Protocol")</f>
        <v>Future Protocol</v>
      </c>
    </row>
    <row r="5262" spans="1:3" x14ac:dyDescent="0.25">
      <c r="A5262" s="2" t="str">
        <f ca="1">IFERROR(__xludf.DUMMYFUNCTION("""COMPUTED_VALUE"""),"futureswap")</f>
        <v>futureswap</v>
      </c>
      <c r="B5262" s="2" t="str">
        <f ca="1">IFERROR(__xludf.DUMMYFUNCTION("""COMPUTED_VALUE"""),"fst")</f>
        <v>fst</v>
      </c>
      <c r="C5262" s="2" t="str">
        <f ca="1">IFERROR(__xludf.DUMMYFUNCTION("""COMPUTED_VALUE"""),"Futureswap")</f>
        <v>Futureswap</v>
      </c>
    </row>
    <row r="5263" spans="1:3" x14ac:dyDescent="0.25">
      <c r="A5263" s="2" t="str">
        <f ca="1">IFERROR(__xludf.DUMMYFUNCTION("""COMPUTED_VALUE"""),"futurocoin")</f>
        <v>futurocoin</v>
      </c>
      <c r="B5263" s="2" t="str">
        <f ca="1">IFERROR(__xludf.DUMMYFUNCTION("""COMPUTED_VALUE"""),"fto")</f>
        <v>fto</v>
      </c>
      <c r="C5263" s="2" t="str">
        <f ca="1">IFERROR(__xludf.DUMMYFUNCTION("""COMPUTED_VALUE"""),"FuturoCoin")</f>
        <v>FuturoCoin</v>
      </c>
    </row>
    <row r="5264" spans="1:3" x14ac:dyDescent="0.25">
      <c r="A5264" s="2" t="str">
        <f ca="1">IFERROR(__xludf.DUMMYFUNCTION("""COMPUTED_VALUE"""),"fuxion-labs")</f>
        <v>fuxion-labs</v>
      </c>
      <c r="B5264" s="2" t="str">
        <f ca="1">IFERROR(__xludf.DUMMYFUNCTION("""COMPUTED_VALUE"""),"fuxe")</f>
        <v>fuxe</v>
      </c>
      <c r="C5264" s="2" t="str">
        <f ca="1">IFERROR(__xludf.DUMMYFUNCTION("""COMPUTED_VALUE"""),"Fuxion Labs")</f>
        <v>Fuxion Labs</v>
      </c>
    </row>
    <row r="5265" spans="1:3" x14ac:dyDescent="0.25">
      <c r="A5265" s="2" t="str">
        <f ca="1">IFERROR(__xludf.DUMMYFUNCTION("""COMPUTED_VALUE"""),"fuze-token")</f>
        <v>fuze-token</v>
      </c>
      <c r="B5265" s="2" t="str">
        <f ca="1">IFERROR(__xludf.DUMMYFUNCTION("""COMPUTED_VALUE"""),"fuze")</f>
        <v>fuze</v>
      </c>
      <c r="C5265" s="2" t="str">
        <f ca="1">IFERROR(__xludf.DUMMYFUNCTION("""COMPUTED_VALUE"""),"FUZE")</f>
        <v>FUZE</v>
      </c>
    </row>
    <row r="5266" spans="1:3" x14ac:dyDescent="0.25">
      <c r="A5266" s="2" t="str">
        <f ca="1">IFERROR(__xludf.DUMMYFUNCTION("""COMPUTED_VALUE"""),"fuzion")</f>
        <v>fuzion</v>
      </c>
      <c r="B5266" s="2" t="str">
        <f ca="1">IFERROR(__xludf.DUMMYFUNCTION("""COMPUTED_VALUE"""),"fuzn")</f>
        <v>fuzn</v>
      </c>
      <c r="C5266" s="2" t="str">
        <f ca="1">IFERROR(__xludf.DUMMYFUNCTION("""COMPUTED_VALUE"""),"Fuzion")</f>
        <v>Fuzion</v>
      </c>
    </row>
    <row r="5267" spans="1:3" x14ac:dyDescent="0.25">
      <c r="A5267" s="2" t="str">
        <f ca="1">IFERROR(__xludf.DUMMYFUNCTION("""COMPUTED_VALUE"""),"fuzz-finance")</f>
        <v>fuzz-finance</v>
      </c>
      <c r="B5267" s="2" t="str">
        <f ca="1">IFERROR(__xludf.DUMMYFUNCTION("""COMPUTED_VALUE"""),"fuzz")</f>
        <v>fuzz</v>
      </c>
      <c r="C5267" s="2" t="str">
        <f ca="1">IFERROR(__xludf.DUMMYFUNCTION("""COMPUTED_VALUE"""),"Fuzz Finance")</f>
        <v>Fuzz Finance</v>
      </c>
    </row>
    <row r="5268" spans="1:3" x14ac:dyDescent="0.25">
      <c r="A5268" s="2" t="str">
        <f ca="1">IFERROR(__xludf.DUMMYFUNCTION("""COMPUTED_VALUE"""),"fwog")</f>
        <v>fwog</v>
      </c>
      <c r="B5268" s="2" t="str">
        <f ca="1">IFERROR(__xludf.DUMMYFUNCTION("""COMPUTED_VALUE"""),"fwog")</f>
        <v>fwog</v>
      </c>
      <c r="C5268" s="2" t="str">
        <f ca="1">IFERROR(__xludf.DUMMYFUNCTION("""COMPUTED_VALUE"""),"Fwog")</f>
        <v>Fwog</v>
      </c>
    </row>
    <row r="5269" spans="1:3" x14ac:dyDescent="0.25">
      <c r="A5269" s="2" t="str">
        <f ca="1">IFERROR(__xludf.DUMMYFUNCTION("""COMPUTED_VALUE"""),"fx1sports")</f>
        <v>fx1sports</v>
      </c>
      <c r="B5269" s="2" t="str">
        <f ca="1">IFERROR(__xludf.DUMMYFUNCTION("""COMPUTED_VALUE"""),"fxi")</f>
        <v>fxi</v>
      </c>
      <c r="C5269" s="2" t="str">
        <f ca="1">IFERROR(__xludf.DUMMYFUNCTION("""COMPUTED_VALUE"""),"FX1Sports")</f>
        <v>FX1Sports</v>
      </c>
    </row>
    <row r="5270" spans="1:3" x14ac:dyDescent="0.25">
      <c r="A5270" s="2" t="str">
        <f ca="1">IFERROR(__xludf.DUMMYFUNCTION("""COMPUTED_VALUE"""),"fx-coin")</f>
        <v>fx-coin</v>
      </c>
      <c r="B5270" s="2" t="str">
        <f ca="1">IFERROR(__xludf.DUMMYFUNCTION("""COMPUTED_VALUE"""),"fx")</f>
        <v>fx</v>
      </c>
      <c r="C5270" s="2" t="str">
        <f ca="1">IFERROR(__xludf.DUMMYFUNCTION("""COMPUTED_VALUE"""),"Function X")</f>
        <v>Function X</v>
      </c>
    </row>
    <row r="5271" spans="1:3" x14ac:dyDescent="0.25">
      <c r="A5271" s="2" t="str">
        <f ca="1">IFERROR(__xludf.DUMMYFUNCTION("""COMPUTED_VALUE"""),"fxdx")</f>
        <v>fxdx</v>
      </c>
      <c r="B5271" s="2" t="str">
        <f ca="1">IFERROR(__xludf.DUMMYFUNCTION("""COMPUTED_VALUE"""),"fxdx")</f>
        <v>fxdx</v>
      </c>
      <c r="C5271" s="2" t="str">
        <f ca="1">IFERROR(__xludf.DUMMYFUNCTION("""COMPUTED_VALUE"""),"FXDX")</f>
        <v>FXDX</v>
      </c>
    </row>
    <row r="5272" spans="1:3" x14ac:dyDescent="0.25">
      <c r="A5272" s="2" t="str">
        <f ca="1">IFERROR(__xludf.DUMMYFUNCTION("""COMPUTED_VALUE"""),"fxn-token")</f>
        <v>fxn-token</v>
      </c>
      <c r="B5272" s="2" t="str">
        <f ca="1">IFERROR(__xludf.DUMMYFUNCTION("""COMPUTED_VALUE"""),"fxn")</f>
        <v>fxn</v>
      </c>
      <c r="C5272" s="2" t="str">
        <f ca="1">IFERROR(__xludf.DUMMYFUNCTION("""COMPUTED_VALUE"""),"f(x) Protocol")</f>
        <v>f(x) Protocol</v>
      </c>
    </row>
    <row r="5273" spans="1:3" x14ac:dyDescent="0.25">
      <c r="A5273" s="2" t="str">
        <f ca="1">IFERROR(__xludf.DUMMYFUNCTION("""COMPUTED_VALUE"""),"f-x-protocol-fractional-eth")</f>
        <v>f-x-protocol-fractional-eth</v>
      </c>
      <c r="B5273" s="2" t="str">
        <f ca="1">IFERROR(__xludf.DUMMYFUNCTION("""COMPUTED_VALUE"""),"feth")</f>
        <v>feth</v>
      </c>
      <c r="C5273" s="2" t="str">
        <f ca="1">IFERROR(__xludf.DUMMYFUNCTION("""COMPUTED_VALUE"""),"f(x) Protocol Fractional ETH")</f>
        <v>f(x) Protocol Fractional ETH</v>
      </c>
    </row>
    <row r="5274" spans="1:3" x14ac:dyDescent="0.25">
      <c r="A5274" s="2" t="str">
        <f ca="1">IFERROR(__xludf.DUMMYFUNCTION("""COMPUTED_VALUE"""),"f-x-protocol-fxusd")</f>
        <v>f-x-protocol-fxusd</v>
      </c>
      <c r="B5274" s="2" t="str">
        <f ca="1">IFERROR(__xludf.DUMMYFUNCTION("""COMPUTED_VALUE"""),"fxusd")</f>
        <v>fxusd</v>
      </c>
      <c r="C5274" s="2" t="str">
        <f ca="1">IFERROR(__xludf.DUMMYFUNCTION("""COMPUTED_VALUE"""),"f(x) Protocol fxUSD")</f>
        <v>f(x) Protocol fxUSD</v>
      </c>
    </row>
    <row r="5275" spans="1:3" x14ac:dyDescent="0.25">
      <c r="A5275" s="2" t="str">
        <f ca="1">IFERROR(__xludf.DUMMYFUNCTION("""COMPUTED_VALUE"""),"f-x-protocol-leveraged-eth")</f>
        <v>f-x-protocol-leveraged-eth</v>
      </c>
      <c r="B5275" s="2" t="str">
        <f ca="1">IFERROR(__xludf.DUMMYFUNCTION("""COMPUTED_VALUE"""),"xeth")</f>
        <v>xeth</v>
      </c>
      <c r="C5275" s="2" t="str">
        <f ca="1">IFERROR(__xludf.DUMMYFUNCTION("""COMPUTED_VALUE"""),"f(x) Protocol Leveraged ETH")</f>
        <v>f(x) Protocol Leveraged ETH</v>
      </c>
    </row>
    <row r="5276" spans="1:3" x14ac:dyDescent="0.25">
      <c r="A5276" s="2" t="str">
        <f ca="1">IFERROR(__xludf.DUMMYFUNCTION("""COMPUTED_VALUE"""),"fx-rusd")</f>
        <v>fx-rusd</v>
      </c>
      <c r="B5276" s="2" t="str">
        <f ca="1">IFERROR(__xludf.DUMMYFUNCTION("""COMPUTED_VALUE"""),"rusd")</f>
        <v>rusd</v>
      </c>
      <c r="C5276" s="2" t="str">
        <f ca="1">IFERROR(__xludf.DUMMYFUNCTION("""COMPUTED_VALUE"""),"f(x) rUSD")</f>
        <v>f(x) rUSD</v>
      </c>
    </row>
    <row r="5277" spans="1:3" x14ac:dyDescent="0.25">
      <c r="A5277" s="2" t="str">
        <f ca="1">IFERROR(__xludf.DUMMYFUNCTION("""COMPUTED_VALUE"""),"fx-stock-token")</f>
        <v>fx-stock-token</v>
      </c>
      <c r="B5277" s="2" t="str">
        <f ca="1">IFERROR(__xludf.DUMMYFUNCTION("""COMPUTED_VALUE"""),"fxst")</f>
        <v>fxst</v>
      </c>
      <c r="C5277" s="2" t="str">
        <f ca="1">IFERROR(__xludf.DUMMYFUNCTION("""COMPUTED_VALUE"""),"FX Stock Token")</f>
        <v>FX Stock Token</v>
      </c>
    </row>
    <row r="5278" spans="1:3" x14ac:dyDescent="0.25">
      <c r="A5278" s="2" t="str">
        <f ca="1">IFERROR(__xludf.DUMMYFUNCTION("""COMPUTED_VALUE"""),"fyde")</f>
        <v>fyde</v>
      </c>
      <c r="B5278" s="2" t="str">
        <f ca="1">IFERROR(__xludf.DUMMYFUNCTION("""COMPUTED_VALUE"""),"fyde")</f>
        <v>fyde</v>
      </c>
      <c r="C5278" s="2" t="str">
        <f ca="1">IFERROR(__xludf.DUMMYFUNCTION("""COMPUTED_VALUE"""),"Fyde")</f>
        <v>Fyde</v>
      </c>
    </row>
    <row r="5279" spans="1:3" x14ac:dyDescent="0.25">
      <c r="A5279" s="2" t="str">
        <f ca="1">IFERROR(__xludf.DUMMYFUNCTION("""COMPUTED_VALUE"""),"fyde-treasury")</f>
        <v>fyde-treasury</v>
      </c>
      <c r="B5279" s="2" t="str">
        <f ca="1">IFERROR(__xludf.DUMMYFUNCTION("""COMPUTED_VALUE"""),"trsy")</f>
        <v>trsy</v>
      </c>
      <c r="C5279" s="2" t="str">
        <f ca="1">IFERROR(__xludf.DUMMYFUNCTION("""COMPUTED_VALUE"""),"Fyde Treasury")</f>
        <v>Fyde Treasury</v>
      </c>
    </row>
    <row r="5280" spans="1:3" x14ac:dyDescent="0.25">
      <c r="A5280" s="2" t="str">
        <f ca="1">IFERROR(__xludf.DUMMYFUNCTION("""COMPUTED_VALUE"""),"g-2")</f>
        <v>g-2</v>
      </c>
      <c r="B5280" s="2" t="str">
        <f ca="1">IFERROR(__xludf.DUMMYFUNCTION("""COMPUTED_VALUE"""),"g")</f>
        <v>g</v>
      </c>
      <c r="C5280" s="2" t="str">
        <f ca="1">IFERROR(__xludf.DUMMYFUNCTION("""COMPUTED_VALUE"""),"G")</f>
        <v>G</v>
      </c>
    </row>
    <row r="5281" spans="1:3" x14ac:dyDescent="0.25">
      <c r="A5281" s="2" t="str">
        <f ca="1">IFERROR(__xludf.DUMMYFUNCTION("""COMPUTED_VALUE"""),"g8coin")</f>
        <v>g8coin</v>
      </c>
      <c r="B5281" s="2" t="str">
        <f ca="1">IFERROR(__xludf.DUMMYFUNCTION("""COMPUTED_VALUE"""),"g8c")</f>
        <v>g8c</v>
      </c>
      <c r="C5281" s="2" t="str">
        <f ca="1">IFERROR(__xludf.DUMMYFUNCTION("""COMPUTED_VALUE"""),"G8 Coin")</f>
        <v>G8 Coin</v>
      </c>
    </row>
    <row r="5282" spans="1:3" x14ac:dyDescent="0.25">
      <c r="A5282" s="2" t="str">
        <f ca="1">IFERROR(__xludf.DUMMYFUNCTION("""COMPUTED_VALUE"""),"gabin-noosum")</f>
        <v>gabin-noosum</v>
      </c>
      <c r="B5282" s="2" t="str">
        <f ca="1">IFERROR(__xludf.DUMMYFUNCTION("""COMPUTED_VALUE"""),"noosum")</f>
        <v>noosum</v>
      </c>
      <c r="C5282" s="2" t="str">
        <f ca="1">IFERROR(__xludf.DUMMYFUNCTION("""COMPUTED_VALUE"""),"Gabin Noosum")</f>
        <v>Gabin Noosum</v>
      </c>
    </row>
    <row r="5283" spans="1:3" x14ac:dyDescent="0.25">
      <c r="A5283" s="2" t="str">
        <f ca="1">IFERROR(__xludf.DUMMYFUNCTION("""COMPUTED_VALUE"""),"gaga-pepe")</f>
        <v>gaga-pepe</v>
      </c>
      <c r="B5283" s="2" t="str">
        <f ca="1">IFERROR(__xludf.DUMMYFUNCTION("""COMPUTED_VALUE"""),"gaga")</f>
        <v>gaga</v>
      </c>
      <c r="C5283" s="2" t="str">
        <f ca="1">IFERROR(__xludf.DUMMYFUNCTION("""COMPUTED_VALUE"""),"Gaga (Pepe)")</f>
        <v>Gaga (Pepe)</v>
      </c>
    </row>
    <row r="5284" spans="1:3" x14ac:dyDescent="0.25">
      <c r="A5284" s="2" t="str">
        <f ca="1">IFERROR(__xludf.DUMMYFUNCTION("""COMPUTED_VALUE"""),"gagarin")</f>
        <v>gagarin</v>
      </c>
      <c r="B5284" s="2" t="str">
        <f ca="1">IFERROR(__xludf.DUMMYFUNCTION("""COMPUTED_VALUE"""),"ggr")</f>
        <v>ggr</v>
      </c>
      <c r="C5284" s="2" t="str">
        <f ca="1">IFERROR(__xludf.DUMMYFUNCTION("""COMPUTED_VALUE"""),"GAGARIN")</f>
        <v>GAGARIN</v>
      </c>
    </row>
    <row r="5285" spans="1:3" x14ac:dyDescent="0.25">
      <c r="A5285" s="2" t="str">
        <f ca="1">IFERROR(__xludf.DUMMYFUNCTION("""COMPUTED_VALUE"""),"gaia-everworld")</f>
        <v>gaia-everworld</v>
      </c>
      <c r="B5285" s="2" t="str">
        <f ca="1">IFERROR(__xludf.DUMMYFUNCTION("""COMPUTED_VALUE"""),"gaia")</f>
        <v>gaia</v>
      </c>
      <c r="C5285" s="2" t="str">
        <f ca="1">IFERROR(__xludf.DUMMYFUNCTION("""COMPUTED_VALUE"""),"Gaia Everworld")</f>
        <v>Gaia Everworld</v>
      </c>
    </row>
    <row r="5286" spans="1:3" x14ac:dyDescent="0.25">
      <c r="A5286" s="2" t="str">
        <f ca="1">IFERROR(__xludf.DUMMYFUNCTION("""COMPUTED_VALUE"""),"gaimin")</f>
        <v>gaimin</v>
      </c>
      <c r="B5286" s="2" t="str">
        <f ca="1">IFERROR(__xludf.DUMMYFUNCTION("""COMPUTED_VALUE"""),"gmrx")</f>
        <v>gmrx</v>
      </c>
      <c r="C5286" s="2" t="str">
        <f ca="1">IFERROR(__xludf.DUMMYFUNCTION("""COMPUTED_VALUE"""),"Gaimin")</f>
        <v>Gaimin</v>
      </c>
    </row>
    <row r="5287" spans="1:3" x14ac:dyDescent="0.25">
      <c r="A5287" s="2" t="str">
        <f ca="1">IFERROR(__xludf.DUMMYFUNCTION("""COMPUTED_VALUE"""),"gains")</f>
        <v>gains</v>
      </c>
      <c r="B5287" s="2" t="str">
        <f ca="1">IFERROR(__xludf.DUMMYFUNCTION("""COMPUTED_VALUE"""),"gains")</f>
        <v>gains</v>
      </c>
      <c r="C5287" s="2" t="str">
        <f ca="1">IFERROR(__xludf.DUMMYFUNCTION("""COMPUTED_VALUE"""),"Gains")</f>
        <v>Gains</v>
      </c>
    </row>
    <row r="5288" spans="1:3" x14ac:dyDescent="0.25">
      <c r="A5288" s="2" t="str">
        <f ca="1">IFERROR(__xludf.DUMMYFUNCTION("""COMPUTED_VALUE"""),"gains-network")</f>
        <v>gains-network</v>
      </c>
      <c r="B5288" s="2" t="str">
        <f ca="1">IFERROR(__xludf.DUMMYFUNCTION("""COMPUTED_VALUE"""),"gns")</f>
        <v>gns</v>
      </c>
      <c r="C5288" s="2" t="str">
        <f ca="1">IFERROR(__xludf.DUMMYFUNCTION("""COMPUTED_VALUE"""),"Gains Network")</f>
        <v>Gains Network</v>
      </c>
    </row>
    <row r="5289" spans="1:3" x14ac:dyDescent="0.25">
      <c r="A5289" s="2" t="str">
        <f ca="1">IFERROR(__xludf.DUMMYFUNCTION("""COMPUTED_VALUE"""),"gains-network-usdc")</f>
        <v>gains-network-usdc</v>
      </c>
      <c r="B5289" s="2" t="str">
        <f ca="1">IFERROR(__xludf.DUMMYFUNCTION("""COMPUTED_VALUE"""),"gusdc")</f>
        <v>gusdc</v>
      </c>
      <c r="C5289" s="2" t="str">
        <f ca="1">IFERROR(__xludf.DUMMYFUNCTION("""COMPUTED_VALUE"""),"Gains Network USDC")</f>
        <v>Gains Network USDC</v>
      </c>
    </row>
    <row r="5290" spans="1:3" x14ac:dyDescent="0.25">
      <c r="A5290" s="2" t="str">
        <f ca="1">IFERROR(__xludf.DUMMYFUNCTION("""COMPUTED_VALUE"""),"gainspot")</f>
        <v>gainspot</v>
      </c>
      <c r="B5290" s="2" t="str">
        <f ca="1">IFERROR(__xludf.DUMMYFUNCTION("""COMPUTED_VALUE"""),"gain$")</f>
        <v>gain$</v>
      </c>
      <c r="C5290" s="2" t="str">
        <f ca="1">IFERROR(__xludf.DUMMYFUNCTION("""COMPUTED_VALUE"""),"GainSpot")</f>
        <v>GainSpot</v>
      </c>
    </row>
    <row r="5291" spans="1:3" x14ac:dyDescent="0.25">
      <c r="A5291" s="2" t="str">
        <f ca="1">IFERROR(__xludf.DUMMYFUNCTION("""COMPUTED_VALUE"""),"gaj")</f>
        <v>gaj</v>
      </c>
      <c r="B5291" s="2" t="str">
        <f ca="1">IFERROR(__xludf.DUMMYFUNCTION("""COMPUTED_VALUE"""),"gaj")</f>
        <v>gaj</v>
      </c>
      <c r="C5291" s="2" t="str">
        <f ca="1">IFERROR(__xludf.DUMMYFUNCTION("""COMPUTED_VALUE"""),"Gaj Finance")</f>
        <v>Gaj Finance</v>
      </c>
    </row>
    <row r="5292" spans="1:3" x14ac:dyDescent="0.25">
      <c r="A5292" s="2" t="str">
        <f ca="1">IFERROR(__xludf.DUMMYFUNCTION("""COMPUTED_VALUE"""),"gala")</f>
        <v>gala</v>
      </c>
      <c r="B5292" s="2" t="str">
        <f ca="1">IFERROR(__xludf.DUMMYFUNCTION("""COMPUTED_VALUE"""),"gala")</f>
        <v>gala</v>
      </c>
      <c r="C5292" s="2" t="str">
        <f ca="1">IFERROR(__xludf.DUMMYFUNCTION("""COMPUTED_VALUE"""),"GALA")</f>
        <v>GALA</v>
      </c>
    </row>
    <row r="5293" spans="1:3" x14ac:dyDescent="0.25">
      <c r="A5293" s="2" t="str">
        <f ca="1">IFERROR(__xludf.DUMMYFUNCTION("""COMPUTED_VALUE"""),"galactic-arena-the-nftverse")</f>
        <v>galactic-arena-the-nftverse</v>
      </c>
      <c r="B5293" s="2" t="str">
        <f ca="1">IFERROR(__xludf.DUMMYFUNCTION("""COMPUTED_VALUE"""),"gan")</f>
        <v>gan</v>
      </c>
      <c r="C5293" s="2" t="str">
        <f ca="1">IFERROR(__xludf.DUMMYFUNCTION("""COMPUTED_VALUE"""),"Galactic Arena: The NFTverse")</f>
        <v>Galactic Arena: The NFTverse</v>
      </c>
    </row>
    <row r="5294" spans="1:3" x14ac:dyDescent="0.25">
      <c r="A5294" s="2" t="str">
        <f ca="1">IFERROR(__xludf.DUMMYFUNCTION("""COMPUTED_VALUE"""),"gala-music")</f>
        <v>gala-music</v>
      </c>
      <c r="B5294" s="2" t="str">
        <f ca="1">IFERROR(__xludf.DUMMYFUNCTION("""COMPUTED_VALUE"""),"music")</f>
        <v>music</v>
      </c>
      <c r="C5294" s="2" t="str">
        <f ca="1">IFERROR(__xludf.DUMMYFUNCTION("""COMPUTED_VALUE"""),"Gala Music")</f>
        <v>Gala Music</v>
      </c>
    </row>
    <row r="5295" spans="1:3" x14ac:dyDescent="0.25">
      <c r="A5295" s="2" t="str">
        <f ca="1">IFERROR(__xludf.DUMMYFUNCTION("""COMPUTED_VALUE"""),"galatasaray-fan-token")</f>
        <v>galatasaray-fan-token</v>
      </c>
      <c r="B5295" s="2" t="str">
        <f ca="1">IFERROR(__xludf.DUMMYFUNCTION("""COMPUTED_VALUE"""),"gal")</f>
        <v>gal</v>
      </c>
      <c r="C5295" s="2" t="str">
        <f ca="1">IFERROR(__xludf.DUMMYFUNCTION("""COMPUTED_VALUE"""),"Galatasaray Fan Token")</f>
        <v>Galatasaray Fan Token</v>
      </c>
    </row>
    <row r="5296" spans="1:3" x14ac:dyDescent="0.25">
      <c r="A5296" s="2" t="str">
        <f ca="1">IFERROR(__xludf.DUMMYFUNCTION("""COMPUTED_VALUE"""),"galaxia")</f>
        <v>galaxia</v>
      </c>
      <c r="B5296" s="2" t="str">
        <f ca="1">IFERROR(__xludf.DUMMYFUNCTION("""COMPUTED_VALUE"""),"gxa")</f>
        <v>gxa</v>
      </c>
      <c r="C5296" s="2" t="str">
        <f ca="1">IFERROR(__xludf.DUMMYFUNCTION("""COMPUTED_VALUE"""),"Galaxia")</f>
        <v>Galaxia</v>
      </c>
    </row>
    <row r="5297" spans="1:3" x14ac:dyDescent="0.25">
      <c r="A5297" s="2" t="str">
        <f ca="1">IFERROR(__xludf.DUMMYFUNCTION("""COMPUTED_VALUE"""),"galaxiaverse")</f>
        <v>galaxiaverse</v>
      </c>
      <c r="B5297" s="2" t="str">
        <f ca="1">IFERROR(__xludf.DUMMYFUNCTION("""COMPUTED_VALUE"""),"glxia")</f>
        <v>glxia</v>
      </c>
      <c r="C5297" s="2" t="str">
        <f ca="1">IFERROR(__xludf.DUMMYFUNCTION("""COMPUTED_VALUE"""),"GalaxiaVerse")</f>
        <v>GalaxiaVerse</v>
      </c>
    </row>
    <row r="5298" spans="1:3" x14ac:dyDescent="0.25">
      <c r="A5298" s="2" t="str">
        <f ca="1">IFERROR(__xludf.DUMMYFUNCTION("""COMPUTED_VALUE"""),"galaxify")</f>
        <v>galaxify</v>
      </c>
      <c r="B5298" s="2" t="str">
        <f ca="1">IFERROR(__xludf.DUMMYFUNCTION("""COMPUTED_VALUE"""),"glx")</f>
        <v>glx</v>
      </c>
      <c r="C5298" s="2" t="str">
        <f ca="1">IFERROR(__xludf.DUMMYFUNCTION("""COMPUTED_VALUE"""),"Galaxify")</f>
        <v>Galaxify</v>
      </c>
    </row>
    <row r="5299" spans="1:3" x14ac:dyDescent="0.25">
      <c r="A5299" s="2" t="str">
        <f ca="1">IFERROR(__xludf.DUMMYFUNCTION("""COMPUTED_VALUE"""),"galaxis-token")</f>
        <v>galaxis-token</v>
      </c>
      <c r="B5299" s="2" t="str">
        <f ca="1">IFERROR(__xludf.DUMMYFUNCTION("""COMPUTED_VALUE"""),"galaxis")</f>
        <v>galaxis</v>
      </c>
      <c r="C5299" s="2" t="str">
        <f ca="1">IFERROR(__xludf.DUMMYFUNCTION("""COMPUTED_VALUE"""),"GALAXIS Token")</f>
        <v>GALAXIS Token</v>
      </c>
    </row>
    <row r="5300" spans="1:3" x14ac:dyDescent="0.25">
      <c r="A5300" s="2" t="str">
        <f ca="1">IFERROR(__xludf.DUMMYFUNCTION("""COMPUTED_VALUE"""),"galaxycoin")</f>
        <v>galaxycoin</v>
      </c>
      <c r="B5300" s="2" t="str">
        <f ca="1">IFERROR(__xludf.DUMMYFUNCTION("""COMPUTED_VALUE"""),"galaxy")</f>
        <v>galaxy</v>
      </c>
      <c r="C5300" s="2" t="str">
        <f ca="1">IFERROR(__xludf.DUMMYFUNCTION("""COMPUTED_VALUE"""),"GalaxyCoin")</f>
        <v>GalaxyCoin</v>
      </c>
    </row>
    <row r="5301" spans="1:3" x14ac:dyDescent="0.25">
      <c r="A5301" s="2" t="str">
        <f ca="1">IFERROR(__xludf.DUMMYFUNCTION("""COMPUTED_VALUE"""),"galaxy-fight-club")</f>
        <v>galaxy-fight-club</v>
      </c>
      <c r="B5301" s="2" t="str">
        <f ca="1">IFERROR(__xludf.DUMMYFUNCTION("""COMPUTED_VALUE"""),"gcoin")</f>
        <v>gcoin</v>
      </c>
      <c r="C5301" s="2" t="str">
        <f ca="1">IFERROR(__xludf.DUMMYFUNCTION("""COMPUTED_VALUE"""),"Galaxy Fight Club")</f>
        <v>Galaxy Fight Club</v>
      </c>
    </row>
    <row r="5302" spans="1:3" x14ac:dyDescent="0.25">
      <c r="A5302" s="2" t="str">
        <f ca="1">IFERROR(__xludf.DUMMYFUNCTION("""COMPUTED_VALUE"""),"galaxy-fox")</f>
        <v>galaxy-fox</v>
      </c>
      <c r="B5302" s="2" t="str">
        <f ca="1">IFERROR(__xludf.DUMMYFUNCTION("""COMPUTED_VALUE"""),"gfox")</f>
        <v>gfox</v>
      </c>
      <c r="C5302" s="2" t="str">
        <f ca="1">IFERROR(__xludf.DUMMYFUNCTION("""COMPUTED_VALUE"""),"Galaxy Fox")</f>
        <v>Galaxy Fox</v>
      </c>
    </row>
    <row r="5303" spans="1:3" x14ac:dyDescent="0.25">
      <c r="A5303" s="2" t="str">
        <f ca="1">IFERROR(__xludf.DUMMYFUNCTION("""COMPUTED_VALUE"""),"galaxy-war")</f>
        <v>galaxy-war</v>
      </c>
      <c r="B5303" s="2" t="str">
        <f ca="1">IFERROR(__xludf.DUMMYFUNCTION("""COMPUTED_VALUE"""),"gwt")</f>
        <v>gwt</v>
      </c>
      <c r="C5303" s="2" t="str">
        <f ca="1">IFERROR(__xludf.DUMMYFUNCTION("""COMPUTED_VALUE"""),"Galaxy War")</f>
        <v>Galaxy War</v>
      </c>
    </row>
    <row r="5304" spans="1:3" x14ac:dyDescent="0.25">
      <c r="A5304" s="2" t="str">
        <f ca="1">IFERROR(__xludf.DUMMYFUNCTION("""COMPUTED_VALUE"""),"galeon")</f>
        <v>galeon</v>
      </c>
      <c r="B5304" s="2" t="str">
        <f ca="1">IFERROR(__xludf.DUMMYFUNCTION("""COMPUTED_VALUE"""),"galeon")</f>
        <v>galeon</v>
      </c>
      <c r="C5304" s="2" t="str">
        <f ca="1">IFERROR(__xludf.DUMMYFUNCTION("""COMPUTED_VALUE"""),"Galeon")</f>
        <v>Galeon</v>
      </c>
    </row>
    <row r="5305" spans="1:3" x14ac:dyDescent="0.25">
      <c r="A5305" s="2" t="str">
        <f ca="1">IFERROR(__xludf.DUMMYFUNCTION("""COMPUTED_VALUE"""),"galvan")</f>
        <v>galvan</v>
      </c>
      <c r="B5305" s="2" t="str">
        <f ca="1">IFERROR(__xludf.DUMMYFUNCTION("""COMPUTED_VALUE"""),"ize")</f>
        <v>ize</v>
      </c>
      <c r="C5305" s="2" t="str">
        <f ca="1">IFERROR(__xludf.DUMMYFUNCTION("""COMPUTED_VALUE"""),"Galvan")</f>
        <v>Galvan</v>
      </c>
    </row>
    <row r="5306" spans="1:3" x14ac:dyDescent="0.25">
      <c r="A5306" s="2" t="str">
        <f ca="1">IFERROR(__xludf.DUMMYFUNCTION("""COMPUTED_VALUE"""),"gam3s-gg")</f>
        <v>gam3s-gg</v>
      </c>
      <c r="B5306" s="2" t="str">
        <f ca="1">IFERROR(__xludf.DUMMYFUNCTION("""COMPUTED_VALUE"""),"g3")</f>
        <v>g3</v>
      </c>
      <c r="C5306" s="3" t="str">
        <f ca="1">IFERROR(__xludf.DUMMYFUNCTION("""COMPUTED_VALUE"""),"GAM3S.GG")</f>
        <v>GAM3S.GG</v>
      </c>
    </row>
    <row r="5307" spans="1:3" x14ac:dyDescent="0.25">
      <c r="A5307" s="2" t="str">
        <f ca="1">IFERROR(__xludf.DUMMYFUNCTION("""COMPUTED_VALUE"""),"gambex")</f>
        <v>gambex</v>
      </c>
      <c r="B5307" s="2" t="str">
        <f ca="1">IFERROR(__xludf.DUMMYFUNCTION("""COMPUTED_VALUE"""),"gbe")</f>
        <v>gbe</v>
      </c>
      <c r="C5307" s="2" t="str">
        <f ca="1">IFERROR(__xludf.DUMMYFUNCTION("""COMPUTED_VALUE"""),"Gambex")</f>
        <v>Gambex</v>
      </c>
    </row>
    <row r="5308" spans="1:3" x14ac:dyDescent="0.25">
      <c r="A5308" s="2" t="str">
        <f ca="1">IFERROR(__xludf.DUMMYFUNCTION("""COMPUTED_VALUE"""),"gambit-2")</f>
        <v>gambit-2</v>
      </c>
      <c r="B5308" s="2" t="str">
        <f ca="1">IFERROR(__xludf.DUMMYFUNCTION("""COMPUTED_VALUE"""),"gambit")</f>
        <v>gambit</v>
      </c>
      <c r="C5308" s="2" t="str">
        <f ca="1">IFERROR(__xludf.DUMMYFUNCTION("""COMPUTED_VALUE"""),"Gambit")</f>
        <v>Gambit</v>
      </c>
    </row>
    <row r="5309" spans="1:3" x14ac:dyDescent="0.25">
      <c r="A5309" s="2" t="str">
        <f ca="1">IFERROR(__xludf.DUMMYFUNCTION("""COMPUTED_VALUE"""),"gambit-capital")</f>
        <v>gambit-capital</v>
      </c>
      <c r="B5309" s="2" t="str">
        <f ca="1">IFERROR(__xludf.DUMMYFUNCTION("""COMPUTED_VALUE"""),"gambit")</f>
        <v>gambit</v>
      </c>
      <c r="C5309" s="2" t="str">
        <f ca="1">IFERROR(__xludf.DUMMYFUNCTION("""COMPUTED_VALUE"""),"Gambit Capital")</f>
        <v>Gambit Capital</v>
      </c>
    </row>
    <row r="5310" spans="1:3" x14ac:dyDescent="0.25">
      <c r="A5310" s="2" t="str">
        <f ca="1">IFERROR(__xludf.DUMMYFUNCTION("""COMPUTED_VALUE"""),"game")</f>
        <v>game</v>
      </c>
      <c r="B5310" s="2" t="str">
        <f ca="1">IFERROR(__xludf.DUMMYFUNCTION("""COMPUTED_VALUE"""),"gtc")</f>
        <v>gtc</v>
      </c>
      <c r="C5310" s="2" t="str">
        <f ca="1">IFERROR(__xludf.DUMMYFUNCTION("""COMPUTED_VALUE"""),"Game")</f>
        <v>Game</v>
      </c>
    </row>
    <row r="5311" spans="1:3" x14ac:dyDescent="0.25">
      <c r="A5311" s="2" t="str">
        <f ca="1">IFERROR(__xludf.DUMMYFUNCTION("""COMPUTED_VALUE"""),"game-5-ball")</f>
        <v>game-5-ball</v>
      </c>
      <c r="B5311" s="2" t="str">
        <f ca="1">IFERROR(__xludf.DUMMYFUNCTION("""COMPUTED_VALUE"""),"ball")</f>
        <v>ball</v>
      </c>
      <c r="C5311" s="2" t="str">
        <f ca="1">IFERROR(__xludf.DUMMYFUNCTION("""COMPUTED_VALUE"""),"Game 5 BALL")</f>
        <v>Game 5 BALL</v>
      </c>
    </row>
    <row r="5312" spans="1:3" x14ac:dyDescent="0.25">
      <c r="A5312" s="2" t="str">
        <f ca="1">IFERROR(__xludf.DUMMYFUNCTION("""COMPUTED_VALUE"""),"game7")</f>
        <v>game7</v>
      </c>
      <c r="B5312" s="2" t="str">
        <f ca="1">IFERROR(__xludf.DUMMYFUNCTION("""COMPUTED_VALUE"""),"g7")</f>
        <v>g7</v>
      </c>
      <c r="C5312" s="2" t="str">
        <f ca="1">IFERROR(__xludf.DUMMYFUNCTION("""COMPUTED_VALUE"""),"Game7")</f>
        <v>Game7</v>
      </c>
    </row>
    <row r="5313" spans="1:3" x14ac:dyDescent="0.25">
      <c r="A5313" s="2" t="str">
        <f ca="1">IFERROR(__xludf.DUMMYFUNCTION("""COMPUTED_VALUE"""),"gameboy")</f>
        <v>gameboy</v>
      </c>
      <c r="B5313" s="2" t="str">
        <f ca="1">IFERROR(__xludf.DUMMYFUNCTION("""COMPUTED_VALUE"""),"gboy")</f>
        <v>gboy</v>
      </c>
      <c r="C5313" s="2" t="str">
        <f ca="1">IFERROR(__xludf.DUMMYFUNCTION("""COMPUTED_VALUE"""),"GameBoy")</f>
        <v>GameBoy</v>
      </c>
    </row>
    <row r="5314" spans="1:3" x14ac:dyDescent="0.25">
      <c r="A5314" s="2" t="str">
        <f ca="1">IFERROR(__xludf.DUMMYFUNCTION("""COMPUTED_VALUE"""),"gamebuild")</f>
        <v>gamebuild</v>
      </c>
      <c r="B5314" s="2" t="str">
        <f ca="1">IFERROR(__xludf.DUMMYFUNCTION("""COMPUTED_VALUE"""),"game")</f>
        <v>game</v>
      </c>
      <c r="C5314" s="2" t="str">
        <f ca="1">IFERROR(__xludf.DUMMYFUNCTION("""COMPUTED_VALUE"""),"GameBuild")</f>
        <v>GameBuild</v>
      </c>
    </row>
    <row r="5315" spans="1:3" x14ac:dyDescent="0.25">
      <c r="A5315" s="2" t="str">
        <f ca="1">IFERROR(__xludf.DUMMYFUNCTION("""COMPUTED_VALUE"""),"game-changer")</f>
        <v>game-changer</v>
      </c>
      <c r="B5315" s="2" t="str">
        <f ca="1">IFERROR(__xludf.DUMMYFUNCTION("""COMPUTED_VALUE"""),"gach")</f>
        <v>gach</v>
      </c>
      <c r="C5315" s="2" t="str">
        <f ca="1">IFERROR(__xludf.DUMMYFUNCTION("""COMPUTED_VALUE"""),"Game Changer")</f>
        <v>Game Changer</v>
      </c>
    </row>
    <row r="5316" spans="1:3" x14ac:dyDescent="0.25">
      <c r="A5316" s="2" t="str">
        <f ca="1">IFERROR(__xludf.DUMMYFUNCTION("""COMPUTED_VALUE"""),"game-coin")</f>
        <v>game-coin</v>
      </c>
      <c r="B5316" s="2" t="str">
        <f ca="1">IFERROR(__xludf.DUMMYFUNCTION("""COMPUTED_VALUE"""),"gmex")</f>
        <v>gmex</v>
      </c>
      <c r="C5316" s="2" t="str">
        <f ca="1">IFERROR(__xludf.DUMMYFUNCTION("""COMPUTED_VALUE"""),"Game Coin")</f>
        <v>Game Coin</v>
      </c>
    </row>
    <row r="5317" spans="1:3" x14ac:dyDescent="0.25">
      <c r="A5317" s="2" t="str">
        <f ca="1">IFERROR(__xludf.DUMMYFUNCTION("""COMPUTED_VALUE"""),"gamecredits")</f>
        <v>gamecredits</v>
      </c>
      <c r="B5317" s="2" t="str">
        <f ca="1">IFERROR(__xludf.DUMMYFUNCTION("""COMPUTED_VALUE"""),"game")</f>
        <v>game</v>
      </c>
      <c r="C5317" s="2" t="str">
        <f ca="1">IFERROR(__xludf.DUMMYFUNCTION("""COMPUTED_VALUE"""),"GameCredits")</f>
        <v>GameCredits</v>
      </c>
    </row>
    <row r="5318" spans="1:3" x14ac:dyDescent="0.25">
      <c r="A5318" s="2" t="str">
        <f ca="1">IFERROR(__xludf.DUMMYFUNCTION("""COMPUTED_VALUE"""),"gamee")</f>
        <v>gamee</v>
      </c>
      <c r="B5318" s="2" t="str">
        <f ca="1">IFERROR(__xludf.DUMMYFUNCTION("""COMPUTED_VALUE"""),"gmee")</f>
        <v>gmee</v>
      </c>
      <c r="C5318" s="2" t="str">
        <f ca="1">IFERROR(__xludf.DUMMYFUNCTION("""COMPUTED_VALUE"""),"GAMEE")</f>
        <v>GAMEE</v>
      </c>
    </row>
    <row r="5319" spans="1:3" x14ac:dyDescent="0.25">
      <c r="A5319" s="2" t="str">
        <f ca="1">IFERROR(__xludf.DUMMYFUNCTION("""COMPUTED_VALUE"""),"gamefantasystar")</f>
        <v>gamefantasystar</v>
      </c>
      <c r="B5319" s="2" t="str">
        <f ca="1">IFERROR(__xludf.DUMMYFUNCTION("""COMPUTED_VALUE"""),"gfs")</f>
        <v>gfs</v>
      </c>
      <c r="C5319" s="2" t="str">
        <f ca="1">IFERROR(__xludf.DUMMYFUNCTION("""COMPUTED_VALUE"""),"GameFantasyStar")</f>
        <v>GameFantasyStar</v>
      </c>
    </row>
    <row r="5320" spans="1:3" x14ac:dyDescent="0.25">
      <c r="A5320" s="2" t="str">
        <f ca="1">IFERROR(__xludf.DUMMYFUNCTION("""COMPUTED_VALUE"""),"game-fantasy-token")</f>
        <v>game-fantasy-token</v>
      </c>
      <c r="B5320" s="2" t="str">
        <f ca="1">IFERROR(__xludf.DUMMYFUNCTION("""COMPUTED_VALUE"""),"gft")</f>
        <v>gft</v>
      </c>
      <c r="C5320" s="2" t="str">
        <f ca="1">IFERROR(__xludf.DUMMYFUNCTION("""COMPUTED_VALUE"""),"Game Fantasy")</f>
        <v>Game Fantasy</v>
      </c>
    </row>
    <row r="5321" spans="1:3" x14ac:dyDescent="0.25">
      <c r="A5321" s="2" t="str">
        <f ca="1">IFERROR(__xludf.DUMMYFUNCTION("""COMPUTED_VALUE"""),"gamefi")</f>
        <v>gamefi</v>
      </c>
      <c r="B5321" s="2" t="str">
        <f ca="1">IFERROR(__xludf.DUMMYFUNCTION("""COMPUTED_VALUE"""),"gafi")</f>
        <v>gafi</v>
      </c>
      <c r="C5321" s="3" t="str">
        <f ca="1">IFERROR(__xludf.DUMMYFUNCTION("""COMPUTED_VALUE"""),"GameFi.org")</f>
        <v>GameFi.org</v>
      </c>
    </row>
    <row r="5322" spans="1:3" x14ac:dyDescent="0.25">
      <c r="A5322" s="2" t="str">
        <f ca="1">IFERROR(__xludf.DUMMYFUNCTION("""COMPUTED_VALUE"""),"gamefinity")</f>
        <v>gamefinity</v>
      </c>
      <c r="B5322" s="2" t="str">
        <f ca="1">IFERROR(__xludf.DUMMYFUNCTION("""COMPUTED_VALUE"""),"gfn")</f>
        <v>gfn</v>
      </c>
      <c r="C5322" s="2" t="str">
        <f ca="1">IFERROR(__xludf.DUMMYFUNCTION("""COMPUTED_VALUE"""),"GameFinity")</f>
        <v>GameFinity</v>
      </c>
    </row>
    <row r="5323" spans="1:3" x14ac:dyDescent="0.25">
      <c r="A5323" s="2" t="str">
        <f ca="1">IFERROR(__xludf.DUMMYFUNCTION("""COMPUTED_VALUE"""),"gamefi-x")</f>
        <v>gamefi-x</v>
      </c>
      <c r="B5323" s="2" t="str">
        <f ca="1">IFERROR(__xludf.DUMMYFUNCTION("""COMPUTED_VALUE"""),"gfx")</f>
        <v>gfx</v>
      </c>
      <c r="C5323" s="2" t="str">
        <f ca="1">IFERROR(__xludf.DUMMYFUNCTION("""COMPUTED_VALUE"""),"GameFi X")</f>
        <v>GameFi X</v>
      </c>
    </row>
    <row r="5324" spans="1:3" x14ac:dyDescent="0.25">
      <c r="A5324" s="2" t="str">
        <f ca="1">IFERROR(__xludf.DUMMYFUNCTION("""COMPUTED_VALUE"""),"gameflip")</f>
        <v>gameflip</v>
      </c>
      <c r="B5324" s="2" t="str">
        <f ca="1">IFERROR(__xludf.DUMMYFUNCTION("""COMPUTED_VALUE"""),"flp")</f>
        <v>flp</v>
      </c>
      <c r="C5324" s="2" t="str">
        <f ca="1">IFERROR(__xludf.DUMMYFUNCTION("""COMPUTED_VALUE"""),"Gameflip")</f>
        <v>Gameflip</v>
      </c>
    </row>
    <row r="5325" spans="1:3" x14ac:dyDescent="0.25">
      <c r="A5325" s="2" t="str">
        <f ca="1">IFERROR(__xludf.DUMMYFUNCTION("""COMPUTED_VALUE"""),"gamefork")</f>
        <v>gamefork</v>
      </c>
      <c r="B5325" s="2" t="str">
        <f ca="1">IFERROR(__xludf.DUMMYFUNCTION("""COMPUTED_VALUE"""),"gamefork")</f>
        <v>gamefork</v>
      </c>
      <c r="C5325" s="2" t="str">
        <f ca="1">IFERROR(__xludf.DUMMYFUNCTION("""COMPUTED_VALUE"""),"GameFork")</f>
        <v>GameFork</v>
      </c>
    </row>
    <row r="5326" spans="1:3" x14ac:dyDescent="0.25">
      <c r="A5326" s="2" t="str">
        <f ca="1">IFERROR(__xludf.DUMMYFUNCTION("""COMPUTED_VALUE"""),"gamegpt")</f>
        <v>gamegpt</v>
      </c>
      <c r="B5326" s="2" t="str">
        <f ca="1">IFERROR(__xludf.DUMMYFUNCTION("""COMPUTED_VALUE"""),"duel")</f>
        <v>duel</v>
      </c>
      <c r="C5326" s="2" t="str">
        <f ca="1">IFERROR(__xludf.DUMMYFUNCTION("""COMPUTED_VALUE"""),"GameGPT")</f>
        <v>GameGPT</v>
      </c>
    </row>
    <row r="5327" spans="1:3" x14ac:dyDescent="0.25">
      <c r="A5327" s="2" t="str">
        <f ca="1">IFERROR(__xludf.DUMMYFUNCTION("""COMPUTED_VALUE"""),"game-integrated-ai-coin")</f>
        <v>game-integrated-ai-coin</v>
      </c>
      <c r="B5327" s="2" t="str">
        <f ca="1">IFERROR(__xludf.DUMMYFUNCTION("""COMPUTED_VALUE"""),"gai")</f>
        <v>gai</v>
      </c>
      <c r="C5327" s="2" t="str">
        <f ca="1">IFERROR(__xludf.DUMMYFUNCTION("""COMPUTED_VALUE"""),"Game Integrated AI Coin")</f>
        <v>Game Integrated AI Coin</v>
      </c>
    </row>
    <row r="5328" spans="1:3" x14ac:dyDescent="0.25">
      <c r="A5328" s="2" t="str">
        <f ca="1">IFERROR(__xludf.DUMMYFUNCTION("""COMPUTED_VALUE"""),"game-meteor-coin")</f>
        <v>game-meteor-coin</v>
      </c>
      <c r="B5328" s="2" t="str">
        <f ca="1">IFERROR(__xludf.DUMMYFUNCTION("""COMPUTED_VALUE"""),"gmto")</f>
        <v>gmto</v>
      </c>
      <c r="C5328" s="2" t="str">
        <f ca="1">IFERROR(__xludf.DUMMYFUNCTION("""COMPUTED_VALUE"""),"Game Meteor Coin")</f>
        <v>Game Meteor Coin</v>
      </c>
    </row>
    <row r="5329" spans="1:3" x14ac:dyDescent="0.25">
      <c r="A5329" s="2" t="str">
        <f ca="1">IFERROR(__xludf.DUMMYFUNCTION("""COMPUTED_VALUE"""),"game-of-bitcoin-rune")</f>
        <v>game-of-bitcoin-rune</v>
      </c>
      <c r="B5329" s="2" t="str">
        <f ca="1">IFERROR(__xludf.DUMMYFUNCTION("""COMPUTED_VALUE"""),"games")</f>
        <v>games</v>
      </c>
      <c r="C5329" s="2" t="str">
        <f ca="1">IFERROR(__xludf.DUMMYFUNCTION("""COMPUTED_VALUE"""),"GAME•OF•BITCOIN")</f>
        <v>GAME•OF•BITCOIN</v>
      </c>
    </row>
    <row r="5330" spans="1:3" x14ac:dyDescent="0.25">
      <c r="A5330" s="2" t="str">
        <f ca="1">IFERROR(__xludf.DUMMYFUNCTION("""COMPUTED_VALUE"""),"game-of-memes")</f>
        <v>game-of-memes</v>
      </c>
      <c r="B5330" s="2" t="str">
        <f ca="1">IFERROR(__xludf.DUMMYFUNCTION("""COMPUTED_VALUE"""),"gome")</f>
        <v>gome</v>
      </c>
      <c r="C5330" s="2" t="str">
        <f ca="1">IFERROR(__xludf.DUMMYFUNCTION("""COMPUTED_VALUE"""),"Game of Memes")</f>
        <v>Game of Memes</v>
      </c>
    </row>
    <row r="5331" spans="1:3" x14ac:dyDescent="0.25">
      <c r="A5331" s="2" t="str">
        <f ca="1">IFERROR(__xludf.DUMMYFUNCTION("""COMPUTED_VALUE"""),"game-of-memes-eth")</f>
        <v>game-of-memes-eth</v>
      </c>
      <c r="B5331" s="2" t="str">
        <f ca="1">IFERROR(__xludf.DUMMYFUNCTION("""COMPUTED_VALUE"""),"game")</f>
        <v>game</v>
      </c>
      <c r="C5331" s="2" t="str">
        <f ca="1">IFERROR(__xludf.DUMMYFUNCTION("""COMPUTED_VALUE"""),"Game of Memes (ETH)")</f>
        <v>Game of Memes (ETH)</v>
      </c>
    </row>
    <row r="5332" spans="1:3" x14ac:dyDescent="0.25">
      <c r="A5332" s="2" t="str">
        <f ca="1">IFERROR(__xludf.DUMMYFUNCTION("""COMPUTED_VALUE"""),"gameology")</f>
        <v>gameology</v>
      </c>
      <c r="B5332" s="2" t="str">
        <f ca="1">IFERROR(__xludf.DUMMYFUNCTION("""COMPUTED_VALUE"""),"gmy")</f>
        <v>gmy</v>
      </c>
      <c r="C5332" s="2" t="str">
        <f ca="1">IFERROR(__xludf.DUMMYFUNCTION("""COMPUTED_VALUE"""),"Gameology")</f>
        <v>Gameology</v>
      </c>
    </row>
    <row r="5333" spans="1:3" x14ac:dyDescent="0.25">
      <c r="A5333" s="2" t="str">
        <f ca="1">IFERROR(__xludf.DUMMYFUNCTION("""COMPUTED_VALUE"""),"gameonforge")</f>
        <v>gameonforge</v>
      </c>
      <c r="B5333" s="2" t="str">
        <f ca="1">IFERROR(__xludf.DUMMYFUNCTION("""COMPUTED_VALUE"""),"gof")</f>
        <v>gof</v>
      </c>
      <c r="C5333" s="2" t="str">
        <f ca="1">IFERROR(__xludf.DUMMYFUNCTION("""COMPUTED_VALUE"""),"GameonForge")</f>
        <v>GameonForge</v>
      </c>
    </row>
    <row r="5334" spans="1:3" x14ac:dyDescent="0.25">
      <c r="A5334" s="2" t="str">
        <f ca="1">IFERROR(__xludf.DUMMYFUNCTION("""COMPUTED_VALUE"""),"gamepass")</f>
        <v>gamepass</v>
      </c>
      <c r="B5334" s="2" t="str">
        <f ca="1">IFERROR(__xludf.DUMMYFUNCTION("""COMPUTED_VALUE"""),"gpn")</f>
        <v>gpn</v>
      </c>
      <c r="C5334" s="2" t="str">
        <f ca="1">IFERROR(__xludf.DUMMYFUNCTION("""COMPUTED_VALUE"""),"Gamepass")</f>
        <v>Gamepass</v>
      </c>
    </row>
    <row r="5335" spans="1:3" x14ac:dyDescent="0.25">
      <c r="A5335" s="2" t="str">
        <f ca="1">IFERROR(__xludf.DUMMYFUNCTION("""COMPUTED_VALUE"""),"gamepass-network")</f>
        <v>gamepass-network</v>
      </c>
      <c r="B5335" s="2" t="str">
        <f ca="1">IFERROR(__xludf.DUMMYFUNCTION("""COMPUTED_VALUE"""),"gpn")</f>
        <v>gpn</v>
      </c>
      <c r="C5335" s="2" t="str">
        <f ca="1">IFERROR(__xludf.DUMMYFUNCTION("""COMPUTED_VALUE"""),"GamePass Network")</f>
        <v>GamePass Network</v>
      </c>
    </row>
    <row r="5336" spans="1:3" x14ac:dyDescent="0.25">
      <c r="A5336" s="2" t="str">
        <f ca="1">IFERROR(__xludf.DUMMYFUNCTION("""COMPUTED_VALUE"""),"gameplan")</f>
        <v>gameplan</v>
      </c>
      <c r="B5336" s="2" t="str">
        <f ca="1">IFERROR(__xludf.DUMMYFUNCTION("""COMPUTED_VALUE"""),"gplan")</f>
        <v>gplan</v>
      </c>
      <c r="C5336" s="2" t="str">
        <f ca="1">IFERROR(__xludf.DUMMYFUNCTION("""COMPUTED_VALUE"""),"Gameplan")</f>
        <v>Gameplan</v>
      </c>
    </row>
    <row r="5337" spans="1:3" x14ac:dyDescent="0.25">
      <c r="A5337" s="2" t="str">
        <f ca="1">IFERROR(__xludf.DUMMYFUNCTION("""COMPUTED_VALUE"""),"gamer")</f>
        <v>gamer</v>
      </c>
      <c r="B5337" s="2" t="str">
        <f ca="1">IFERROR(__xludf.DUMMYFUNCTION("""COMPUTED_VALUE"""),"gmr")</f>
        <v>gmr</v>
      </c>
      <c r="C5337" s="2" t="str">
        <f ca="1">IFERROR(__xludf.DUMMYFUNCTION("""COMPUTED_VALUE"""),"GAMER")</f>
        <v>GAMER</v>
      </c>
    </row>
    <row r="5338" spans="1:3" x14ac:dyDescent="0.25">
      <c r="A5338" s="2" t="str">
        <f ca="1">IFERROR(__xludf.DUMMYFUNCTION("""COMPUTED_VALUE"""),"gamer-arena")</f>
        <v>gamer-arena</v>
      </c>
      <c r="B5338" s="2" t="str">
        <f ca="1">IFERROR(__xludf.DUMMYFUNCTION("""COMPUTED_VALUE"""),"gau")</f>
        <v>gau</v>
      </c>
      <c r="C5338" s="2" t="str">
        <f ca="1">IFERROR(__xludf.DUMMYFUNCTION("""COMPUTED_VALUE"""),"Gamer Arena")</f>
        <v>Gamer Arena</v>
      </c>
    </row>
    <row r="5339" spans="1:3" x14ac:dyDescent="0.25">
      <c r="A5339" s="2" t="str">
        <f ca="1">IFERROR(__xludf.DUMMYFUNCTION("""COMPUTED_VALUE"""),"gamercoin")</f>
        <v>gamercoin</v>
      </c>
      <c r="B5339" s="2" t="str">
        <f ca="1">IFERROR(__xludf.DUMMYFUNCTION("""COMPUTED_VALUE"""),"ghx")</f>
        <v>ghx</v>
      </c>
      <c r="C5339" s="2" t="str">
        <f ca="1">IFERROR(__xludf.DUMMYFUNCTION("""COMPUTED_VALUE"""),"GamerCoin")</f>
        <v>GamerCoin</v>
      </c>
    </row>
    <row r="5340" spans="1:3" x14ac:dyDescent="0.25">
      <c r="A5340" s="2" t="str">
        <f ca="1">IFERROR(__xludf.DUMMYFUNCTION("""COMPUTED_VALUE"""),"gamereum")</f>
        <v>gamereum</v>
      </c>
      <c r="B5340" s="2" t="str">
        <f ca="1">IFERROR(__xludf.DUMMYFUNCTION("""COMPUTED_VALUE"""),"game")</f>
        <v>game</v>
      </c>
      <c r="C5340" s="2" t="str">
        <f ca="1">IFERROR(__xludf.DUMMYFUNCTION("""COMPUTED_VALUE"""),"Gamereum")</f>
        <v>Gamereum</v>
      </c>
    </row>
    <row r="5341" spans="1:3" x14ac:dyDescent="0.25">
      <c r="A5341" s="2" t="str">
        <f ca="1">IFERROR(__xludf.DUMMYFUNCTION("""COMPUTED_VALUE"""),"gamerse")</f>
        <v>gamerse</v>
      </c>
      <c r="B5341" s="2" t="str">
        <f ca="1">IFERROR(__xludf.DUMMYFUNCTION("""COMPUTED_VALUE"""),"lfg")</f>
        <v>lfg</v>
      </c>
      <c r="C5341" s="2" t="str">
        <f ca="1">IFERROR(__xludf.DUMMYFUNCTION("""COMPUTED_VALUE"""),"Gamerse")</f>
        <v>Gamerse</v>
      </c>
    </row>
    <row r="5342" spans="1:3" x14ac:dyDescent="0.25">
      <c r="A5342" s="2" t="str">
        <f ca="1">IFERROR(__xludf.DUMMYFUNCTION("""COMPUTED_VALUE"""),"gamescoin")</f>
        <v>gamescoin</v>
      </c>
      <c r="B5342" s="2" t="str">
        <f ca="1">IFERROR(__xludf.DUMMYFUNCTION("""COMPUTED_VALUE"""),"gc")</f>
        <v>gc</v>
      </c>
      <c r="C5342" s="2" t="str">
        <f ca="1">IFERROR(__xludf.DUMMYFUNCTION("""COMPUTED_VALUE"""),"GamesCoin")</f>
        <v>GamesCoin</v>
      </c>
    </row>
    <row r="5343" spans="1:3" x14ac:dyDescent="0.25">
      <c r="A5343" s="2" t="str">
        <f ca="1">IFERROR(__xludf.DUMMYFUNCTION("""COMPUTED_VALUE"""),"games-for-a-living")</f>
        <v>games-for-a-living</v>
      </c>
      <c r="B5343" s="2" t="str">
        <f ca="1">IFERROR(__xludf.DUMMYFUNCTION("""COMPUTED_VALUE"""),"gfal")</f>
        <v>gfal</v>
      </c>
      <c r="C5343" s="2" t="str">
        <f ca="1">IFERROR(__xludf.DUMMYFUNCTION("""COMPUTED_VALUE"""),"Games for a Living")</f>
        <v>Games for a Living</v>
      </c>
    </row>
    <row r="5344" spans="1:3" x14ac:dyDescent="0.25">
      <c r="A5344" s="2" t="str">
        <f ca="1">IFERROR(__xludf.DUMMYFUNCTION("""COMPUTED_VALUE"""),"gamespad")</f>
        <v>gamespad</v>
      </c>
      <c r="B5344" s="2" t="str">
        <f ca="1">IFERROR(__xludf.DUMMYFUNCTION("""COMPUTED_VALUE"""),"gmpd")</f>
        <v>gmpd</v>
      </c>
      <c r="C5344" s="2" t="str">
        <f ca="1">IFERROR(__xludf.DUMMYFUNCTION("""COMPUTED_VALUE"""),"GamesPad")</f>
        <v>GamesPad</v>
      </c>
    </row>
    <row r="5345" spans="1:3" x14ac:dyDescent="0.25">
      <c r="A5345" s="2" t="str">
        <f ca="1">IFERROR(__xludf.DUMMYFUNCTION("""COMPUTED_VALUE"""),"gamestarter")</f>
        <v>gamestarter</v>
      </c>
      <c r="B5345" s="2" t="str">
        <f ca="1">IFERROR(__xludf.DUMMYFUNCTION("""COMPUTED_VALUE"""),"game")</f>
        <v>game</v>
      </c>
      <c r="C5345" s="2" t="str">
        <f ca="1">IFERROR(__xludf.DUMMYFUNCTION("""COMPUTED_VALUE"""),"Gamestarter")</f>
        <v>Gamestarter</v>
      </c>
    </row>
    <row r="5346" spans="1:3" x14ac:dyDescent="0.25">
      <c r="A5346" s="2" t="str">
        <f ca="1">IFERROR(__xludf.DUMMYFUNCTION("""COMPUTED_VALUE"""),"gamestation")</f>
        <v>gamestation</v>
      </c>
      <c r="B5346" s="2" t="str">
        <f ca="1">IFERROR(__xludf.DUMMYFUNCTION("""COMPUTED_VALUE"""),"gamer")</f>
        <v>gamer</v>
      </c>
      <c r="C5346" s="2" t="str">
        <f ca="1">IFERROR(__xludf.DUMMYFUNCTION("""COMPUTED_VALUE"""),"GameStation")</f>
        <v>GameStation</v>
      </c>
    </row>
    <row r="5347" spans="1:3" x14ac:dyDescent="0.25">
      <c r="A5347" s="2" t="str">
        <f ca="1">IFERROR(__xludf.DUMMYFUNCTION("""COMPUTED_VALUE"""),"game-stop")</f>
        <v>game-stop</v>
      </c>
      <c r="B5347" s="2" t="str">
        <f ca="1">IFERROR(__xludf.DUMMYFUNCTION("""COMPUTED_VALUE"""),"gme")</f>
        <v>gme</v>
      </c>
      <c r="C5347" s="2" t="str">
        <f ca="1">IFERROR(__xludf.DUMMYFUNCTION("""COMPUTED_VALUE"""),"GME (Ethereum)")</f>
        <v>GME (Ethereum)</v>
      </c>
    </row>
    <row r="5348" spans="1:3" x14ac:dyDescent="0.25">
      <c r="A5348" s="2" t="str">
        <f ca="1">IFERROR(__xludf.DUMMYFUNCTION("""COMPUTED_VALUE"""),"gamestop-2")</f>
        <v>gamestop-2</v>
      </c>
      <c r="B5348" s="2" t="str">
        <f ca="1">IFERROR(__xludf.DUMMYFUNCTION("""COMPUTED_VALUE"""),"gme")</f>
        <v>gme</v>
      </c>
      <c r="C5348" s="2" t="str">
        <f ca="1">IFERROR(__xludf.DUMMYFUNCTION("""COMPUTED_VALUE"""),"GME (Base)")</f>
        <v>GME (Base)</v>
      </c>
    </row>
    <row r="5349" spans="1:3" x14ac:dyDescent="0.25">
      <c r="A5349" s="2" t="str">
        <f ca="1">IFERROR(__xludf.DUMMYFUNCTION("""COMPUTED_VALUE"""),"gamestop-tokenized-stock-defichain")</f>
        <v>gamestop-tokenized-stock-defichain</v>
      </c>
      <c r="B5349" s="2" t="str">
        <f ca="1">IFERROR(__xludf.DUMMYFUNCTION("""COMPUTED_VALUE"""),"dgme")</f>
        <v>dgme</v>
      </c>
      <c r="C5349" s="2" t="str">
        <f ca="1">IFERROR(__xludf.DUMMYFUNCTION("""COMPUTED_VALUE"""),"GameStop Tokenized Stock Defichain")</f>
        <v>GameStop Tokenized Stock Defichain</v>
      </c>
    </row>
    <row r="5350" spans="1:3" x14ac:dyDescent="0.25">
      <c r="A5350" s="2" t="str">
        <f ca="1">IFERROR(__xludf.DUMMYFUNCTION("""COMPUTED_VALUE"""),"gameswap-org")</f>
        <v>gameswap-org</v>
      </c>
      <c r="B5350" s="2" t="str">
        <f ca="1">IFERROR(__xludf.DUMMYFUNCTION("""COMPUTED_VALUE"""),"gswap")</f>
        <v>gswap</v>
      </c>
      <c r="C5350" s="2" t="str">
        <f ca="1">IFERROR(__xludf.DUMMYFUNCTION("""COMPUTED_VALUE"""),"Gameswap")</f>
        <v>Gameswap</v>
      </c>
    </row>
    <row r="5351" spans="1:3" x14ac:dyDescent="0.25">
      <c r="A5351" s="2" t="str">
        <f ca="1">IFERROR(__xludf.DUMMYFUNCTION("""COMPUTED_VALUE"""),"gameswift")</f>
        <v>gameswift</v>
      </c>
      <c r="B5351" s="2" t="str">
        <f ca="1">IFERROR(__xludf.DUMMYFUNCTION("""COMPUTED_VALUE"""),"gswift")</f>
        <v>gswift</v>
      </c>
      <c r="C5351" s="2" t="str">
        <f ca="1">IFERROR(__xludf.DUMMYFUNCTION("""COMPUTED_VALUE"""),"GameSwift")</f>
        <v>GameSwift</v>
      </c>
    </row>
    <row r="5352" spans="1:3" x14ac:dyDescent="0.25">
      <c r="A5352" s="2" t="str">
        <f ca="1">IFERROR(__xludf.DUMMYFUNCTION("""COMPUTED_VALUE"""),"gameta")</f>
        <v>gameta</v>
      </c>
      <c r="B5352" s="2" t="str">
        <f ca="1">IFERROR(__xludf.DUMMYFUNCTION("""COMPUTED_VALUE"""),"hip")</f>
        <v>hip</v>
      </c>
      <c r="C5352" s="2" t="str">
        <f ca="1">IFERROR(__xludf.DUMMYFUNCTION("""COMPUTED_VALUE"""),"Gameta")</f>
        <v>Gameta</v>
      </c>
    </row>
    <row r="5353" spans="1:3" x14ac:dyDescent="0.25">
      <c r="A5353" s="2" t="str">
        <f ca="1">IFERROR(__xludf.DUMMYFUNCTION("""COMPUTED_VALUE"""),"game-tournament-trophy")</f>
        <v>game-tournament-trophy</v>
      </c>
      <c r="B5353" s="2" t="str">
        <f ca="1">IFERROR(__xludf.DUMMYFUNCTION("""COMPUTED_VALUE"""),"gtt")</f>
        <v>gtt</v>
      </c>
      <c r="C5353" s="2" t="str">
        <f ca="1">IFERROR(__xludf.DUMMYFUNCTION("""COMPUTED_VALUE"""),"Game Tournament Trophy")</f>
        <v>Game Tournament Trophy</v>
      </c>
    </row>
    <row r="5354" spans="1:3" x14ac:dyDescent="0.25">
      <c r="A5354" s="2" t="str">
        <f ca="1">IFERROR(__xludf.DUMMYFUNCTION("""COMPUTED_VALUE"""),"game-tree")</f>
        <v>game-tree</v>
      </c>
      <c r="B5354" s="2" t="str">
        <f ca="1">IFERROR(__xludf.DUMMYFUNCTION("""COMPUTED_VALUE"""),"gtcoin")</f>
        <v>gtcoin</v>
      </c>
      <c r="C5354" s="2" t="str">
        <f ca="1">IFERROR(__xludf.DUMMYFUNCTION("""COMPUTED_VALUE"""),"Game Tree")</f>
        <v>Game Tree</v>
      </c>
    </row>
    <row r="5355" spans="1:3" x14ac:dyDescent="0.25">
      <c r="A5355" s="2" t="str">
        <f ca="1">IFERROR(__xludf.DUMMYFUNCTION("""COMPUTED_VALUE"""),"gamex-2")</f>
        <v>gamex-2</v>
      </c>
      <c r="B5355" s="2" t="str">
        <f ca="1">IFERROR(__xludf.DUMMYFUNCTION("""COMPUTED_VALUE"""),"gg")</f>
        <v>gg</v>
      </c>
      <c r="C5355" s="2" t="str">
        <f ca="1">IFERROR(__xludf.DUMMYFUNCTION("""COMPUTED_VALUE"""),"GameX")</f>
        <v>GameX</v>
      </c>
    </row>
    <row r="5356" spans="1:3" x14ac:dyDescent="0.25">
      <c r="A5356" s="2" t="str">
        <f ca="1">IFERROR(__xludf.DUMMYFUNCTION("""COMPUTED_VALUE"""),"gamezone")</f>
        <v>gamezone</v>
      </c>
      <c r="B5356" s="2" t="str">
        <f ca="1">IFERROR(__xludf.DUMMYFUNCTION("""COMPUTED_VALUE"""),"gzone")</f>
        <v>gzone</v>
      </c>
      <c r="C5356" s="2" t="str">
        <f ca="1">IFERROR(__xludf.DUMMYFUNCTION("""COMPUTED_VALUE"""),"GameZone")</f>
        <v>GameZone</v>
      </c>
    </row>
    <row r="5357" spans="1:3" x14ac:dyDescent="0.25">
      <c r="A5357" s="2" t="str">
        <f ca="1">IFERROR(__xludf.DUMMYFUNCTION("""COMPUTED_VALUE"""),"gami")</f>
        <v>gami</v>
      </c>
      <c r="B5357" s="2" t="str">
        <f ca="1">IFERROR(__xludf.DUMMYFUNCTION("""COMPUTED_VALUE"""),"gami")</f>
        <v>gami</v>
      </c>
      <c r="C5357" s="2" t="str">
        <f ca="1">IFERROR(__xludf.DUMMYFUNCTION("""COMPUTED_VALUE"""),"Gami")</f>
        <v>Gami</v>
      </c>
    </row>
    <row r="5358" spans="1:3" x14ac:dyDescent="0.25">
      <c r="A5358" s="2" t="str">
        <f ca="1">IFERROR(__xludf.DUMMYFUNCTION("""COMPUTED_VALUE"""),"gamia")</f>
        <v>gamia</v>
      </c>
      <c r="B5358" s="2" t="str">
        <f ca="1">IFERROR(__xludf.DUMMYFUNCTION("""COMPUTED_VALUE"""),"gia")</f>
        <v>gia</v>
      </c>
      <c r="C5358" s="2" t="str">
        <f ca="1">IFERROR(__xludf.DUMMYFUNCTION("""COMPUTED_VALUE"""),"Gamia")</f>
        <v>Gamia</v>
      </c>
    </row>
    <row r="5359" spans="1:3" x14ac:dyDescent="0.25">
      <c r="A5359" s="2" t="str">
        <f ca="1">IFERROR(__xludf.DUMMYFUNCTION("""COMPUTED_VALUE"""),"gaming-stars-2")</f>
        <v>gaming-stars-2</v>
      </c>
      <c r="B5359" s="2" t="str">
        <f ca="1">IFERROR(__xludf.DUMMYFUNCTION("""COMPUTED_VALUE"""),"games")</f>
        <v>games</v>
      </c>
      <c r="C5359" s="2" t="str">
        <f ca="1">IFERROR(__xludf.DUMMYFUNCTION("""COMPUTED_VALUE"""),"Gaming Stars")</f>
        <v>Gaming Stars</v>
      </c>
    </row>
    <row r="5360" spans="1:3" x14ac:dyDescent="0.25">
      <c r="A5360" s="2" t="str">
        <f ca="1">IFERROR(__xludf.DUMMYFUNCTION("""COMPUTED_VALUE"""),"gamium")</f>
        <v>gamium</v>
      </c>
      <c r="B5360" s="2" t="str">
        <f ca="1">IFERROR(__xludf.DUMMYFUNCTION("""COMPUTED_VALUE"""),"gmm")</f>
        <v>gmm</v>
      </c>
      <c r="C5360" s="2" t="str">
        <f ca="1">IFERROR(__xludf.DUMMYFUNCTION("""COMPUTED_VALUE"""),"Gamium")</f>
        <v>Gamium</v>
      </c>
    </row>
    <row r="5361" spans="1:3" x14ac:dyDescent="0.25">
      <c r="A5361" s="2" t="str">
        <f ca="1">IFERROR(__xludf.DUMMYFUNCTION("""COMPUTED_VALUE"""),"gami-world")</f>
        <v>gami-world</v>
      </c>
      <c r="B5361" s="2" t="str">
        <f ca="1">IFERROR(__xludf.DUMMYFUNCTION("""COMPUTED_VALUE"""),"gami")</f>
        <v>gami</v>
      </c>
      <c r="C5361" s="2" t="str">
        <f ca="1">IFERROR(__xludf.DUMMYFUNCTION("""COMPUTED_VALUE"""),"GAMI WORLD")</f>
        <v>GAMI WORLD</v>
      </c>
    </row>
    <row r="5362" spans="1:3" x14ac:dyDescent="0.25">
      <c r="A5362" s="2" t="str">
        <f ca="1">IFERROR(__xludf.DUMMYFUNCTION("""COMPUTED_VALUE"""),"gamma-strategies")</f>
        <v>gamma-strategies</v>
      </c>
      <c r="B5362" s="2" t="str">
        <f ca="1">IFERROR(__xludf.DUMMYFUNCTION("""COMPUTED_VALUE"""),"gamma")</f>
        <v>gamma</v>
      </c>
      <c r="C5362" s="2" t="str">
        <f ca="1">IFERROR(__xludf.DUMMYFUNCTION("""COMPUTED_VALUE"""),"Gamma Strategies")</f>
        <v>Gamma Strategies</v>
      </c>
    </row>
    <row r="5363" spans="1:3" x14ac:dyDescent="0.25">
      <c r="A5363" s="2" t="str">
        <f ca="1">IFERROR(__xludf.DUMMYFUNCTION("""COMPUTED_VALUE"""),"gammaswap")</f>
        <v>gammaswap</v>
      </c>
      <c r="B5363" s="2" t="str">
        <f ca="1">IFERROR(__xludf.DUMMYFUNCTION("""COMPUTED_VALUE"""),"gs")</f>
        <v>gs</v>
      </c>
      <c r="C5363" s="2" t="str">
        <f ca="1">IFERROR(__xludf.DUMMYFUNCTION("""COMPUTED_VALUE"""),"GammaSwap")</f>
        <v>GammaSwap</v>
      </c>
    </row>
    <row r="5364" spans="1:3" x14ac:dyDescent="0.25">
      <c r="A5364" s="2" t="str">
        <f ca="1">IFERROR(__xludf.DUMMYFUNCTION("""COMPUTED_VALUE"""),"gamyfi-token")</f>
        <v>gamyfi-token</v>
      </c>
      <c r="B5364" s="2" t="str">
        <f ca="1">IFERROR(__xludf.DUMMYFUNCTION("""COMPUTED_VALUE"""),"gfx")</f>
        <v>gfx</v>
      </c>
      <c r="C5364" s="2" t="str">
        <f ca="1">IFERROR(__xludf.DUMMYFUNCTION("""COMPUTED_VALUE"""),"GamyFi")</f>
        <v>GamyFi</v>
      </c>
    </row>
    <row r="5365" spans="1:3" x14ac:dyDescent="0.25">
      <c r="A5365" s="2" t="str">
        <f ca="1">IFERROR(__xludf.DUMMYFUNCTION("""COMPUTED_VALUE"""),"gannamcat")</f>
        <v>gannamcat</v>
      </c>
      <c r="B5365" s="2" t="str">
        <f ca="1">IFERROR(__xludf.DUMMYFUNCTION("""COMPUTED_VALUE"""),"gncat")</f>
        <v>gncat</v>
      </c>
      <c r="C5365" s="2" t="str">
        <f ca="1">IFERROR(__xludf.DUMMYFUNCTION("""COMPUTED_VALUE"""),"GanNamCAT")</f>
        <v>GanNamCAT</v>
      </c>
    </row>
    <row r="5366" spans="1:3" x14ac:dyDescent="0.25">
      <c r="A5366" s="2" t="str">
        <f ca="1">IFERROR(__xludf.DUMMYFUNCTION("""COMPUTED_VALUE"""),"gapcoin")</f>
        <v>gapcoin</v>
      </c>
      <c r="B5366" s="2" t="str">
        <f ca="1">IFERROR(__xludf.DUMMYFUNCTION("""COMPUTED_VALUE"""),"gap")</f>
        <v>gap</v>
      </c>
      <c r="C5366" s="2" t="str">
        <f ca="1">IFERROR(__xludf.DUMMYFUNCTION("""COMPUTED_VALUE"""),"Gapcoin")</f>
        <v>Gapcoin</v>
      </c>
    </row>
    <row r="5367" spans="1:3" x14ac:dyDescent="0.25">
      <c r="A5367" s="2" t="str">
        <f ca="1">IFERROR(__xludf.DUMMYFUNCTION("""COMPUTED_VALUE"""),"garbage")</f>
        <v>garbage</v>
      </c>
      <c r="B5367" s="2" t="str">
        <f ca="1">IFERROR(__xludf.DUMMYFUNCTION("""COMPUTED_VALUE"""),"garbage")</f>
        <v>garbage</v>
      </c>
      <c r="C5367" s="2" t="str">
        <f ca="1">IFERROR(__xludf.DUMMYFUNCTION("""COMPUTED_VALUE"""),"Garbage")</f>
        <v>Garbage</v>
      </c>
    </row>
    <row r="5368" spans="1:3" x14ac:dyDescent="0.25">
      <c r="A5368" s="2" t="str">
        <f ca="1">IFERROR(__xludf.DUMMYFUNCTION("""COMPUTED_VALUE"""),"garden-2")</f>
        <v>garden-2</v>
      </c>
      <c r="B5368" s="2" t="str">
        <f ca="1">IFERROR(__xludf.DUMMYFUNCTION("""COMPUTED_VALUE"""),"seed")</f>
        <v>seed</v>
      </c>
      <c r="C5368" s="2" t="str">
        <f ca="1">IFERROR(__xludf.DUMMYFUNCTION("""COMPUTED_VALUE"""),"Garden")</f>
        <v>Garden</v>
      </c>
    </row>
    <row r="5369" spans="1:3" x14ac:dyDescent="0.25">
      <c r="A5369" s="2" t="str">
        <f ca="1">IFERROR(__xludf.DUMMYFUNCTION("""COMPUTED_VALUE"""),"garffeldo")</f>
        <v>garffeldo</v>
      </c>
      <c r="B5369" s="2" t="str">
        <f ca="1">IFERROR(__xludf.DUMMYFUNCTION("""COMPUTED_VALUE"""),"lasagna")</f>
        <v>lasagna</v>
      </c>
      <c r="C5369" s="2" t="str">
        <f ca="1">IFERROR(__xludf.DUMMYFUNCTION("""COMPUTED_VALUE"""),"Garffeldo")</f>
        <v>Garffeldo</v>
      </c>
    </row>
    <row r="5370" spans="1:3" x14ac:dyDescent="0.25">
      <c r="A5370" s="2" t="str">
        <f ca="1">IFERROR(__xludf.DUMMYFUNCTION("""COMPUTED_VALUE"""),"garfi")</f>
        <v>garfi</v>
      </c>
      <c r="B5370" s="2" t="str">
        <f ca="1">IFERROR(__xludf.DUMMYFUNCTION("""COMPUTED_VALUE"""),"garfi")</f>
        <v>garfi</v>
      </c>
      <c r="C5370" s="2" t="str">
        <f ca="1">IFERROR(__xludf.DUMMYFUNCTION("""COMPUTED_VALUE"""),"GARFI")</f>
        <v>GARFI</v>
      </c>
    </row>
    <row r="5371" spans="1:3" x14ac:dyDescent="0.25">
      <c r="A5371" s="2" t="str">
        <f ca="1">IFERROR(__xludf.DUMMYFUNCTION("""COMPUTED_VALUE"""),"gari-network")</f>
        <v>gari-network</v>
      </c>
      <c r="B5371" s="2" t="str">
        <f ca="1">IFERROR(__xludf.DUMMYFUNCTION("""COMPUTED_VALUE"""),"gari")</f>
        <v>gari</v>
      </c>
      <c r="C5371" s="2" t="str">
        <f ca="1">IFERROR(__xludf.DUMMYFUNCTION("""COMPUTED_VALUE"""),"Gari Network")</f>
        <v>Gari Network</v>
      </c>
    </row>
    <row r="5372" spans="1:3" x14ac:dyDescent="0.25">
      <c r="A5372" s="2" t="str">
        <f ca="1">IFERROR(__xludf.DUMMYFUNCTION("""COMPUTED_VALUE"""),"garlicoin")</f>
        <v>garlicoin</v>
      </c>
      <c r="B5372" s="2" t="str">
        <f ca="1">IFERROR(__xludf.DUMMYFUNCTION("""COMPUTED_VALUE"""),"grlc")</f>
        <v>grlc</v>
      </c>
      <c r="C5372" s="2" t="str">
        <f ca="1">IFERROR(__xludf.DUMMYFUNCTION("""COMPUTED_VALUE"""),"Garlicoin")</f>
        <v>Garlicoin</v>
      </c>
    </row>
    <row r="5373" spans="1:3" x14ac:dyDescent="0.25">
      <c r="A5373" s="2" t="str">
        <f ca="1">IFERROR(__xludf.DUMMYFUNCTION("""COMPUTED_VALUE"""),"gary")</f>
        <v>gary</v>
      </c>
      <c r="B5373" s="2" t="str">
        <f ca="1">IFERROR(__xludf.DUMMYFUNCTION("""COMPUTED_VALUE"""),"gary")</f>
        <v>gary</v>
      </c>
      <c r="C5373" s="2" t="str">
        <f ca="1">IFERROR(__xludf.DUMMYFUNCTION("""COMPUTED_VALUE"""),"Gary")</f>
        <v>Gary</v>
      </c>
    </row>
    <row r="5374" spans="1:3" x14ac:dyDescent="0.25">
      <c r="A5374" s="2" t="str">
        <f ca="1">IFERROR(__xludf.DUMMYFUNCTION("""COMPUTED_VALUE"""),"gas")</f>
        <v>gas</v>
      </c>
      <c r="B5374" s="2" t="str">
        <f ca="1">IFERROR(__xludf.DUMMYFUNCTION("""COMPUTED_VALUE"""),"gas")</f>
        <v>gas</v>
      </c>
      <c r="C5374" s="2" t="str">
        <f ca="1">IFERROR(__xludf.DUMMYFUNCTION("""COMPUTED_VALUE"""),"Gas")</f>
        <v>Gas</v>
      </c>
    </row>
    <row r="5375" spans="1:3" x14ac:dyDescent="0.25">
      <c r="A5375" s="2" t="str">
        <f ca="1">IFERROR(__xludf.DUMMYFUNCTION("""COMPUTED_VALUE"""),"gaschameleon")</f>
        <v>gaschameleon</v>
      </c>
      <c r="B5375" s="2" t="str">
        <f ca="1">IFERROR(__xludf.DUMMYFUNCTION("""COMPUTED_VALUE"""),"gasc")</f>
        <v>gasc</v>
      </c>
      <c r="C5375" s="2" t="str">
        <f ca="1">IFERROR(__xludf.DUMMYFUNCTION("""COMPUTED_VALUE"""),"GasChameleon")</f>
        <v>GasChameleon</v>
      </c>
    </row>
    <row r="5376" spans="1:3" x14ac:dyDescent="0.25">
      <c r="A5376" s="2" t="str">
        <f ca="1">IFERROR(__xludf.DUMMYFUNCTION("""COMPUTED_VALUE"""),"gas-dao")</f>
        <v>gas-dao</v>
      </c>
      <c r="B5376" s="2" t="str">
        <f ca="1">IFERROR(__xludf.DUMMYFUNCTION("""COMPUTED_VALUE"""),"gas")</f>
        <v>gas</v>
      </c>
      <c r="C5376" s="2" t="str">
        <f ca="1">IFERROR(__xludf.DUMMYFUNCTION("""COMPUTED_VALUE"""),"Gas DAO")</f>
        <v>Gas DAO</v>
      </c>
    </row>
    <row r="5377" spans="1:3" x14ac:dyDescent="0.25">
      <c r="A5377" s="2" t="str">
        <f ca="1">IFERROR(__xludf.DUMMYFUNCTION("""COMPUTED_VALUE"""),"gasify-ai")</f>
        <v>gasify-ai</v>
      </c>
      <c r="B5377" s="2" t="str">
        <f ca="1">IFERROR(__xludf.DUMMYFUNCTION("""COMPUTED_VALUE"""),"gsfy")</f>
        <v>gsfy</v>
      </c>
      <c r="C5377" s="2" t="str">
        <f ca="1">IFERROR(__xludf.DUMMYFUNCTION("""COMPUTED_VALUE"""),"Gasify AI")</f>
        <v>Gasify AI</v>
      </c>
    </row>
    <row r="5378" spans="1:3" x14ac:dyDescent="0.25">
      <c r="A5378" s="2" t="str">
        <f ca="1">IFERROR(__xludf.DUMMYFUNCTION("""COMPUTED_VALUE"""),"gastrocoin")</f>
        <v>gastrocoin</v>
      </c>
      <c r="B5378" s="2" t="str">
        <f ca="1">IFERROR(__xludf.DUMMYFUNCTION("""COMPUTED_VALUE"""),"gtc")</f>
        <v>gtc</v>
      </c>
      <c r="C5378" s="2" t="str">
        <f ca="1">IFERROR(__xludf.DUMMYFUNCTION("""COMPUTED_VALUE"""),"GastroCoin")</f>
        <v>GastroCoin</v>
      </c>
    </row>
    <row r="5379" spans="1:3" x14ac:dyDescent="0.25">
      <c r="A5379" s="2" t="str">
        <f ca="1">IFERROR(__xludf.DUMMYFUNCTION("""COMPUTED_VALUE"""),"gas-turbo")</f>
        <v>gas-turbo</v>
      </c>
      <c r="B5379" s="2" t="str">
        <f ca="1">IFERROR(__xludf.DUMMYFUNCTION("""COMPUTED_VALUE"""),"gast")</f>
        <v>gast</v>
      </c>
      <c r="C5379" s="2" t="str">
        <f ca="1">IFERROR(__xludf.DUMMYFUNCTION("""COMPUTED_VALUE"""),"Gas Turbo")</f>
        <v>Gas Turbo</v>
      </c>
    </row>
    <row r="5380" spans="1:3" x14ac:dyDescent="0.25">
      <c r="A5380" s="2" t="str">
        <f ca="1">IFERROR(__xludf.DUMMYFUNCTION("""COMPUTED_VALUE"""),"gate-ai")</f>
        <v>gate-ai</v>
      </c>
      <c r="B5380" s="2" t="str">
        <f ca="1">IFERROR(__xludf.DUMMYFUNCTION("""COMPUTED_VALUE"""),"gai")</f>
        <v>gai</v>
      </c>
      <c r="C5380" s="2" t="str">
        <f ca="1">IFERROR(__xludf.DUMMYFUNCTION("""COMPUTED_VALUE"""),"Gate AI")</f>
        <v>Gate AI</v>
      </c>
    </row>
    <row r="5381" spans="1:3" x14ac:dyDescent="0.25">
      <c r="A5381" s="2" t="str">
        <f ca="1">IFERROR(__xludf.DUMMYFUNCTION("""COMPUTED_VALUE"""),"gatechain-token")</f>
        <v>gatechain-token</v>
      </c>
      <c r="B5381" s="2" t="str">
        <f ca="1">IFERROR(__xludf.DUMMYFUNCTION("""COMPUTED_VALUE"""),"gt")</f>
        <v>gt</v>
      </c>
      <c r="C5381" s="2" t="str">
        <f ca="1">IFERROR(__xludf.DUMMYFUNCTION("""COMPUTED_VALUE"""),"Gate")</f>
        <v>Gate</v>
      </c>
    </row>
    <row r="5382" spans="1:3" x14ac:dyDescent="0.25">
      <c r="A5382" s="2" t="str">
        <f ca="1">IFERROR(__xludf.DUMMYFUNCTION("""COMPUTED_VALUE"""),"gatenet")</f>
        <v>gatenet</v>
      </c>
      <c r="B5382" s="2" t="str">
        <f ca="1">IFERROR(__xludf.DUMMYFUNCTION("""COMPUTED_VALUE"""),"gate")</f>
        <v>gate</v>
      </c>
      <c r="C5382" s="2" t="str">
        <f ca="1">IFERROR(__xludf.DUMMYFUNCTION("""COMPUTED_VALUE"""),"GATENet")</f>
        <v>GATENet</v>
      </c>
    </row>
    <row r="5383" spans="1:3" x14ac:dyDescent="0.25">
      <c r="A5383" s="2" t="str">
        <f ca="1">IFERROR(__xludf.DUMMYFUNCTION("""COMPUTED_VALUE"""),"gateway-to-mars")</f>
        <v>gateway-to-mars</v>
      </c>
      <c r="B5383" s="2" t="str">
        <f ca="1">IFERROR(__xludf.DUMMYFUNCTION("""COMPUTED_VALUE"""),"mars")</f>
        <v>mars</v>
      </c>
      <c r="C5383" s="2" t="str">
        <f ca="1">IFERROR(__xludf.DUMMYFUNCTION("""COMPUTED_VALUE"""),"GATEWAY TO MARS")</f>
        <v>GATEWAY TO MARS</v>
      </c>
    </row>
    <row r="5384" spans="1:3" x14ac:dyDescent="0.25">
      <c r="A5384" s="2" t="str">
        <f ca="1">IFERROR(__xludf.DUMMYFUNCTION("""COMPUTED_VALUE"""),"gather-2")</f>
        <v>gather-2</v>
      </c>
      <c r="B5384" s="2" t="str">
        <f ca="1">IFERROR(__xludf.DUMMYFUNCTION("""COMPUTED_VALUE"""),"gat")</f>
        <v>gat</v>
      </c>
      <c r="C5384" s="2" t="str">
        <f ca="1">IFERROR(__xludf.DUMMYFUNCTION("""COMPUTED_VALUE"""),"Gather")</f>
        <v>Gather</v>
      </c>
    </row>
    <row r="5385" spans="1:3" x14ac:dyDescent="0.25">
      <c r="A5385" s="2" t="str">
        <f ca="1">IFERROR(__xludf.DUMMYFUNCTION("""COMPUTED_VALUE"""),"gatsby-inu-new")</f>
        <v>gatsby-inu-new</v>
      </c>
      <c r="B5385" s="2" t="str">
        <f ca="1">IFERROR(__xludf.DUMMYFUNCTION("""COMPUTED_VALUE"""),"gatsby")</f>
        <v>gatsby</v>
      </c>
      <c r="C5385" s="2" t="str">
        <f ca="1">IFERROR(__xludf.DUMMYFUNCTION("""COMPUTED_VALUE"""),"Gatsby Inu")</f>
        <v>Gatsby Inu</v>
      </c>
    </row>
    <row r="5386" spans="1:3" x14ac:dyDescent="0.25">
      <c r="A5386" s="2" t="str">
        <f ca="1">IFERROR(__xludf.DUMMYFUNCTION("""COMPUTED_VALUE"""),"gauss0x")</f>
        <v>gauss0x</v>
      </c>
      <c r="B5386" s="2" t="str">
        <f ca="1">IFERROR(__xludf.DUMMYFUNCTION("""COMPUTED_VALUE"""),"gauss")</f>
        <v>gauss</v>
      </c>
      <c r="C5386" s="2" t="str">
        <f ca="1">IFERROR(__xludf.DUMMYFUNCTION("""COMPUTED_VALUE"""),"Gauss0x")</f>
        <v>Gauss0x</v>
      </c>
    </row>
    <row r="5387" spans="1:3" x14ac:dyDescent="0.25">
      <c r="A5387" s="2" t="str">
        <f ca="1">IFERROR(__xludf.DUMMYFUNCTION("""COMPUTED_VALUE"""),"gavcoin")</f>
        <v>gavcoin</v>
      </c>
      <c r="B5387" s="2" t="str">
        <f ca="1">IFERROR(__xludf.DUMMYFUNCTION("""COMPUTED_VALUE"""),"gav")</f>
        <v>gav</v>
      </c>
      <c r="C5387" s="2" t="str">
        <f ca="1">IFERROR(__xludf.DUMMYFUNCTION("""COMPUTED_VALUE"""),"GavCoin")</f>
        <v>GavCoin</v>
      </c>
    </row>
    <row r="5388" spans="1:3" x14ac:dyDescent="0.25">
      <c r="A5388" s="2" t="str">
        <f ca="1">IFERROR(__xludf.DUMMYFUNCTION("""COMPUTED_VALUE"""),"gax-liquidity-token-reward")</f>
        <v>gax-liquidity-token-reward</v>
      </c>
      <c r="B5388" s="2" t="str">
        <f ca="1">IFERROR(__xludf.DUMMYFUNCTION("""COMPUTED_VALUE"""),"gltr")</f>
        <v>gltr</v>
      </c>
      <c r="C5388" s="2" t="str">
        <f ca="1">IFERROR(__xludf.DUMMYFUNCTION("""COMPUTED_VALUE"""),"GAX Liquidity Token Reward")</f>
        <v>GAX Liquidity Token Reward</v>
      </c>
    </row>
    <row r="5389" spans="1:3" x14ac:dyDescent="0.25">
      <c r="A5389" s="2" t="str">
        <f ca="1">IFERROR(__xludf.DUMMYFUNCTION("""COMPUTED_VALUE"""),"gay")</f>
        <v>gay</v>
      </c>
      <c r="B5389" s="2" t="str">
        <f ca="1">IFERROR(__xludf.DUMMYFUNCTION("""COMPUTED_VALUE"""),"gay")</f>
        <v>gay</v>
      </c>
      <c r="C5389" s="2" t="str">
        <f ca="1">IFERROR(__xludf.DUMMYFUNCTION("""COMPUTED_VALUE"""),"GAY")</f>
        <v>GAY</v>
      </c>
    </row>
    <row r="5390" spans="1:3" x14ac:dyDescent="0.25">
      <c r="A5390" s="2" t="str">
        <f ca="1">IFERROR(__xludf.DUMMYFUNCTION("""COMPUTED_VALUE"""),"gay-pepe")</f>
        <v>gay-pepe</v>
      </c>
      <c r="B5390" s="2" t="str">
        <f ca="1">IFERROR(__xludf.DUMMYFUNCTION("""COMPUTED_VALUE"""),"gaypepe")</f>
        <v>gaypepe</v>
      </c>
      <c r="C5390" s="2" t="str">
        <f ca="1">IFERROR(__xludf.DUMMYFUNCTION("""COMPUTED_VALUE"""),"Gay Pepe")</f>
        <v>Gay Pepe</v>
      </c>
    </row>
    <row r="5391" spans="1:3" x14ac:dyDescent="0.25">
      <c r="A5391" s="2" t="str">
        <f ca="1">IFERROR(__xludf.DUMMYFUNCTION("""COMPUTED_VALUE"""),"gaziantep-fk-fan-token")</f>
        <v>gaziantep-fk-fan-token</v>
      </c>
      <c r="B5391" s="2" t="str">
        <f ca="1">IFERROR(__xludf.DUMMYFUNCTION("""COMPUTED_VALUE"""),"gfk")</f>
        <v>gfk</v>
      </c>
      <c r="C5391" s="2" t="str">
        <f ca="1">IFERROR(__xludf.DUMMYFUNCTION("""COMPUTED_VALUE"""),"Gaziantep FK Fan Token")</f>
        <v>Gaziantep FK Fan Token</v>
      </c>
    </row>
    <row r="5392" spans="1:3" x14ac:dyDescent="0.25">
      <c r="A5392" s="2" t="str">
        <f ca="1">IFERROR(__xludf.DUMMYFUNCTION("""COMPUTED_VALUE"""),"gccoin")</f>
        <v>gccoin</v>
      </c>
      <c r="B5392" s="2" t="str">
        <f ca="1">IFERROR(__xludf.DUMMYFUNCTION("""COMPUTED_VALUE"""),"gcc")</f>
        <v>gcc</v>
      </c>
      <c r="C5392" s="2" t="str">
        <f ca="1">IFERROR(__xludf.DUMMYFUNCTION("""COMPUTED_VALUE"""),"GCCOIN")</f>
        <v>GCCOIN</v>
      </c>
    </row>
    <row r="5393" spans="1:3" x14ac:dyDescent="0.25">
      <c r="A5393" s="2" t="str">
        <f ca="1">IFERROR(__xludf.DUMMYFUNCTION("""COMPUTED_VALUE"""),"gcrclassic")</f>
        <v>gcrclassic</v>
      </c>
      <c r="B5393" s="2" t="str">
        <f ca="1">IFERROR(__xludf.DUMMYFUNCTION("""COMPUTED_VALUE"""),"gcr")</f>
        <v>gcr</v>
      </c>
      <c r="C5393" s="2" t="str">
        <f ca="1">IFERROR(__xludf.DUMMYFUNCTION("""COMPUTED_VALUE"""),"GCRClassic")</f>
        <v>GCRClassic</v>
      </c>
    </row>
    <row r="5394" spans="1:3" x14ac:dyDescent="0.25">
      <c r="A5394" s="2" t="str">
        <f ca="1">IFERROR(__xludf.DUMMYFUNCTION("""COMPUTED_VALUE"""),"gdrt")</f>
        <v>gdrt</v>
      </c>
      <c r="B5394" s="2" t="str">
        <f ca="1">IFERROR(__xludf.DUMMYFUNCTION("""COMPUTED_VALUE"""),"gdrt")</f>
        <v>gdrt</v>
      </c>
      <c r="C5394" s="2" t="str">
        <f ca="1">IFERROR(__xludf.DUMMYFUNCTION("""COMPUTED_VALUE"""),"GDRT")</f>
        <v>GDRT</v>
      </c>
    </row>
    <row r="5395" spans="1:3" x14ac:dyDescent="0.25">
      <c r="A5395" s="2" t="str">
        <f ca="1">IFERROR(__xludf.DUMMYFUNCTION("""COMPUTED_VALUE"""),"gear-2")</f>
        <v>gear-2</v>
      </c>
      <c r="B5395" s="2" t="str">
        <f ca="1">IFERROR(__xludf.DUMMYFUNCTION("""COMPUTED_VALUE"""),"gea")</f>
        <v>gea</v>
      </c>
      <c r="C5395" s="2" t="str">
        <f ca="1">IFERROR(__xludf.DUMMYFUNCTION("""COMPUTED_VALUE"""),"GEAR")</f>
        <v>GEAR</v>
      </c>
    </row>
    <row r="5396" spans="1:3" x14ac:dyDescent="0.25">
      <c r="A5396" s="2" t="str">
        <f ca="1">IFERROR(__xludf.DUMMYFUNCTION("""COMPUTED_VALUE"""),"gearbox")</f>
        <v>gearbox</v>
      </c>
      <c r="B5396" s="2" t="str">
        <f ca="1">IFERROR(__xludf.DUMMYFUNCTION("""COMPUTED_VALUE"""),"gear")</f>
        <v>gear</v>
      </c>
      <c r="C5396" s="2" t="str">
        <f ca="1">IFERROR(__xludf.DUMMYFUNCTION("""COMPUTED_VALUE"""),"Gearbox")</f>
        <v>Gearbox</v>
      </c>
    </row>
    <row r="5397" spans="1:3" x14ac:dyDescent="0.25">
      <c r="A5397" s="2" t="str">
        <f ca="1">IFERROR(__xludf.DUMMYFUNCTION("""COMPUTED_VALUE"""),"gecko-inu")</f>
        <v>gecko-inu</v>
      </c>
      <c r="B5397" s="2" t="str">
        <f ca="1">IFERROR(__xludf.DUMMYFUNCTION("""COMPUTED_VALUE"""),"gec")</f>
        <v>gec</v>
      </c>
      <c r="C5397" s="2" t="str">
        <f ca="1">IFERROR(__xludf.DUMMYFUNCTION("""COMPUTED_VALUE"""),"Gecko Inu")</f>
        <v>Gecko Inu</v>
      </c>
    </row>
    <row r="5398" spans="1:3" x14ac:dyDescent="0.25">
      <c r="A5398" s="2" t="str">
        <f ca="1">IFERROR(__xludf.DUMMYFUNCTION("""COMPUTED_VALUE"""),"gecko-meme")</f>
        <v>gecko-meme</v>
      </c>
      <c r="B5398" s="2" t="str">
        <f ca="1">IFERROR(__xludf.DUMMYFUNCTION("""COMPUTED_VALUE"""),"gecko")</f>
        <v>gecko</v>
      </c>
      <c r="C5398" s="2" t="str">
        <f ca="1">IFERROR(__xludf.DUMMYFUNCTION("""COMPUTED_VALUE"""),"Gecko (Meme)")</f>
        <v>Gecko (Meme)</v>
      </c>
    </row>
    <row r="5399" spans="1:3" x14ac:dyDescent="0.25">
      <c r="A5399" s="2" t="str">
        <f ca="1">IFERROR(__xludf.DUMMYFUNCTION("""COMPUTED_VALUE"""),"gecoin")</f>
        <v>gecoin</v>
      </c>
      <c r="B5399" s="2" t="str">
        <f ca="1">IFERROR(__xludf.DUMMYFUNCTION("""COMPUTED_VALUE"""),"gec")</f>
        <v>gec</v>
      </c>
      <c r="C5399" s="2" t="str">
        <f ca="1">IFERROR(__xludf.DUMMYFUNCTION("""COMPUTED_VALUE"""),"Gecoin")</f>
        <v>Gecoin</v>
      </c>
    </row>
    <row r="5400" spans="1:3" x14ac:dyDescent="0.25">
      <c r="A5400" s="2" t="str">
        <f ca="1">IFERROR(__xludf.DUMMYFUNCTION("""COMPUTED_VALUE"""),"geegoopuzzle")</f>
        <v>geegoopuzzle</v>
      </c>
      <c r="B5400" s="2" t="str">
        <f ca="1">IFERROR(__xludf.DUMMYFUNCTION("""COMPUTED_VALUE"""),"ggp")</f>
        <v>ggp</v>
      </c>
      <c r="C5400" s="2" t="str">
        <f ca="1">IFERROR(__xludf.DUMMYFUNCTION("""COMPUTED_VALUE"""),"Geegoopuzzle")</f>
        <v>Geegoopuzzle</v>
      </c>
    </row>
    <row r="5401" spans="1:3" x14ac:dyDescent="0.25">
      <c r="A5401" s="2" t="str">
        <f ca="1">IFERROR(__xludf.DUMMYFUNCTION("""COMPUTED_VALUE"""),"geeq")</f>
        <v>geeq</v>
      </c>
      <c r="B5401" s="2" t="str">
        <f ca="1">IFERROR(__xludf.DUMMYFUNCTION("""COMPUTED_VALUE"""),"geeq")</f>
        <v>geeq</v>
      </c>
      <c r="C5401" s="2" t="str">
        <f ca="1">IFERROR(__xludf.DUMMYFUNCTION("""COMPUTED_VALUE"""),"GEEQ")</f>
        <v>GEEQ</v>
      </c>
    </row>
    <row r="5402" spans="1:3" x14ac:dyDescent="0.25">
      <c r="A5402" s="2" t="str">
        <f ca="1">IFERROR(__xludf.DUMMYFUNCTION("""COMPUTED_VALUE"""),"geist-dai")</f>
        <v>geist-dai</v>
      </c>
      <c r="B5402" s="2" t="str">
        <f ca="1">IFERROR(__xludf.DUMMYFUNCTION("""COMPUTED_VALUE"""),"gdai")</f>
        <v>gdai</v>
      </c>
      <c r="C5402" s="2" t="str">
        <f ca="1">IFERROR(__xludf.DUMMYFUNCTION("""COMPUTED_VALUE"""),"Geist Dai")</f>
        <v>Geist Dai</v>
      </c>
    </row>
    <row r="5403" spans="1:3" x14ac:dyDescent="0.25">
      <c r="A5403" s="2" t="str">
        <f ca="1">IFERROR(__xludf.DUMMYFUNCTION("""COMPUTED_VALUE"""),"geist-eth")</f>
        <v>geist-eth</v>
      </c>
      <c r="B5403" s="2" t="str">
        <f ca="1">IFERROR(__xludf.DUMMYFUNCTION("""COMPUTED_VALUE"""),"geth")</f>
        <v>geth</v>
      </c>
      <c r="C5403" s="2" t="str">
        <f ca="1">IFERROR(__xludf.DUMMYFUNCTION("""COMPUTED_VALUE"""),"Geist ETH")</f>
        <v>Geist ETH</v>
      </c>
    </row>
    <row r="5404" spans="1:3" x14ac:dyDescent="0.25">
      <c r="A5404" s="2" t="str">
        <f ca="1">IFERROR(__xludf.DUMMYFUNCTION("""COMPUTED_VALUE"""),"geist-ftm")</f>
        <v>geist-ftm</v>
      </c>
      <c r="B5404" s="2" t="str">
        <f ca="1">IFERROR(__xludf.DUMMYFUNCTION("""COMPUTED_VALUE"""),"gftm")</f>
        <v>gftm</v>
      </c>
      <c r="C5404" s="2" t="str">
        <f ca="1">IFERROR(__xludf.DUMMYFUNCTION("""COMPUTED_VALUE"""),"Geist FTM")</f>
        <v>Geist FTM</v>
      </c>
    </row>
    <row r="5405" spans="1:3" x14ac:dyDescent="0.25">
      <c r="A5405" s="2" t="str">
        <f ca="1">IFERROR(__xludf.DUMMYFUNCTION("""COMPUTED_VALUE"""),"geist-fusdt")</f>
        <v>geist-fusdt</v>
      </c>
      <c r="B5405" s="2" t="str">
        <f ca="1">IFERROR(__xludf.DUMMYFUNCTION("""COMPUTED_VALUE"""),"gfusdt")</f>
        <v>gfusdt</v>
      </c>
      <c r="C5405" s="2" t="str">
        <f ca="1">IFERROR(__xludf.DUMMYFUNCTION("""COMPUTED_VALUE"""),"Geist fUSDT")</f>
        <v>Geist fUSDT</v>
      </c>
    </row>
    <row r="5406" spans="1:3" x14ac:dyDescent="0.25">
      <c r="A5406" s="2" t="str">
        <f ca="1">IFERROR(__xludf.DUMMYFUNCTION("""COMPUTED_VALUE"""),"geist-usdc")</f>
        <v>geist-usdc</v>
      </c>
      <c r="B5406" s="2" t="str">
        <f ca="1">IFERROR(__xludf.DUMMYFUNCTION("""COMPUTED_VALUE"""),"gusdc")</f>
        <v>gusdc</v>
      </c>
      <c r="C5406" s="2" t="str">
        <f ca="1">IFERROR(__xludf.DUMMYFUNCTION("""COMPUTED_VALUE"""),"Geist USDC")</f>
        <v>Geist USDC</v>
      </c>
    </row>
    <row r="5407" spans="1:3" x14ac:dyDescent="0.25">
      <c r="A5407" s="2" t="str">
        <f ca="1">IFERROR(__xludf.DUMMYFUNCTION("""COMPUTED_VALUE"""),"geist-wbtc")</f>
        <v>geist-wbtc</v>
      </c>
      <c r="B5407" s="2" t="str">
        <f ca="1">IFERROR(__xludf.DUMMYFUNCTION("""COMPUTED_VALUE"""),"gwbtc")</f>
        <v>gwbtc</v>
      </c>
      <c r="C5407" s="2" t="str">
        <f ca="1">IFERROR(__xludf.DUMMYFUNCTION("""COMPUTED_VALUE"""),"Geist WBTC")</f>
        <v>Geist WBTC</v>
      </c>
    </row>
    <row r="5408" spans="1:3" x14ac:dyDescent="0.25">
      <c r="A5408" s="2" t="str">
        <f ca="1">IFERROR(__xludf.DUMMYFUNCTION("""COMPUTED_VALUE"""),"geke")</f>
        <v>geke</v>
      </c>
      <c r="B5408" s="2" t="str">
        <f ca="1">IFERROR(__xludf.DUMMYFUNCTION("""COMPUTED_VALUE"""),"geke")</f>
        <v>geke</v>
      </c>
      <c r="C5408" s="2" t="str">
        <f ca="1">IFERROR(__xludf.DUMMYFUNCTION("""COMPUTED_VALUE"""),"Geke")</f>
        <v>Geke</v>
      </c>
    </row>
    <row r="5409" spans="1:3" x14ac:dyDescent="0.25">
      <c r="A5409" s="2" t="str">
        <f ca="1">IFERROR(__xludf.DUMMYFUNCTION("""COMPUTED_VALUE"""),"gekko")</f>
        <v>gekko</v>
      </c>
      <c r="B5409" s="2" t="str">
        <f ca="1">IFERROR(__xludf.DUMMYFUNCTION("""COMPUTED_VALUE"""),"gekko")</f>
        <v>gekko</v>
      </c>
      <c r="C5409" s="2" t="str">
        <f ca="1">IFERROR(__xludf.DUMMYFUNCTION("""COMPUTED_VALUE"""),"GEKKO")</f>
        <v>GEKKO</v>
      </c>
    </row>
    <row r="5410" spans="1:3" x14ac:dyDescent="0.25">
      <c r="A5410" s="2" t="str">
        <f ca="1">IFERROR(__xludf.DUMMYFUNCTION("""COMPUTED_VALUE"""),"gelato")</f>
        <v>gelato</v>
      </c>
      <c r="B5410" s="2" t="str">
        <f ca="1">IFERROR(__xludf.DUMMYFUNCTION("""COMPUTED_VALUE"""),"gel")</f>
        <v>gel</v>
      </c>
      <c r="C5410" s="2" t="str">
        <f ca="1">IFERROR(__xludf.DUMMYFUNCTION("""COMPUTED_VALUE"""),"Gelato")</f>
        <v>Gelato</v>
      </c>
    </row>
    <row r="5411" spans="1:3" x14ac:dyDescent="0.25">
      <c r="A5411" s="2" t="str">
        <f ca="1">IFERROR(__xludf.DUMMYFUNCTION("""COMPUTED_VALUE"""),"gelios")</f>
        <v>gelios</v>
      </c>
      <c r="B5411" s="2" t="str">
        <f ca="1">IFERROR(__xludf.DUMMYFUNCTION("""COMPUTED_VALUE"""),"gos")</f>
        <v>gos</v>
      </c>
      <c r="C5411" s="2" t="str">
        <f ca="1">IFERROR(__xludf.DUMMYFUNCTION("""COMPUTED_VALUE"""),"Gelios")</f>
        <v>Gelios</v>
      </c>
    </row>
    <row r="5412" spans="1:3" x14ac:dyDescent="0.25">
      <c r="A5412" s="2" t="str">
        <f ca="1">IFERROR(__xludf.DUMMYFUNCTION("""COMPUTED_VALUE"""),"gemach")</f>
        <v>gemach</v>
      </c>
      <c r="B5412" s="2" t="str">
        <f ca="1">IFERROR(__xludf.DUMMYFUNCTION("""COMPUTED_VALUE"""),"gmac")</f>
        <v>gmac</v>
      </c>
      <c r="C5412" s="2" t="str">
        <f ca="1">IFERROR(__xludf.DUMMYFUNCTION("""COMPUTED_VALUE"""),"Gemach")</f>
        <v>Gemach</v>
      </c>
    </row>
    <row r="5413" spans="1:3" x14ac:dyDescent="0.25">
      <c r="A5413" s="2" t="str">
        <f ca="1">IFERROR(__xludf.DUMMYFUNCTION("""COMPUTED_VALUE"""),"gem-ai")</f>
        <v>gem-ai</v>
      </c>
      <c r="B5413" s="2" t="str">
        <f ca="1">IFERROR(__xludf.DUMMYFUNCTION("""COMPUTED_VALUE"""),"gemai")</f>
        <v>gemai</v>
      </c>
      <c r="C5413" s="2" t="str">
        <f ca="1">IFERROR(__xludf.DUMMYFUNCTION("""COMPUTED_VALUE"""),"Gem AI")</f>
        <v>Gem AI</v>
      </c>
    </row>
    <row r="5414" spans="1:3" x14ac:dyDescent="0.25">
      <c r="A5414" s="2" t="str">
        <f ca="1">IFERROR(__xludf.DUMMYFUNCTION("""COMPUTED_VALUE"""),"gembox")</f>
        <v>gembox</v>
      </c>
      <c r="B5414" s="2" t="str">
        <f ca="1">IFERROR(__xludf.DUMMYFUNCTION("""COMPUTED_VALUE"""),"gem")</f>
        <v>gem</v>
      </c>
      <c r="C5414" s="2" t="str">
        <f ca="1">IFERROR(__xludf.DUMMYFUNCTION("""COMPUTED_VALUE"""),"gembox")</f>
        <v>gembox</v>
      </c>
    </row>
    <row r="5415" spans="1:3" x14ac:dyDescent="0.25">
      <c r="A5415" s="2" t="str">
        <f ca="1">IFERROR(__xludf.DUMMYFUNCTION("""COMPUTED_VALUE"""),"gem-dex")</f>
        <v>gem-dex</v>
      </c>
      <c r="B5415" s="2" t="str">
        <f ca="1">IFERROR(__xludf.DUMMYFUNCTION("""COMPUTED_VALUE"""),"gem")</f>
        <v>gem</v>
      </c>
      <c r="C5415" s="2" t="str">
        <f ca="1">IFERROR(__xludf.DUMMYFUNCTION("""COMPUTED_VALUE"""),"Gem DEX")</f>
        <v>Gem DEX</v>
      </c>
    </row>
    <row r="5416" spans="1:3" x14ac:dyDescent="0.25">
      <c r="A5416" s="2" t="str">
        <f ca="1">IFERROR(__xludf.DUMMYFUNCTION("""COMPUTED_VALUE"""),"gemdrop")</f>
        <v>gemdrop</v>
      </c>
      <c r="B5416" s="2" t="str">
        <f ca="1">IFERROR(__xludf.DUMMYFUNCTION("""COMPUTED_VALUE"""),"gem")</f>
        <v>gem</v>
      </c>
      <c r="C5416" s="2" t="str">
        <f ca="1">IFERROR(__xludf.DUMMYFUNCTION("""COMPUTED_VALUE"""),"GemDrop")</f>
        <v>GemDrop</v>
      </c>
    </row>
    <row r="5417" spans="1:3" x14ac:dyDescent="0.25">
      <c r="A5417" s="2" t="str">
        <f ca="1">IFERROR(__xludf.DUMMYFUNCTION("""COMPUTED_VALUE"""),"gem-exchange-and-trading")</f>
        <v>gem-exchange-and-trading</v>
      </c>
      <c r="B5417" s="2" t="str">
        <f ca="1">IFERROR(__xludf.DUMMYFUNCTION("""COMPUTED_VALUE"""),"gxt")</f>
        <v>gxt</v>
      </c>
      <c r="C5417" s="2" t="str">
        <f ca="1">IFERROR(__xludf.DUMMYFUNCTION("""COMPUTED_VALUE"""),"Gem Exchange and Trading")</f>
        <v>Gem Exchange and Trading</v>
      </c>
    </row>
    <row r="5418" spans="1:3" x14ac:dyDescent="0.25">
      <c r="A5418" s="2" t="str">
        <f ca="1">IFERROR(__xludf.DUMMYFUNCTION("""COMPUTED_VALUE"""),"gem-finder")</f>
        <v>gem-finder</v>
      </c>
      <c r="B5418" s="2" t="str">
        <f ca="1">IFERROR(__xludf.DUMMYFUNCTION("""COMPUTED_VALUE"""),"finder")</f>
        <v>finder</v>
      </c>
      <c r="C5418" s="2" t="str">
        <f ca="1">IFERROR(__xludf.DUMMYFUNCTION("""COMPUTED_VALUE"""),"Gem Finder")</f>
        <v>Gem Finder</v>
      </c>
    </row>
    <row r="5419" spans="1:3" x14ac:dyDescent="0.25">
      <c r="A5419" s="2" t="str">
        <f ca="1">IFERROR(__xludf.DUMMYFUNCTION("""COMPUTED_VALUE"""),"gemflow")</f>
        <v>gemflow</v>
      </c>
      <c r="B5419" s="2" t="str">
        <f ca="1">IFERROR(__xludf.DUMMYFUNCTION("""COMPUTED_VALUE"""),"gef")</f>
        <v>gef</v>
      </c>
      <c r="C5419" s="2" t="str">
        <f ca="1">IFERROR(__xludf.DUMMYFUNCTION("""COMPUTED_VALUE"""),"GemFlow")</f>
        <v>GemFlow</v>
      </c>
    </row>
    <row r="5420" spans="1:3" x14ac:dyDescent="0.25">
      <c r="A5420" s="2" t="str">
        <f ca="1">IFERROR(__xludf.DUMMYFUNCTION("""COMPUTED_VALUE"""),"gemholic")</f>
        <v>gemholic</v>
      </c>
      <c r="B5420" s="2" t="str">
        <f ca="1">IFERROR(__xludf.DUMMYFUNCTION("""COMPUTED_VALUE"""),"gems")</f>
        <v>gems</v>
      </c>
      <c r="C5420" s="2" t="str">
        <f ca="1">IFERROR(__xludf.DUMMYFUNCTION("""COMPUTED_VALUE"""),"Gemholic")</f>
        <v>Gemholic</v>
      </c>
    </row>
    <row r="5421" spans="1:3" x14ac:dyDescent="0.25">
      <c r="A5421" s="2" t="str">
        <f ca="1">IFERROR(__xludf.DUMMYFUNCTION("""COMPUTED_VALUE"""),"gemhub")</f>
        <v>gemhub</v>
      </c>
      <c r="B5421" s="2" t="str">
        <f ca="1">IFERROR(__xludf.DUMMYFUNCTION("""COMPUTED_VALUE"""),"ghub")</f>
        <v>ghub</v>
      </c>
      <c r="C5421" s="2" t="str">
        <f ca="1">IFERROR(__xludf.DUMMYFUNCTION("""COMPUTED_VALUE"""),"GemHUB")</f>
        <v>GemHUB</v>
      </c>
    </row>
    <row r="5422" spans="1:3" x14ac:dyDescent="0.25">
      <c r="A5422" s="2" t="str">
        <f ca="1">IFERROR(__xludf.DUMMYFUNCTION("""COMPUTED_VALUE"""),"gemie")</f>
        <v>gemie</v>
      </c>
      <c r="B5422" s="2" t="str">
        <f ca="1">IFERROR(__xludf.DUMMYFUNCTION("""COMPUTED_VALUE"""),"gem")</f>
        <v>gem</v>
      </c>
      <c r="C5422" s="2" t="str">
        <f ca="1">IFERROR(__xludf.DUMMYFUNCTION("""COMPUTED_VALUE"""),"Gemie")</f>
        <v>Gemie</v>
      </c>
    </row>
    <row r="5423" spans="1:3" x14ac:dyDescent="0.25">
      <c r="A5423" s="2" t="str">
        <f ca="1">IFERROR(__xludf.DUMMYFUNCTION("""COMPUTED_VALUE"""),"gemini-dollar")</f>
        <v>gemini-dollar</v>
      </c>
      <c r="B5423" s="2" t="str">
        <f ca="1">IFERROR(__xludf.DUMMYFUNCTION("""COMPUTED_VALUE"""),"gusd")</f>
        <v>gusd</v>
      </c>
      <c r="C5423" s="2" t="str">
        <f ca="1">IFERROR(__xludf.DUMMYFUNCTION("""COMPUTED_VALUE"""),"Gemini Dollar")</f>
        <v>Gemini Dollar</v>
      </c>
    </row>
    <row r="5424" spans="1:3" x14ac:dyDescent="0.25">
      <c r="A5424" s="2" t="str">
        <f ca="1">IFERROR(__xludf.DUMMYFUNCTION("""COMPUTED_VALUE"""),"gemlink")</f>
        <v>gemlink</v>
      </c>
      <c r="B5424" s="2" t="str">
        <f ca="1">IFERROR(__xludf.DUMMYFUNCTION("""COMPUTED_VALUE"""),"glink")</f>
        <v>glink</v>
      </c>
      <c r="C5424" s="2" t="str">
        <f ca="1">IFERROR(__xludf.DUMMYFUNCTION("""COMPUTED_VALUE"""),"GemLink")</f>
        <v>GemLink</v>
      </c>
    </row>
    <row r="5425" spans="1:3" x14ac:dyDescent="0.25">
      <c r="A5425" s="2" t="str">
        <f ca="1">IFERROR(__xludf.DUMMYFUNCTION("""COMPUTED_VALUE"""),"gempad")</f>
        <v>gempad</v>
      </c>
      <c r="B5425" s="2" t="str">
        <f ca="1">IFERROR(__xludf.DUMMYFUNCTION("""COMPUTED_VALUE"""),"gems")</f>
        <v>gems</v>
      </c>
      <c r="C5425" s="2" t="str">
        <f ca="1">IFERROR(__xludf.DUMMYFUNCTION("""COMPUTED_VALUE"""),"GemPad")</f>
        <v>GemPad</v>
      </c>
    </row>
    <row r="5426" spans="1:3" x14ac:dyDescent="0.25">
      <c r="A5426" s="2" t="str">
        <f ca="1">IFERROR(__xludf.DUMMYFUNCTION("""COMPUTED_VALUE"""),"gems-2")</f>
        <v>gems-2</v>
      </c>
      <c r="B5426" s="2" t="str">
        <f ca="1">IFERROR(__xludf.DUMMYFUNCTION("""COMPUTED_VALUE"""),"gem")</f>
        <v>gem</v>
      </c>
      <c r="C5426" s="2" t="str">
        <f ca="1">IFERROR(__xludf.DUMMYFUNCTION("""COMPUTED_VALUE"""),"Gems")</f>
        <v>Gems</v>
      </c>
    </row>
    <row r="5427" spans="1:3" x14ac:dyDescent="0.25">
      <c r="A5427" s="2" t="str">
        <f ca="1">IFERROR(__xludf.DUMMYFUNCTION("""COMPUTED_VALUE"""),"gemston")</f>
        <v>gemston</v>
      </c>
      <c r="B5427" s="2" t="str">
        <f ca="1">IFERROR(__xludf.DUMMYFUNCTION("""COMPUTED_VALUE"""),"gemston")</f>
        <v>gemston</v>
      </c>
      <c r="C5427" s="2" t="str">
        <f ca="1">IFERROR(__xludf.DUMMYFUNCTION("""COMPUTED_VALUE"""),"GEMSTON")</f>
        <v>GEMSTON</v>
      </c>
    </row>
    <row r="5428" spans="1:3" x14ac:dyDescent="0.25">
      <c r="A5428" s="2" t="str">
        <f ca="1">IFERROR(__xludf.DUMMYFUNCTION("""COMPUTED_VALUE"""),"gems-vip")</f>
        <v>gems-vip</v>
      </c>
      <c r="B5428" s="2" t="str">
        <f ca="1">IFERROR(__xludf.DUMMYFUNCTION("""COMPUTED_VALUE"""),"gems")</f>
        <v>gems</v>
      </c>
      <c r="C5428" s="2" t="str">
        <f ca="1">IFERROR(__xludf.DUMMYFUNCTION("""COMPUTED_VALUE"""),"Gems VIP")</f>
        <v>Gems VIP</v>
      </c>
    </row>
    <row r="5429" spans="1:3" x14ac:dyDescent="0.25">
      <c r="A5429" s="2" t="str">
        <f ca="1">IFERROR(__xludf.DUMMYFUNCTION("""COMPUTED_VALUE"""),"gemswap-2")</f>
        <v>gemswap-2</v>
      </c>
      <c r="B5429" s="2" t="str">
        <f ca="1">IFERROR(__xludf.DUMMYFUNCTION("""COMPUTED_VALUE"""),"zgem")</f>
        <v>zgem</v>
      </c>
      <c r="C5429" s="2" t="str">
        <f ca="1">IFERROR(__xludf.DUMMYFUNCTION("""COMPUTED_VALUE"""),"GemSwap")</f>
        <v>GemSwap</v>
      </c>
    </row>
    <row r="5430" spans="1:3" x14ac:dyDescent="0.25">
      <c r="A5430" s="2" t="str">
        <f ca="1">IFERROR(__xludf.DUMMYFUNCTION("""COMPUTED_VALUE"""),"gemtools")</f>
        <v>gemtools</v>
      </c>
      <c r="B5430" s="2" t="str">
        <f ca="1">IFERROR(__xludf.DUMMYFUNCTION("""COMPUTED_VALUE"""),"gems")</f>
        <v>gems</v>
      </c>
      <c r="C5430" s="2" t="str">
        <f ca="1">IFERROR(__xludf.DUMMYFUNCTION("""COMPUTED_VALUE"""),"Gemtools")</f>
        <v>Gemtools</v>
      </c>
    </row>
    <row r="5431" spans="1:3" x14ac:dyDescent="0.25">
      <c r="A5431" s="2" t="str">
        <f ca="1">IFERROR(__xludf.DUMMYFUNCTION("""COMPUTED_VALUE"""),"genaro-network")</f>
        <v>genaro-network</v>
      </c>
      <c r="B5431" s="2" t="str">
        <f ca="1">IFERROR(__xludf.DUMMYFUNCTION("""COMPUTED_VALUE"""),"gnx")</f>
        <v>gnx</v>
      </c>
      <c r="C5431" s="2" t="str">
        <f ca="1">IFERROR(__xludf.DUMMYFUNCTION("""COMPUTED_VALUE"""),"Genaro Network")</f>
        <v>Genaro Network</v>
      </c>
    </row>
    <row r="5432" spans="1:3" x14ac:dyDescent="0.25">
      <c r="A5432" s="2" t="str">
        <f ca="1">IFERROR(__xludf.DUMMYFUNCTION("""COMPUTED_VALUE"""),"genbox")</f>
        <v>genbox</v>
      </c>
      <c r="B5432" s="2" t="str">
        <f ca="1">IFERROR(__xludf.DUMMYFUNCTION("""COMPUTED_VALUE"""),"genai")</f>
        <v>genai</v>
      </c>
      <c r="C5432" s="2" t="str">
        <f ca="1">IFERROR(__xludf.DUMMYFUNCTION("""COMPUTED_VALUE"""),"GenBox")</f>
        <v>GenBox</v>
      </c>
    </row>
    <row r="5433" spans="1:3" x14ac:dyDescent="0.25">
      <c r="A5433" s="2" t="str">
        <f ca="1">IFERROR(__xludf.DUMMYFUNCTION("""COMPUTED_VALUE"""),"genclerbirligi-fan-token")</f>
        <v>genclerbirligi-fan-token</v>
      </c>
      <c r="B5433" s="2" t="str">
        <f ca="1">IFERROR(__xludf.DUMMYFUNCTION("""COMPUTED_VALUE"""),"gbsk")</f>
        <v>gbsk</v>
      </c>
      <c r="C5433" s="2" t="str">
        <f ca="1">IFERROR(__xludf.DUMMYFUNCTION("""COMPUTED_VALUE"""),"Gençlerbirliği Fan Token")</f>
        <v>Gençlerbirliği Fan Token</v>
      </c>
    </row>
    <row r="5434" spans="1:3" x14ac:dyDescent="0.25">
      <c r="A5434" s="2" t="str">
        <f ca="1">IFERROR(__xludf.DUMMYFUNCTION("""COMPUTED_VALUE"""),"generaitiv")</f>
        <v>generaitiv</v>
      </c>
      <c r="B5434" s="2" t="str">
        <f ca="1">IFERROR(__xludf.DUMMYFUNCTION("""COMPUTED_VALUE"""),"gai")</f>
        <v>gai</v>
      </c>
      <c r="C5434" s="2" t="str">
        <f ca="1">IFERROR(__xludf.DUMMYFUNCTION("""COMPUTED_VALUE"""),"Generaitiv")</f>
        <v>Generaitiv</v>
      </c>
    </row>
    <row r="5435" spans="1:3" x14ac:dyDescent="0.25">
      <c r="A5435" s="2" t="str">
        <f ca="1">IFERROR(__xludf.DUMMYFUNCTION("""COMPUTED_VALUE"""),"generational-wealth")</f>
        <v>generational-wealth</v>
      </c>
      <c r="B5435" s="2" t="str">
        <f ca="1">IFERROR(__xludf.DUMMYFUNCTION("""COMPUTED_VALUE"""),"gen")</f>
        <v>gen</v>
      </c>
      <c r="C5435" s="2" t="str">
        <f ca="1">IFERROR(__xludf.DUMMYFUNCTION("""COMPUTED_VALUE"""),"Generational Wealth")</f>
        <v>Generational Wealth</v>
      </c>
    </row>
    <row r="5436" spans="1:3" x14ac:dyDescent="0.25">
      <c r="A5436" s="2" t="str">
        <f ca="1">IFERROR(__xludf.DUMMYFUNCTION("""COMPUTED_VALUE"""),"generational-wealth-2")</f>
        <v>generational-wealth-2</v>
      </c>
      <c r="B5436" s="2" t="str">
        <f ca="1">IFERROR(__xludf.DUMMYFUNCTION("""COMPUTED_VALUE"""),"wealth")</f>
        <v>wealth</v>
      </c>
      <c r="C5436" s="2" t="str">
        <f ca="1">IFERROR(__xludf.DUMMYFUNCTION("""COMPUTED_VALUE"""),"Generational Wealth")</f>
        <v>Generational Wealth</v>
      </c>
    </row>
    <row r="5437" spans="1:3" x14ac:dyDescent="0.25">
      <c r="A5437" s="2" t="str">
        <f ca="1">IFERROR(__xludf.DUMMYFUNCTION("""COMPUTED_VALUE"""),"generator")</f>
        <v>generator</v>
      </c>
      <c r="B5437" s="2" t="str">
        <f ca="1">IFERROR(__xludf.DUMMYFUNCTION("""COMPUTED_VALUE"""),"gen")</f>
        <v>gen</v>
      </c>
      <c r="C5437" s="2" t="str">
        <f ca="1">IFERROR(__xludf.DUMMYFUNCTION("""COMPUTED_VALUE"""),"Generator")</f>
        <v>Generator</v>
      </c>
    </row>
    <row r="5438" spans="1:3" x14ac:dyDescent="0.25">
      <c r="A5438" s="2" t="str">
        <f ca="1">IFERROR(__xludf.DUMMYFUNCTION("""COMPUTED_VALUE"""),"genesis-2")</f>
        <v>genesis-2</v>
      </c>
      <c r="B5438" s="2" t="str">
        <f ca="1">IFERROR(__xludf.DUMMYFUNCTION("""COMPUTED_VALUE"""),"gen")</f>
        <v>gen</v>
      </c>
      <c r="C5438" s="2" t="str">
        <f ca="1">IFERROR(__xludf.DUMMYFUNCTION("""COMPUTED_VALUE"""),"Genesis")</f>
        <v>Genesis</v>
      </c>
    </row>
    <row r="5439" spans="1:3" x14ac:dyDescent="0.25">
      <c r="A5439" s="2" t="str">
        <f ca="1">IFERROR(__xludf.DUMMYFUNCTION("""COMPUTED_VALUE"""),"genesislrt-restaked-eth")</f>
        <v>genesislrt-restaked-eth</v>
      </c>
      <c r="B5439" s="2" t="str">
        <f ca="1">IFERROR(__xludf.DUMMYFUNCTION("""COMPUTED_VALUE"""),"ineth")</f>
        <v>ineth</v>
      </c>
      <c r="C5439" s="2" t="str">
        <f ca="1">IFERROR(__xludf.DUMMYFUNCTION("""COMPUTED_VALUE"""),"Inception Restaked ETH")</f>
        <v>Inception Restaked ETH</v>
      </c>
    </row>
    <row r="5440" spans="1:3" x14ac:dyDescent="0.25">
      <c r="A5440" s="2" t="str">
        <f ca="1">IFERROR(__xludf.DUMMYFUNCTION("""COMPUTED_VALUE"""),"genesis-shards")</f>
        <v>genesis-shards</v>
      </c>
      <c r="B5440" s="2" t="str">
        <f ca="1">IFERROR(__xludf.DUMMYFUNCTION("""COMPUTED_VALUE"""),"gs")</f>
        <v>gs</v>
      </c>
      <c r="C5440" s="2" t="str">
        <f ca="1">IFERROR(__xludf.DUMMYFUNCTION("""COMPUTED_VALUE"""),"Genesis Shards")</f>
        <v>Genesis Shards</v>
      </c>
    </row>
    <row r="5441" spans="1:3" x14ac:dyDescent="0.25">
      <c r="A5441" s="2" t="str">
        <f ca="1">IFERROR(__xludf.DUMMYFUNCTION("""COMPUTED_VALUE"""),"genesis-universe")</f>
        <v>genesis-universe</v>
      </c>
      <c r="B5441" s="2" t="str">
        <f ca="1">IFERROR(__xludf.DUMMYFUNCTION("""COMPUTED_VALUE"""),"gut")</f>
        <v>gut</v>
      </c>
      <c r="C5441" s="2" t="str">
        <f ca="1">IFERROR(__xludf.DUMMYFUNCTION("""COMPUTED_VALUE"""),"Genesis Universe")</f>
        <v>Genesis Universe</v>
      </c>
    </row>
    <row r="5442" spans="1:3" x14ac:dyDescent="0.25">
      <c r="A5442" s="2" t="str">
        <f ca="1">IFERROR(__xludf.DUMMYFUNCTION("""COMPUTED_VALUE"""),"genesis-worlds")</f>
        <v>genesis-worlds</v>
      </c>
      <c r="B5442" s="2" t="str">
        <f ca="1">IFERROR(__xludf.DUMMYFUNCTION("""COMPUTED_VALUE"""),"genesis")</f>
        <v>genesis</v>
      </c>
      <c r="C5442" s="2" t="str">
        <f ca="1">IFERROR(__xludf.DUMMYFUNCTION("""COMPUTED_VALUE"""),"Genesis Worlds")</f>
        <v>Genesis Worlds</v>
      </c>
    </row>
    <row r="5443" spans="1:3" x14ac:dyDescent="0.25">
      <c r="A5443" s="2" t="str">
        <f ca="1">IFERROR(__xludf.DUMMYFUNCTION("""COMPUTED_VALUE"""),"genesys")</f>
        <v>genesys</v>
      </c>
      <c r="B5443" s="2" t="str">
        <f ca="1">IFERROR(__xludf.DUMMYFUNCTION("""COMPUTED_VALUE"""),"gsys")</f>
        <v>gsys</v>
      </c>
      <c r="C5443" s="2" t="str">
        <f ca="1">IFERROR(__xludf.DUMMYFUNCTION("""COMPUTED_VALUE"""),"Genesys")</f>
        <v>Genesys</v>
      </c>
    </row>
    <row r="5444" spans="1:3" x14ac:dyDescent="0.25">
      <c r="A5444" s="2" t="str">
        <f ca="1">IFERROR(__xludf.DUMMYFUNCTION("""COMPUTED_VALUE"""),"genesysgo-shadow")</f>
        <v>genesysgo-shadow</v>
      </c>
      <c r="B5444" s="2" t="str">
        <f ca="1">IFERROR(__xludf.DUMMYFUNCTION("""COMPUTED_VALUE"""),"shdw")</f>
        <v>shdw</v>
      </c>
      <c r="C5444" s="2" t="str">
        <f ca="1">IFERROR(__xludf.DUMMYFUNCTION("""COMPUTED_VALUE"""),"Shadow Token")</f>
        <v>Shadow Token</v>
      </c>
    </row>
    <row r="5445" spans="1:3" x14ac:dyDescent="0.25">
      <c r="A5445" s="2" t="str">
        <f ca="1">IFERROR(__xludf.DUMMYFUNCTION("""COMPUTED_VALUE"""),"genie-2")</f>
        <v>genie-2</v>
      </c>
      <c r="B5445" s="2" t="str">
        <f ca="1">IFERROR(__xludf.DUMMYFUNCTION("""COMPUTED_VALUE"""),"genie")</f>
        <v>genie</v>
      </c>
      <c r="C5445" s="2" t="str">
        <f ca="1">IFERROR(__xludf.DUMMYFUNCTION("""COMPUTED_VALUE"""),"Genie")</f>
        <v>Genie</v>
      </c>
    </row>
    <row r="5446" spans="1:3" x14ac:dyDescent="0.25">
      <c r="A5446" s="2" t="str">
        <f ca="1">IFERROR(__xludf.DUMMYFUNCTION("""COMPUTED_VALUE"""),"geniebot")</f>
        <v>geniebot</v>
      </c>
      <c r="B5446" s="2" t="str">
        <f ca="1">IFERROR(__xludf.DUMMYFUNCTION("""COMPUTED_VALUE"""),"genie")</f>
        <v>genie</v>
      </c>
      <c r="C5446" s="2" t="str">
        <f ca="1">IFERROR(__xludf.DUMMYFUNCTION("""COMPUTED_VALUE"""),"GenieBot")</f>
        <v>GenieBot</v>
      </c>
    </row>
    <row r="5447" spans="1:3" x14ac:dyDescent="0.25">
      <c r="A5447" s="2" t="str">
        <f ca="1">IFERROR(__xludf.DUMMYFUNCTION("""COMPUTED_VALUE"""),"genie-protocol")</f>
        <v>genie-protocol</v>
      </c>
      <c r="B5447" s="2" t="str">
        <f ca="1">IFERROR(__xludf.DUMMYFUNCTION("""COMPUTED_VALUE"""),"gnp")</f>
        <v>gnp</v>
      </c>
      <c r="C5447" s="2" t="str">
        <f ca="1">IFERROR(__xludf.DUMMYFUNCTION("""COMPUTED_VALUE"""),"Genie Protocol")</f>
        <v>Genie Protocol</v>
      </c>
    </row>
    <row r="5448" spans="1:3" x14ac:dyDescent="0.25">
      <c r="A5448" s="2" t="str">
        <f ca="1">IFERROR(__xludf.DUMMYFUNCTION("""COMPUTED_VALUE"""),"genius")</f>
        <v>genius</v>
      </c>
      <c r="B5448" s="2" t="str">
        <f ca="1">IFERROR(__xludf.DUMMYFUNCTION("""COMPUTED_VALUE"""),"geni")</f>
        <v>geni</v>
      </c>
      <c r="C5448" s="2" t="str">
        <f ca="1">IFERROR(__xludf.DUMMYFUNCTION("""COMPUTED_VALUE"""),"Genius")</f>
        <v>Genius</v>
      </c>
    </row>
    <row r="5449" spans="1:3" x14ac:dyDescent="0.25">
      <c r="A5449" s="2" t="str">
        <f ca="1">IFERROR(__xludf.DUMMYFUNCTION("""COMPUTED_VALUE"""),"genius-ai")</f>
        <v>genius-ai</v>
      </c>
      <c r="B5449" s="2" t="str">
        <f ca="1">IFERROR(__xludf.DUMMYFUNCTION("""COMPUTED_VALUE"""),"gnus")</f>
        <v>gnus</v>
      </c>
      <c r="C5449" s="2" t="str">
        <f ca="1">IFERROR(__xludf.DUMMYFUNCTION("""COMPUTED_VALUE"""),"GENIUS AI")</f>
        <v>GENIUS AI</v>
      </c>
    </row>
    <row r="5450" spans="1:3" x14ac:dyDescent="0.25">
      <c r="A5450" s="2" t="str">
        <f ca="1">IFERROR(__xludf.DUMMYFUNCTION("""COMPUTED_VALUE"""),"genius-x")</f>
        <v>genius-x</v>
      </c>
      <c r="B5450" s="2" t="str">
        <f ca="1">IFERROR(__xludf.DUMMYFUNCTION("""COMPUTED_VALUE"""),"gensx")</f>
        <v>gensx</v>
      </c>
      <c r="C5450" s="2" t="str">
        <f ca="1">IFERROR(__xludf.DUMMYFUNCTION("""COMPUTED_VALUE"""),"Genius X")</f>
        <v>Genius X</v>
      </c>
    </row>
    <row r="5451" spans="1:3" x14ac:dyDescent="0.25">
      <c r="A5451" s="2" t="str">
        <f ca="1">IFERROR(__xludf.DUMMYFUNCTION("""COMPUTED_VALUE"""),"genius-yield")</f>
        <v>genius-yield</v>
      </c>
      <c r="B5451" s="2" t="str">
        <f ca="1">IFERROR(__xludf.DUMMYFUNCTION("""COMPUTED_VALUE"""),"gens")</f>
        <v>gens</v>
      </c>
      <c r="C5451" s="2" t="str">
        <f ca="1">IFERROR(__xludf.DUMMYFUNCTION("""COMPUTED_VALUE"""),"Genius Yield")</f>
        <v>Genius Yield</v>
      </c>
    </row>
    <row r="5452" spans="1:3" x14ac:dyDescent="0.25">
      <c r="A5452" s="2" t="str">
        <f ca="1">IFERROR(__xludf.DUMMYFUNCTION("""COMPUTED_VALUE"""),"geniux")</f>
        <v>geniux</v>
      </c>
      <c r="B5452" s="2" t="str">
        <f ca="1">IFERROR(__xludf.DUMMYFUNCTION("""COMPUTED_VALUE"""),"iux")</f>
        <v>iux</v>
      </c>
      <c r="C5452" s="2" t="str">
        <f ca="1">IFERROR(__xludf.DUMMYFUNCTION("""COMPUTED_VALUE"""),"GeniuX")</f>
        <v>GeniuX</v>
      </c>
    </row>
    <row r="5453" spans="1:3" x14ac:dyDescent="0.25">
      <c r="A5453" s="2" t="str">
        <f ca="1">IFERROR(__xludf.DUMMYFUNCTION("""COMPUTED_VALUE"""),"genix")</f>
        <v>genix</v>
      </c>
      <c r="B5453" s="2" t="str">
        <f ca="1">IFERROR(__xludf.DUMMYFUNCTION("""COMPUTED_VALUE"""),"genix")</f>
        <v>genix</v>
      </c>
      <c r="C5453" s="2" t="str">
        <f ca="1">IFERROR(__xludf.DUMMYFUNCTION("""COMPUTED_VALUE"""),"Genix")</f>
        <v>Genix</v>
      </c>
    </row>
    <row r="5454" spans="1:3" x14ac:dyDescent="0.25">
      <c r="A5454" s="2" t="str">
        <f ca="1">IFERROR(__xludf.DUMMYFUNCTION("""COMPUTED_VALUE"""),"genomefi")</f>
        <v>genomefi</v>
      </c>
      <c r="B5454" s="2" t="str">
        <f ca="1">IFERROR(__xludf.DUMMYFUNCTION("""COMPUTED_VALUE"""),"geno")</f>
        <v>geno</v>
      </c>
      <c r="C5454" s="2" t="str">
        <f ca="1">IFERROR(__xludf.DUMMYFUNCTION("""COMPUTED_VALUE"""),"GenomeFi")</f>
        <v>GenomeFi</v>
      </c>
    </row>
    <row r="5455" spans="1:3" x14ac:dyDescent="0.25">
      <c r="A5455" s="2" t="str">
        <f ca="1">IFERROR(__xludf.DUMMYFUNCTION("""COMPUTED_VALUE"""),"genomesdao")</f>
        <v>genomesdao</v>
      </c>
      <c r="B5455" s="2" t="str">
        <f ca="1">IFERROR(__xludf.DUMMYFUNCTION("""COMPUTED_VALUE"""),"$gene")</f>
        <v>$gene</v>
      </c>
      <c r="C5455" s="2" t="str">
        <f ca="1">IFERROR(__xludf.DUMMYFUNCTION("""COMPUTED_VALUE"""),"GenomesDAO GENE")</f>
        <v>GenomesDAO GENE</v>
      </c>
    </row>
    <row r="5456" spans="1:3" x14ac:dyDescent="0.25">
      <c r="A5456" s="2" t="str">
        <f ca="1">IFERROR(__xludf.DUMMYFUNCTION("""COMPUTED_VALUE"""),"genomesdao-genome")</f>
        <v>genomesdao-genome</v>
      </c>
      <c r="B5456" s="2" t="str">
        <f ca="1">IFERROR(__xludf.DUMMYFUNCTION("""COMPUTED_VALUE"""),"genome")</f>
        <v>genome</v>
      </c>
      <c r="C5456" s="2" t="str">
        <f ca="1">IFERROR(__xludf.DUMMYFUNCTION("""COMPUTED_VALUE"""),"GenomesDAO GENOME")</f>
        <v>GenomesDAO GENOME</v>
      </c>
    </row>
    <row r="5457" spans="1:3" x14ac:dyDescent="0.25">
      <c r="A5457" s="2" t="str">
        <f ca="1">IFERROR(__xludf.DUMMYFUNCTION("""COMPUTED_VALUE"""),"genopet-ki")</f>
        <v>genopet-ki</v>
      </c>
      <c r="B5457" s="2" t="str">
        <f ca="1">IFERROR(__xludf.DUMMYFUNCTION("""COMPUTED_VALUE"""),"ki")</f>
        <v>ki</v>
      </c>
      <c r="C5457" s="2" t="str">
        <f ca="1">IFERROR(__xludf.DUMMYFUNCTION("""COMPUTED_VALUE"""),"Genopets KI")</f>
        <v>Genopets KI</v>
      </c>
    </row>
    <row r="5458" spans="1:3" x14ac:dyDescent="0.25">
      <c r="A5458" s="2" t="str">
        <f ca="1">IFERROR(__xludf.DUMMYFUNCTION("""COMPUTED_VALUE"""),"genopets")</f>
        <v>genopets</v>
      </c>
      <c r="B5458" s="2" t="str">
        <f ca="1">IFERROR(__xludf.DUMMYFUNCTION("""COMPUTED_VALUE"""),"gene")</f>
        <v>gene</v>
      </c>
      <c r="C5458" s="2" t="str">
        <f ca="1">IFERROR(__xludf.DUMMYFUNCTION("""COMPUTED_VALUE"""),"Genopets")</f>
        <v>Genopets</v>
      </c>
    </row>
    <row r="5459" spans="1:3" x14ac:dyDescent="0.25">
      <c r="A5459" s="2" t="str">
        <f ca="1">IFERROR(__xludf.DUMMYFUNCTION("""COMPUTED_VALUE"""),"genshiro")</f>
        <v>genshiro</v>
      </c>
      <c r="B5459" s="2" t="str">
        <f ca="1">IFERROR(__xludf.DUMMYFUNCTION("""COMPUTED_VALUE"""),"gens")</f>
        <v>gens</v>
      </c>
      <c r="C5459" s="2" t="str">
        <f ca="1">IFERROR(__xludf.DUMMYFUNCTION("""COMPUTED_VALUE"""),"Genshiro")</f>
        <v>Genshiro</v>
      </c>
    </row>
    <row r="5460" spans="1:3" x14ac:dyDescent="0.25">
      <c r="A5460" s="2" t="str">
        <f ca="1">IFERROR(__xludf.DUMMYFUNCTION("""COMPUTED_VALUE"""),"gensler")</f>
        <v>gensler</v>
      </c>
      <c r="B5460" s="2" t="str">
        <f ca="1">IFERROR(__xludf.DUMMYFUNCTION("""COMPUTED_VALUE"""),"sec")</f>
        <v>sec</v>
      </c>
      <c r="C5460" s="2" t="str">
        <f ca="1">IFERROR(__xludf.DUMMYFUNCTION("""COMPUTED_VALUE"""),"gensler")</f>
        <v>gensler</v>
      </c>
    </row>
    <row r="5461" spans="1:3" x14ac:dyDescent="0.25">
      <c r="A5461" s="2" t="str">
        <f ca="1">IFERROR(__xludf.DUMMYFUNCTION("""COMPUTED_VALUE"""),"gensokishis-metaverse")</f>
        <v>gensokishis-metaverse</v>
      </c>
      <c r="B5461" s="2" t="str">
        <f ca="1">IFERROR(__xludf.DUMMYFUNCTION("""COMPUTED_VALUE"""),"mv")</f>
        <v>mv</v>
      </c>
      <c r="C5461" s="2" t="str">
        <f ca="1">IFERROR(__xludf.DUMMYFUNCTION("""COMPUTED_VALUE"""),"GensoKishi Metaverse")</f>
        <v>GensoKishi Metaverse</v>
      </c>
    </row>
    <row r="5462" spans="1:3" x14ac:dyDescent="0.25">
      <c r="A5462" s="2" t="str">
        <f ca="1">IFERROR(__xludf.DUMMYFUNCTION("""COMPUTED_VALUE"""),"genuine-ai")</f>
        <v>genuine-ai</v>
      </c>
      <c r="B5462" s="2" t="str">
        <f ca="1">IFERROR(__xludf.DUMMYFUNCTION("""COMPUTED_VALUE"""),"genai")</f>
        <v>genai</v>
      </c>
      <c r="C5462" s="2" t="str">
        <f ca="1">IFERROR(__xludf.DUMMYFUNCTION("""COMPUTED_VALUE"""),"GENUINE AI")</f>
        <v>GENUINE AI</v>
      </c>
    </row>
    <row r="5463" spans="1:3" x14ac:dyDescent="0.25">
      <c r="A5463" s="2" t="str">
        <f ca="1">IFERROR(__xludf.DUMMYFUNCTION("""COMPUTED_VALUE"""),"genz-token")</f>
        <v>genz-token</v>
      </c>
      <c r="B5463" s="2" t="str">
        <f ca="1">IFERROR(__xludf.DUMMYFUNCTION("""COMPUTED_VALUE"""),"genz")</f>
        <v>genz</v>
      </c>
      <c r="C5463" s="2" t="str">
        <f ca="1">IFERROR(__xludf.DUMMYFUNCTION("""COMPUTED_VALUE"""),"GENZ Token")</f>
        <v>GENZ Token</v>
      </c>
    </row>
    <row r="5464" spans="1:3" x14ac:dyDescent="0.25">
      <c r="A5464" s="2" t="str">
        <f ca="1">IFERROR(__xludf.DUMMYFUNCTION("""COMPUTED_VALUE"""),"geodb")</f>
        <v>geodb</v>
      </c>
      <c r="B5464" s="2" t="str">
        <f ca="1">IFERROR(__xludf.DUMMYFUNCTION("""COMPUTED_VALUE"""),"geo")</f>
        <v>geo</v>
      </c>
      <c r="C5464" s="2" t="str">
        <f ca="1">IFERROR(__xludf.DUMMYFUNCTION("""COMPUTED_VALUE"""),"GeoDB")</f>
        <v>GeoDB</v>
      </c>
    </row>
    <row r="5465" spans="1:3" x14ac:dyDescent="0.25">
      <c r="A5465" s="2" t="str">
        <f ca="1">IFERROR(__xludf.DUMMYFUNCTION("""COMPUTED_VALUE"""),"geodnet")</f>
        <v>geodnet</v>
      </c>
      <c r="B5465" s="2" t="str">
        <f ca="1">IFERROR(__xludf.DUMMYFUNCTION("""COMPUTED_VALUE"""),"geod")</f>
        <v>geod</v>
      </c>
      <c r="C5465" s="2" t="str">
        <f ca="1">IFERROR(__xludf.DUMMYFUNCTION("""COMPUTED_VALUE"""),"Geodnet")</f>
        <v>Geodnet</v>
      </c>
    </row>
    <row r="5466" spans="1:3" x14ac:dyDescent="0.25">
      <c r="A5466" s="2" t="str">
        <f ca="1">IFERROR(__xludf.DUMMYFUNCTION("""COMPUTED_VALUE"""),"geojam")</f>
        <v>geojam</v>
      </c>
      <c r="B5466" s="2" t="str">
        <f ca="1">IFERROR(__xludf.DUMMYFUNCTION("""COMPUTED_VALUE"""),"jam")</f>
        <v>jam</v>
      </c>
      <c r="C5466" s="2" t="str">
        <f ca="1">IFERROR(__xludf.DUMMYFUNCTION("""COMPUTED_VALUE"""),"Geojam")</f>
        <v>Geojam</v>
      </c>
    </row>
    <row r="5467" spans="1:3" x14ac:dyDescent="0.25">
      <c r="A5467" s="2" t="str">
        <f ca="1">IFERROR(__xludf.DUMMYFUNCTION("""COMPUTED_VALUE"""),"geoleaf-2")</f>
        <v>geoleaf-2</v>
      </c>
      <c r="B5467" s="2" t="str">
        <f ca="1">IFERROR(__xludf.DUMMYFUNCTION("""COMPUTED_VALUE"""),"glt")</f>
        <v>glt</v>
      </c>
      <c r="C5467" s="2" t="str">
        <f ca="1">IFERROR(__xludf.DUMMYFUNCTION("""COMPUTED_VALUE"""),"GeoLeaf")</f>
        <v>GeoLeaf</v>
      </c>
    </row>
    <row r="5468" spans="1:3" x14ac:dyDescent="0.25">
      <c r="A5468" s="2" t="str">
        <f ca="1">IFERROR(__xludf.DUMMYFUNCTION("""COMPUTED_VALUE"""),"geometric-energy-corporation")</f>
        <v>geometric-energy-corporation</v>
      </c>
      <c r="B5468" s="2" t="str">
        <f ca="1">IFERROR(__xludf.DUMMYFUNCTION("""COMPUTED_VALUE"""),"gec")</f>
        <v>gec</v>
      </c>
      <c r="C5468" s="2" t="str">
        <f ca="1">IFERROR(__xludf.DUMMYFUNCTION("""COMPUTED_VALUE"""),"Geometric Energy Corporation")</f>
        <v>Geometric Energy Corporation</v>
      </c>
    </row>
    <row r="5469" spans="1:3" x14ac:dyDescent="0.25">
      <c r="A5469" s="2" t="str">
        <f ca="1">IFERROR(__xludf.DUMMYFUNCTION("""COMPUTED_VALUE"""),"geopoly")</f>
        <v>geopoly</v>
      </c>
      <c r="B5469" s="2" t="str">
        <f ca="1">IFERROR(__xludf.DUMMYFUNCTION("""COMPUTED_VALUE"""),"geo$")</f>
        <v>geo$</v>
      </c>
      <c r="C5469" s="2" t="str">
        <f ca="1">IFERROR(__xludf.DUMMYFUNCTION("""COMPUTED_VALUE"""),"Geopoly")</f>
        <v>Geopoly</v>
      </c>
    </row>
    <row r="5470" spans="1:3" x14ac:dyDescent="0.25">
      <c r="A5470" s="2" t="str">
        <f ca="1">IFERROR(__xludf.DUMMYFUNCTION("""COMPUTED_VALUE"""),"germain-le-lynx-mascot-ps")</f>
        <v>germain-le-lynx-mascot-ps</v>
      </c>
      <c r="B5470" s="2" t="str">
        <f ca="1">IFERROR(__xludf.DUMMYFUNCTION("""COMPUTED_VALUE"""),"germain")</f>
        <v>germain</v>
      </c>
      <c r="C5470" s="2" t="str">
        <f ca="1">IFERROR(__xludf.DUMMYFUNCTION("""COMPUTED_VALUE"""),"Germain le Lynx Mascot PSG")</f>
        <v>Germain le Lynx Mascot PSG</v>
      </c>
    </row>
    <row r="5471" spans="1:3" x14ac:dyDescent="0.25">
      <c r="A5471" s="2" t="str">
        <f ca="1">IFERROR(__xludf.DUMMYFUNCTION("""COMPUTED_VALUE"""),"germany-coin")</f>
        <v>germany-coin</v>
      </c>
      <c r="B5471" s="2" t="str">
        <f ca="1">IFERROR(__xludf.DUMMYFUNCTION("""COMPUTED_VALUE"""),"ger")</f>
        <v>ger</v>
      </c>
      <c r="C5471" s="2" t="str">
        <f ca="1">IFERROR(__xludf.DUMMYFUNCTION("""COMPUTED_VALUE"""),"Germany Coin")</f>
        <v>Germany Coin</v>
      </c>
    </row>
    <row r="5472" spans="1:3" x14ac:dyDescent="0.25">
      <c r="A5472" s="2" t="str">
        <f ca="1">IFERROR(__xludf.DUMMYFUNCTION("""COMPUTED_VALUE"""),"gerowallet")</f>
        <v>gerowallet</v>
      </c>
      <c r="B5472" s="2" t="str">
        <f ca="1">IFERROR(__xludf.DUMMYFUNCTION("""COMPUTED_VALUE"""),"gero")</f>
        <v>gero</v>
      </c>
      <c r="C5472" s="2" t="str">
        <f ca="1">IFERROR(__xludf.DUMMYFUNCTION("""COMPUTED_VALUE"""),"GeroWallet")</f>
        <v>GeroWallet</v>
      </c>
    </row>
    <row r="5473" spans="1:3" x14ac:dyDescent="0.25">
      <c r="A5473" s="2" t="str">
        <f ca="1">IFERROR(__xludf.DUMMYFUNCTION("""COMPUTED_VALUE"""),"gerta")</f>
        <v>gerta</v>
      </c>
      <c r="B5473" s="2" t="str">
        <f ca="1">IFERROR(__xludf.DUMMYFUNCTION("""COMPUTED_VALUE"""),"gerta")</f>
        <v>gerta</v>
      </c>
      <c r="C5473" s="2" t="str">
        <f ca="1">IFERROR(__xludf.DUMMYFUNCTION("""COMPUTED_VALUE"""),"Gerta")</f>
        <v>Gerta</v>
      </c>
    </row>
    <row r="5474" spans="1:3" x14ac:dyDescent="0.25">
      <c r="A5474" s="2" t="str">
        <f ca="1">IFERROR(__xludf.DUMMYFUNCTION("""COMPUTED_VALUE"""),"getaverse")</f>
        <v>getaverse</v>
      </c>
      <c r="B5474" s="2" t="str">
        <f ca="1">IFERROR(__xludf.DUMMYFUNCTION("""COMPUTED_VALUE"""),"geta")</f>
        <v>geta</v>
      </c>
      <c r="C5474" s="2" t="str">
        <f ca="1">IFERROR(__xludf.DUMMYFUNCTION("""COMPUTED_VALUE"""),"Getaverse")</f>
        <v>Getaverse</v>
      </c>
    </row>
    <row r="5475" spans="1:3" x14ac:dyDescent="0.25">
      <c r="A5475" s="2" t="str">
        <f ca="1">IFERROR(__xludf.DUMMYFUNCTION("""COMPUTED_VALUE"""),"getkicks")</f>
        <v>getkicks</v>
      </c>
      <c r="B5475" s="2" t="str">
        <f ca="1">IFERROR(__xludf.DUMMYFUNCTION("""COMPUTED_VALUE"""),"kicks")</f>
        <v>kicks</v>
      </c>
      <c r="C5475" s="2" t="str">
        <f ca="1">IFERROR(__xludf.DUMMYFUNCTION("""COMPUTED_VALUE"""),"GetKicks")</f>
        <v>GetKicks</v>
      </c>
    </row>
    <row r="5476" spans="1:3" x14ac:dyDescent="0.25">
      <c r="A5476" s="2" t="str">
        <f ca="1">IFERROR(__xludf.DUMMYFUNCTION("""COMPUTED_VALUE"""),"get-token")</f>
        <v>get-token</v>
      </c>
      <c r="B5476" s="2" t="str">
        <f ca="1">IFERROR(__xludf.DUMMYFUNCTION("""COMPUTED_VALUE"""),"get")</f>
        <v>get</v>
      </c>
      <c r="C5476" s="2" t="str">
        <f ca="1">IFERROR(__xludf.DUMMYFUNCTION("""COMPUTED_VALUE"""),"GET Protocol")</f>
        <v>GET Protocol</v>
      </c>
    </row>
    <row r="5477" spans="1:3" x14ac:dyDescent="0.25">
      <c r="A5477" s="2" t="str">
        <f ca="1">IFERROR(__xludf.DUMMYFUNCTION("""COMPUTED_VALUE"""),"geyser")</f>
        <v>geyser</v>
      </c>
      <c r="B5477" s="2" t="str">
        <f ca="1">IFERROR(__xludf.DUMMYFUNCTION("""COMPUTED_VALUE"""),"gysr")</f>
        <v>gysr</v>
      </c>
      <c r="C5477" s="2" t="str">
        <f ca="1">IFERROR(__xludf.DUMMYFUNCTION("""COMPUTED_VALUE"""),"Geyser")</f>
        <v>Geyser</v>
      </c>
    </row>
    <row r="5478" spans="1:3" x14ac:dyDescent="0.25">
      <c r="A5478" s="2" t="str">
        <f ca="1">IFERROR(__xludf.DUMMYFUNCTION("""COMPUTED_VALUE"""),"gfinancepay")</f>
        <v>gfinancepay</v>
      </c>
      <c r="B5478" s="2" t="str">
        <f ca="1">IFERROR(__xludf.DUMMYFUNCTION("""COMPUTED_VALUE"""),"gfp")</f>
        <v>gfp</v>
      </c>
      <c r="C5478" s="2" t="str">
        <f ca="1">IFERROR(__xludf.DUMMYFUNCTION("""COMPUTED_VALUE"""),"GFinancePay")</f>
        <v>GFinancePay</v>
      </c>
    </row>
    <row r="5479" spans="1:3" x14ac:dyDescent="0.25">
      <c r="A5479" s="2" t="str">
        <f ca="1">IFERROR(__xludf.DUMMYFUNCTION("""COMPUTED_VALUE"""),"gg-metagame")</f>
        <v>gg-metagame</v>
      </c>
      <c r="B5479" s="2" t="str">
        <f ca="1">IFERROR(__xludf.DUMMYFUNCTION("""COMPUTED_VALUE"""),"ggmt")</f>
        <v>ggmt</v>
      </c>
      <c r="C5479" s="2" t="str">
        <f ca="1">IFERROR(__xludf.DUMMYFUNCTION("""COMPUTED_VALUE"""),"GG MetaGame")</f>
        <v>GG MetaGame</v>
      </c>
    </row>
    <row r="5480" spans="1:3" x14ac:dyDescent="0.25">
      <c r="A5480" s="2" t="str">
        <f ca="1">IFERROR(__xludf.DUMMYFUNCTION("""COMPUTED_VALUE"""),"gg-token")</f>
        <v>gg-token</v>
      </c>
      <c r="B5480" s="2" t="str">
        <f ca="1">IFERROR(__xludf.DUMMYFUNCTION("""COMPUTED_VALUE"""),"ggtk")</f>
        <v>ggtk</v>
      </c>
      <c r="C5480" s="2" t="str">
        <f ca="1">IFERROR(__xludf.DUMMYFUNCTION("""COMPUTED_VALUE"""),"GG")</f>
        <v>GG</v>
      </c>
    </row>
    <row r="5481" spans="1:3" x14ac:dyDescent="0.25">
      <c r="A5481" s="2" t="str">
        <f ca="1">IFERROR(__xludf.DUMMYFUNCTION("""COMPUTED_VALUE"""),"gh0stc0in")</f>
        <v>gh0stc0in</v>
      </c>
      <c r="B5481" s="2" t="str">
        <f ca="1">IFERROR(__xludf.DUMMYFUNCTION("""COMPUTED_VALUE"""),"ghost")</f>
        <v>ghost</v>
      </c>
      <c r="C5481" s="2" t="str">
        <f ca="1">IFERROR(__xludf.DUMMYFUNCTION("""COMPUTED_VALUE"""),"gh0stc0in")</f>
        <v>gh0stc0in</v>
      </c>
    </row>
    <row r="5482" spans="1:3" x14ac:dyDescent="0.25">
      <c r="A5482" s="2" t="str">
        <f ca="1">IFERROR(__xludf.DUMMYFUNCTION("""COMPUTED_VALUE"""),"ghast")</f>
        <v>ghast</v>
      </c>
      <c r="B5482" s="2" t="str">
        <f ca="1">IFERROR(__xludf.DUMMYFUNCTION("""COMPUTED_VALUE"""),"gha")</f>
        <v>gha</v>
      </c>
      <c r="C5482" s="2" t="str">
        <f ca="1">IFERROR(__xludf.DUMMYFUNCTION("""COMPUTED_VALUE"""),"Ghast")</f>
        <v>Ghast</v>
      </c>
    </row>
    <row r="5483" spans="1:3" x14ac:dyDescent="0.25">
      <c r="A5483" s="2" t="str">
        <f ca="1">IFERROR(__xludf.DUMMYFUNCTION("""COMPUTED_VALUE"""),"ghislaine-network")</f>
        <v>ghislaine-network</v>
      </c>
      <c r="B5483" s="2" t="str">
        <f ca="1">IFERROR(__xludf.DUMMYFUNCTION("""COMPUTED_VALUE"""),"ghsi")</f>
        <v>ghsi</v>
      </c>
      <c r="C5483" s="2" t="str">
        <f ca="1">IFERROR(__xludf.DUMMYFUNCTION("""COMPUTED_VALUE"""),"Ghislaine Network")</f>
        <v>Ghislaine Network</v>
      </c>
    </row>
    <row r="5484" spans="1:3" x14ac:dyDescent="0.25">
      <c r="A5484" s="2" t="str">
        <f ca="1">IFERROR(__xludf.DUMMYFUNCTION("""COMPUTED_VALUE"""),"gho")</f>
        <v>gho</v>
      </c>
      <c r="B5484" s="2" t="str">
        <f ca="1">IFERROR(__xludf.DUMMYFUNCTION("""COMPUTED_VALUE"""),"gho")</f>
        <v>gho</v>
      </c>
      <c r="C5484" s="2" t="str">
        <f ca="1">IFERROR(__xludf.DUMMYFUNCTION("""COMPUTED_VALUE"""),"GHO")</f>
        <v>GHO</v>
      </c>
    </row>
    <row r="5485" spans="1:3" x14ac:dyDescent="0.25">
      <c r="A5485" s="2" t="str">
        <f ca="1">IFERROR(__xludf.DUMMYFUNCTION("""COMPUTED_VALUE"""),"ghost-by-mcafee")</f>
        <v>ghost-by-mcafee</v>
      </c>
      <c r="B5485" s="2" t="str">
        <f ca="1">IFERROR(__xludf.DUMMYFUNCTION("""COMPUTED_VALUE"""),"ghost")</f>
        <v>ghost</v>
      </c>
      <c r="C5485" s="2" t="str">
        <f ca="1">IFERROR(__xludf.DUMMYFUNCTION("""COMPUTED_VALUE"""),"Ghost")</f>
        <v>Ghost</v>
      </c>
    </row>
    <row r="5486" spans="1:3" x14ac:dyDescent="0.25">
      <c r="A5486" s="2" t="str">
        <f ca="1">IFERROR(__xludf.DUMMYFUNCTION("""COMPUTED_VALUE"""),"ghost-coin")</f>
        <v>ghost-coin</v>
      </c>
      <c r="B5486" s="2" t="str">
        <f ca="1">IFERROR(__xludf.DUMMYFUNCTION("""COMPUTED_VALUE"""),"ghost")</f>
        <v>ghost</v>
      </c>
      <c r="C5486" s="2" t="str">
        <f ca="1">IFERROR(__xludf.DUMMYFUNCTION("""COMPUTED_VALUE"""),"Ghost Coin")</f>
        <v>Ghost Coin</v>
      </c>
    </row>
    <row r="5487" spans="1:3" x14ac:dyDescent="0.25">
      <c r="A5487" s="2" t="str">
        <f ca="1">IFERROR(__xludf.DUMMYFUNCTION("""COMPUTED_VALUE"""),"ghostdag-org")</f>
        <v>ghostdag-org</v>
      </c>
      <c r="B5487" s="2" t="str">
        <f ca="1">IFERROR(__xludf.DUMMYFUNCTION("""COMPUTED_VALUE"""),"gdag")</f>
        <v>gdag</v>
      </c>
      <c r="C5487" s="3" t="str">
        <f ca="1">IFERROR(__xludf.DUMMYFUNCTION("""COMPUTED_VALUE"""),"GhostDAG.org")</f>
        <v>GhostDAG.org</v>
      </c>
    </row>
    <row r="5488" spans="1:3" x14ac:dyDescent="0.25">
      <c r="A5488" s="2" t="str">
        <f ca="1">IFERROR(__xludf.DUMMYFUNCTION("""COMPUTED_VALUE"""),"ghostkids")</f>
        <v>ghostkids</v>
      </c>
      <c r="B5488" s="2" t="str">
        <f ca="1">IFERROR(__xludf.DUMMYFUNCTION("""COMPUTED_VALUE"""),"boo")</f>
        <v>boo</v>
      </c>
      <c r="C5488" s="2" t="str">
        <f ca="1">IFERROR(__xludf.DUMMYFUNCTION("""COMPUTED_VALUE"""),"GhostKids")</f>
        <v>GhostKids</v>
      </c>
    </row>
    <row r="5489" spans="1:3" x14ac:dyDescent="0.25">
      <c r="A5489" s="2" t="str">
        <f ca="1">IFERROR(__xludf.DUMMYFUNCTION("""COMPUTED_VALUE"""),"ghostmarket")</f>
        <v>ghostmarket</v>
      </c>
      <c r="B5489" s="2" t="str">
        <f ca="1">IFERROR(__xludf.DUMMYFUNCTION("""COMPUTED_VALUE"""),"gm")</f>
        <v>gm</v>
      </c>
      <c r="C5489" s="2" t="str">
        <f ca="1">IFERROR(__xludf.DUMMYFUNCTION("""COMPUTED_VALUE"""),"GhostMarket")</f>
        <v>GhostMarket</v>
      </c>
    </row>
    <row r="5490" spans="1:3" x14ac:dyDescent="0.25">
      <c r="A5490" s="2" t="str">
        <f ca="1">IFERROR(__xludf.DUMMYFUNCTION("""COMPUTED_VALUE"""),"ghostwifhat")</f>
        <v>ghostwifhat</v>
      </c>
      <c r="B5490" s="2" t="str">
        <f ca="1">IFERROR(__xludf.DUMMYFUNCTION("""COMPUTED_VALUE"""),"gif")</f>
        <v>gif</v>
      </c>
      <c r="C5490" s="2" t="str">
        <f ca="1">IFERROR(__xludf.DUMMYFUNCTION("""COMPUTED_VALUE"""),"Ghostwifhat")</f>
        <v>Ghostwifhat</v>
      </c>
    </row>
    <row r="5491" spans="1:3" x14ac:dyDescent="0.25">
      <c r="A5491" s="2" t="str">
        <f ca="1">IFERROR(__xludf.DUMMYFUNCTION("""COMPUTED_VALUE"""),"ghosty")</f>
        <v>ghosty</v>
      </c>
      <c r="B5491" s="2" t="str">
        <f ca="1">IFERROR(__xludf.DUMMYFUNCTION("""COMPUTED_VALUE"""),"ghsy")</f>
        <v>ghsy</v>
      </c>
      <c r="C5491" s="2" t="str">
        <f ca="1">IFERROR(__xludf.DUMMYFUNCTION("""COMPUTED_VALUE"""),"GHOSTY")</f>
        <v>GHOSTY</v>
      </c>
    </row>
    <row r="5492" spans="1:3" x14ac:dyDescent="0.25">
      <c r="A5492" s="2" t="str">
        <f ca="1">IFERROR(__xludf.DUMMYFUNCTION("""COMPUTED_VALUE"""),"ghozali-404")</f>
        <v>ghozali-404</v>
      </c>
      <c r="B5492" s="2" t="str">
        <f ca="1">IFERROR(__xludf.DUMMYFUNCTION("""COMPUTED_VALUE"""),"ghzli")</f>
        <v>ghzli</v>
      </c>
      <c r="C5492" s="2" t="str">
        <f ca="1">IFERROR(__xludf.DUMMYFUNCTION("""COMPUTED_VALUE"""),"Ghozali 404")</f>
        <v>Ghozali 404</v>
      </c>
    </row>
    <row r="5493" spans="1:3" x14ac:dyDescent="0.25">
      <c r="A5493" s="2" t="str">
        <f ca="1">IFERROR(__xludf.DUMMYFUNCTION("""COMPUTED_VALUE"""),"giant-mammoth")</f>
        <v>giant-mammoth</v>
      </c>
      <c r="B5493" s="2" t="str">
        <f ca="1">IFERROR(__xludf.DUMMYFUNCTION("""COMPUTED_VALUE"""),"gmmt")</f>
        <v>gmmt</v>
      </c>
      <c r="C5493" s="2" t="str">
        <f ca="1">IFERROR(__xludf.DUMMYFUNCTION("""COMPUTED_VALUE"""),"Giant Mammoth")</f>
        <v>Giant Mammoth</v>
      </c>
    </row>
    <row r="5494" spans="1:3" x14ac:dyDescent="0.25">
      <c r="A5494" s="2" t="str">
        <f ca="1">IFERROR(__xludf.DUMMYFUNCTION("""COMPUTED_VALUE"""),"gib")</f>
        <v>gib</v>
      </c>
      <c r="B5494" s="2" t="str">
        <f ca="1">IFERROR(__xludf.DUMMYFUNCTION("""COMPUTED_VALUE"""),"$gib")</f>
        <v>$gib</v>
      </c>
      <c r="C5494" s="2" t="str">
        <f ca="1">IFERROR(__xludf.DUMMYFUNCTION("""COMPUTED_VALUE"""),"GIB")</f>
        <v>GIB</v>
      </c>
    </row>
    <row r="5495" spans="1:3" x14ac:dyDescent="0.25">
      <c r="A5495" s="2" t="str">
        <f ca="1">IFERROR(__xludf.DUMMYFUNCTION("""COMPUTED_VALUE"""),"gibape")</f>
        <v>gibape</v>
      </c>
      <c r="B5495" s="2" t="str">
        <f ca="1">IFERROR(__xludf.DUMMYFUNCTION("""COMPUTED_VALUE"""),"gib")</f>
        <v>gib</v>
      </c>
      <c r="C5495" s="2" t="str">
        <f ca="1">IFERROR(__xludf.DUMMYFUNCTION("""COMPUTED_VALUE"""),"Gibape")</f>
        <v>Gibape</v>
      </c>
    </row>
    <row r="5496" spans="1:3" x14ac:dyDescent="0.25">
      <c r="A5496" s="2" t="str">
        <f ca="1">IFERROR(__xludf.DUMMYFUNCTION("""COMPUTED_VALUE"""),"gibx-swap")</f>
        <v>gibx-swap</v>
      </c>
      <c r="B5496" s="2" t="str">
        <f ca="1">IFERROR(__xludf.DUMMYFUNCTION("""COMPUTED_VALUE"""),"x")</f>
        <v>x</v>
      </c>
      <c r="C5496" s="2" t="str">
        <f ca="1">IFERROR(__xludf.DUMMYFUNCTION("""COMPUTED_VALUE"""),"GIBX Swap")</f>
        <v>GIBX Swap</v>
      </c>
    </row>
    <row r="5497" spans="1:3" x14ac:dyDescent="0.25">
      <c r="A5497" s="2" t="str">
        <f ca="1">IFERROR(__xludf.DUMMYFUNCTION("""COMPUTED_VALUE"""),"gictrade")</f>
        <v>gictrade</v>
      </c>
      <c r="B5497" s="2" t="str">
        <f ca="1">IFERROR(__xludf.DUMMYFUNCTION("""COMPUTED_VALUE"""),"gict")</f>
        <v>gict</v>
      </c>
      <c r="C5497" s="2" t="str">
        <f ca="1">IFERROR(__xludf.DUMMYFUNCTION("""COMPUTED_VALUE"""),"GICTrade")</f>
        <v>GICTrade</v>
      </c>
    </row>
    <row r="5498" spans="1:3" x14ac:dyDescent="0.25">
      <c r="A5498" s="2" t="str">
        <f ca="1">IFERROR(__xludf.DUMMYFUNCTION("""COMPUTED_VALUE"""),"giddy")</f>
        <v>giddy</v>
      </c>
      <c r="B5498" s="2" t="str">
        <f ca="1">IFERROR(__xludf.DUMMYFUNCTION("""COMPUTED_VALUE"""),"giddy")</f>
        <v>giddy</v>
      </c>
      <c r="C5498" s="2" t="str">
        <f ca="1">IFERROR(__xludf.DUMMYFUNCTION("""COMPUTED_VALUE"""),"Giddy")</f>
        <v>Giddy</v>
      </c>
    </row>
    <row r="5499" spans="1:3" x14ac:dyDescent="0.25">
      <c r="A5499" s="2" t="str">
        <f ca="1">IFERROR(__xludf.DUMMYFUNCTION("""COMPUTED_VALUE"""),"gif-dao")</f>
        <v>gif-dao</v>
      </c>
      <c r="B5499" s="2" t="str">
        <f ca="1">IFERROR(__xludf.DUMMYFUNCTION("""COMPUTED_VALUE"""),"gif")</f>
        <v>gif</v>
      </c>
      <c r="C5499" s="2" t="str">
        <f ca="1">IFERROR(__xludf.DUMMYFUNCTION("""COMPUTED_VALUE"""),"GIF DAO")</f>
        <v>GIF DAO</v>
      </c>
    </row>
    <row r="5500" spans="1:3" x14ac:dyDescent="0.25">
      <c r="A5500" s="2" t="str">
        <f ca="1">IFERROR(__xludf.DUMMYFUNCTION("""COMPUTED_VALUE"""),"giffordwear")</f>
        <v>giffordwear</v>
      </c>
      <c r="B5500" s="2" t="str">
        <f ca="1">IFERROR(__xludf.DUMMYFUNCTION("""COMPUTED_VALUE"""),"giff")</f>
        <v>giff</v>
      </c>
      <c r="C5500" s="2" t="str">
        <f ca="1">IFERROR(__xludf.DUMMYFUNCTION("""COMPUTED_VALUE"""),"GIFFORDwear")</f>
        <v>GIFFORDwear</v>
      </c>
    </row>
    <row r="5501" spans="1:3" x14ac:dyDescent="0.25">
      <c r="A5501" s="2" t="str">
        <f ca="1">IFERROR(__xludf.DUMMYFUNCTION("""COMPUTED_VALUE"""),"giftedhands")</f>
        <v>giftedhands</v>
      </c>
      <c r="B5501" s="2" t="str">
        <f ca="1">IFERROR(__xludf.DUMMYFUNCTION("""COMPUTED_VALUE"""),"ghd")</f>
        <v>ghd</v>
      </c>
      <c r="C5501" s="2" t="str">
        <f ca="1">IFERROR(__xludf.DUMMYFUNCTION("""COMPUTED_VALUE"""),"Giftedhands")</f>
        <v>Giftedhands</v>
      </c>
    </row>
    <row r="5502" spans="1:3" x14ac:dyDescent="0.25">
      <c r="A5502" s="2" t="str">
        <f ca="1">IFERROR(__xludf.DUMMYFUNCTION("""COMPUTED_VALUE"""),"gifto")</f>
        <v>gifto</v>
      </c>
      <c r="B5502" s="2" t="str">
        <f ca="1">IFERROR(__xludf.DUMMYFUNCTION("""COMPUTED_VALUE"""),"gft")</f>
        <v>gft</v>
      </c>
      <c r="C5502" s="2" t="str">
        <f ca="1">IFERROR(__xludf.DUMMYFUNCTION("""COMPUTED_VALUE"""),"Gifto")</f>
        <v>Gifto</v>
      </c>
    </row>
    <row r="5503" spans="1:3" x14ac:dyDescent="0.25">
      <c r="A5503" s="2" t="str">
        <f ca="1">IFERROR(__xludf.DUMMYFUNCTION("""COMPUTED_VALUE"""),"gigacat")</f>
        <v>gigacat</v>
      </c>
      <c r="B5503" s="2" t="str">
        <f ca="1">IFERROR(__xludf.DUMMYFUNCTION("""COMPUTED_VALUE"""),"gigacat")</f>
        <v>gigacat</v>
      </c>
      <c r="C5503" s="2" t="str">
        <f ca="1">IFERROR(__xludf.DUMMYFUNCTION("""COMPUTED_VALUE"""),"GIGACAT")</f>
        <v>GIGACAT</v>
      </c>
    </row>
    <row r="5504" spans="1:3" x14ac:dyDescent="0.25">
      <c r="A5504" s="2" t="str">
        <f ca="1">IFERROR(__xludf.DUMMYFUNCTION("""COMPUTED_VALUE"""),"giga-cat")</f>
        <v>giga-cat</v>
      </c>
      <c r="B5504" s="2" t="str">
        <f ca="1">IFERROR(__xludf.DUMMYFUNCTION("""COMPUTED_VALUE"""),"gcat")</f>
        <v>gcat</v>
      </c>
      <c r="C5504" s="2" t="str">
        <f ca="1">IFERROR(__xludf.DUMMYFUNCTION("""COMPUTED_VALUE"""),"Giga Cat")</f>
        <v>Giga Cat</v>
      </c>
    </row>
    <row r="5505" spans="1:3" x14ac:dyDescent="0.25">
      <c r="A5505" s="2" t="str">
        <f ca="1">IFERROR(__xludf.DUMMYFUNCTION("""COMPUTED_VALUE"""),"gigacat-2")</f>
        <v>gigacat-2</v>
      </c>
      <c r="B5505" s="2" t="str">
        <f ca="1">IFERROR(__xludf.DUMMYFUNCTION("""COMPUTED_VALUE"""),"gcat")</f>
        <v>gcat</v>
      </c>
      <c r="C5505" s="2" t="str">
        <f ca="1">IFERROR(__xludf.DUMMYFUNCTION("""COMPUTED_VALUE"""),"Gigacat")</f>
        <v>Gigacat</v>
      </c>
    </row>
    <row r="5506" spans="1:3" x14ac:dyDescent="0.25">
      <c r="A5506" s="2" t="str">
        <f ca="1">IFERROR(__xludf.DUMMYFUNCTION("""COMPUTED_VALUE"""),"gigachad-2")</f>
        <v>gigachad-2</v>
      </c>
      <c r="B5506" s="2" t="str">
        <f ca="1">IFERROR(__xludf.DUMMYFUNCTION("""COMPUTED_VALUE"""),"giga")</f>
        <v>giga</v>
      </c>
      <c r="C5506" s="2" t="str">
        <f ca="1">IFERROR(__xludf.DUMMYFUNCTION("""COMPUTED_VALUE"""),"Gigachad")</f>
        <v>Gigachad</v>
      </c>
    </row>
    <row r="5507" spans="1:3" x14ac:dyDescent="0.25">
      <c r="A5507" s="2" t="str">
        <f ca="1">IFERROR(__xludf.DUMMYFUNCTION("""COMPUTED_VALUE"""),"gigachad-eth")</f>
        <v>gigachad-eth</v>
      </c>
      <c r="B5507" s="2" t="str">
        <f ca="1">IFERROR(__xludf.DUMMYFUNCTION("""COMPUTED_VALUE"""),"gigachad")</f>
        <v>gigachad</v>
      </c>
      <c r="C5507" s="2" t="str">
        <f ca="1">IFERROR(__xludf.DUMMYFUNCTION("""COMPUTED_VALUE"""),"GigaChad")</f>
        <v>GigaChad</v>
      </c>
    </row>
    <row r="5508" spans="1:3" x14ac:dyDescent="0.25">
      <c r="A5508" s="2" t="str">
        <f ca="1">IFERROR(__xludf.DUMMYFUNCTION("""COMPUTED_VALUE"""),"gigachadgpt")</f>
        <v>gigachadgpt</v>
      </c>
      <c r="B5508" s="2" t="str">
        <f ca="1">IFERROR(__xludf.DUMMYFUNCTION("""COMPUTED_VALUE"""),"$giga")</f>
        <v>$giga</v>
      </c>
      <c r="C5508" s="2" t="str">
        <f ca="1">IFERROR(__xludf.DUMMYFUNCTION("""COMPUTED_VALUE"""),"GigaChadGPT")</f>
        <v>GigaChadGPT</v>
      </c>
    </row>
    <row r="5509" spans="1:3" x14ac:dyDescent="0.25">
      <c r="A5509" s="2" t="str">
        <f ca="1">IFERROR(__xludf.DUMMYFUNCTION("""COMPUTED_VALUE"""),"gigantix-wallet")</f>
        <v>gigantix-wallet</v>
      </c>
      <c r="B5509" s="2" t="str">
        <f ca="1">IFERROR(__xludf.DUMMYFUNCTION("""COMPUTED_VALUE"""),"gtx")</f>
        <v>gtx</v>
      </c>
      <c r="C5509" s="2" t="str">
        <f ca="1">IFERROR(__xludf.DUMMYFUNCTION("""COMPUTED_VALUE"""),"Gigantix Wallet")</f>
        <v>Gigantix Wallet</v>
      </c>
    </row>
    <row r="5510" spans="1:3" x14ac:dyDescent="0.25">
      <c r="A5510" s="2" t="str">
        <f ca="1">IFERROR(__xludf.DUMMYFUNCTION("""COMPUTED_VALUE"""),"giga-stacy")</f>
        <v>giga-stacy</v>
      </c>
      <c r="B5510" s="2" t="str">
        <f ca="1">IFERROR(__xludf.DUMMYFUNCTION("""COMPUTED_VALUE"""),"stacy")</f>
        <v>stacy</v>
      </c>
      <c r="C5510" s="2" t="str">
        <f ca="1">IFERROR(__xludf.DUMMYFUNCTION("""COMPUTED_VALUE"""),"Giga Stacy")</f>
        <v>Giga Stacy</v>
      </c>
    </row>
    <row r="5511" spans="1:3" x14ac:dyDescent="0.25">
      <c r="A5511" s="2" t="str">
        <f ca="1">IFERROR(__xludf.DUMMYFUNCTION("""COMPUTED_VALUE"""),"gigaswap")</f>
        <v>gigaswap</v>
      </c>
      <c r="B5511" s="2" t="str">
        <f ca="1">IFERROR(__xludf.DUMMYFUNCTION("""COMPUTED_VALUE"""),"giga")</f>
        <v>giga</v>
      </c>
      <c r="C5511" s="2" t="str">
        <f ca="1">IFERROR(__xludf.DUMMYFUNCTION("""COMPUTED_VALUE"""),"GigaSwap")</f>
        <v>GigaSwap</v>
      </c>
    </row>
    <row r="5512" spans="1:3" x14ac:dyDescent="0.25">
      <c r="A5512" s="2" t="str">
        <f ca="1">IFERROR(__xludf.DUMMYFUNCTION("""COMPUTED_VALUE"""),"giggle-academy")</f>
        <v>giggle-academy</v>
      </c>
      <c r="B5512" s="2" t="str">
        <f ca="1">IFERROR(__xludf.DUMMYFUNCTION("""COMPUTED_VALUE"""),"giggle")</f>
        <v>giggle</v>
      </c>
      <c r="C5512" s="2" t="str">
        <f ca="1">IFERROR(__xludf.DUMMYFUNCTION("""COMPUTED_VALUE"""),"Giggle Academy")</f>
        <v>Giggle Academy</v>
      </c>
    </row>
    <row r="5513" spans="1:3" x14ac:dyDescent="0.25">
      <c r="A5513" s="2" t="str">
        <f ca="1">IFERROR(__xludf.DUMMYFUNCTION("""COMPUTED_VALUE"""),"giggleched")</f>
        <v>giggleched</v>
      </c>
      <c r="B5513" s="2" t="str">
        <f ca="1">IFERROR(__xludf.DUMMYFUNCTION("""COMPUTED_VALUE"""),"ched")</f>
        <v>ched</v>
      </c>
      <c r="C5513" s="2" t="str">
        <f ca="1">IFERROR(__xludf.DUMMYFUNCTION("""COMPUTED_VALUE"""),"giggleched")</f>
        <v>giggleched</v>
      </c>
    </row>
    <row r="5514" spans="1:3" x14ac:dyDescent="0.25">
      <c r="A5514" s="2" t="str">
        <f ca="1">IFERROR(__xludf.DUMMYFUNCTION("""COMPUTED_VALUE"""),"giko-cat")</f>
        <v>giko-cat</v>
      </c>
      <c r="B5514" s="2" t="str">
        <f ca="1">IFERROR(__xludf.DUMMYFUNCTION("""COMPUTED_VALUE"""),"giko")</f>
        <v>giko</v>
      </c>
      <c r="C5514" s="2" t="str">
        <f ca="1">IFERROR(__xludf.DUMMYFUNCTION("""COMPUTED_VALUE"""),"Giko Cat")</f>
        <v>Giko Cat</v>
      </c>
    </row>
    <row r="5515" spans="1:3" x14ac:dyDescent="0.25">
      <c r="A5515" s="2" t="str">
        <f ca="1">IFERROR(__xludf.DUMMYFUNCTION("""COMPUTED_VALUE"""),"gilgeous")</f>
        <v>gilgeous</v>
      </c>
      <c r="B5515" s="2" t="str">
        <f ca="1">IFERROR(__xludf.DUMMYFUNCTION("""COMPUTED_VALUE"""),"glg")</f>
        <v>glg</v>
      </c>
      <c r="C5515" s="2" t="str">
        <f ca="1">IFERROR(__xludf.DUMMYFUNCTION("""COMPUTED_VALUE"""),"Gilgeous")</f>
        <v>Gilgeous</v>
      </c>
    </row>
    <row r="5516" spans="1:3" x14ac:dyDescent="0.25">
      <c r="A5516" s="2" t="str">
        <f ca="1">IFERROR(__xludf.DUMMYFUNCTION("""COMPUTED_VALUE"""),"ginger")</f>
        <v>ginger</v>
      </c>
      <c r="B5516" s="2" t="str">
        <f ca="1">IFERROR(__xludf.DUMMYFUNCTION("""COMPUTED_VALUE"""),"ginger")</f>
        <v>ginger</v>
      </c>
      <c r="C5516" s="2" t="str">
        <f ca="1">IFERROR(__xludf.DUMMYFUNCTION("""COMPUTED_VALUE"""),"GINGER")</f>
        <v>GINGER</v>
      </c>
    </row>
    <row r="5517" spans="1:3" x14ac:dyDescent="0.25">
      <c r="A5517" s="2" t="str">
        <f ca="1">IFERROR(__xludf.DUMMYFUNCTION("""COMPUTED_VALUE"""),"ginger-2")</f>
        <v>ginger-2</v>
      </c>
      <c r="B5517" s="2" t="str">
        <f ca="1">IFERROR(__xludf.DUMMYFUNCTION("""COMPUTED_VALUE"""),"ginger")</f>
        <v>ginger</v>
      </c>
      <c r="C5517" s="2" t="str">
        <f ca="1">IFERROR(__xludf.DUMMYFUNCTION("""COMPUTED_VALUE"""),"GINGER")</f>
        <v>GINGER</v>
      </c>
    </row>
    <row r="5518" spans="1:3" x14ac:dyDescent="0.25">
      <c r="A5518" s="2" t="str">
        <f ca="1">IFERROR(__xludf.DUMMYFUNCTION("""COMPUTED_VALUE"""),"gingers-have-no-sol")</f>
        <v>gingers-have-no-sol</v>
      </c>
      <c r="B5518" s="2" t="str">
        <f ca="1">IFERROR(__xludf.DUMMYFUNCTION("""COMPUTED_VALUE"""),"ginger")</f>
        <v>ginger</v>
      </c>
      <c r="C5518" s="2" t="str">
        <f ca="1">IFERROR(__xludf.DUMMYFUNCTION("""COMPUTED_VALUE"""),"Gingers Have No Sol")</f>
        <v>Gingers Have No Sol</v>
      </c>
    </row>
    <row r="5519" spans="1:3" x14ac:dyDescent="0.25">
      <c r="A5519" s="2" t="str">
        <f ca="1">IFERROR(__xludf.DUMMYFUNCTION("""COMPUTED_VALUE"""),"ginnan-doge-s-brother")</f>
        <v>ginnan-doge-s-brother</v>
      </c>
      <c r="B5519" s="2" t="str">
        <f ca="1">IFERROR(__xludf.DUMMYFUNCTION("""COMPUTED_VALUE"""),"ginnan")</f>
        <v>ginnan</v>
      </c>
      <c r="C5519" s="2" t="str">
        <f ca="1">IFERROR(__xludf.DUMMYFUNCTION("""COMPUTED_VALUE"""),"Ginnan Doge's Brother")</f>
        <v>Ginnan Doge's Brother</v>
      </c>
    </row>
    <row r="5520" spans="1:3" x14ac:dyDescent="0.25">
      <c r="A5520" s="2" t="str">
        <f ca="1">IFERROR(__xludf.DUMMYFUNCTION("""COMPUTED_VALUE"""),"ginnan-the-cat")</f>
        <v>ginnan-the-cat</v>
      </c>
      <c r="B5520" s="2" t="str">
        <f ca="1">IFERROR(__xludf.DUMMYFUNCTION("""COMPUTED_VALUE"""),"ginnan")</f>
        <v>ginnan</v>
      </c>
      <c r="C5520" s="2" t="str">
        <f ca="1">IFERROR(__xludf.DUMMYFUNCTION("""COMPUTED_VALUE"""),"Ginnan The Cat")</f>
        <v>Ginnan The Cat</v>
      </c>
    </row>
    <row r="5521" spans="1:3" x14ac:dyDescent="0.25">
      <c r="A5521" s="2" t="str">
        <f ca="1">IFERROR(__xludf.DUMMYFUNCTION("""COMPUTED_VALUE"""),"ginoa")</f>
        <v>ginoa</v>
      </c>
      <c r="B5521" s="2" t="str">
        <f ca="1">IFERROR(__xludf.DUMMYFUNCTION("""COMPUTED_VALUE"""),"ginoa")</f>
        <v>ginoa</v>
      </c>
      <c r="C5521" s="2" t="str">
        <f ca="1">IFERROR(__xludf.DUMMYFUNCTION("""COMPUTED_VALUE"""),"Ginoa")</f>
        <v>Ginoa</v>
      </c>
    </row>
    <row r="5522" spans="1:3" x14ac:dyDescent="0.25">
      <c r="A5522" s="2" t="str">
        <f ca="1">IFERROR(__xludf.DUMMYFUNCTION("""COMPUTED_VALUE"""),"ginza-network")</f>
        <v>ginza-network</v>
      </c>
      <c r="B5522" s="2" t="str">
        <f ca="1">IFERROR(__xludf.DUMMYFUNCTION("""COMPUTED_VALUE"""),"ginza")</f>
        <v>ginza</v>
      </c>
      <c r="C5522" s="2" t="str">
        <f ca="1">IFERROR(__xludf.DUMMYFUNCTION("""COMPUTED_VALUE"""),"Ginza Network")</f>
        <v>Ginza Network</v>
      </c>
    </row>
    <row r="5523" spans="1:3" x14ac:dyDescent="0.25">
      <c r="A5523" s="2" t="str">
        <f ca="1">IFERROR(__xludf.DUMMYFUNCTION("""COMPUTED_VALUE"""),"gitcoin")</f>
        <v>gitcoin</v>
      </c>
      <c r="B5523" s="2" t="str">
        <f ca="1">IFERROR(__xludf.DUMMYFUNCTION("""COMPUTED_VALUE"""),"gtc")</f>
        <v>gtc</v>
      </c>
      <c r="C5523" s="2" t="str">
        <f ca="1">IFERROR(__xludf.DUMMYFUNCTION("""COMPUTED_VALUE"""),"Gitcoin")</f>
        <v>Gitcoin</v>
      </c>
    </row>
    <row r="5524" spans="1:3" x14ac:dyDescent="0.25">
      <c r="A5524" s="2" t="str">
        <f ca="1">IFERROR(__xludf.DUMMYFUNCTION("""COMPUTED_VALUE"""),"gitopia")</f>
        <v>gitopia</v>
      </c>
      <c r="B5524" s="2" t="str">
        <f ca="1">IFERROR(__xludf.DUMMYFUNCTION("""COMPUTED_VALUE"""),"lore")</f>
        <v>lore</v>
      </c>
      <c r="C5524" s="2" t="str">
        <f ca="1">IFERROR(__xludf.DUMMYFUNCTION("""COMPUTED_VALUE"""),"Gitopia")</f>
        <v>Gitopia</v>
      </c>
    </row>
    <row r="5525" spans="1:3" x14ac:dyDescent="0.25">
      <c r="A5525" s="2" t="str">
        <f ca="1">IFERROR(__xludf.DUMMYFUNCTION("""COMPUTED_VALUE"""),"give-back-token")</f>
        <v>give-back-token</v>
      </c>
      <c r="B5525" s="2" t="str">
        <f ca="1">IFERROR(__xludf.DUMMYFUNCTION("""COMPUTED_VALUE"""),"gbt")</f>
        <v>gbt</v>
      </c>
      <c r="C5525" s="2" t="str">
        <f ca="1">IFERROR(__xludf.DUMMYFUNCTION("""COMPUTED_VALUE"""),"Give Back Token")</f>
        <v>Give Back Token</v>
      </c>
    </row>
    <row r="5526" spans="1:3" x14ac:dyDescent="0.25">
      <c r="A5526" s="2" t="str">
        <f ca="1">IFERROR(__xludf.DUMMYFUNCTION("""COMPUTED_VALUE"""),"givestation")</f>
        <v>givestation</v>
      </c>
      <c r="B5526" s="2" t="str">
        <f ca="1">IFERROR(__xludf.DUMMYFUNCTION("""COMPUTED_VALUE"""),"gvst")</f>
        <v>gvst</v>
      </c>
      <c r="C5526" s="2" t="str">
        <f ca="1">IFERROR(__xludf.DUMMYFUNCTION("""COMPUTED_VALUE"""),"GiveStation")</f>
        <v>GiveStation</v>
      </c>
    </row>
    <row r="5527" spans="1:3" x14ac:dyDescent="0.25">
      <c r="A5527" s="2" t="str">
        <f ca="1">IFERROR(__xludf.DUMMYFUNCTION("""COMPUTED_VALUE"""),"giveth")</f>
        <v>giveth</v>
      </c>
      <c r="B5527" s="2" t="str">
        <f ca="1">IFERROR(__xludf.DUMMYFUNCTION("""COMPUTED_VALUE"""),"giv")</f>
        <v>giv</v>
      </c>
      <c r="C5527" s="2" t="str">
        <f ca="1">IFERROR(__xludf.DUMMYFUNCTION("""COMPUTED_VALUE"""),"Giveth")</f>
        <v>Giveth</v>
      </c>
    </row>
    <row r="5528" spans="1:3" x14ac:dyDescent="0.25">
      <c r="A5528" s="2" t="str">
        <f ca="1">IFERROR(__xludf.DUMMYFUNCTION("""COMPUTED_VALUE"""),"gizmo")</f>
        <v>gizmo</v>
      </c>
      <c r="B5528" s="2" t="str">
        <f ca="1">IFERROR(__xludf.DUMMYFUNCTION("""COMPUTED_VALUE"""),"gizmo")</f>
        <v>gizmo</v>
      </c>
      <c r="C5528" s="2" t="str">
        <f ca="1">IFERROR(__xludf.DUMMYFUNCTION("""COMPUTED_VALUE"""),"GIZMO")</f>
        <v>GIZMO</v>
      </c>
    </row>
    <row r="5529" spans="1:3" x14ac:dyDescent="0.25">
      <c r="A5529" s="2" t="str">
        <f ca="1">IFERROR(__xludf.DUMMYFUNCTION("""COMPUTED_VALUE"""),"gld-tokenized-stock-defichain")</f>
        <v>gld-tokenized-stock-defichain</v>
      </c>
      <c r="B5529" s="2" t="str">
        <f ca="1">IFERROR(__xludf.DUMMYFUNCTION("""COMPUTED_VALUE"""),"dgld")</f>
        <v>dgld</v>
      </c>
      <c r="C5529" s="2" t="str">
        <f ca="1">IFERROR(__xludf.DUMMYFUNCTION("""COMPUTED_VALUE"""),"SPDR Gold Shares Defichain")</f>
        <v>SPDR Gold Shares Defichain</v>
      </c>
    </row>
    <row r="5530" spans="1:3" x14ac:dyDescent="0.25">
      <c r="A5530" s="2" t="str">
        <f ca="1">IFERROR(__xludf.DUMMYFUNCTION("""COMPUTED_VALUE"""),"gleec-coin")</f>
        <v>gleec-coin</v>
      </c>
      <c r="B5530" s="2" t="str">
        <f ca="1">IFERROR(__xludf.DUMMYFUNCTION("""COMPUTED_VALUE"""),"gleec")</f>
        <v>gleec</v>
      </c>
      <c r="C5530" s="2" t="str">
        <f ca="1">IFERROR(__xludf.DUMMYFUNCTION("""COMPUTED_VALUE"""),"Gleec Coin")</f>
        <v>Gleec Coin</v>
      </c>
    </row>
    <row r="5531" spans="1:3" x14ac:dyDescent="0.25">
      <c r="A5531" s="2" t="str">
        <f ca="1">IFERROR(__xludf.DUMMYFUNCTION("""COMPUTED_VALUE"""),"gleek")</f>
        <v>gleek</v>
      </c>
      <c r="B5531" s="2" t="str">
        <f ca="1">IFERROR(__xludf.DUMMYFUNCTION("""COMPUTED_VALUE"""),"gleek")</f>
        <v>gleek</v>
      </c>
      <c r="C5531" s="2" t="str">
        <f ca="1">IFERROR(__xludf.DUMMYFUNCTION("""COMPUTED_VALUE"""),"GLEEK")</f>
        <v>GLEEK</v>
      </c>
    </row>
    <row r="5532" spans="1:3" x14ac:dyDescent="0.25">
      <c r="A5532" s="2" t="str">
        <f ca="1">IFERROR(__xludf.DUMMYFUNCTION("""COMPUTED_VALUE"""),"glend")</f>
        <v>glend</v>
      </c>
      <c r="B5532" s="2" t="str">
        <f ca="1">IFERROR(__xludf.DUMMYFUNCTION("""COMPUTED_VALUE"""),"glend")</f>
        <v>glend</v>
      </c>
      <c r="C5532" s="2" t="str">
        <f ca="1">IFERROR(__xludf.DUMMYFUNCTION("""COMPUTED_VALUE"""),"GLend")</f>
        <v>GLend</v>
      </c>
    </row>
    <row r="5533" spans="1:3" x14ac:dyDescent="0.25">
      <c r="A5533" s="2" t="str">
        <f ca="1">IFERROR(__xludf.DUMMYFUNCTION("""COMPUTED_VALUE"""),"gli")</f>
        <v>gli</v>
      </c>
      <c r="B5533" s="2" t="str">
        <f ca="1">IFERROR(__xludf.DUMMYFUNCTION("""COMPUTED_VALUE"""),"gli")</f>
        <v>gli</v>
      </c>
      <c r="C5533" s="2" t="str">
        <f ca="1">IFERROR(__xludf.DUMMYFUNCTION("""COMPUTED_VALUE"""),"GLI")</f>
        <v>GLI</v>
      </c>
    </row>
    <row r="5534" spans="1:3" x14ac:dyDescent="0.25">
      <c r="A5534" s="2" t="str">
        <f ca="1">IFERROR(__xludf.DUMMYFUNCTION("""COMPUTED_VALUE"""),"glide-finance")</f>
        <v>glide-finance</v>
      </c>
      <c r="B5534" s="2" t="str">
        <f ca="1">IFERROR(__xludf.DUMMYFUNCTION("""COMPUTED_VALUE"""),"glide")</f>
        <v>glide</v>
      </c>
      <c r="C5534" s="2" t="str">
        <f ca="1">IFERROR(__xludf.DUMMYFUNCTION("""COMPUTED_VALUE"""),"Glide Finance")</f>
        <v>Glide Finance</v>
      </c>
    </row>
    <row r="5535" spans="1:3" x14ac:dyDescent="0.25">
      <c r="A5535" s="2" t="str">
        <f ca="1">IFERROR(__xludf.DUMMYFUNCTION("""COMPUTED_VALUE"""),"glint-coin")</f>
        <v>glint-coin</v>
      </c>
      <c r="B5535" s="2" t="str">
        <f ca="1">IFERROR(__xludf.DUMMYFUNCTION("""COMPUTED_VALUE"""),"glint")</f>
        <v>glint</v>
      </c>
      <c r="C5535" s="2" t="str">
        <f ca="1">IFERROR(__xludf.DUMMYFUNCTION("""COMPUTED_VALUE"""),"Glint Coin")</f>
        <v>Glint Coin</v>
      </c>
    </row>
    <row r="5536" spans="1:3" x14ac:dyDescent="0.25">
      <c r="A5536" s="2" t="str">
        <f ca="1">IFERROR(__xludf.DUMMYFUNCTION("""COMPUTED_VALUE"""),"glitch")</f>
        <v>glitch</v>
      </c>
      <c r="B5536" s="2" t="str">
        <f ca="1">IFERROR(__xludf.DUMMYFUNCTION("""COMPUTED_VALUE"""),"glitch")</f>
        <v>glitch</v>
      </c>
      <c r="C5536" s="2" t="str">
        <f ca="1">IFERROR(__xludf.DUMMYFUNCTION("""COMPUTED_VALUE"""),"Glitch")</f>
        <v>Glitch</v>
      </c>
    </row>
    <row r="5537" spans="1:3" x14ac:dyDescent="0.25">
      <c r="A5537" s="2" t="str">
        <f ca="1">IFERROR(__xludf.DUMMYFUNCTION("""COMPUTED_VALUE"""),"glitch-protocol")</f>
        <v>glitch-protocol</v>
      </c>
      <c r="B5537" s="2" t="str">
        <f ca="1">IFERROR(__xludf.DUMMYFUNCTION("""COMPUTED_VALUE"""),"glch")</f>
        <v>glch</v>
      </c>
      <c r="C5537" s="2" t="str">
        <f ca="1">IFERROR(__xludf.DUMMYFUNCTION("""COMPUTED_VALUE"""),"Glitch Protocol")</f>
        <v>Glitch Protocol</v>
      </c>
    </row>
    <row r="5538" spans="1:3" x14ac:dyDescent="0.25">
      <c r="A5538" s="2" t="str">
        <f ca="1">IFERROR(__xludf.DUMMYFUNCTION("""COMPUTED_VALUE"""),"glitzkoin")</f>
        <v>glitzkoin</v>
      </c>
      <c r="B5538" s="2" t="str">
        <f ca="1">IFERROR(__xludf.DUMMYFUNCTION("""COMPUTED_VALUE"""),"gtn")</f>
        <v>gtn</v>
      </c>
      <c r="C5538" s="2" t="str">
        <f ca="1">IFERROR(__xludf.DUMMYFUNCTION("""COMPUTED_VALUE"""),"GlitzKoin")</f>
        <v>GlitzKoin</v>
      </c>
    </row>
    <row r="5539" spans="1:3" x14ac:dyDescent="0.25">
      <c r="A5539" s="2" t="str">
        <f ca="1">IFERROR(__xludf.DUMMYFUNCTION("""COMPUTED_VALUE"""),"glizzy")</f>
        <v>glizzy</v>
      </c>
      <c r="B5539" s="2" t="str">
        <f ca="1">IFERROR(__xludf.DUMMYFUNCTION("""COMPUTED_VALUE"""),"glizzy")</f>
        <v>glizzy</v>
      </c>
      <c r="C5539" s="2" t="str">
        <f ca="1">IFERROR(__xludf.DUMMYFUNCTION("""COMPUTED_VALUE"""),"GLIZZY")</f>
        <v>GLIZZY</v>
      </c>
    </row>
    <row r="5540" spans="1:3" x14ac:dyDescent="0.25">
      <c r="A5540" s="2" t="str">
        <f ca="1">IFERROR(__xludf.DUMMYFUNCTION("""COMPUTED_VALUE"""),"globalboost")</f>
        <v>globalboost</v>
      </c>
      <c r="B5540" s="2" t="str">
        <f ca="1">IFERROR(__xludf.DUMMYFUNCTION("""COMPUTED_VALUE"""),"bsty")</f>
        <v>bsty</v>
      </c>
      <c r="C5540" s="2" t="str">
        <f ca="1">IFERROR(__xludf.DUMMYFUNCTION("""COMPUTED_VALUE"""),"GlobalBoost")</f>
        <v>GlobalBoost</v>
      </c>
    </row>
    <row r="5541" spans="1:3" x14ac:dyDescent="0.25">
      <c r="A5541" s="2" t="str">
        <f ca="1">IFERROR(__xludf.DUMMYFUNCTION("""COMPUTED_VALUE"""),"global-business-group-corporation")</f>
        <v>global-business-group-corporation</v>
      </c>
      <c r="B5541" s="2" t="str">
        <f ca="1">IFERROR(__xludf.DUMMYFUNCTION("""COMPUTED_VALUE"""),"gbgc")</f>
        <v>gbgc</v>
      </c>
      <c r="C5541" s="2" t="str">
        <f ca="1">IFERROR(__xludf.DUMMYFUNCTION("""COMPUTED_VALUE"""),"Global Business Group Corporation")</f>
        <v>Global Business Group Corporation</v>
      </c>
    </row>
    <row r="5542" spans="1:3" x14ac:dyDescent="0.25">
      <c r="A5542" s="2" t="str">
        <f ca="1">IFERROR(__xludf.DUMMYFUNCTION("""COMPUTED_VALUE"""),"globalchainz")</f>
        <v>globalchainz</v>
      </c>
      <c r="B5542" s="2" t="str">
        <f ca="1">IFERROR(__xludf.DUMMYFUNCTION("""COMPUTED_VALUE"""),"gcz")</f>
        <v>gcz</v>
      </c>
      <c r="C5542" s="2" t="str">
        <f ca="1">IFERROR(__xludf.DUMMYFUNCTION("""COMPUTED_VALUE"""),"GlobalChainZ")</f>
        <v>GlobalChainZ</v>
      </c>
    </row>
    <row r="5543" spans="1:3" x14ac:dyDescent="0.25">
      <c r="A5543" s="2" t="str">
        <f ca="1">IFERROR(__xludf.DUMMYFUNCTION("""COMPUTED_VALUE"""),"global-coin-research")</f>
        <v>global-coin-research</v>
      </c>
      <c r="B5543" s="2" t="str">
        <f ca="1">IFERROR(__xludf.DUMMYFUNCTION("""COMPUTED_VALUE"""),"gcr")</f>
        <v>gcr</v>
      </c>
      <c r="C5543" s="2" t="str">
        <f ca="1">IFERROR(__xludf.DUMMYFUNCTION("""COMPUTED_VALUE"""),"Global Coin Research")</f>
        <v>Global Coin Research</v>
      </c>
    </row>
    <row r="5544" spans="1:3" x14ac:dyDescent="0.25">
      <c r="A5544" s="2" t="str">
        <f ca="1">IFERROR(__xludf.DUMMYFUNCTION("""COMPUTED_VALUE"""),"global-commercial-business")</f>
        <v>global-commercial-business</v>
      </c>
      <c r="B5544" s="2" t="str">
        <f ca="1">IFERROR(__xludf.DUMMYFUNCTION("""COMPUTED_VALUE"""),"gcb")</f>
        <v>gcb</v>
      </c>
      <c r="C5544" s="2" t="str">
        <f ca="1">IFERROR(__xludf.DUMMYFUNCTION("""COMPUTED_VALUE"""),"Global Commercial Business")</f>
        <v>Global Commercial Business</v>
      </c>
    </row>
    <row r="5545" spans="1:3" x14ac:dyDescent="0.25">
      <c r="A5545" s="2" t="str">
        <f ca="1">IFERROR(__xludf.DUMMYFUNCTION("""COMPUTED_VALUE"""),"global-digital-cluster-co")</f>
        <v>global-digital-cluster-co</v>
      </c>
      <c r="B5545" s="2" t="str">
        <f ca="1">IFERROR(__xludf.DUMMYFUNCTION("""COMPUTED_VALUE"""),"gdcc")</f>
        <v>gdcc</v>
      </c>
      <c r="C5545" s="2" t="str">
        <f ca="1">IFERROR(__xludf.DUMMYFUNCTION("""COMPUTED_VALUE"""),"Global Digital Cluster Coin")</f>
        <v>Global Digital Cluster Coin</v>
      </c>
    </row>
    <row r="5546" spans="1:3" x14ac:dyDescent="0.25">
      <c r="A5546" s="2" t="str">
        <f ca="1">IFERROR(__xludf.DUMMYFUNCTION("""COMPUTED_VALUE"""),"global-fan-token")</f>
        <v>global-fan-token</v>
      </c>
      <c r="B5546" s="2" t="str">
        <f ca="1">IFERROR(__xludf.DUMMYFUNCTION("""COMPUTED_VALUE"""),"glft")</f>
        <v>glft</v>
      </c>
      <c r="C5546" s="2" t="str">
        <f ca="1">IFERROR(__xludf.DUMMYFUNCTION("""COMPUTED_VALUE"""),"Global Fan Token")</f>
        <v>Global Fan Token</v>
      </c>
    </row>
    <row r="5547" spans="1:3" x14ac:dyDescent="0.25">
      <c r="A5547" s="2" t="str">
        <f ca="1">IFERROR(__xludf.DUMMYFUNCTION("""COMPUTED_VALUE"""),"global-innovation-platform")</f>
        <v>global-innovation-platform</v>
      </c>
      <c r="B5547" s="2" t="str">
        <f ca="1">IFERROR(__xludf.DUMMYFUNCTION("""COMPUTED_VALUE"""),"gip")</f>
        <v>gip</v>
      </c>
      <c r="C5547" s="2" t="str">
        <f ca="1">IFERROR(__xludf.DUMMYFUNCTION("""COMPUTED_VALUE"""),"Global Innovation Platform")</f>
        <v>Global Innovation Platform</v>
      </c>
    </row>
    <row r="5548" spans="1:3" x14ac:dyDescent="0.25">
      <c r="A5548" s="2" t="str">
        <f ca="1">IFERROR(__xludf.DUMMYFUNCTION("""COMPUTED_VALUE"""),"global-social-chain")</f>
        <v>global-social-chain</v>
      </c>
      <c r="B5548" s="2" t="str">
        <f ca="1">IFERROR(__xludf.DUMMYFUNCTION("""COMPUTED_VALUE"""),"gsc")</f>
        <v>gsc</v>
      </c>
      <c r="C5548" s="2" t="str">
        <f ca="1">IFERROR(__xludf.DUMMYFUNCTION("""COMPUTED_VALUE"""),"Global Social Chain")</f>
        <v>Global Social Chain</v>
      </c>
    </row>
    <row r="5549" spans="1:3" x14ac:dyDescent="0.25">
      <c r="A5549" s="2" t="str">
        <f ca="1">IFERROR(__xludf.DUMMYFUNCTION("""COMPUTED_VALUE"""),"global-trading-xenocurren")</f>
        <v>global-trading-xenocurren</v>
      </c>
      <c r="B5549" s="2" t="str">
        <f ca="1">IFERROR(__xludf.DUMMYFUNCTION("""COMPUTED_VALUE"""),"gtx")</f>
        <v>gtx</v>
      </c>
      <c r="C5549" s="2" t="str">
        <f ca="1">IFERROR(__xludf.DUMMYFUNCTION("""COMPUTED_VALUE"""),"Global Trading Xenocurrency")</f>
        <v>Global Trading Xenocurrency</v>
      </c>
    </row>
    <row r="5550" spans="1:3" x14ac:dyDescent="0.25">
      <c r="A5550" s="2" t="str">
        <f ca="1">IFERROR(__xludf.DUMMYFUNCTION("""COMPUTED_VALUE"""),"global-trust-coin")</f>
        <v>global-trust-coin</v>
      </c>
      <c r="B5550" s="2" t="str">
        <f ca="1">IFERROR(__xludf.DUMMYFUNCTION("""COMPUTED_VALUE"""),"gtc")</f>
        <v>gtc</v>
      </c>
      <c r="C5550" s="2" t="str">
        <f ca="1">IFERROR(__xludf.DUMMYFUNCTION("""COMPUTED_VALUE"""),"Global Trust Coin")</f>
        <v>Global Trust Coin</v>
      </c>
    </row>
    <row r="5551" spans="1:3" x14ac:dyDescent="0.25">
      <c r="A5551" s="2" t="str">
        <f ca="1">IFERROR(__xludf.DUMMYFUNCTION("""COMPUTED_VALUE"""),"global-virtual-coin")</f>
        <v>global-virtual-coin</v>
      </c>
      <c r="B5551" s="2" t="str">
        <f ca="1">IFERROR(__xludf.DUMMYFUNCTION("""COMPUTED_VALUE"""),"gvc")</f>
        <v>gvc</v>
      </c>
      <c r="C5551" s="2" t="str">
        <f ca="1">IFERROR(__xludf.DUMMYFUNCTION("""COMPUTED_VALUE"""),"Global Virtual Coin")</f>
        <v>Global Virtual Coin</v>
      </c>
    </row>
    <row r="5552" spans="1:3" x14ac:dyDescent="0.25">
      <c r="A5552" s="2" t="str">
        <f ca="1">IFERROR(__xludf.DUMMYFUNCTION("""COMPUTED_VALUE"""),"globe-derivative-exchange")</f>
        <v>globe-derivative-exchange</v>
      </c>
      <c r="B5552" s="2" t="str">
        <f ca="1">IFERROR(__xludf.DUMMYFUNCTION("""COMPUTED_VALUE"""),"gdt")</f>
        <v>gdt</v>
      </c>
      <c r="C5552" s="2" t="str">
        <f ca="1">IFERROR(__xludf.DUMMYFUNCTION("""COMPUTED_VALUE"""),"Globe Derivative Exchange")</f>
        <v>Globe Derivative Exchange</v>
      </c>
    </row>
    <row r="5553" spans="1:3" x14ac:dyDescent="0.25">
      <c r="A5553" s="2" t="str">
        <f ca="1">IFERROR(__xludf.DUMMYFUNCTION("""COMPUTED_VALUE"""),"globees")</f>
        <v>globees</v>
      </c>
      <c r="B5553" s="2" t="str">
        <f ca="1">IFERROR(__xludf.DUMMYFUNCTION("""COMPUTED_VALUE"""),"bee")</f>
        <v>bee</v>
      </c>
      <c r="C5553" s="2" t="str">
        <f ca="1">IFERROR(__xludf.DUMMYFUNCTION("""COMPUTED_VALUE"""),"Globees")</f>
        <v>Globees</v>
      </c>
    </row>
    <row r="5554" spans="1:3" x14ac:dyDescent="0.25">
      <c r="A5554" s="2" t="str">
        <f ca="1">IFERROR(__xludf.DUMMYFUNCTION("""COMPUTED_VALUE"""),"globel-community")</f>
        <v>globel-community</v>
      </c>
      <c r="B5554" s="2" t="str">
        <f ca="1">IFERROR(__xludf.DUMMYFUNCTION("""COMPUTED_VALUE"""),"gc")</f>
        <v>gc</v>
      </c>
      <c r="C5554" s="2" t="str">
        <f ca="1">IFERROR(__xludf.DUMMYFUNCTION("""COMPUTED_VALUE"""),"Globel Community")</f>
        <v>Globel Community</v>
      </c>
    </row>
    <row r="5555" spans="1:3" x14ac:dyDescent="0.25">
      <c r="A5555" s="2" t="str">
        <f ca="1">IFERROR(__xludf.DUMMYFUNCTION("""COMPUTED_VALUE"""),"globiance-exchange")</f>
        <v>globiance-exchange</v>
      </c>
      <c r="B5555" s="2" t="str">
        <f ca="1">IFERROR(__xludf.DUMMYFUNCTION("""COMPUTED_VALUE"""),"gbex")</f>
        <v>gbex</v>
      </c>
      <c r="C5555" s="2" t="str">
        <f ca="1">IFERROR(__xludf.DUMMYFUNCTION("""COMPUTED_VALUE"""),"Globiance Exchange")</f>
        <v>Globiance Exchange</v>
      </c>
    </row>
    <row r="5556" spans="1:3" x14ac:dyDescent="0.25">
      <c r="A5556" s="2" t="str">
        <f ca="1">IFERROR(__xludf.DUMMYFUNCTION("""COMPUTED_VALUE"""),"glo-dollar")</f>
        <v>glo-dollar</v>
      </c>
      <c r="B5556" s="2" t="str">
        <f ca="1">IFERROR(__xludf.DUMMYFUNCTION("""COMPUTED_VALUE"""),"usdglo")</f>
        <v>usdglo</v>
      </c>
      <c r="C5556" s="2" t="str">
        <f ca="1">IFERROR(__xludf.DUMMYFUNCTION("""COMPUTED_VALUE"""),"Glo Dollar")</f>
        <v>Glo Dollar</v>
      </c>
    </row>
    <row r="5557" spans="1:3" x14ac:dyDescent="0.25">
      <c r="A5557" s="2" t="str">
        <f ca="1">IFERROR(__xludf.DUMMYFUNCTION("""COMPUTED_VALUE"""),"gloom")</f>
        <v>gloom</v>
      </c>
      <c r="B5557" s="2" t="str">
        <f ca="1">IFERROR(__xludf.DUMMYFUNCTION("""COMPUTED_VALUE"""),"gloom")</f>
        <v>gloom</v>
      </c>
      <c r="C5557" s="2" t="str">
        <f ca="1">IFERROR(__xludf.DUMMYFUNCTION("""COMPUTED_VALUE"""),"Gloom")</f>
        <v>Gloom</v>
      </c>
    </row>
    <row r="5558" spans="1:3" x14ac:dyDescent="0.25">
      <c r="A5558" s="2" t="str">
        <f ca="1">IFERROR(__xludf.DUMMYFUNCTION("""COMPUTED_VALUE"""),"glorp")</f>
        <v>glorp</v>
      </c>
      <c r="B5558" s="2" t="str">
        <f ca="1">IFERROR(__xludf.DUMMYFUNCTION("""COMPUTED_VALUE"""),"glorp")</f>
        <v>glorp</v>
      </c>
      <c r="C5558" s="2" t="str">
        <f ca="1">IFERROR(__xludf.DUMMYFUNCTION("""COMPUTED_VALUE"""),"Glorp")</f>
        <v>Glorp</v>
      </c>
    </row>
    <row r="5559" spans="1:3" x14ac:dyDescent="0.25">
      <c r="A5559" s="2" t="str">
        <f ca="1">IFERROR(__xludf.DUMMYFUNCTION("""COMPUTED_VALUE"""),"glouki")</f>
        <v>glouki</v>
      </c>
      <c r="B5559" s="2" t="str">
        <f ca="1">IFERROR(__xludf.DUMMYFUNCTION("""COMPUTED_VALUE"""),"glk")</f>
        <v>glk</v>
      </c>
      <c r="C5559" s="2" t="str">
        <f ca="1">IFERROR(__xludf.DUMMYFUNCTION("""COMPUTED_VALUE"""),"Glouki")</f>
        <v>Glouki</v>
      </c>
    </row>
    <row r="5560" spans="1:3" x14ac:dyDescent="0.25">
      <c r="A5560" s="2" t="str">
        <f ca="1">IFERROR(__xludf.DUMMYFUNCTION("""COMPUTED_VALUE"""),"glow-token-8fba1e9e-5643-47b4-8fef-d0eef67af854")</f>
        <v>glow-token-8fba1e9e-5643-47b4-8fef-d0eef67af854</v>
      </c>
      <c r="B5560" s="2" t="str">
        <f ca="1">IFERROR(__xludf.DUMMYFUNCTION("""COMPUTED_VALUE"""),"glow")</f>
        <v>glow</v>
      </c>
      <c r="C5560" s="2" t="str">
        <f ca="1">IFERROR(__xludf.DUMMYFUNCTION("""COMPUTED_VALUE"""),"Glow Token")</f>
        <v>Glow Token</v>
      </c>
    </row>
    <row r="5561" spans="1:3" x14ac:dyDescent="0.25">
      <c r="A5561" s="2" t="str">
        <f ca="1">IFERROR(__xludf.DUMMYFUNCTION("""COMPUTED_VALUE"""),"glub")</f>
        <v>glub</v>
      </c>
      <c r="B5561" s="2" t="str">
        <f ca="1">IFERROR(__xludf.DUMMYFUNCTION("""COMPUTED_VALUE"""),"glub")</f>
        <v>glub</v>
      </c>
      <c r="C5561" s="2" t="str">
        <f ca="1">IFERROR(__xludf.DUMMYFUNCTION("""COMPUTED_VALUE"""),"Glub")</f>
        <v>Glub</v>
      </c>
    </row>
    <row r="5562" spans="1:3" x14ac:dyDescent="0.25">
      <c r="A5562" s="2" t="str">
        <f ca="1">IFERROR(__xludf.DUMMYFUNCTION("""COMPUTED_VALUE"""),"gm")</f>
        <v>gm</v>
      </c>
      <c r="B5562" s="2" t="str">
        <f ca="1">IFERROR(__xludf.DUMMYFUNCTION("""COMPUTED_VALUE"""),"gm")</f>
        <v>gm</v>
      </c>
      <c r="C5562" s="2" t="str">
        <f ca="1">IFERROR(__xludf.DUMMYFUNCTION("""COMPUTED_VALUE"""),"GM")</f>
        <v>GM</v>
      </c>
    </row>
    <row r="5563" spans="1:3" x14ac:dyDescent="0.25">
      <c r="A5563" s="2" t="str">
        <f ca="1">IFERROR(__xludf.DUMMYFUNCTION("""COMPUTED_VALUE"""),"gm-ai")</f>
        <v>gm-ai</v>
      </c>
      <c r="B5563" s="2" t="str">
        <f ca="1">IFERROR(__xludf.DUMMYFUNCTION("""COMPUTED_VALUE"""),"gm")</f>
        <v>gm</v>
      </c>
      <c r="C5563" s="3" t="str">
        <f ca="1">IFERROR(__xludf.DUMMYFUNCTION("""COMPUTED_VALUE"""),"GM.AI")</f>
        <v>GM.AI</v>
      </c>
    </row>
    <row r="5564" spans="1:3" x14ac:dyDescent="0.25">
      <c r="A5564" s="2" t="str">
        <f ca="1">IFERROR(__xludf.DUMMYFUNCTION("""COMPUTED_VALUE"""),"gmbl-computer-chip")</f>
        <v>gmbl-computer-chip</v>
      </c>
      <c r="B5564" s="2" t="str">
        <f ca="1">IFERROR(__xludf.DUMMYFUNCTION("""COMPUTED_VALUE"""),"gmbl")</f>
        <v>gmbl</v>
      </c>
      <c r="C5564" s="2" t="str">
        <f ca="1">IFERROR(__xludf.DUMMYFUNCTION("""COMPUTED_VALUE"""),"GMBL COMPUTER CHiP")</f>
        <v>GMBL COMPUTER CHiP</v>
      </c>
    </row>
    <row r="5565" spans="1:3" x14ac:dyDescent="0.25">
      <c r="A5565" s="2" t="str">
        <f ca="1">IFERROR(__xludf.DUMMYFUNCTION("""COMPUTED_VALUE"""),"gmcoin-2")</f>
        <v>gmcoin-2</v>
      </c>
      <c r="B5565" s="2" t="str">
        <f ca="1">IFERROR(__xludf.DUMMYFUNCTION("""COMPUTED_VALUE"""),"gmcoin")</f>
        <v>gmcoin</v>
      </c>
      <c r="C5565" s="2" t="str">
        <f ca="1">IFERROR(__xludf.DUMMYFUNCTION("""COMPUTED_VALUE"""),"GMCoin")</f>
        <v>GMCoin</v>
      </c>
    </row>
    <row r="5566" spans="1:3" x14ac:dyDescent="0.25">
      <c r="A5566" s="2" t="str">
        <f ca="1">IFERROR(__xludf.DUMMYFUNCTION("""COMPUTED_VALUE"""),"gme")</f>
        <v>gme</v>
      </c>
      <c r="B5566" s="2" t="str">
        <f ca="1">IFERROR(__xludf.DUMMYFUNCTION("""COMPUTED_VALUE"""),"gme")</f>
        <v>gme</v>
      </c>
      <c r="C5566" s="2" t="str">
        <f ca="1">IFERROR(__xludf.DUMMYFUNCTION("""COMPUTED_VALUE"""),"GME")</f>
        <v>GME</v>
      </c>
    </row>
    <row r="5567" spans="1:3" x14ac:dyDescent="0.25">
      <c r="A5567" s="2" t="str">
        <f ca="1">IFERROR(__xludf.DUMMYFUNCTION("""COMPUTED_VALUE"""),"gmeow-cat")</f>
        <v>gmeow-cat</v>
      </c>
      <c r="B5567" s="2" t="str">
        <f ca="1">IFERROR(__xludf.DUMMYFUNCTION("""COMPUTED_VALUE"""),"gmeow")</f>
        <v>gmeow</v>
      </c>
      <c r="C5567" s="2" t="str">
        <f ca="1">IFERROR(__xludf.DUMMYFUNCTION("""COMPUTED_VALUE"""),"gmeow cat")</f>
        <v>gmeow cat</v>
      </c>
    </row>
    <row r="5568" spans="1:3" x14ac:dyDescent="0.25">
      <c r="A5568" s="2" t="str">
        <f ca="1">IFERROR(__xludf.DUMMYFUNCTION("""COMPUTED_VALUE"""),"gmeow-hyperliquid")</f>
        <v>gmeow-hyperliquid</v>
      </c>
      <c r="B5568" s="2" t="str">
        <f ca="1">IFERROR(__xludf.DUMMYFUNCTION("""COMPUTED_VALUE"""),"gmeow")</f>
        <v>gmeow</v>
      </c>
      <c r="C5568" s="2" t="str">
        <f ca="1">IFERROR(__xludf.DUMMYFUNCTION("""COMPUTED_VALUE"""),"GMEOW (Hyperliquid)")</f>
        <v>GMEOW (Hyperliquid)</v>
      </c>
    </row>
    <row r="5569" spans="1:3" x14ac:dyDescent="0.25">
      <c r="A5569" s="2" t="str">
        <f ca="1">IFERROR(__xludf.DUMMYFUNCTION("""COMPUTED_VALUE"""),"gmfam")</f>
        <v>gmfam</v>
      </c>
      <c r="B5569" s="2" t="str">
        <f ca="1">IFERROR(__xludf.DUMMYFUNCTION("""COMPUTED_VALUE"""),"gmfam")</f>
        <v>gmfam</v>
      </c>
      <c r="C5569" s="2" t="str">
        <f ca="1">IFERROR(__xludf.DUMMYFUNCTION("""COMPUTED_VALUE"""),"GMFAM")</f>
        <v>GMFAM</v>
      </c>
    </row>
    <row r="5570" spans="1:3" x14ac:dyDescent="0.25">
      <c r="A5570" s="2" t="str">
        <f ca="1">IFERROR(__xludf.DUMMYFUNCTION("""COMPUTED_VALUE"""),"gm-frens")</f>
        <v>gm-frens</v>
      </c>
      <c r="B5570" s="2" t="str">
        <f ca="1">IFERROR(__xludf.DUMMYFUNCTION("""COMPUTED_VALUE"""),"gm")</f>
        <v>gm</v>
      </c>
      <c r="C5570" s="2" t="str">
        <f ca="1">IFERROR(__xludf.DUMMYFUNCTION("""COMPUTED_VALUE"""),"GM Frens")</f>
        <v>GM Frens</v>
      </c>
    </row>
    <row r="5571" spans="1:3" x14ac:dyDescent="0.25">
      <c r="A5571" s="2" t="str">
        <f ca="1">IFERROR(__xludf.DUMMYFUNCTION("""COMPUTED_VALUE"""),"gmichi")</f>
        <v>gmichi</v>
      </c>
      <c r="B5571" s="2" t="str">
        <f ca="1">IFERROR(__xludf.DUMMYFUNCTION("""COMPUTED_VALUE"""),"gmichi")</f>
        <v>gmichi</v>
      </c>
      <c r="C5571" s="2" t="str">
        <f ca="1">IFERROR(__xludf.DUMMYFUNCTION("""COMPUTED_VALUE"""),"gmichi")</f>
        <v>gmichi</v>
      </c>
    </row>
    <row r="5572" spans="1:3" x14ac:dyDescent="0.25">
      <c r="A5572" s="2" t="str">
        <f ca="1">IFERROR(__xludf.DUMMYFUNCTION("""COMPUTED_VALUE"""),"gm-machine")</f>
        <v>gm-machine</v>
      </c>
      <c r="B5572" s="2" t="str">
        <f ca="1">IFERROR(__xludf.DUMMYFUNCTION("""COMPUTED_VALUE"""),"gm")</f>
        <v>gm</v>
      </c>
      <c r="C5572" s="2" t="str">
        <f ca="1">IFERROR(__xludf.DUMMYFUNCTION("""COMPUTED_VALUE"""),"GM Machine")</f>
        <v>GM Machine</v>
      </c>
    </row>
    <row r="5573" spans="1:3" x14ac:dyDescent="0.25">
      <c r="A5573" s="2" t="str">
        <f ca="1">IFERROR(__xludf.DUMMYFUNCTION("""COMPUTED_VALUE"""),"gmt-token")</f>
        <v>gmt-token</v>
      </c>
      <c r="B5573" s="2" t="str">
        <f ca="1">IFERROR(__xludf.DUMMYFUNCTION("""COMPUTED_VALUE"""),"gomining")</f>
        <v>gomining</v>
      </c>
      <c r="C5573" s="2" t="str">
        <f ca="1">IFERROR(__xludf.DUMMYFUNCTION("""COMPUTED_VALUE"""),"Gomining Token")</f>
        <v>Gomining Token</v>
      </c>
    </row>
    <row r="5574" spans="1:3" x14ac:dyDescent="0.25">
      <c r="A5574" s="2" t="str">
        <f ca="1">IFERROR(__xludf.DUMMYFUNCTION("""COMPUTED_VALUE"""),"gmusd")</f>
        <v>gmusd</v>
      </c>
      <c r="B5574" s="2" t="str">
        <f ca="1">IFERROR(__xludf.DUMMYFUNCTION("""COMPUTED_VALUE"""),"gmusd")</f>
        <v>gmusd</v>
      </c>
      <c r="C5574" s="2" t="str">
        <f ca="1">IFERROR(__xludf.DUMMYFUNCTION("""COMPUTED_VALUE"""),"gmUSD")</f>
        <v>gmUSD</v>
      </c>
    </row>
    <row r="5575" spans="1:3" x14ac:dyDescent="0.25">
      <c r="A5575" s="2" t="str">
        <f ca="1">IFERROR(__xludf.DUMMYFUNCTION("""COMPUTED_VALUE"""),"gmx")</f>
        <v>gmx</v>
      </c>
      <c r="B5575" s="2" t="str">
        <f ca="1">IFERROR(__xludf.DUMMYFUNCTION("""COMPUTED_VALUE"""),"gmx")</f>
        <v>gmx</v>
      </c>
      <c r="C5575" s="2" t="str">
        <f ca="1">IFERROR(__xludf.DUMMYFUNCTION("""COMPUTED_VALUE"""),"GMX")</f>
        <v>GMX</v>
      </c>
    </row>
    <row r="5576" spans="1:3" x14ac:dyDescent="0.25">
      <c r="A5576" s="2" t="str">
        <f ca="1">IFERROR(__xludf.DUMMYFUNCTION("""COMPUTED_VALUE"""),"gnb")</f>
        <v>gnb</v>
      </c>
      <c r="B5576" s="2" t="str">
        <f ca="1">IFERROR(__xludf.DUMMYFUNCTION("""COMPUTED_VALUE"""),"gnb")</f>
        <v>gnb</v>
      </c>
      <c r="C5576" s="2" t="str">
        <f ca="1">IFERROR(__xludf.DUMMYFUNCTION("""COMPUTED_VALUE"""),"GNB")</f>
        <v>GNB</v>
      </c>
    </row>
    <row r="5577" spans="1:3" x14ac:dyDescent="0.25">
      <c r="A5577" s="2" t="str">
        <f ca="1">IFERROR(__xludf.DUMMYFUNCTION("""COMPUTED_VALUE"""),"gnd-protocol")</f>
        <v>gnd-protocol</v>
      </c>
      <c r="B5577" s="2" t="str">
        <f ca="1">IFERROR(__xludf.DUMMYFUNCTION("""COMPUTED_VALUE"""),"gnd")</f>
        <v>gnd</v>
      </c>
      <c r="C5577" s="2" t="str">
        <f ca="1">IFERROR(__xludf.DUMMYFUNCTION("""COMPUTED_VALUE"""),"GND Protocol")</f>
        <v>GND Protocol</v>
      </c>
    </row>
    <row r="5578" spans="1:3" x14ac:dyDescent="0.25">
      <c r="A5578" s="2" t="str">
        <f ca="1">IFERROR(__xludf.DUMMYFUNCTION("""COMPUTED_VALUE"""),"gnft")</f>
        <v>gnft</v>
      </c>
      <c r="B5578" s="2" t="str">
        <f ca="1">IFERROR(__xludf.DUMMYFUNCTION("""COMPUTED_VALUE"""),"gnft")</f>
        <v>gnft</v>
      </c>
      <c r="C5578" s="2" t="str">
        <f ca="1">IFERROR(__xludf.DUMMYFUNCTION("""COMPUTED_VALUE"""),"GNFT")</f>
        <v>GNFT</v>
      </c>
    </row>
    <row r="5579" spans="1:3" x14ac:dyDescent="0.25">
      <c r="A5579" s="2" t="str">
        <f ca="1">IFERROR(__xludf.DUMMYFUNCTION("""COMPUTED_VALUE"""),"gnme-mining-game")</f>
        <v>gnme-mining-game</v>
      </c>
      <c r="B5579" s="2" t="str">
        <f ca="1">IFERROR(__xludf.DUMMYFUNCTION("""COMPUTED_VALUE"""),"gnme")</f>
        <v>gnme</v>
      </c>
      <c r="C5579" s="2" t="str">
        <f ca="1">IFERROR(__xludf.DUMMYFUNCTION("""COMPUTED_VALUE"""),"GNME MINING GAME")</f>
        <v>GNME MINING GAME</v>
      </c>
    </row>
    <row r="5580" spans="1:3" x14ac:dyDescent="0.25">
      <c r="A5580" s="2" t="str">
        <f ca="1">IFERROR(__xludf.DUMMYFUNCTION("""COMPUTED_VALUE"""),"gnobby")</f>
        <v>gnobby</v>
      </c>
      <c r="B5580" s="2" t="str">
        <f ca="1">IFERROR(__xludf.DUMMYFUNCTION("""COMPUTED_VALUE"""),"gnobby")</f>
        <v>gnobby</v>
      </c>
      <c r="C5580" s="2" t="str">
        <f ca="1">IFERROR(__xludf.DUMMYFUNCTION("""COMPUTED_VALUE"""),"Gnobby")</f>
        <v>Gnobby</v>
      </c>
    </row>
    <row r="5581" spans="1:3" x14ac:dyDescent="0.25">
      <c r="A5581" s="2" t="str">
        <f ca="1">IFERROR(__xludf.DUMMYFUNCTION("""COMPUTED_VALUE"""),"gnome")</f>
        <v>gnome</v>
      </c>
      <c r="B5581" s="2" t="str">
        <f ca="1">IFERROR(__xludf.DUMMYFUNCTION("""COMPUTED_VALUE"""),"$gnome")</f>
        <v>$gnome</v>
      </c>
      <c r="C5581" s="2" t="str">
        <f ca="1">IFERROR(__xludf.DUMMYFUNCTION("""COMPUTED_VALUE"""),"GenomesDAO GNOME")</f>
        <v>GenomesDAO GNOME</v>
      </c>
    </row>
    <row r="5582" spans="1:3" x14ac:dyDescent="0.25">
      <c r="A5582" s="2" t="str">
        <f ca="1">IFERROR(__xludf.DUMMYFUNCTION("""COMPUTED_VALUE"""),"gnomeland")</f>
        <v>gnomeland</v>
      </c>
      <c r="B5582" s="2" t="str">
        <f ca="1">IFERROR(__xludf.DUMMYFUNCTION("""COMPUTED_VALUE"""),"gnome")</f>
        <v>gnome</v>
      </c>
      <c r="C5582" s="2" t="str">
        <f ca="1">IFERROR(__xludf.DUMMYFUNCTION("""COMPUTED_VALUE"""),"GnomeLand")</f>
        <v>GnomeLand</v>
      </c>
    </row>
    <row r="5583" spans="1:3" x14ac:dyDescent="0.25">
      <c r="A5583" s="2" t="str">
        <f ca="1">IFERROR(__xludf.DUMMYFUNCTION("""COMPUTED_VALUE"""),"gnomy")</f>
        <v>gnomy</v>
      </c>
      <c r="B5583" s="2" t="str">
        <f ca="1">IFERROR(__xludf.DUMMYFUNCTION("""COMPUTED_VALUE"""),"gnomy")</f>
        <v>gnomy</v>
      </c>
      <c r="C5583" s="2" t="str">
        <f ca="1">IFERROR(__xludf.DUMMYFUNCTION("""COMPUTED_VALUE"""),"Gnomy")</f>
        <v>Gnomy</v>
      </c>
    </row>
    <row r="5584" spans="1:3" x14ac:dyDescent="0.25">
      <c r="A5584" s="2" t="str">
        <f ca="1">IFERROR(__xludf.DUMMYFUNCTION("""COMPUTED_VALUE"""),"gnosis")</f>
        <v>gnosis</v>
      </c>
      <c r="B5584" s="2" t="str">
        <f ca="1">IFERROR(__xludf.DUMMYFUNCTION("""COMPUTED_VALUE"""),"gno")</f>
        <v>gno</v>
      </c>
      <c r="C5584" s="2" t="str">
        <f ca="1">IFERROR(__xludf.DUMMYFUNCTION("""COMPUTED_VALUE"""),"Gnosis")</f>
        <v>Gnosis</v>
      </c>
    </row>
    <row r="5585" spans="1:3" x14ac:dyDescent="0.25">
      <c r="A5585" s="2" t="str">
        <f ca="1">IFERROR(__xludf.DUMMYFUNCTION("""COMPUTED_VALUE"""),"gnosis-xdai-bridged-usdc-gnosis")</f>
        <v>gnosis-xdai-bridged-usdc-gnosis</v>
      </c>
      <c r="B5585" s="2" t="str">
        <f ca="1">IFERROR(__xludf.DUMMYFUNCTION("""COMPUTED_VALUE"""),"usdc")</f>
        <v>usdc</v>
      </c>
      <c r="C5585" s="2" t="str">
        <f ca="1">IFERROR(__xludf.DUMMYFUNCTION("""COMPUTED_VALUE"""),"Gnosis xDAI Bridged USDC (Gnosis)")</f>
        <v>Gnosis xDAI Bridged USDC (Gnosis)</v>
      </c>
    </row>
    <row r="5586" spans="1:3" x14ac:dyDescent="0.25">
      <c r="A5586" s="2" t="str">
        <f ca="1">IFERROR(__xludf.DUMMYFUNCTION("""COMPUTED_VALUE"""),"gnosis-xdai-bridged-usdt-gnosis")</f>
        <v>gnosis-xdai-bridged-usdt-gnosis</v>
      </c>
      <c r="B5586" s="2" t="str">
        <f ca="1">IFERROR(__xludf.DUMMYFUNCTION("""COMPUTED_VALUE"""),"usdt")</f>
        <v>usdt</v>
      </c>
      <c r="C5586" s="2" t="str">
        <f ca="1">IFERROR(__xludf.DUMMYFUNCTION("""COMPUTED_VALUE"""),"Gnosis xDai Bridged USDT (Gnosis)")</f>
        <v>Gnosis xDai Bridged USDT (Gnosis)</v>
      </c>
    </row>
    <row r="5587" spans="1:3" x14ac:dyDescent="0.25">
      <c r="A5587" s="2" t="str">
        <f ca="1">IFERROR(__xludf.DUMMYFUNCTION("""COMPUTED_VALUE"""),"gnosis-xdai-bridged-wbtc-gnosis-chain")</f>
        <v>gnosis-xdai-bridged-wbtc-gnosis-chain</v>
      </c>
      <c r="B5587" s="2" t="str">
        <f ca="1">IFERROR(__xludf.DUMMYFUNCTION("""COMPUTED_VALUE"""),"wbtc")</f>
        <v>wbtc</v>
      </c>
      <c r="C5587" s="2" t="str">
        <f ca="1">IFERROR(__xludf.DUMMYFUNCTION("""COMPUTED_VALUE"""),"Gnosis xDai Bridged WBTC (Gnosis Chain)")</f>
        <v>Gnosis xDai Bridged WBTC (Gnosis Chain)</v>
      </c>
    </row>
    <row r="5588" spans="1:3" x14ac:dyDescent="0.25">
      <c r="A5588" s="2" t="str">
        <f ca="1">IFERROR(__xludf.DUMMYFUNCTION("""COMPUTED_VALUE"""),"gnosis-xdai-bridged-weth-gnosis-chain")</f>
        <v>gnosis-xdai-bridged-weth-gnosis-chain</v>
      </c>
      <c r="B5588" s="2" t="str">
        <f ca="1">IFERROR(__xludf.DUMMYFUNCTION("""COMPUTED_VALUE"""),"weth")</f>
        <v>weth</v>
      </c>
      <c r="C5588" s="2" t="str">
        <f ca="1">IFERROR(__xludf.DUMMYFUNCTION("""COMPUTED_VALUE"""),"Gnosis xDai Bridged WETH (Gnosis Chain)")</f>
        <v>Gnosis xDai Bridged WETH (Gnosis Chain)</v>
      </c>
    </row>
    <row r="5589" spans="1:3" x14ac:dyDescent="0.25">
      <c r="A5589" s="2" t="str">
        <f ca="1">IFERROR(__xludf.DUMMYFUNCTION("""COMPUTED_VALUE"""),"gny")</f>
        <v>gny</v>
      </c>
      <c r="B5589" s="2" t="str">
        <f ca="1">IFERROR(__xludf.DUMMYFUNCTION("""COMPUTED_VALUE"""),"gny")</f>
        <v>gny</v>
      </c>
      <c r="C5589" s="2" t="str">
        <f ca="1">IFERROR(__xludf.DUMMYFUNCTION("""COMPUTED_VALUE"""),"GNY")</f>
        <v>GNY</v>
      </c>
    </row>
    <row r="5590" spans="1:3" x14ac:dyDescent="0.25">
      <c r="A5590" s="2" t="str">
        <f ca="1">IFERROR(__xludf.DUMMYFUNCTION("""COMPUTED_VALUE"""),"g-o")</f>
        <v>g-o</v>
      </c>
      <c r="B5590" s="2" t="str">
        <f ca="1">IFERROR(__xludf.DUMMYFUNCTION("""COMPUTED_VALUE"""),"sluglord")</f>
        <v>sluglord</v>
      </c>
      <c r="C5590" s="2" t="str">
        <f ca="1">IFERROR(__xludf.DUMMYFUNCTION("""COMPUTED_VALUE"""),"🌻ᔕᒪᑌGᒪOᖇᗪ🌻")</f>
        <v>🌻ᔕᒪᑌGᒪOᖇᗪ🌻</v>
      </c>
    </row>
    <row r="5591" spans="1:3" x14ac:dyDescent="0.25">
      <c r="A5591" s="2" t="str">
        <f ca="1">IFERROR(__xludf.DUMMYFUNCTION("""COMPUTED_VALUE"""),"goal3")</f>
        <v>goal3</v>
      </c>
      <c r="B5591" s="2" t="str">
        <f ca="1">IFERROR(__xludf.DUMMYFUNCTION("""COMPUTED_VALUE"""),"zkusd")</f>
        <v>zkusd</v>
      </c>
      <c r="C5591" s="2" t="str">
        <f ca="1">IFERROR(__xludf.DUMMYFUNCTION("""COMPUTED_VALUE"""),"zkUSD")</f>
        <v>zkUSD</v>
      </c>
    </row>
    <row r="5592" spans="1:3" x14ac:dyDescent="0.25">
      <c r="A5592" s="2" t="str">
        <f ca="1">IFERROR(__xludf.DUMMYFUNCTION("""COMPUTED_VALUE"""),"goal-token")</f>
        <v>goal-token</v>
      </c>
      <c r="B5592" s="2" t="str">
        <f ca="1">IFERROR(__xludf.DUMMYFUNCTION("""COMPUTED_VALUE"""),"goal")</f>
        <v>goal</v>
      </c>
      <c r="C5592" s="2" t="str">
        <f ca="1">IFERROR(__xludf.DUMMYFUNCTION("""COMPUTED_VALUE"""),"GOAL Token")</f>
        <v>GOAL Token</v>
      </c>
    </row>
    <row r="5593" spans="1:3" x14ac:dyDescent="0.25">
      <c r="A5593" s="2" t="str">
        <f ca="1">IFERROR(__xludf.DUMMYFUNCTION("""COMPUTED_VALUE"""),"goat404")</f>
        <v>goat404</v>
      </c>
      <c r="B5593" s="2" t="str">
        <f ca="1">IFERROR(__xludf.DUMMYFUNCTION("""COMPUTED_VALUE"""),"goat")</f>
        <v>goat</v>
      </c>
      <c r="C5593" s="2" t="str">
        <f ca="1">IFERROR(__xludf.DUMMYFUNCTION("""COMPUTED_VALUE"""),"GOAT404")</f>
        <v>GOAT404</v>
      </c>
    </row>
    <row r="5594" spans="1:3" x14ac:dyDescent="0.25">
      <c r="A5594" s="2" t="str">
        <f ca="1">IFERROR(__xludf.DUMMYFUNCTION("""COMPUTED_VALUE"""),"goated")</f>
        <v>goated</v>
      </c>
      <c r="B5594" s="2" t="str">
        <f ca="1">IFERROR(__xludf.DUMMYFUNCTION("""COMPUTED_VALUE"""),"goat")</f>
        <v>goat</v>
      </c>
      <c r="C5594" s="2" t="str">
        <f ca="1">IFERROR(__xludf.DUMMYFUNCTION("""COMPUTED_VALUE"""),"GOATED")</f>
        <v>GOATED</v>
      </c>
    </row>
    <row r="5595" spans="1:3" x14ac:dyDescent="0.25">
      <c r="A5595" s="2" t="str">
        <f ca="1">IFERROR(__xludf.DUMMYFUNCTION("""COMPUTED_VALUE"""),"goatly-farm")</f>
        <v>goatly-farm</v>
      </c>
      <c r="B5595" s="2" t="str">
        <f ca="1">IFERROR(__xludf.DUMMYFUNCTION("""COMPUTED_VALUE"""),"gtf")</f>
        <v>gtf</v>
      </c>
      <c r="C5595" s="2" t="str">
        <f ca="1">IFERROR(__xludf.DUMMYFUNCTION("""COMPUTED_VALUE"""),"Goatly.farm")</f>
        <v>Goatly.farm</v>
      </c>
    </row>
    <row r="5596" spans="1:3" x14ac:dyDescent="0.25">
      <c r="A5596" s="2" t="str">
        <f ca="1">IFERROR(__xludf.DUMMYFUNCTION("""COMPUTED_VALUE"""),"goat-protocol")</f>
        <v>goat-protocol</v>
      </c>
      <c r="B5596" s="2" t="str">
        <f ca="1">IFERROR(__xludf.DUMMYFUNCTION("""COMPUTED_VALUE"""),"goa")</f>
        <v>goa</v>
      </c>
      <c r="C5596" s="2" t="str">
        <f ca="1">IFERROR(__xludf.DUMMYFUNCTION("""COMPUTED_VALUE"""),"Goat Protocol")</f>
        <v>Goat Protocol</v>
      </c>
    </row>
    <row r="5597" spans="1:3" x14ac:dyDescent="0.25">
      <c r="A5597" s="2" t="str">
        <f ca="1">IFERROR(__xludf.DUMMYFUNCTION("""COMPUTED_VALUE"""),"goat-trading")</f>
        <v>goat-trading</v>
      </c>
      <c r="B5597" s="2" t="str">
        <f ca="1">IFERROR(__xludf.DUMMYFUNCTION("""COMPUTED_VALUE"""),"goat")</f>
        <v>goat</v>
      </c>
      <c r="C5597" s="2" t="str">
        <f ca="1">IFERROR(__xludf.DUMMYFUNCTION("""COMPUTED_VALUE"""),"Goat Trading")</f>
        <v>Goat Trading</v>
      </c>
    </row>
    <row r="5598" spans="1:3" x14ac:dyDescent="0.25">
      <c r="A5598" s="2" t="str">
        <f ca="1">IFERROR(__xludf.DUMMYFUNCTION("""COMPUTED_VALUE"""),"goatwifhat")</f>
        <v>goatwifhat</v>
      </c>
      <c r="B5598" s="2" t="str">
        <f ca="1">IFERROR(__xludf.DUMMYFUNCTION("""COMPUTED_VALUE"""),"gif")</f>
        <v>gif</v>
      </c>
      <c r="C5598" s="2" t="str">
        <f ca="1">IFERROR(__xludf.DUMMYFUNCTION("""COMPUTED_VALUE"""),"goatwifhat")</f>
        <v>goatwifhat</v>
      </c>
    </row>
    <row r="5599" spans="1:3" x14ac:dyDescent="0.25">
      <c r="A5599" s="2" t="str">
        <f ca="1">IFERROR(__xludf.DUMMYFUNCTION("""COMPUTED_VALUE"""),"gob-is-gob-is-gob")</f>
        <v>gob-is-gob-is-gob</v>
      </c>
      <c r="B5599" s="2" t="str">
        <f ca="1">IFERROR(__xludf.DUMMYFUNCTION("""COMPUTED_VALUE"""),"◨")</f>
        <v>◨</v>
      </c>
      <c r="C5599" s="2" t="str">
        <f ca="1">IFERROR(__xludf.DUMMYFUNCTION("""COMPUTED_VALUE"""),"GOB•IS•GOB•IS•GOB")</f>
        <v>GOB•IS•GOB•IS•GOB</v>
      </c>
    </row>
    <row r="5600" spans="1:3" x14ac:dyDescent="0.25">
      <c r="A5600" s="2" t="str">
        <f ca="1">IFERROR(__xludf.DUMMYFUNCTION("""COMPUTED_VALUE"""),"goblintown")</f>
        <v>goblintown</v>
      </c>
      <c r="B5600" s="2" t="str">
        <f ca="1">IFERROR(__xludf.DUMMYFUNCTION("""COMPUTED_VALUE"""),"goblintown")</f>
        <v>goblintown</v>
      </c>
      <c r="C5600" s="2" t="str">
        <f ca="1">IFERROR(__xludf.DUMMYFUNCTION("""COMPUTED_VALUE"""),"goblintown")</f>
        <v>goblintown</v>
      </c>
    </row>
    <row r="5601" spans="1:3" x14ac:dyDescent="0.25">
      <c r="A5601" s="2" t="str">
        <f ca="1">IFERROR(__xludf.DUMMYFUNCTION("""COMPUTED_VALUE"""),"gobtc")</f>
        <v>gobtc</v>
      </c>
      <c r="B5601" s="2" t="str">
        <f ca="1">IFERROR(__xludf.DUMMYFUNCTION("""COMPUTED_VALUE"""),"gobtc")</f>
        <v>gobtc</v>
      </c>
      <c r="C5601" s="2" t="str">
        <f ca="1">IFERROR(__xludf.DUMMYFUNCTION("""COMPUTED_VALUE"""),"goBTC")</f>
        <v>goBTC</v>
      </c>
    </row>
    <row r="5602" spans="1:3" x14ac:dyDescent="0.25">
      <c r="A5602" s="2" t="str">
        <f ca="1">IFERROR(__xludf.DUMMYFUNCTION("""COMPUTED_VALUE"""),"gobyte")</f>
        <v>gobyte</v>
      </c>
      <c r="B5602" s="2" t="str">
        <f ca="1">IFERROR(__xludf.DUMMYFUNCTION("""COMPUTED_VALUE"""),"gbx")</f>
        <v>gbx</v>
      </c>
      <c r="C5602" s="2" t="str">
        <f ca="1">IFERROR(__xludf.DUMMYFUNCTION("""COMPUTED_VALUE"""),"GoByte")</f>
        <v>GoByte</v>
      </c>
    </row>
    <row r="5603" spans="1:3" x14ac:dyDescent="0.25">
      <c r="A5603" s="2" t="str">
        <f ca="1">IFERROR(__xludf.DUMMYFUNCTION("""COMPUTED_VALUE"""),"gochain")</f>
        <v>gochain</v>
      </c>
      <c r="B5603" s="2" t="str">
        <f ca="1">IFERROR(__xludf.DUMMYFUNCTION("""COMPUTED_VALUE"""),"go")</f>
        <v>go</v>
      </c>
      <c r="C5603" s="2" t="str">
        <f ca="1">IFERROR(__xludf.DUMMYFUNCTION("""COMPUTED_VALUE"""),"GoChain")</f>
        <v>GoChain</v>
      </c>
    </row>
    <row r="5604" spans="1:3" x14ac:dyDescent="0.25">
      <c r="A5604" s="2" t="str">
        <f ca="1">IFERROR(__xludf.DUMMYFUNCTION("""COMPUTED_VALUE"""),"gocharge-tech")</f>
        <v>gocharge-tech</v>
      </c>
      <c r="B5604" s="2" t="str">
        <f ca="1">IFERROR(__xludf.DUMMYFUNCTION("""COMPUTED_VALUE"""),"charged")</f>
        <v>charged</v>
      </c>
      <c r="C5604" s="2" t="str">
        <f ca="1">IFERROR(__xludf.DUMMYFUNCTION("""COMPUTED_VALUE"""),"GoCharge Tech")</f>
        <v>GoCharge Tech</v>
      </c>
    </row>
    <row r="5605" spans="1:3" x14ac:dyDescent="0.25">
      <c r="A5605" s="2" t="str">
        <f ca="1">IFERROR(__xludf.DUMMYFUNCTION("""COMPUTED_VALUE"""),"gochujangcoin")</f>
        <v>gochujangcoin</v>
      </c>
      <c r="B5605" s="2" t="str">
        <f ca="1">IFERROR(__xludf.DUMMYFUNCTION("""COMPUTED_VALUE"""),"gochu")</f>
        <v>gochu</v>
      </c>
      <c r="C5605" s="2" t="str">
        <f ca="1">IFERROR(__xludf.DUMMYFUNCTION("""COMPUTED_VALUE"""),"Gochujangcoin")</f>
        <v>Gochujangcoin</v>
      </c>
    </row>
    <row r="5606" spans="1:3" x14ac:dyDescent="0.25">
      <c r="A5606" s="2" t="str">
        <f ca="1">IFERROR(__xludf.DUMMYFUNCTION("""COMPUTED_VALUE"""),"gocryptome")</f>
        <v>gocryptome</v>
      </c>
      <c r="B5606" s="2" t="str">
        <f ca="1">IFERROR(__xludf.DUMMYFUNCTION("""COMPUTED_VALUE"""),"gcme")</f>
        <v>gcme</v>
      </c>
      <c r="C5606" s="2" t="str">
        <f ca="1">IFERROR(__xludf.DUMMYFUNCTION("""COMPUTED_VALUE"""),"GoCryptoMe")</f>
        <v>GoCryptoMe</v>
      </c>
    </row>
    <row r="5607" spans="1:3" x14ac:dyDescent="0.25">
      <c r="A5607" s="2" t="str">
        <f ca="1">IFERROR(__xludf.DUMMYFUNCTION("""COMPUTED_VALUE"""),"god")</f>
        <v>god</v>
      </c>
      <c r="B5607" s="2" t="str">
        <f ca="1">IFERROR(__xludf.DUMMYFUNCTION("""COMPUTED_VALUE"""),"god")</f>
        <v>god</v>
      </c>
      <c r="C5607" s="2" t="str">
        <f ca="1">IFERROR(__xludf.DUMMYFUNCTION("""COMPUTED_VALUE"""),"God")</f>
        <v>God</v>
      </c>
    </row>
    <row r="5608" spans="1:3" x14ac:dyDescent="0.25">
      <c r="A5608" s="2" t="str">
        <f ca="1">IFERROR(__xludf.DUMMYFUNCTION("""COMPUTED_VALUE"""),"god-coin")</f>
        <v>god-coin</v>
      </c>
      <c r="B5608" s="2" t="str">
        <f ca="1">IFERROR(__xludf.DUMMYFUNCTION("""COMPUTED_VALUE"""),"god")</f>
        <v>god</v>
      </c>
      <c r="C5608" s="2" t="str">
        <f ca="1">IFERROR(__xludf.DUMMYFUNCTION("""COMPUTED_VALUE"""),"GOD Coin")</f>
        <v>GOD Coin</v>
      </c>
    </row>
    <row r="5609" spans="1:3" x14ac:dyDescent="0.25">
      <c r="A5609" s="2" t="str">
        <f ca="1">IFERROR(__xludf.DUMMYFUNCTION("""COMPUTED_VALUE"""),"goddog")</f>
        <v>goddog</v>
      </c>
      <c r="B5609" s="2" t="str">
        <f ca="1">IFERROR(__xludf.DUMMYFUNCTION("""COMPUTED_VALUE"""),"oooooo")</f>
        <v>oooooo</v>
      </c>
      <c r="C5609" s="2" t="str">
        <f ca="1">IFERROR(__xludf.DUMMYFUNCTION("""COMPUTED_VALUE"""),"GODDOG")</f>
        <v>GODDOG</v>
      </c>
    </row>
    <row r="5610" spans="1:3" x14ac:dyDescent="0.25">
      <c r="A5610" s="2" t="str">
        <f ca="1">IFERROR(__xludf.DUMMYFUNCTION("""COMPUTED_VALUE"""),"gode-chain")</f>
        <v>gode-chain</v>
      </c>
      <c r="B5610" s="2" t="str">
        <f ca="1">IFERROR(__xludf.DUMMYFUNCTION("""COMPUTED_VALUE"""),"gode")</f>
        <v>gode</v>
      </c>
      <c r="C5610" s="2" t="str">
        <f ca="1">IFERROR(__xludf.DUMMYFUNCTION("""COMPUTED_VALUE"""),"Gode Chain")</f>
        <v>Gode Chain</v>
      </c>
    </row>
    <row r="5611" spans="1:3" x14ac:dyDescent="0.25">
      <c r="A5611" s="2" t="str">
        <f ca="1">IFERROR(__xludf.DUMMYFUNCTION("""COMPUTED_VALUE"""),"god-of-ethereum")</f>
        <v>god-of-ethereum</v>
      </c>
      <c r="B5611" s="2" t="str">
        <f ca="1">IFERROR(__xludf.DUMMYFUNCTION("""COMPUTED_VALUE"""),"goe")</f>
        <v>goe</v>
      </c>
      <c r="C5611" s="2" t="str">
        <f ca="1">IFERROR(__xludf.DUMMYFUNCTION("""COMPUTED_VALUE"""),"God Of Ethereum")</f>
        <v>God Of Ethereum</v>
      </c>
    </row>
    <row r="5612" spans="1:3" x14ac:dyDescent="0.25">
      <c r="A5612" s="2" t="str">
        <f ca="1">IFERROR(__xludf.DUMMYFUNCTION("""COMPUTED_VALUE"""),"gods-unchained")</f>
        <v>gods-unchained</v>
      </c>
      <c r="B5612" s="2" t="str">
        <f ca="1">IFERROR(__xludf.DUMMYFUNCTION("""COMPUTED_VALUE"""),"gods")</f>
        <v>gods</v>
      </c>
      <c r="C5612" s="2" t="str">
        <f ca="1">IFERROR(__xludf.DUMMYFUNCTION("""COMPUTED_VALUE"""),"Gods Unchained")</f>
        <v>Gods Unchained</v>
      </c>
    </row>
    <row r="5613" spans="1:3" x14ac:dyDescent="0.25">
      <c r="A5613" s="2" t="str">
        <f ca="1">IFERROR(__xludf.DUMMYFUNCTION("""COMPUTED_VALUE"""),"godzi")</f>
        <v>godzi</v>
      </c>
      <c r="B5613" s="2" t="str">
        <f ca="1">IFERROR(__xludf.DUMMYFUNCTION("""COMPUTED_VALUE"""),"gdz")</f>
        <v>gdz</v>
      </c>
      <c r="C5613" s="2" t="str">
        <f ca="1">IFERROR(__xludf.DUMMYFUNCTION("""COMPUTED_VALUE"""),"GODZI")</f>
        <v>GODZI</v>
      </c>
    </row>
    <row r="5614" spans="1:3" x14ac:dyDescent="0.25">
      <c r="A5614" s="2" t="str">
        <f ca="1">IFERROR(__xludf.DUMMYFUNCTION("""COMPUTED_VALUE"""),"godzilla")</f>
        <v>godzilla</v>
      </c>
      <c r="B5614" s="2" t="str">
        <f ca="1">IFERROR(__xludf.DUMMYFUNCTION("""COMPUTED_VALUE"""),"godz")</f>
        <v>godz</v>
      </c>
      <c r="C5614" s="2" t="str">
        <f ca="1">IFERROR(__xludf.DUMMYFUNCTION("""COMPUTED_VALUE"""),"Godzilla")</f>
        <v>Godzilla</v>
      </c>
    </row>
    <row r="5615" spans="1:3" x14ac:dyDescent="0.25">
      <c r="A5615" s="2" t="str">
        <f ca="1">IFERROR(__xludf.DUMMYFUNCTION("""COMPUTED_VALUE"""),"goerli-eth")</f>
        <v>goerli-eth</v>
      </c>
      <c r="B5615" s="2" t="str">
        <f ca="1">IFERROR(__xludf.DUMMYFUNCTION("""COMPUTED_VALUE"""),"geth")</f>
        <v>geth</v>
      </c>
      <c r="C5615" s="2" t="str">
        <f ca="1">IFERROR(__xludf.DUMMYFUNCTION("""COMPUTED_VALUE"""),"Goerli ETH")</f>
        <v>Goerli ETH</v>
      </c>
    </row>
    <row r="5616" spans="1:3" x14ac:dyDescent="0.25">
      <c r="A5616" s="2" t="str">
        <f ca="1">IFERROR(__xludf.DUMMYFUNCTION("""COMPUTED_VALUE"""),"goeth")</f>
        <v>goeth</v>
      </c>
      <c r="B5616" s="2" t="str">
        <f ca="1">IFERROR(__xludf.DUMMYFUNCTION("""COMPUTED_VALUE"""),"goeth")</f>
        <v>goeth</v>
      </c>
      <c r="C5616" s="2" t="str">
        <f ca="1">IFERROR(__xludf.DUMMYFUNCTION("""COMPUTED_VALUE"""),"goETH")</f>
        <v>goETH</v>
      </c>
    </row>
    <row r="5617" spans="1:3" x14ac:dyDescent="0.25">
      <c r="A5617" s="2" t="str">
        <f ca="1">IFERROR(__xludf.DUMMYFUNCTION("""COMPUTED_VALUE"""),"go-fu-k-yourself")</f>
        <v>go-fu-k-yourself</v>
      </c>
      <c r="B5617" s="2" t="str">
        <f ca="1">IFERROR(__xludf.DUMMYFUNCTION("""COMPUTED_VALUE"""),"gfy")</f>
        <v>gfy</v>
      </c>
      <c r="C5617" s="2" t="str">
        <f ca="1">IFERROR(__xludf.DUMMYFUNCTION("""COMPUTED_VALUE"""),"go fu*k yourself.")</f>
        <v>go fu*k yourself.</v>
      </c>
    </row>
    <row r="5618" spans="1:3" x14ac:dyDescent="0.25">
      <c r="A5618" s="2" t="str">
        <f ca="1">IFERROR(__xludf.DUMMYFUNCTION("""COMPUTED_VALUE"""),"go-game-token")</f>
        <v>go-game-token</v>
      </c>
      <c r="B5618" s="2" t="str">
        <f ca="1">IFERROR(__xludf.DUMMYFUNCTION("""COMPUTED_VALUE"""),"ggt")</f>
        <v>ggt</v>
      </c>
      <c r="C5618" s="2" t="str">
        <f ca="1">IFERROR(__xludf.DUMMYFUNCTION("""COMPUTED_VALUE"""),"Go Game Token")</f>
        <v>Go Game Token</v>
      </c>
    </row>
    <row r="5619" spans="1:3" x14ac:dyDescent="0.25">
      <c r="A5619" s="2" t="str">
        <f ca="1">IFERROR(__xludf.DUMMYFUNCTION("""COMPUTED_VALUE"""),"gogolcoin")</f>
        <v>gogolcoin</v>
      </c>
      <c r="B5619" s="2" t="str">
        <f ca="1">IFERROR(__xludf.DUMMYFUNCTION("""COMPUTED_VALUE"""),"gol")</f>
        <v>gol</v>
      </c>
      <c r="C5619" s="2" t="str">
        <f ca="1">IFERROR(__xludf.DUMMYFUNCTION("""COMPUTED_VALUE"""),"GogolCoin")</f>
        <v>GogolCoin</v>
      </c>
    </row>
    <row r="5620" spans="1:3" x14ac:dyDescent="0.25">
      <c r="A5620" s="2" t="str">
        <f ca="1">IFERROR(__xludf.DUMMYFUNCTION("""COMPUTED_VALUE"""),"gogopool")</f>
        <v>gogopool</v>
      </c>
      <c r="B5620" s="2" t="str">
        <f ca="1">IFERROR(__xludf.DUMMYFUNCTION("""COMPUTED_VALUE"""),"ggp")</f>
        <v>ggp</v>
      </c>
      <c r="C5620" s="2" t="str">
        <f ca="1">IFERROR(__xludf.DUMMYFUNCTION("""COMPUTED_VALUE"""),"GoGoPool")</f>
        <v>GoGoPool</v>
      </c>
    </row>
    <row r="5621" spans="1:3" x14ac:dyDescent="0.25">
      <c r="A5621" s="2" t="str">
        <f ca="1">IFERROR(__xludf.DUMMYFUNCTION("""COMPUTED_VALUE"""),"gogopool-ggavax")</f>
        <v>gogopool-ggavax</v>
      </c>
      <c r="B5621" s="2" t="str">
        <f ca="1">IFERROR(__xludf.DUMMYFUNCTION("""COMPUTED_VALUE"""),"ggavax")</f>
        <v>ggavax</v>
      </c>
      <c r="C5621" s="2" t="str">
        <f ca="1">IFERROR(__xludf.DUMMYFUNCTION("""COMPUTED_VALUE"""),"GoGoPool ggAVAX")</f>
        <v>GoGoPool ggAVAX</v>
      </c>
    </row>
    <row r="5622" spans="1:3" x14ac:dyDescent="0.25">
      <c r="A5622" s="2" t="str">
        <f ca="1">IFERROR(__xludf.DUMMYFUNCTION("""COMPUTED_VALUE"""),"gogowifcone")</f>
        <v>gogowifcone</v>
      </c>
      <c r="B5622" s="2" t="str">
        <f ca="1">IFERROR(__xludf.DUMMYFUNCTION("""COMPUTED_VALUE"""),"gogo")</f>
        <v>gogo</v>
      </c>
      <c r="C5622" s="2" t="str">
        <f ca="1">IFERROR(__xludf.DUMMYFUNCTION("""COMPUTED_VALUE"""),"gogowifcone")</f>
        <v>gogowifcone</v>
      </c>
    </row>
    <row r="5623" spans="1:3" x14ac:dyDescent="0.25">
      <c r="A5623" s="2" t="str">
        <f ca="1">IFERROR(__xludf.DUMMYFUNCTION("""COMPUTED_VALUE"""),"going-to-the-moon")</f>
        <v>going-to-the-moon</v>
      </c>
      <c r="B5623" s="2" t="str">
        <f ca="1">IFERROR(__xludf.DUMMYFUNCTION("""COMPUTED_VALUE"""),"gttm")</f>
        <v>gttm</v>
      </c>
      <c r="C5623" s="2" t="str">
        <f ca="1">IFERROR(__xludf.DUMMYFUNCTION("""COMPUTED_VALUE"""),"Going To The Moon")</f>
        <v>Going To The Moon</v>
      </c>
    </row>
    <row r="5624" spans="1:3" x14ac:dyDescent="0.25">
      <c r="A5624" s="2" t="str">
        <f ca="1">IFERROR(__xludf.DUMMYFUNCTION("""COMPUTED_VALUE"""),"gojo-bsc")</f>
        <v>gojo-bsc</v>
      </c>
      <c r="B5624" s="2" t="str">
        <f ca="1">IFERROR(__xludf.DUMMYFUNCTION("""COMPUTED_VALUE"""),"gojobsc")</f>
        <v>gojobsc</v>
      </c>
      <c r="C5624" s="2" t="str">
        <f ca="1">IFERROR(__xludf.DUMMYFUNCTION("""COMPUTED_VALUE"""),"Gojo BSC")</f>
        <v>Gojo BSC</v>
      </c>
    </row>
    <row r="5625" spans="1:3" x14ac:dyDescent="0.25">
      <c r="A5625" s="2" t="str">
        <f ca="1">IFERROR(__xludf.DUMMYFUNCTION("""COMPUTED_VALUE"""),"goku")</f>
        <v>goku</v>
      </c>
      <c r="B5625" s="2" t="str">
        <f ca="1">IFERROR(__xludf.DUMMYFUNCTION("""COMPUTED_VALUE"""),"goku")</f>
        <v>goku</v>
      </c>
      <c r="C5625" s="2" t="str">
        <f ca="1">IFERROR(__xludf.DUMMYFUNCTION("""COMPUTED_VALUE"""),"Goku")</f>
        <v>Goku</v>
      </c>
    </row>
    <row r="5626" spans="1:3" x14ac:dyDescent="0.25">
      <c r="A5626" s="2" t="str">
        <f ca="1">IFERROR(__xludf.DUMMYFUNCTION("""COMPUTED_VALUE"""),"goku-money-gai")</f>
        <v>goku-money-gai</v>
      </c>
      <c r="B5626" s="2" t="str">
        <f ca="1">IFERROR(__xludf.DUMMYFUNCTION("""COMPUTED_VALUE"""),"gai")</f>
        <v>gai</v>
      </c>
      <c r="C5626" s="2" t="str">
        <f ca="1">IFERROR(__xludf.DUMMYFUNCTION("""COMPUTED_VALUE"""),"Goku Money GAI")</f>
        <v>Goku Money GAI</v>
      </c>
    </row>
    <row r="5627" spans="1:3" x14ac:dyDescent="0.25">
      <c r="A5627" s="2" t="str">
        <f ca="1">IFERROR(__xludf.DUMMYFUNCTION("""COMPUTED_VALUE"""),"gokuswap")</f>
        <v>gokuswap</v>
      </c>
      <c r="B5627" s="2" t="str">
        <f ca="1">IFERROR(__xludf.DUMMYFUNCTION("""COMPUTED_VALUE"""),"goku")</f>
        <v>goku</v>
      </c>
      <c r="C5627" s="2" t="str">
        <f ca="1">IFERROR(__xludf.DUMMYFUNCTION("""COMPUTED_VALUE"""),"Gokuswap")</f>
        <v>Gokuswap</v>
      </c>
    </row>
    <row r="5628" spans="1:3" x14ac:dyDescent="0.25">
      <c r="A5628" s="2" t="str">
        <f ca="1">IFERROR(__xludf.DUMMYFUNCTION("""COMPUTED_VALUE"""),"golazo-world")</f>
        <v>golazo-world</v>
      </c>
      <c r="B5628" s="2" t="str">
        <f ca="1">IFERROR(__xludf.DUMMYFUNCTION("""COMPUTED_VALUE"""),"gol")</f>
        <v>gol</v>
      </c>
      <c r="C5628" s="2" t="str">
        <f ca="1">IFERROR(__xludf.DUMMYFUNCTION("""COMPUTED_VALUE"""),"Golazo.world")</f>
        <v>Golazo.world</v>
      </c>
    </row>
    <row r="5629" spans="1:3" x14ac:dyDescent="0.25">
      <c r="A5629" s="2" t="str">
        <f ca="1">IFERROR(__xludf.DUMMYFUNCTION("""COMPUTED_VALUE"""),"golcoin")</f>
        <v>golcoin</v>
      </c>
      <c r="B5629" s="2" t="str">
        <f ca="1">IFERROR(__xludf.DUMMYFUNCTION("""COMPUTED_VALUE"""),"golc")</f>
        <v>golc</v>
      </c>
      <c r="C5629" s="2" t="str">
        <f ca="1">IFERROR(__xludf.DUMMYFUNCTION("""COMPUTED_VALUE"""),"GOLCOIN")</f>
        <v>GOLCOIN</v>
      </c>
    </row>
    <row r="5630" spans="1:3" x14ac:dyDescent="0.25">
      <c r="A5630" s="2" t="str">
        <f ca="1">IFERROR(__xludf.DUMMYFUNCTION("""COMPUTED_VALUE"""),"gold-2")</f>
        <v>gold-2</v>
      </c>
      <c r="B5630" s="2" t="str">
        <f ca="1">IFERROR(__xludf.DUMMYFUNCTION("""COMPUTED_VALUE"""),"gold")</f>
        <v>gold</v>
      </c>
      <c r="C5630" s="2" t="str">
        <f ca="1">IFERROR(__xludf.DUMMYFUNCTION("""COMPUTED_VALUE"""),"Gold")</f>
        <v>Gold</v>
      </c>
    </row>
    <row r="5631" spans="1:3" x14ac:dyDescent="0.25">
      <c r="A5631" s="2" t="str">
        <f ca="1">IFERROR(__xludf.DUMMYFUNCTION("""COMPUTED_VALUE"""),"gold-3")</f>
        <v>gold-3</v>
      </c>
      <c r="B5631" s="2" t="str">
        <f ca="1">IFERROR(__xludf.DUMMYFUNCTION("""COMPUTED_VALUE"""),"gold")</f>
        <v>gold</v>
      </c>
      <c r="C5631" s="2" t="str">
        <f ca="1">IFERROR(__xludf.DUMMYFUNCTION("""COMPUTED_VALUE"""),"GOLD")</f>
        <v>GOLD</v>
      </c>
    </row>
    <row r="5632" spans="1:3" x14ac:dyDescent="0.25">
      <c r="A5632" s="2" t="str">
        <f ca="1">IFERROR(__xludf.DUMMYFUNCTION("""COMPUTED_VALUE"""),"gold-4")</f>
        <v>gold-4</v>
      </c>
      <c r="B5632" s="2" t="str">
        <f ca="1">IFERROR(__xludf.DUMMYFUNCTION("""COMPUTED_VALUE"""),"gold")</f>
        <v>gold</v>
      </c>
      <c r="C5632" s="2" t="str">
        <f ca="1">IFERROR(__xludf.DUMMYFUNCTION("""COMPUTED_VALUE"""),"Gold")</f>
        <v>Gold</v>
      </c>
    </row>
    <row r="5633" spans="1:3" x14ac:dyDescent="0.25">
      <c r="A5633" s="2" t="str">
        <f ca="1">IFERROR(__xludf.DUMMYFUNCTION("""COMPUTED_VALUE"""),"gold8")</f>
        <v>gold8</v>
      </c>
      <c r="B5633" s="2" t="str">
        <f ca="1">IFERROR(__xludf.DUMMYFUNCTION("""COMPUTED_VALUE"""),"gold8")</f>
        <v>gold8</v>
      </c>
      <c r="C5633" s="2" t="str">
        <f ca="1">IFERROR(__xludf.DUMMYFUNCTION("""COMPUTED_VALUE"""),"GOLD8")</f>
        <v>GOLD8</v>
      </c>
    </row>
    <row r="5634" spans="1:3" x14ac:dyDescent="0.25">
      <c r="A5634" s="2" t="str">
        <f ca="1">IFERROR(__xludf.DUMMYFUNCTION("""COMPUTED_VALUE"""),"gold-cat")</f>
        <v>gold-cat</v>
      </c>
      <c r="B5634" s="2" t="str">
        <f ca="1">IFERROR(__xludf.DUMMYFUNCTION("""COMPUTED_VALUE"""),"goldcat")</f>
        <v>goldcat</v>
      </c>
      <c r="C5634" s="2" t="str">
        <f ca="1">IFERROR(__xludf.DUMMYFUNCTION("""COMPUTED_VALUE"""),"GOLD CAT")</f>
        <v>GOLD CAT</v>
      </c>
    </row>
    <row r="5635" spans="1:3" x14ac:dyDescent="0.25">
      <c r="A5635" s="2" t="str">
        <f ca="1">IFERROR(__xludf.DUMMYFUNCTION("""COMPUTED_VALUE"""),"goldcoin")</f>
        <v>goldcoin</v>
      </c>
      <c r="B5635" s="2" t="str">
        <f ca="1">IFERROR(__xludf.DUMMYFUNCTION("""COMPUTED_VALUE"""),"glc")</f>
        <v>glc</v>
      </c>
      <c r="C5635" s="2" t="str">
        <f ca="1">IFERROR(__xludf.DUMMYFUNCTION("""COMPUTED_VALUE"""),"Goldcoin")</f>
        <v>Goldcoin</v>
      </c>
    </row>
    <row r="5636" spans="1:3" x14ac:dyDescent="0.25">
      <c r="A5636" s="2" t="str">
        <f ca="1">IFERROR(__xludf.DUMMYFUNCTION("""COMPUTED_VALUE"""),"gold-dao")</f>
        <v>gold-dao</v>
      </c>
      <c r="B5636" s="2" t="str">
        <f ca="1">IFERROR(__xludf.DUMMYFUNCTION("""COMPUTED_VALUE"""),"gldgov")</f>
        <v>gldgov</v>
      </c>
      <c r="C5636" s="2" t="str">
        <f ca="1">IFERROR(__xludf.DUMMYFUNCTION("""COMPUTED_VALUE"""),"Gold DAO")</f>
        <v>Gold DAO</v>
      </c>
    </row>
    <row r="5637" spans="1:3" x14ac:dyDescent="0.25">
      <c r="A5637" s="2" t="str">
        <f ca="1">IFERROR(__xludf.DUMMYFUNCTION("""COMPUTED_VALUE"""),"golden-ball")</f>
        <v>golden-ball</v>
      </c>
      <c r="B5637" s="2" t="str">
        <f ca="1">IFERROR(__xludf.DUMMYFUNCTION("""COMPUTED_VALUE"""),"glb")</f>
        <v>glb</v>
      </c>
      <c r="C5637" s="2" t="str">
        <f ca="1">IFERROR(__xludf.DUMMYFUNCTION("""COMPUTED_VALUE"""),"Golden Ball")</f>
        <v>Golden Ball</v>
      </c>
    </row>
    <row r="5638" spans="1:3" x14ac:dyDescent="0.25">
      <c r="A5638" s="2" t="str">
        <f ca="1">IFERROR(__xludf.DUMMYFUNCTION("""COMPUTED_VALUE"""),"goldenboys")</f>
        <v>goldenboys</v>
      </c>
      <c r="B5638" s="2" t="str">
        <f ca="1">IFERROR(__xludf.DUMMYFUNCTION("""COMPUTED_VALUE"""),"gold")</f>
        <v>gold</v>
      </c>
      <c r="C5638" s="2" t="str">
        <f ca="1">IFERROR(__xludf.DUMMYFUNCTION("""COMPUTED_VALUE"""),"GoldenBoys")</f>
        <v>GoldenBoys</v>
      </c>
    </row>
    <row r="5639" spans="1:3" x14ac:dyDescent="0.25">
      <c r="A5639" s="2" t="str">
        <f ca="1">IFERROR(__xludf.DUMMYFUNCTION("""COMPUTED_VALUE"""),"golden-celestial-ratio")</f>
        <v>golden-celestial-ratio</v>
      </c>
      <c r="B5639" s="2" t="str">
        <f ca="1">IFERROR(__xludf.DUMMYFUNCTION("""COMPUTED_VALUE"""),"gcr")</f>
        <v>gcr</v>
      </c>
      <c r="C5639" s="2" t="str">
        <f ca="1">IFERROR(__xludf.DUMMYFUNCTION("""COMPUTED_VALUE"""),"Golden Celestial Ratio")</f>
        <v>Golden Celestial Ratio</v>
      </c>
    </row>
    <row r="5640" spans="1:3" x14ac:dyDescent="0.25">
      <c r="A5640" s="2" t="str">
        <f ca="1">IFERROR(__xludf.DUMMYFUNCTION("""COMPUTED_VALUE"""),"goldencoin")</f>
        <v>goldencoin</v>
      </c>
      <c r="B5640" s="2" t="str">
        <f ca="1">IFERROR(__xludf.DUMMYFUNCTION("""COMPUTED_VALUE"""),"gld")</f>
        <v>gld</v>
      </c>
      <c r="C5640" s="2" t="str">
        <f ca="1">IFERROR(__xludf.DUMMYFUNCTION("""COMPUTED_VALUE"""),"GoldenCoin")</f>
        <v>GoldenCoin</v>
      </c>
    </row>
    <row r="5641" spans="1:3" x14ac:dyDescent="0.25">
      <c r="A5641" s="2" t="str">
        <f ca="1">IFERROR(__xludf.DUMMYFUNCTION("""COMPUTED_VALUE"""),"golden-doge")</f>
        <v>golden-doge</v>
      </c>
      <c r="B5641" s="2" t="str">
        <f ca="1">IFERROR(__xludf.DUMMYFUNCTION("""COMPUTED_VALUE"""),"gdoge")</f>
        <v>gdoge</v>
      </c>
      <c r="C5641" s="2" t="str">
        <f ca="1">IFERROR(__xludf.DUMMYFUNCTION("""COMPUTED_VALUE"""),"Golden Doge")</f>
        <v>Golden Doge</v>
      </c>
    </row>
    <row r="5642" spans="1:3" x14ac:dyDescent="0.25">
      <c r="A5642" s="2" t="str">
        <f ca="1">IFERROR(__xludf.DUMMYFUNCTION("""COMPUTED_VALUE"""),"golden-inu")</f>
        <v>golden-inu</v>
      </c>
      <c r="B5642" s="2" t="str">
        <f ca="1">IFERROR(__xludf.DUMMYFUNCTION("""COMPUTED_VALUE"""),"golden")</f>
        <v>golden</v>
      </c>
      <c r="C5642" s="2" t="str">
        <f ca="1">IFERROR(__xludf.DUMMYFUNCTION("""COMPUTED_VALUE"""),"Golden Inu")</f>
        <v>Golden Inu</v>
      </c>
    </row>
    <row r="5643" spans="1:3" x14ac:dyDescent="0.25">
      <c r="A5643" s="2" t="str">
        <f ca="1">IFERROR(__xludf.DUMMYFUNCTION("""COMPUTED_VALUE"""),"golden-inu-token")</f>
        <v>golden-inu-token</v>
      </c>
      <c r="B5643" s="2" t="str">
        <f ca="1">IFERROR(__xludf.DUMMYFUNCTION("""COMPUTED_VALUE"""),"golden")</f>
        <v>golden</v>
      </c>
      <c r="C5643" s="2" t="str">
        <f ca="1">IFERROR(__xludf.DUMMYFUNCTION("""COMPUTED_VALUE"""),"Golden Inu")</f>
        <v>Golden Inu</v>
      </c>
    </row>
    <row r="5644" spans="1:3" x14ac:dyDescent="0.25">
      <c r="A5644" s="2" t="str">
        <f ca="1">IFERROR(__xludf.DUMMYFUNCTION("""COMPUTED_VALUE"""),"golden-kappa")</f>
        <v>golden-kappa</v>
      </c>
      <c r="B5644" s="2" t="str">
        <f ca="1">IFERROR(__xludf.DUMMYFUNCTION("""COMPUTED_VALUE"""),"gkappa")</f>
        <v>gkappa</v>
      </c>
      <c r="C5644" s="2" t="str">
        <f ca="1">IFERROR(__xludf.DUMMYFUNCTION("""COMPUTED_VALUE"""),"Golden Kappa")</f>
        <v>Golden Kappa</v>
      </c>
    </row>
    <row r="5645" spans="1:3" x14ac:dyDescent="0.25">
      <c r="A5645" s="2" t="str">
        <f ca="1">IFERROR(__xludf.DUMMYFUNCTION("""COMPUTED_VALUE"""),"golden-paws")</f>
        <v>golden-paws</v>
      </c>
      <c r="B5645" s="2" t="str">
        <f ca="1">IFERROR(__xludf.DUMMYFUNCTION("""COMPUTED_VALUE"""),"gpaws")</f>
        <v>gpaws</v>
      </c>
      <c r="C5645" s="2" t="str">
        <f ca="1">IFERROR(__xludf.DUMMYFUNCTION("""COMPUTED_VALUE"""),"Golden Paws")</f>
        <v>Golden Paws</v>
      </c>
    </row>
    <row r="5646" spans="1:3" x14ac:dyDescent="0.25">
      <c r="A5646" s="2" t="str">
        <f ca="1">IFERROR(__xludf.DUMMYFUNCTION("""COMPUTED_VALUE"""),"golden-token")</f>
        <v>golden-token</v>
      </c>
      <c r="B5646" s="2" t="str">
        <f ca="1">IFERROR(__xludf.DUMMYFUNCTION("""COMPUTED_VALUE"""),"gold")</f>
        <v>gold</v>
      </c>
      <c r="C5646" s="2" t="str">
        <f ca="1">IFERROR(__xludf.DUMMYFUNCTION("""COMPUTED_VALUE"""),"Golden")</f>
        <v>Golden</v>
      </c>
    </row>
    <row r="5647" spans="1:3" x14ac:dyDescent="0.25">
      <c r="A5647" s="2" t="str">
        <f ca="1">IFERROR(__xludf.DUMMYFUNCTION("""COMPUTED_VALUE"""),"goldex-token")</f>
        <v>goldex-token</v>
      </c>
      <c r="B5647" s="2" t="str">
        <f ca="1">IFERROR(__xludf.DUMMYFUNCTION("""COMPUTED_VALUE"""),"gldx")</f>
        <v>gldx</v>
      </c>
      <c r="C5647" s="2" t="str">
        <f ca="1">IFERROR(__xludf.DUMMYFUNCTION("""COMPUTED_VALUE"""),"Goldex")</f>
        <v>Goldex</v>
      </c>
    </row>
    <row r="5648" spans="1:3" x14ac:dyDescent="0.25">
      <c r="A5648" s="2" t="str">
        <f ca="1">IFERROR(__xludf.DUMMYFUNCTION("""COMPUTED_VALUE"""),"gold-fever-native-gold")</f>
        <v>gold-fever-native-gold</v>
      </c>
      <c r="B5648" s="2" t="str">
        <f ca="1">IFERROR(__xludf.DUMMYFUNCTION("""COMPUTED_VALUE"""),"ngl")</f>
        <v>ngl</v>
      </c>
      <c r="C5648" s="2" t="str">
        <f ca="1">IFERROR(__xludf.DUMMYFUNCTION("""COMPUTED_VALUE"""),"Gold Fever Native Gold")</f>
        <v>Gold Fever Native Gold</v>
      </c>
    </row>
    <row r="5649" spans="1:3" x14ac:dyDescent="0.25">
      <c r="A5649" s="2" t="str">
        <f ca="1">IFERROR(__xludf.DUMMYFUNCTION("""COMPUTED_VALUE"""),"goldfinch")</f>
        <v>goldfinch</v>
      </c>
      <c r="B5649" s="2" t="str">
        <f ca="1">IFERROR(__xludf.DUMMYFUNCTION("""COMPUTED_VALUE"""),"gfi")</f>
        <v>gfi</v>
      </c>
      <c r="C5649" s="2" t="str">
        <f ca="1">IFERROR(__xludf.DUMMYFUNCTION("""COMPUTED_VALUE"""),"Goldfinch")</f>
        <v>Goldfinch</v>
      </c>
    </row>
    <row r="5650" spans="1:3" x14ac:dyDescent="0.25">
      <c r="A5650" s="2" t="str">
        <f ca="1">IFERROR(__xludf.DUMMYFUNCTION("""COMPUTED_VALUE"""),"goldfinx")</f>
        <v>goldfinx</v>
      </c>
      <c r="B5650" s="2" t="str">
        <f ca="1">IFERROR(__xludf.DUMMYFUNCTION("""COMPUTED_VALUE"""),"gix")</f>
        <v>gix</v>
      </c>
      <c r="C5650" s="2" t="str">
        <f ca="1">IFERROR(__xludf.DUMMYFUNCTION("""COMPUTED_VALUE"""),"GoldFinX")</f>
        <v>GoldFinX</v>
      </c>
    </row>
    <row r="5651" spans="1:3" x14ac:dyDescent="0.25">
      <c r="A5651" s="2" t="str">
        <f ca="1">IFERROR(__xludf.DUMMYFUNCTION("""COMPUTED_VALUE"""),"goldminer")</f>
        <v>goldminer</v>
      </c>
      <c r="B5651" s="2" t="str">
        <f ca="1">IFERROR(__xludf.DUMMYFUNCTION("""COMPUTED_VALUE"""),"gm")</f>
        <v>gm</v>
      </c>
      <c r="C5651" s="2" t="str">
        <f ca="1">IFERROR(__xludf.DUMMYFUNCTION("""COMPUTED_VALUE"""),"GoldMiner")</f>
        <v>GoldMiner</v>
      </c>
    </row>
    <row r="5652" spans="1:3" x14ac:dyDescent="0.25">
      <c r="A5652" s="2" t="str">
        <f ca="1">IFERROR(__xludf.DUMMYFUNCTION("""COMPUTED_VALUE"""),"goldpesa-option")</f>
        <v>goldpesa-option</v>
      </c>
      <c r="B5652" s="2" t="str">
        <f ca="1">IFERROR(__xludf.DUMMYFUNCTION("""COMPUTED_VALUE"""),"gpo")</f>
        <v>gpo</v>
      </c>
      <c r="C5652" s="2" t="str">
        <f ca="1">IFERROR(__xludf.DUMMYFUNCTION("""COMPUTED_VALUE"""),"GoldPesa Option")</f>
        <v>GoldPesa Option</v>
      </c>
    </row>
    <row r="5653" spans="1:3" x14ac:dyDescent="0.25">
      <c r="A5653" s="2" t="str">
        <f ca="1">IFERROR(__xludf.DUMMYFUNCTION("""COMPUTED_VALUE"""),"gold-standard")</f>
        <v>gold-standard</v>
      </c>
      <c r="B5653" s="2" t="str">
        <f ca="1">IFERROR(__xludf.DUMMYFUNCTION("""COMPUTED_VALUE"""),"bar")</f>
        <v>bar</v>
      </c>
      <c r="C5653" s="2" t="str">
        <f ca="1">IFERROR(__xludf.DUMMYFUNCTION("""COMPUTED_VALUE"""),"Gold Standard")</f>
        <v>Gold Standard</v>
      </c>
    </row>
    <row r="5654" spans="1:3" x14ac:dyDescent="0.25">
      <c r="A5654" s="2" t="str">
        <f ca="1">IFERROR(__xludf.DUMMYFUNCTION("""COMPUTED_VALUE"""),"goldverse-game-token")</f>
        <v>goldverse-game-token</v>
      </c>
      <c r="B5654" s="2" t="str">
        <f ca="1">IFERROR(__xludf.DUMMYFUNCTION("""COMPUTED_VALUE"""),"gdv")</f>
        <v>gdv</v>
      </c>
      <c r="C5654" s="2" t="str">
        <f ca="1">IFERROR(__xludf.DUMMYFUNCTION("""COMPUTED_VALUE"""),"Goldverse Game Token")</f>
        <v>Goldverse Game Token</v>
      </c>
    </row>
    <row r="5655" spans="1:3" x14ac:dyDescent="0.25">
      <c r="A5655" s="2" t="str">
        <f ca="1">IFERROR(__xludf.DUMMYFUNCTION("""COMPUTED_VALUE"""),"goledo-2")</f>
        <v>goledo-2</v>
      </c>
      <c r="B5655" s="2" t="str">
        <f ca="1">IFERROR(__xludf.DUMMYFUNCTION("""COMPUTED_VALUE"""),"gol")</f>
        <v>gol</v>
      </c>
      <c r="C5655" s="2" t="str">
        <f ca="1">IFERROR(__xludf.DUMMYFUNCTION("""COMPUTED_VALUE"""),"Goledo")</f>
        <v>Goledo</v>
      </c>
    </row>
    <row r="5656" spans="1:3" x14ac:dyDescent="0.25">
      <c r="A5656" s="2" t="str">
        <f ca="1">IFERROR(__xludf.DUMMYFUNCTION("""COMPUTED_VALUE"""),"golem")</f>
        <v>golem</v>
      </c>
      <c r="B5656" s="2" t="str">
        <f ca="1">IFERROR(__xludf.DUMMYFUNCTION("""COMPUTED_VALUE"""),"glm")</f>
        <v>glm</v>
      </c>
      <c r="C5656" s="2" t="str">
        <f ca="1">IFERROR(__xludf.DUMMYFUNCTION("""COMPUTED_VALUE"""),"Golem")</f>
        <v>Golem</v>
      </c>
    </row>
    <row r="5657" spans="1:3" x14ac:dyDescent="0.25">
      <c r="A5657" s="2" t="str">
        <f ca="1">IFERROR(__xludf.DUMMYFUNCTION("""COMPUTED_VALUE"""),"golff")</f>
        <v>golff</v>
      </c>
      <c r="B5657" s="2" t="str">
        <f ca="1">IFERROR(__xludf.DUMMYFUNCTION("""COMPUTED_VALUE"""),"gof")</f>
        <v>gof</v>
      </c>
      <c r="C5657" s="2" t="str">
        <f ca="1">IFERROR(__xludf.DUMMYFUNCTION("""COMPUTED_VALUE"""),"Golff")</f>
        <v>Golff</v>
      </c>
    </row>
    <row r="5658" spans="1:3" x14ac:dyDescent="0.25">
      <c r="A5658" s="2" t="str">
        <f ca="1">IFERROR(__xludf.DUMMYFUNCTION("""COMPUTED_VALUE"""),"golteum")</f>
        <v>golteum</v>
      </c>
      <c r="B5658" s="2" t="str">
        <f ca="1">IFERROR(__xludf.DUMMYFUNCTION("""COMPUTED_VALUE"""),"gltm")</f>
        <v>gltm</v>
      </c>
      <c r="C5658" s="2" t="str">
        <f ca="1">IFERROR(__xludf.DUMMYFUNCTION("""COMPUTED_VALUE"""),"Golteum")</f>
        <v>Golteum</v>
      </c>
    </row>
    <row r="5659" spans="1:3" x14ac:dyDescent="0.25">
      <c r="A5659" s="2" t="str">
        <f ca="1">IFERROR(__xludf.DUMMYFUNCTION("""COMPUTED_VALUE"""),"gomdori")</f>
        <v>gomdori</v>
      </c>
      <c r="B5659" s="2" t="str">
        <f ca="1">IFERROR(__xludf.DUMMYFUNCTION("""COMPUTED_VALUE"""),"gomd")</f>
        <v>gomd</v>
      </c>
      <c r="C5659" s="2" t="str">
        <f ca="1">IFERROR(__xludf.DUMMYFUNCTION("""COMPUTED_VALUE"""),"Gomdori")</f>
        <v>Gomdori</v>
      </c>
    </row>
    <row r="5660" spans="1:3" x14ac:dyDescent="0.25">
      <c r="A5660" s="2" t="str">
        <f ca="1">IFERROR(__xludf.DUMMYFUNCTION("""COMPUTED_VALUE"""),"gomu-gator")</f>
        <v>gomu-gator</v>
      </c>
      <c r="B5660" s="2" t="str">
        <f ca="1">IFERROR(__xludf.DUMMYFUNCTION("""COMPUTED_VALUE"""),"gomu")</f>
        <v>gomu</v>
      </c>
      <c r="C5660" s="2" t="str">
        <f ca="1">IFERROR(__xludf.DUMMYFUNCTION("""COMPUTED_VALUE"""),"Gomu Gator")</f>
        <v>Gomu Gator</v>
      </c>
    </row>
    <row r="5661" spans="1:3" x14ac:dyDescent="0.25">
      <c r="A5661" s="2" t="str">
        <f ca="1">IFERROR(__xludf.DUMMYFUNCTION("""COMPUTED_VALUE"""),"gondola")</f>
        <v>gondola</v>
      </c>
      <c r="B5661" s="2" t="str">
        <f ca="1">IFERROR(__xludf.DUMMYFUNCTION("""COMPUTED_VALUE"""),"gondola")</f>
        <v>gondola</v>
      </c>
      <c r="C5661" s="2" t="str">
        <f ca="1">IFERROR(__xludf.DUMMYFUNCTION("""COMPUTED_VALUE"""),"Gondola")</f>
        <v>Gondola</v>
      </c>
    </row>
    <row r="5662" spans="1:3" x14ac:dyDescent="0.25">
      <c r="A5662" s="2" t="str">
        <f ca="1">IFERROR(__xludf.DUMMYFUNCTION("""COMPUTED_VALUE"""),"gone")</f>
        <v>gone</v>
      </c>
      <c r="B5662" s="2" t="str">
        <f ca="1">IFERROR(__xludf.DUMMYFUNCTION("""COMPUTED_VALUE"""),"gone")</f>
        <v>gone</v>
      </c>
      <c r="C5662" s="2" t="str">
        <f ca="1">IFERROR(__xludf.DUMMYFUNCTION("""COMPUTED_VALUE"""),"Gone")</f>
        <v>Gone</v>
      </c>
    </row>
    <row r="5663" spans="1:3" x14ac:dyDescent="0.25">
      <c r="A5663" s="2" t="str">
        <f ca="1">IFERROR(__xludf.DUMMYFUNCTION("""COMPUTED_VALUE"""),"gonfty")</f>
        <v>gonfty</v>
      </c>
      <c r="B5663" s="2" t="str">
        <f ca="1">IFERROR(__xludf.DUMMYFUNCTION("""COMPUTED_VALUE"""),"gnfty")</f>
        <v>gnfty</v>
      </c>
      <c r="C5663" s="2" t="str">
        <f ca="1">IFERROR(__xludf.DUMMYFUNCTION("""COMPUTED_VALUE"""),"GoNFTY")</f>
        <v>GoNFTY</v>
      </c>
    </row>
    <row r="5664" spans="1:3" x14ac:dyDescent="0.25">
      <c r="A5664" s="2" t="str">
        <f ca="1">IFERROR(__xludf.DUMMYFUNCTION("""COMPUTED_VALUE"""),"gong")</f>
        <v>gong</v>
      </c>
      <c r="B5664" s="2" t="str">
        <f ca="1">IFERROR(__xludf.DUMMYFUNCTION("""COMPUTED_VALUE"""),"gong")</f>
        <v>gong</v>
      </c>
      <c r="C5664" s="2" t="str">
        <f ca="1">IFERROR(__xludf.DUMMYFUNCTION("""COMPUTED_VALUE"""),"GONG")</f>
        <v>GONG</v>
      </c>
    </row>
    <row r="5665" spans="1:3" x14ac:dyDescent="0.25">
      <c r="A5665" s="2" t="str">
        <f ca="1">IFERROR(__xludf.DUMMYFUNCTION("""COMPUTED_VALUE"""),"gooch")</f>
        <v>gooch</v>
      </c>
      <c r="B5665" s="2" t="str">
        <f ca="1">IFERROR(__xludf.DUMMYFUNCTION("""COMPUTED_VALUE"""),"gooch")</f>
        <v>gooch</v>
      </c>
      <c r="C5665" s="2" t="str">
        <f ca="1">IFERROR(__xludf.DUMMYFUNCTION("""COMPUTED_VALUE"""),"Gooch")</f>
        <v>Gooch</v>
      </c>
    </row>
    <row r="5666" spans="1:3" x14ac:dyDescent="0.25">
      <c r="A5666" s="2" t="str">
        <f ca="1">IFERROR(__xludf.DUMMYFUNCTION("""COMPUTED_VALUE"""),"good-boy")</f>
        <v>good-boy</v>
      </c>
      <c r="B5666" s="2" t="str">
        <f ca="1">IFERROR(__xludf.DUMMYFUNCTION("""COMPUTED_VALUE"""),"boy")</f>
        <v>boy</v>
      </c>
      <c r="C5666" s="2" t="str">
        <f ca="1">IFERROR(__xludf.DUMMYFUNCTION("""COMPUTED_VALUE"""),"Good Boy")</f>
        <v>Good Boy</v>
      </c>
    </row>
    <row r="5667" spans="1:3" x14ac:dyDescent="0.25">
      <c r="A5667" s="2" t="str">
        <f ca="1">IFERROR(__xludf.DUMMYFUNCTION("""COMPUTED_VALUE"""),"goodcryptox")</f>
        <v>goodcryptox</v>
      </c>
      <c r="B5667" s="2" t="str">
        <f ca="1">IFERROR(__xludf.DUMMYFUNCTION("""COMPUTED_VALUE"""),"good")</f>
        <v>good</v>
      </c>
      <c r="C5667" s="2" t="str">
        <f ca="1">IFERROR(__xludf.DUMMYFUNCTION("""COMPUTED_VALUE"""),"goodcryptoX")</f>
        <v>goodcryptoX</v>
      </c>
    </row>
    <row r="5668" spans="1:3" x14ac:dyDescent="0.25">
      <c r="A5668" s="2" t="str">
        <f ca="1">IFERROR(__xludf.DUMMYFUNCTION("""COMPUTED_VALUE"""),"good-dog")</f>
        <v>good-dog</v>
      </c>
      <c r="B5668" s="2" t="str">
        <f ca="1">IFERROR(__xludf.DUMMYFUNCTION("""COMPUTED_VALUE"""),"heel")</f>
        <v>heel</v>
      </c>
      <c r="C5668" s="2" t="str">
        <f ca="1">IFERROR(__xludf.DUMMYFUNCTION("""COMPUTED_VALUE"""),"Good Dog")</f>
        <v>Good Dog</v>
      </c>
    </row>
    <row r="5669" spans="1:3" x14ac:dyDescent="0.25">
      <c r="A5669" s="2" t="str">
        <f ca="1">IFERROR(__xludf.DUMMYFUNCTION("""COMPUTED_VALUE"""),"gooddollar")</f>
        <v>gooddollar</v>
      </c>
      <c r="B5669" s="2" t="str">
        <f ca="1">IFERROR(__xludf.DUMMYFUNCTION("""COMPUTED_VALUE"""),"$g")</f>
        <v>$g</v>
      </c>
      <c r="C5669" s="2" t="str">
        <f ca="1">IFERROR(__xludf.DUMMYFUNCTION("""COMPUTED_VALUE"""),"GoodDollar")</f>
        <v>GoodDollar</v>
      </c>
    </row>
    <row r="5670" spans="1:3" x14ac:dyDescent="0.25">
      <c r="A5670" s="2" t="str">
        <f ca="1">IFERROR(__xludf.DUMMYFUNCTION("""COMPUTED_VALUE"""),"good-entry")</f>
        <v>good-entry</v>
      </c>
      <c r="B5670" s="2" t="str">
        <f ca="1">IFERROR(__xludf.DUMMYFUNCTION("""COMPUTED_VALUE"""),"good")</f>
        <v>good</v>
      </c>
      <c r="C5670" s="2" t="str">
        <f ca="1">IFERROR(__xludf.DUMMYFUNCTION("""COMPUTED_VALUE"""),"Good Entry")</f>
        <v>Good Entry</v>
      </c>
    </row>
    <row r="5671" spans="1:3" x14ac:dyDescent="0.25">
      <c r="A5671" s="2" t="str">
        <f ca="1">IFERROR(__xludf.DUMMYFUNCTION("""COMPUTED_VALUE"""),"good-games-guild")</f>
        <v>good-games-guild</v>
      </c>
      <c r="B5671" s="2" t="str">
        <f ca="1">IFERROR(__xludf.DUMMYFUNCTION("""COMPUTED_VALUE"""),"ggg")</f>
        <v>ggg</v>
      </c>
      <c r="C5671" s="2" t="str">
        <f ca="1">IFERROR(__xludf.DUMMYFUNCTION("""COMPUTED_VALUE"""),"Good Games Guild")</f>
        <v>Good Games Guild</v>
      </c>
    </row>
    <row r="5672" spans="1:3" x14ac:dyDescent="0.25">
      <c r="A5672" s="2" t="str">
        <f ca="1">IFERROR(__xludf.DUMMYFUNCTION("""COMPUTED_VALUE"""),"good-gensler")</f>
        <v>good-gensler</v>
      </c>
      <c r="B5672" s="2" t="str">
        <f ca="1">IFERROR(__xludf.DUMMYFUNCTION("""COMPUTED_VALUE"""),"genslr")</f>
        <v>genslr</v>
      </c>
      <c r="C5672" s="2" t="str">
        <f ca="1">IFERROR(__xludf.DUMMYFUNCTION("""COMPUTED_VALUE"""),"Good Gensler")</f>
        <v>Good Gensler</v>
      </c>
    </row>
    <row r="5673" spans="1:3" x14ac:dyDescent="0.25">
      <c r="A5673" s="2" t="str">
        <f ca="1">IFERROR(__xludf.DUMMYFUNCTION("""COMPUTED_VALUE"""),"goodle")</f>
        <v>goodle</v>
      </c>
      <c r="B5673" s="2" t="str">
        <f ca="1">IFERROR(__xludf.DUMMYFUNCTION("""COMPUTED_VALUE"""),"$goodle")</f>
        <v>$goodle</v>
      </c>
      <c r="C5673" s="2" t="str">
        <f ca="1">IFERROR(__xludf.DUMMYFUNCTION("""COMPUTED_VALUE"""),"Goodle")</f>
        <v>Goodle</v>
      </c>
    </row>
    <row r="5674" spans="1:3" x14ac:dyDescent="0.25">
      <c r="A5674" s="2" t="str">
        <f ca="1">IFERROR(__xludf.DUMMYFUNCTION("""COMPUTED_VALUE"""),"goodmeme")</f>
        <v>goodmeme</v>
      </c>
      <c r="B5674" s="2" t="str">
        <f ca="1">IFERROR(__xludf.DUMMYFUNCTION("""COMPUTED_VALUE"""),"gmeme")</f>
        <v>gmeme</v>
      </c>
      <c r="C5674" s="2" t="str">
        <f ca="1">IFERROR(__xludf.DUMMYFUNCTION("""COMPUTED_VALUE"""),"GoodMeme")</f>
        <v>GoodMeme</v>
      </c>
    </row>
    <row r="5675" spans="1:3" x14ac:dyDescent="0.25">
      <c r="A5675" s="2" t="str">
        <f ca="1">IFERROR(__xludf.DUMMYFUNCTION("""COMPUTED_VALUE"""),"goodmorning")</f>
        <v>goodmorning</v>
      </c>
      <c r="B5675" s="2" t="str">
        <f ca="1">IFERROR(__xludf.DUMMYFUNCTION("""COMPUTED_VALUE"""),"gm")</f>
        <v>gm</v>
      </c>
      <c r="C5675" s="2" t="str">
        <f ca="1">IFERROR(__xludf.DUMMYFUNCTION("""COMPUTED_VALUE"""),"GoodMorning")</f>
        <v>GoodMorning</v>
      </c>
    </row>
    <row r="5676" spans="1:3" x14ac:dyDescent="0.25">
      <c r="A5676" s="2" t="str">
        <f ca="1">IFERROR(__xludf.DUMMYFUNCTION("""COMPUTED_VALUE"""),"good-morning-3")</f>
        <v>good-morning-3</v>
      </c>
      <c r="B5676" s="2" t="str">
        <f ca="1">IFERROR(__xludf.DUMMYFUNCTION("""COMPUTED_VALUE"""),"gm")</f>
        <v>gm</v>
      </c>
      <c r="C5676" s="2" t="str">
        <f ca="1">IFERROR(__xludf.DUMMYFUNCTION("""COMPUTED_VALUE"""),"Good Morning!")</f>
        <v>Good Morning!</v>
      </c>
    </row>
    <row r="5677" spans="1:3" x14ac:dyDescent="0.25">
      <c r="A5677" s="2" t="str">
        <f ca="1">IFERROR(__xludf.DUMMYFUNCTION("""COMPUTED_VALUE"""),"good-old-fashioned-un-registered-security")</f>
        <v>good-old-fashioned-un-registered-security</v>
      </c>
      <c r="B5677" s="2" t="str">
        <f ca="1">IFERROR(__xludf.DUMMYFUNCTION("""COMPUTED_VALUE"""),"gofurs")</f>
        <v>gofurs</v>
      </c>
      <c r="C5677" s="2" t="str">
        <f ca="1">IFERROR(__xludf.DUMMYFUNCTION("""COMPUTED_VALUE"""),"Good Old Fashioned Un Registered Security")</f>
        <v>Good Old Fashioned Un Registered Security</v>
      </c>
    </row>
    <row r="5678" spans="1:3" x14ac:dyDescent="0.25">
      <c r="A5678" s="2" t="str">
        <f ca="1">IFERROR(__xludf.DUMMYFUNCTION("""COMPUTED_VALUE"""),"good-person-coin")</f>
        <v>good-person-coin</v>
      </c>
      <c r="B5678" s="2" t="str">
        <f ca="1">IFERROR(__xludf.DUMMYFUNCTION("""COMPUTED_VALUE"""),"gpcx")</f>
        <v>gpcx</v>
      </c>
      <c r="C5678" s="2" t="str">
        <f ca="1">IFERROR(__xludf.DUMMYFUNCTION("""COMPUTED_VALUE"""),"Good Person Coin")</f>
        <v>Good Person Coin</v>
      </c>
    </row>
    <row r="5679" spans="1:3" x14ac:dyDescent="0.25">
      <c r="A5679" s="2" t="str">
        <f ca="1">IFERROR(__xludf.DUMMYFUNCTION("""COMPUTED_VALUE"""),"gooeys")</f>
        <v>gooeys</v>
      </c>
      <c r="B5679" s="2" t="str">
        <f ca="1">IFERROR(__xludf.DUMMYFUNCTION("""COMPUTED_VALUE"""),"goo")</f>
        <v>goo</v>
      </c>
      <c r="C5679" s="2" t="str">
        <f ca="1">IFERROR(__xludf.DUMMYFUNCTION("""COMPUTED_VALUE"""),"Gooeys")</f>
        <v>Gooeys</v>
      </c>
    </row>
    <row r="5680" spans="1:3" x14ac:dyDescent="0.25">
      <c r="A5680" s="2" t="str">
        <f ca="1">IFERROR(__xludf.DUMMYFUNCTION("""COMPUTED_VALUE"""),"goofy")</f>
        <v>goofy</v>
      </c>
      <c r="B5680" s="2" t="str">
        <f ca="1">IFERROR(__xludf.DUMMYFUNCTION("""COMPUTED_VALUE"""),"goofy")</f>
        <v>goofy</v>
      </c>
      <c r="C5680" s="2" t="str">
        <f ca="1">IFERROR(__xludf.DUMMYFUNCTION("""COMPUTED_VALUE"""),"GOOFY")</f>
        <v>GOOFY</v>
      </c>
    </row>
    <row r="5681" spans="1:3" x14ac:dyDescent="0.25">
      <c r="A5681" s="2" t="str">
        <f ca="1">IFERROR(__xludf.DUMMYFUNCTION("""COMPUTED_VALUE"""),"goofy-inu")</f>
        <v>goofy-inu</v>
      </c>
      <c r="B5681" s="2" t="str">
        <f ca="1">IFERROR(__xludf.DUMMYFUNCTION("""COMPUTED_VALUE"""),"goofy")</f>
        <v>goofy</v>
      </c>
      <c r="C5681" s="2" t="str">
        <f ca="1">IFERROR(__xludf.DUMMYFUNCTION("""COMPUTED_VALUE"""),"Goofy Inu")</f>
        <v>Goofy Inu</v>
      </c>
    </row>
    <row r="5682" spans="1:3" x14ac:dyDescent="0.25">
      <c r="A5682" s="2" t="str">
        <f ca="1">IFERROR(__xludf.DUMMYFUNCTION("""COMPUTED_VALUE"""),"google-tokenized-stock-defichain")</f>
        <v>google-tokenized-stock-defichain</v>
      </c>
      <c r="B5682" s="2" t="str">
        <f ca="1">IFERROR(__xludf.DUMMYFUNCTION("""COMPUTED_VALUE"""),"dgoogl")</f>
        <v>dgoogl</v>
      </c>
      <c r="C5682" s="2" t="str">
        <f ca="1">IFERROR(__xludf.DUMMYFUNCTION("""COMPUTED_VALUE"""),"Google Tokenized Stock Defichain")</f>
        <v>Google Tokenized Stock Defichain</v>
      </c>
    </row>
    <row r="5683" spans="1:3" x14ac:dyDescent="0.25">
      <c r="A5683" s="2" t="str">
        <f ca="1">IFERROR(__xludf.DUMMYFUNCTION("""COMPUTED_VALUE"""),"googly-cat")</f>
        <v>googly-cat</v>
      </c>
      <c r="B5683" s="2" t="str">
        <f ca="1">IFERROR(__xludf.DUMMYFUNCTION("""COMPUTED_VALUE"""),"googly")</f>
        <v>googly</v>
      </c>
      <c r="C5683" s="2" t="str">
        <f ca="1">IFERROR(__xludf.DUMMYFUNCTION("""COMPUTED_VALUE"""),"Googly Cat")</f>
        <v>Googly Cat</v>
      </c>
    </row>
    <row r="5684" spans="1:3" x14ac:dyDescent="0.25">
      <c r="A5684" s="2" t="str">
        <f ca="1">IFERROR(__xludf.DUMMYFUNCTION("""COMPUTED_VALUE"""),"goon")</f>
        <v>goon</v>
      </c>
      <c r="B5684" s="2" t="str">
        <f ca="1">IFERROR(__xludf.DUMMYFUNCTION("""COMPUTED_VALUE"""),"goon")</f>
        <v>goon</v>
      </c>
      <c r="C5684" s="2" t="str">
        <f ca="1">IFERROR(__xludf.DUMMYFUNCTION("""COMPUTED_VALUE"""),"GOON")</f>
        <v>GOON</v>
      </c>
    </row>
    <row r="5685" spans="1:3" x14ac:dyDescent="0.25">
      <c r="A5685" s="2" t="str">
        <f ca="1">IFERROR(__xludf.DUMMYFUNCTION("""COMPUTED_VALUE"""),"goon-2")</f>
        <v>goon-2</v>
      </c>
      <c r="B5685" s="2" t="str">
        <f ca="1">IFERROR(__xludf.DUMMYFUNCTION("""COMPUTED_VALUE"""),"goon")</f>
        <v>goon</v>
      </c>
      <c r="C5685" s="2" t="str">
        <f ca="1">IFERROR(__xludf.DUMMYFUNCTION("""COMPUTED_VALUE"""),"GOON")</f>
        <v>GOON</v>
      </c>
    </row>
    <row r="5686" spans="1:3" x14ac:dyDescent="0.25">
      <c r="A5686" s="2" t="str">
        <f ca="1">IFERROR(__xludf.DUMMYFUNCTION("""COMPUTED_VALUE"""),"goons-of-balatroon")</f>
        <v>goons-of-balatroon</v>
      </c>
      <c r="B5686" s="2" t="str">
        <f ca="1">IFERROR(__xludf.DUMMYFUNCTION("""COMPUTED_VALUE"""),"gob")</f>
        <v>gob</v>
      </c>
      <c r="C5686" s="2" t="str">
        <f ca="1">IFERROR(__xludf.DUMMYFUNCTION("""COMPUTED_VALUE"""),"Goons of Balatroon")</f>
        <v>Goons of Balatroon</v>
      </c>
    </row>
    <row r="5687" spans="1:3" x14ac:dyDescent="0.25">
      <c r="A5687" s="2" t="str">
        <f ca="1">IFERROR(__xludf.DUMMYFUNCTION("""COMPUTED_VALUE"""),"goose")</f>
        <v>goose</v>
      </c>
      <c r="B5687" s="2" t="str">
        <f ca="1">IFERROR(__xludf.DUMMYFUNCTION("""COMPUTED_VALUE"""),"goose")</f>
        <v>goose</v>
      </c>
      <c r="C5687" s="2" t="str">
        <f ca="1">IFERROR(__xludf.DUMMYFUNCTION("""COMPUTED_VALUE"""),"Goose")</f>
        <v>Goose</v>
      </c>
    </row>
    <row r="5688" spans="1:3" x14ac:dyDescent="0.25">
      <c r="A5688" s="2" t="str">
        <f ca="1">IFERROR(__xludf.DUMMYFUNCTION("""COMPUTED_VALUE"""),"goose-finance")</f>
        <v>goose-finance</v>
      </c>
      <c r="B5688" s="2" t="str">
        <f ca="1">IFERROR(__xludf.DUMMYFUNCTION("""COMPUTED_VALUE"""),"egg")</f>
        <v>egg</v>
      </c>
      <c r="C5688" s="2" t="str">
        <f ca="1">IFERROR(__xludf.DUMMYFUNCTION("""COMPUTED_VALUE"""),"Goose Finance")</f>
        <v>Goose Finance</v>
      </c>
    </row>
    <row r="5689" spans="1:3" x14ac:dyDescent="0.25">
      <c r="A5689" s="2" t="str">
        <f ca="1">IFERROR(__xludf.DUMMYFUNCTION("""COMPUTED_VALUE"""),"goosefx")</f>
        <v>goosefx</v>
      </c>
      <c r="B5689" s="2" t="str">
        <f ca="1">IFERROR(__xludf.DUMMYFUNCTION("""COMPUTED_VALUE"""),"gofx")</f>
        <v>gofx</v>
      </c>
      <c r="C5689" s="2" t="str">
        <f ca="1">IFERROR(__xludf.DUMMYFUNCTION("""COMPUTED_VALUE"""),"GooseFX")</f>
        <v>GooseFX</v>
      </c>
    </row>
    <row r="5690" spans="1:3" x14ac:dyDescent="0.25">
      <c r="A5690" s="2" t="str">
        <f ca="1">IFERROR(__xludf.DUMMYFUNCTION("""COMPUTED_VALUE"""),"goracle-network")</f>
        <v>goracle-network</v>
      </c>
      <c r="B5690" s="2" t="str">
        <f ca="1">IFERROR(__xludf.DUMMYFUNCTION("""COMPUTED_VALUE"""),"gora")</f>
        <v>gora</v>
      </c>
      <c r="C5690" s="2" t="str">
        <f ca="1">IFERROR(__xludf.DUMMYFUNCTION("""COMPUTED_VALUE"""),"Gora")</f>
        <v>Gora</v>
      </c>
    </row>
    <row r="5691" spans="1:3" x14ac:dyDescent="0.25">
      <c r="A5691" s="2" t="str">
        <f ca="1">IFERROR(__xludf.DUMMYFUNCTION("""COMPUTED_VALUE"""),"gorilla")</f>
        <v>gorilla</v>
      </c>
      <c r="B5691" s="2" t="str">
        <f ca="1">IFERROR(__xludf.DUMMYFUNCTION("""COMPUTED_VALUE"""),"gorilla")</f>
        <v>gorilla</v>
      </c>
      <c r="C5691" s="2" t="str">
        <f ca="1">IFERROR(__xludf.DUMMYFUNCTION("""COMPUTED_VALUE"""),"Gorilla")</f>
        <v>Gorilla</v>
      </c>
    </row>
    <row r="5692" spans="1:3" x14ac:dyDescent="0.25">
      <c r="A5692" s="2" t="str">
        <f ca="1">IFERROR(__xludf.DUMMYFUNCTION("""COMPUTED_VALUE"""),"gorilla-2")</f>
        <v>gorilla-2</v>
      </c>
      <c r="B5692" s="2" t="str">
        <f ca="1">IFERROR(__xludf.DUMMYFUNCTION("""COMPUTED_VALUE"""),"gorilla")</f>
        <v>gorilla</v>
      </c>
      <c r="C5692" s="2" t="str">
        <f ca="1">IFERROR(__xludf.DUMMYFUNCTION("""COMPUTED_VALUE"""),"GORILLA")</f>
        <v>GORILLA</v>
      </c>
    </row>
    <row r="5693" spans="1:3" x14ac:dyDescent="0.25">
      <c r="A5693" s="2" t="str">
        <f ca="1">IFERROR(__xludf.DUMMYFUNCTION("""COMPUTED_VALUE"""),"gorilla-finance")</f>
        <v>gorilla-finance</v>
      </c>
      <c r="B5693" s="2" t="str">
        <f ca="1">IFERROR(__xludf.DUMMYFUNCTION("""COMPUTED_VALUE"""),"gorilla")</f>
        <v>gorilla</v>
      </c>
      <c r="C5693" s="2" t="str">
        <f ca="1">IFERROR(__xludf.DUMMYFUNCTION("""COMPUTED_VALUE"""),"Gorilla Finance")</f>
        <v>Gorilla Finance</v>
      </c>
    </row>
    <row r="5694" spans="1:3" x14ac:dyDescent="0.25">
      <c r="A5694" s="2" t="str">
        <f ca="1">IFERROR(__xludf.DUMMYFUNCTION("""COMPUTED_VALUE"""),"gorilla-in-a-coupe")</f>
        <v>gorilla-in-a-coupe</v>
      </c>
      <c r="B5694" s="2" t="str">
        <f ca="1">IFERROR(__xludf.DUMMYFUNCTION("""COMPUTED_VALUE"""),"giac")</f>
        <v>giac</v>
      </c>
      <c r="C5694" s="2" t="str">
        <f ca="1">IFERROR(__xludf.DUMMYFUNCTION("""COMPUTED_VALUE"""),"Gorilla In A Coupe")</f>
        <v>Gorilla In A Coupe</v>
      </c>
    </row>
    <row r="5695" spans="1:3" x14ac:dyDescent="0.25">
      <c r="A5695" s="2" t="str">
        <f ca="1">IFERROR(__xludf.DUMMYFUNCTION("""COMPUTED_VALUE"""),"gosh")</f>
        <v>gosh</v>
      </c>
      <c r="B5695" s="2" t="str">
        <f ca="1">IFERROR(__xludf.DUMMYFUNCTION("""COMPUTED_VALUE"""),"gosh")</f>
        <v>gosh</v>
      </c>
      <c r="C5695" s="2" t="str">
        <f ca="1">IFERROR(__xludf.DUMMYFUNCTION("""COMPUTED_VALUE"""),"GOSH")</f>
        <v>GOSH</v>
      </c>
    </row>
    <row r="5696" spans="1:3" x14ac:dyDescent="0.25">
      <c r="A5696" s="2" t="str">
        <f ca="1">IFERROR(__xludf.DUMMYFUNCTION("""COMPUTED_VALUE"""),"gotem")</f>
        <v>gotem</v>
      </c>
      <c r="B5696" s="2" t="str">
        <f ca="1">IFERROR(__xludf.DUMMYFUNCTION("""COMPUTED_VALUE"""),"gotem")</f>
        <v>gotem</v>
      </c>
      <c r="C5696" s="2" t="str">
        <f ca="1">IFERROR(__xludf.DUMMYFUNCTION("""COMPUTED_VALUE"""),"gotEM")</f>
        <v>gotEM</v>
      </c>
    </row>
    <row r="5697" spans="1:3" x14ac:dyDescent="0.25">
      <c r="A5697" s="2" t="str">
        <f ca="1">IFERROR(__xludf.DUMMYFUNCTION("""COMPUTED_VALUE"""),"got-guaranteed")</f>
        <v>got-guaranteed</v>
      </c>
      <c r="B5697" s="2" t="str">
        <f ca="1">IFERROR(__xludf.DUMMYFUNCTION("""COMPUTED_VALUE"""),"gotg")</f>
        <v>gotg</v>
      </c>
      <c r="C5697" s="2" t="str">
        <f ca="1">IFERROR(__xludf.DUMMYFUNCTION("""COMPUTED_VALUE"""),"Got Guaranteed")</f>
        <v>Got Guaranteed</v>
      </c>
    </row>
    <row r="5698" spans="1:3" x14ac:dyDescent="0.25">
      <c r="A5698" s="2" t="str">
        <f ca="1">IFERROR(__xludf.DUMMYFUNCTION("""COMPUTED_VALUE"""),"gotti-token")</f>
        <v>gotti-token</v>
      </c>
      <c r="B5698" s="2" t="str">
        <f ca="1">IFERROR(__xludf.DUMMYFUNCTION("""COMPUTED_VALUE"""),"gotti")</f>
        <v>gotti</v>
      </c>
      <c r="C5698" s="2" t="str">
        <f ca="1">IFERROR(__xludf.DUMMYFUNCTION("""COMPUTED_VALUE"""),"Gotti Token")</f>
        <v>Gotti Token</v>
      </c>
    </row>
    <row r="5699" spans="1:3" x14ac:dyDescent="0.25">
      <c r="A5699" s="2" t="str">
        <f ca="1">IFERROR(__xludf.DUMMYFUNCTION("""COMPUTED_VALUE"""),"gou")</f>
        <v>gou</v>
      </c>
      <c r="B5699" s="2" t="str">
        <f ca="1">IFERROR(__xludf.DUMMYFUNCTION("""COMPUTED_VALUE"""),"gou")</f>
        <v>gou</v>
      </c>
      <c r="C5699" s="2" t="str">
        <f ca="1">IFERROR(__xludf.DUMMYFUNCTION("""COMPUTED_VALUE"""),"Gou")</f>
        <v>Gou</v>
      </c>
    </row>
    <row r="5700" spans="1:3" x14ac:dyDescent="0.25">
      <c r="A5700" s="2" t="str">
        <f ca="1">IFERROR(__xludf.DUMMYFUNCTION("""COMPUTED_VALUE"""),"gourmetgalaxy")</f>
        <v>gourmetgalaxy</v>
      </c>
      <c r="B5700" s="2" t="str">
        <f ca="1">IFERROR(__xludf.DUMMYFUNCTION("""COMPUTED_VALUE"""),"gum")</f>
        <v>gum</v>
      </c>
      <c r="C5700" s="2" t="str">
        <f ca="1">IFERROR(__xludf.DUMMYFUNCTION("""COMPUTED_VALUE"""),"Gourmet Galaxy")</f>
        <v>Gourmet Galaxy</v>
      </c>
    </row>
    <row r="5701" spans="1:3" x14ac:dyDescent="0.25">
      <c r="A5701" s="2" t="str">
        <f ca="1">IFERROR(__xludf.DUMMYFUNCTION("""COMPUTED_VALUE"""),"governance-algo")</f>
        <v>governance-algo</v>
      </c>
      <c r="B5701" s="2" t="str">
        <f ca="1">IFERROR(__xludf.DUMMYFUNCTION("""COMPUTED_VALUE"""),"galgo")</f>
        <v>galgo</v>
      </c>
      <c r="C5701" s="2" t="str">
        <f ca="1">IFERROR(__xludf.DUMMYFUNCTION("""COMPUTED_VALUE"""),"Governance Algo")</f>
        <v>Governance Algo</v>
      </c>
    </row>
    <row r="5702" spans="1:3" x14ac:dyDescent="0.25">
      <c r="A5702" s="2" t="str">
        <f ca="1">IFERROR(__xludf.DUMMYFUNCTION("""COMPUTED_VALUE"""),"governance-ohm")</f>
        <v>governance-ohm</v>
      </c>
      <c r="B5702" s="2" t="str">
        <f ca="1">IFERROR(__xludf.DUMMYFUNCTION("""COMPUTED_VALUE"""),"gohm")</f>
        <v>gohm</v>
      </c>
      <c r="C5702" s="2" t="str">
        <f ca="1">IFERROR(__xludf.DUMMYFUNCTION("""COMPUTED_VALUE"""),"Governance OHM")</f>
        <v>Governance OHM</v>
      </c>
    </row>
    <row r="5703" spans="1:3" x14ac:dyDescent="0.25">
      <c r="A5703" s="2" t="str">
        <f ca="1">IFERROR(__xludf.DUMMYFUNCTION("""COMPUTED_VALUE"""),"governance-vec")</f>
        <v>governance-vec</v>
      </c>
      <c r="B5703" s="2" t="str">
        <f ca="1">IFERROR(__xludf.DUMMYFUNCTION("""COMPUTED_VALUE"""),"gvec")</f>
        <v>gvec</v>
      </c>
      <c r="C5703" s="2" t="str">
        <f ca="1">IFERROR(__xludf.DUMMYFUNCTION("""COMPUTED_VALUE"""),"Governance VEC")</f>
        <v>Governance VEC</v>
      </c>
    </row>
    <row r="5704" spans="1:3" x14ac:dyDescent="0.25">
      <c r="A5704" s="2" t="str">
        <f ca="1">IFERROR(__xludf.DUMMYFUNCTION("""COMPUTED_VALUE"""),"governance-zil")</f>
        <v>governance-zil</v>
      </c>
      <c r="B5704" s="2" t="str">
        <f ca="1">IFERROR(__xludf.DUMMYFUNCTION("""COMPUTED_VALUE"""),"gzil")</f>
        <v>gzil</v>
      </c>
      <c r="C5704" s="2" t="str">
        <f ca="1">IFERROR(__xludf.DUMMYFUNCTION("""COMPUTED_VALUE"""),"governance ZIL")</f>
        <v>governance ZIL</v>
      </c>
    </row>
    <row r="5705" spans="1:3" x14ac:dyDescent="0.25">
      <c r="A5705" s="2" t="str">
        <f ca="1">IFERROR(__xludf.DUMMYFUNCTION("""COMPUTED_VALUE"""),"governor-dao")</f>
        <v>governor-dao</v>
      </c>
      <c r="B5705" s="2" t="str">
        <f ca="1">IFERROR(__xludf.DUMMYFUNCTION("""COMPUTED_VALUE"""),"gdao")</f>
        <v>gdao</v>
      </c>
      <c r="C5705" s="2" t="str">
        <f ca="1">IFERROR(__xludf.DUMMYFUNCTION("""COMPUTED_VALUE"""),"Governor DAO")</f>
        <v>Governor DAO</v>
      </c>
    </row>
    <row r="5706" spans="1:3" x14ac:dyDescent="0.25">
      <c r="A5706" s="2" t="str">
        <f ca="1">IFERROR(__xludf.DUMMYFUNCTION("""COMPUTED_VALUE"""),"govi")</f>
        <v>govi</v>
      </c>
      <c r="B5706" s="2" t="str">
        <f ca="1">IFERROR(__xludf.DUMMYFUNCTION("""COMPUTED_VALUE"""),"govi")</f>
        <v>govi</v>
      </c>
      <c r="C5706" s="2" t="str">
        <f ca="1">IFERROR(__xludf.DUMMYFUNCTION("""COMPUTED_VALUE"""),"CVI")</f>
        <v>CVI</v>
      </c>
    </row>
    <row r="5707" spans="1:3" x14ac:dyDescent="0.25">
      <c r="A5707" s="2" t="str">
        <f ca="1">IFERROR(__xludf.DUMMYFUNCTION("""COMPUTED_VALUE"""),"govworld")</f>
        <v>govworld</v>
      </c>
      <c r="B5707" s="2" t="str">
        <f ca="1">IFERROR(__xludf.DUMMYFUNCTION("""COMPUTED_VALUE"""),"gov")</f>
        <v>gov</v>
      </c>
      <c r="C5707" s="2" t="str">
        <f ca="1">IFERROR(__xludf.DUMMYFUNCTION("""COMPUTED_VALUE"""),"GovWorld")</f>
        <v>GovWorld</v>
      </c>
    </row>
    <row r="5708" spans="1:3" x14ac:dyDescent="0.25">
      <c r="A5708" s="2" t="str">
        <f ca="1">IFERROR(__xludf.DUMMYFUNCTION("""COMPUTED_VALUE"""),"gowithmi")</f>
        <v>gowithmi</v>
      </c>
      <c r="B5708" s="2" t="str">
        <f ca="1">IFERROR(__xludf.DUMMYFUNCTION("""COMPUTED_VALUE"""),"gmat")</f>
        <v>gmat</v>
      </c>
      <c r="C5708" s="2" t="str">
        <f ca="1">IFERROR(__xludf.DUMMYFUNCTION("""COMPUTED_VALUE"""),"GoWithMi")</f>
        <v>GoWithMi</v>
      </c>
    </row>
    <row r="5709" spans="1:3" x14ac:dyDescent="0.25">
      <c r="A5709" s="2" t="str">
        <f ca="1">IFERROR(__xludf.DUMMYFUNCTION("""COMPUTED_VALUE"""),"gowrap")</f>
        <v>gowrap</v>
      </c>
      <c r="B5709" s="2" t="str">
        <f ca="1">IFERROR(__xludf.DUMMYFUNCTION("""COMPUTED_VALUE"""),"gwgw")</f>
        <v>gwgw</v>
      </c>
      <c r="C5709" s="2" t="str">
        <f ca="1">IFERROR(__xludf.DUMMYFUNCTION("""COMPUTED_VALUE"""),"GoWrap")</f>
        <v>GoWrap</v>
      </c>
    </row>
    <row r="5710" spans="1:3" x14ac:dyDescent="0.25">
      <c r="A5710" s="2" t="str">
        <f ca="1">IFERROR(__xludf.DUMMYFUNCTION("""COMPUTED_VALUE"""),"goya-giant-token")</f>
        <v>goya-giant-token</v>
      </c>
      <c r="B5710" s="2" t="str">
        <f ca="1">IFERROR(__xludf.DUMMYFUNCTION("""COMPUTED_VALUE"""),"artg")</f>
        <v>artg</v>
      </c>
      <c r="C5710" s="2" t="str">
        <f ca="1">IFERROR(__xludf.DUMMYFUNCTION("""COMPUTED_VALUE"""),"Goya Giant")</f>
        <v>Goya Giant</v>
      </c>
    </row>
    <row r="5711" spans="1:3" x14ac:dyDescent="0.25">
      <c r="A5711" s="2" t="str">
        <f ca="1">IFERROR(__xludf.DUMMYFUNCTION("""COMPUTED_VALUE"""),"goztepe-s-k-fan-token")</f>
        <v>goztepe-s-k-fan-token</v>
      </c>
      <c r="B5711" s="2" t="str">
        <f ca="1">IFERROR(__xludf.DUMMYFUNCTION("""COMPUTED_VALUE"""),"goz")</f>
        <v>goz</v>
      </c>
      <c r="C5711" s="2" t="str">
        <f ca="1">IFERROR(__xludf.DUMMYFUNCTION("""COMPUTED_VALUE"""),"Göztepe S.K. Fan Token")</f>
        <v>Göztepe S.K. Fan Token</v>
      </c>
    </row>
    <row r="5712" spans="1:3" x14ac:dyDescent="0.25">
      <c r="A5712" s="2" t="str">
        <f ca="1">IFERROR(__xludf.DUMMYFUNCTION("""COMPUTED_VALUE"""),"gp-coin")</f>
        <v>gp-coin</v>
      </c>
      <c r="B5712" s="2" t="str">
        <f ca="1">IFERROR(__xludf.DUMMYFUNCTION("""COMPUTED_VALUE"""),"xgp")</f>
        <v>xgp</v>
      </c>
      <c r="C5712" s="2" t="str">
        <f ca="1">IFERROR(__xludf.DUMMYFUNCTION("""COMPUTED_VALUE"""),"GP Coin")</f>
        <v>GP Coin</v>
      </c>
    </row>
    <row r="5713" spans="1:3" x14ac:dyDescent="0.25">
      <c r="A5713" s="2" t="str">
        <f ca="1">IFERROR(__xludf.DUMMYFUNCTION("""COMPUTED_VALUE"""),"gpt360")</f>
        <v>gpt360</v>
      </c>
      <c r="B5713" s="2" t="str">
        <f ca="1">IFERROR(__xludf.DUMMYFUNCTION("""COMPUTED_VALUE"""),"g360")</f>
        <v>g360</v>
      </c>
      <c r="C5713" s="2" t="str">
        <f ca="1">IFERROR(__xludf.DUMMYFUNCTION("""COMPUTED_VALUE"""),"GPT360")</f>
        <v>GPT360</v>
      </c>
    </row>
    <row r="5714" spans="1:3" x14ac:dyDescent="0.25">
      <c r="A5714" s="2" t="str">
        <f ca="1">IFERROR(__xludf.DUMMYFUNCTION("""COMPUTED_VALUE"""),"gptplus")</f>
        <v>gptplus</v>
      </c>
      <c r="B5714" s="2" t="str">
        <f ca="1">IFERROR(__xludf.DUMMYFUNCTION("""COMPUTED_VALUE"""),"gptplus")</f>
        <v>gptplus</v>
      </c>
      <c r="C5714" s="2" t="str">
        <f ca="1">IFERROR(__xludf.DUMMYFUNCTION("""COMPUTED_VALUE"""),"GPTPlus")</f>
        <v>GPTPlus</v>
      </c>
    </row>
    <row r="5715" spans="1:3" x14ac:dyDescent="0.25">
      <c r="A5715" s="2" t="str">
        <f ca="1">IFERROR(__xludf.DUMMYFUNCTION("""COMPUTED_VALUE"""),"gpt-protocol")</f>
        <v>gpt-protocol</v>
      </c>
      <c r="B5715" s="2" t="str">
        <f ca="1">IFERROR(__xludf.DUMMYFUNCTION("""COMPUTED_VALUE"""),"gpt")</f>
        <v>gpt</v>
      </c>
      <c r="C5715" s="2" t="str">
        <f ca="1">IFERROR(__xludf.DUMMYFUNCTION("""COMPUTED_VALUE"""),"GPT Protocol")</f>
        <v>GPT Protocol</v>
      </c>
    </row>
    <row r="5716" spans="1:3" x14ac:dyDescent="0.25">
      <c r="A5716" s="2" t="str">
        <f ca="1">IFERROR(__xludf.DUMMYFUNCTION("""COMPUTED_VALUE"""),"gptverse")</f>
        <v>gptverse</v>
      </c>
      <c r="B5716" s="2" t="str">
        <f ca="1">IFERROR(__xludf.DUMMYFUNCTION("""COMPUTED_VALUE"""),"gptv")</f>
        <v>gptv</v>
      </c>
      <c r="C5716" s="2" t="str">
        <f ca="1">IFERROR(__xludf.DUMMYFUNCTION("""COMPUTED_VALUE"""),"GPTVerse")</f>
        <v>GPTVerse</v>
      </c>
    </row>
    <row r="5717" spans="1:3" x14ac:dyDescent="0.25">
      <c r="A5717" s="2" t="str">
        <f ca="1">IFERROR(__xludf.DUMMYFUNCTION("""COMPUTED_VALUE"""),"gpubot")</f>
        <v>gpubot</v>
      </c>
      <c r="B5717" s="2" t="str">
        <f ca="1">IFERROR(__xludf.DUMMYFUNCTION("""COMPUTED_VALUE"""),"gpubot")</f>
        <v>gpubot</v>
      </c>
      <c r="C5717" s="2" t="str">
        <f ca="1">IFERROR(__xludf.DUMMYFUNCTION("""COMPUTED_VALUE"""),"GPUBot")</f>
        <v>GPUBot</v>
      </c>
    </row>
    <row r="5718" spans="1:3" x14ac:dyDescent="0.25">
      <c r="A5718" s="2" t="str">
        <f ca="1">IFERROR(__xludf.DUMMYFUNCTION("""COMPUTED_VALUE"""),"gpu-inu")</f>
        <v>gpu-inu</v>
      </c>
      <c r="B5718" s="2" t="str">
        <f ca="1">IFERROR(__xludf.DUMMYFUNCTION("""COMPUTED_VALUE"""),"gpuinu")</f>
        <v>gpuinu</v>
      </c>
      <c r="C5718" s="2" t="str">
        <f ca="1">IFERROR(__xludf.DUMMYFUNCTION("""COMPUTED_VALUE"""),"GPU Inu")</f>
        <v>GPU Inu</v>
      </c>
    </row>
    <row r="5719" spans="1:3" x14ac:dyDescent="0.25">
      <c r="A5719" s="2" t="str">
        <f ca="1">IFERROR(__xludf.DUMMYFUNCTION("""COMPUTED_VALUE"""),"gpulabs")</f>
        <v>gpulabs</v>
      </c>
      <c r="B5719" s="2" t="str">
        <f ca="1">IFERROR(__xludf.DUMMYFUNCTION("""COMPUTED_VALUE"""),"gpul")</f>
        <v>gpul</v>
      </c>
      <c r="C5719" s="2" t="str">
        <f ca="1">IFERROR(__xludf.DUMMYFUNCTION("""COMPUTED_VALUE"""),"GPULABS")</f>
        <v>GPULABS</v>
      </c>
    </row>
    <row r="5720" spans="1:3" x14ac:dyDescent="0.25">
      <c r="A5720" s="2" t="str">
        <f ca="1">IFERROR(__xludf.DUMMYFUNCTION("""COMPUTED_VALUE"""),"grabcoinclub")</f>
        <v>grabcoinclub</v>
      </c>
      <c r="B5720" s="2" t="str">
        <f ca="1">IFERROR(__xludf.DUMMYFUNCTION("""COMPUTED_VALUE"""),"gc")</f>
        <v>gc</v>
      </c>
      <c r="C5720" s="2" t="str">
        <f ca="1">IFERROR(__xludf.DUMMYFUNCTION("""COMPUTED_VALUE"""),"GrabCoinClub")</f>
        <v>GrabCoinClub</v>
      </c>
    </row>
    <row r="5721" spans="1:3" x14ac:dyDescent="0.25">
      <c r="A5721" s="2" t="str">
        <f ca="1">IFERROR(__xludf.DUMMYFUNCTION("""COMPUTED_VALUE"""),"grabpenny")</f>
        <v>grabpenny</v>
      </c>
      <c r="B5721" s="2" t="str">
        <f ca="1">IFERROR(__xludf.DUMMYFUNCTION("""COMPUTED_VALUE"""),"gpx")</f>
        <v>gpx</v>
      </c>
      <c r="C5721" s="2" t="str">
        <f ca="1">IFERROR(__xludf.DUMMYFUNCTION("""COMPUTED_VALUE"""),"GrabPenny")</f>
        <v>GrabPenny</v>
      </c>
    </row>
    <row r="5722" spans="1:3" x14ac:dyDescent="0.25">
      <c r="A5722" s="2" t="str">
        <f ca="1">IFERROR(__xludf.DUMMYFUNCTION("""COMPUTED_VALUE"""),"gracy")</f>
        <v>gracy</v>
      </c>
      <c r="B5722" s="2" t="str">
        <f ca="1">IFERROR(__xludf.DUMMYFUNCTION("""COMPUTED_VALUE"""),"gracy")</f>
        <v>gracy</v>
      </c>
      <c r="C5722" s="2" t="str">
        <f ca="1">IFERROR(__xludf.DUMMYFUNCTION("""COMPUTED_VALUE"""),"Gracy")</f>
        <v>Gracy</v>
      </c>
    </row>
    <row r="5723" spans="1:3" x14ac:dyDescent="0.25">
      <c r="A5723" s="2" t="str">
        <f ca="1">IFERROR(__xludf.DUMMYFUNCTION("""COMPUTED_VALUE"""),"gradient-protocol")</f>
        <v>gradient-protocol</v>
      </c>
      <c r="B5723" s="2" t="str">
        <f ca="1">IFERROR(__xludf.DUMMYFUNCTION("""COMPUTED_VALUE"""),"gdt")</f>
        <v>gdt</v>
      </c>
      <c r="C5723" s="2" t="str">
        <f ca="1">IFERROR(__xludf.DUMMYFUNCTION("""COMPUTED_VALUE"""),"Gradient Protocol")</f>
        <v>Gradient Protocol</v>
      </c>
    </row>
    <row r="5724" spans="1:3" x14ac:dyDescent="0.25">
      <c r="A5724" s="2" t="str">
        <f ca="1">IFERROR(__xludf.DUMMYFUNCTION("""COMPUTED_VALUE"""),"graffiti")</f>
        <v>graffiti</v>
      </c>
      <c r="B5724" s="2" t="str">
        <f ca="1">IFERROR(__xludf.DUMMYFUNCTION("""COMPUTED_VALUE"""),"graf")</f>
        <v>graf</v>
      </c>
      <c r="C5724" s="2" t="str">
        <f ca="1">IFERROR(__xludf.DUMMYFUNCTION("""COMPUTED_VALUE"""),"Graffiti")</f>
        <v>Graffiti</v>
      </c>
    </row>
    <row r="5725" spans="1:3" x14ac:dyDescent="0.25">
      <c r="A5725" s="2" t="str">
        <f ca="1">IFERROR(__xludf.DUMMYFUNCTION("""COMPUTED_VALUE"""),"grai")</f>
        <v>grai</v>
      </c>
      <c r="B5725" s="2" t="str">
        <f ca="1">IFERROR(__xludf.DUMMYFUNCTION("""COMPUTED_VALUE"""),"grai")</f>
        <v>grai</v>
      </c>
      <c r="C5725" s="2" t="str">
        <f ca="1">IFERROR(__xludf.DUMMYFUNCTION("""COMPUTED_VALUE"""),"Grai")</f>
        <v>Grai</v>
      </c>
    </row>
    <row r="5726" spans="1:3" x14ac:dyDescent="0.25">
      <c r="A5726" s="2" t="str">
        <f ca="1">IFERROR(__xludf.DUMMYFUNCTION("""COMPUTED_VALUE"""),"gram-2")</f>
        <v>gram-2</v>
      </c>
      <c r="B5726" s="2" t="str">
        <f ca="1">IFERROR(__xludf.DUMMYFUNCTION("""COMPUTED_VALUE"""),"gram")</f>
        <v>gram</v>
      </c>
      <c r="C5726" s="2" t="str">
        <f ca="1">IFERROR(__xludf.DUMMYFUNCTION("""COMPUTED_VALUE"""),"Gram")</f>
        <v>Gram</v>
      </c>
    </row>
    <row r="5727" spans="1:3" x14ac:dyDescent="0.25">
      <c r="A5727" s="2" t="str">
        <f ca="1">IFERROR(__xludf.DUMMYFUNCTION("""COMPUTED_VALUE"""),"gram-gold")</f>
        <v>gram-gold</v>
      </c>
      <c r="B5727" s="2" t="str">
        <f ca="1">IFERROR(__xludf.DUMMYFUNCTION("""COMPUTED_VALUE"""),"gramg")</f>
        <v>gramg</v>
      </c>
      <c r="C5727" s="2" t="str">
        <f ca="1">IFERROR(__xludf.DUMMYFUNCTION("""COMPUTED_VALUE"""),"Gram Gold")</f>
        <v>Gram Gold</v>
      </c>
    </row>
    <row r="5728" spans="1:3" x14ac:dyDescent="0.25">
      <c r="A5728" s="2" t="str">
        <f ca="1">IFERROR(__xludf.DUMMYFUNCTION("""COMPUTED_VALUE"""),"gram-platinum")</f>
        <v>gram-platinum</v>
      </c>
      <c r="B5728" s="2" t="str">
        <f ca="1">IFERROR(__xludf.DUMMYFUNCTION("""COMPUTED_VALUE"""),"gramp")</f>
        <v>gramp</v>
      </c>
      <c r="C5728" s="2" t="str">
        <f ca="1">IFERROR(__xludf.DUMMYFUNCTION("""COMPUTED_VALUE"""),"Gram Platinum")</f>
        <v>Gram Platinum</v>
      </c>
    </row>
    <row r="5729" spans="1:3" x14ac:dyDescent="0.25">
      <c r="A5729" s="2" t="str">
        <f ca="1">IFERROR(__xludf.DUMMYFUNCTION("""COMPUTED_VALUE"""),"gram-silver")</f>
        <v>gram-silver</v>
      </c>
      <c r="B5729" s="2" t="str">
        <f ca="1">IFERROR(__xludf.DUMMYFUNCTION("""COMPUTED_VALUE"""),"grams")</f>
        <v>grams</v>
      </c>
      <c r="C5729" s="2" t="str">
        <f ca="1">IFERROR(__xludf.DUMMYFUNCTION("""COMPUTED_VALUE"""),"Gram Silver")</f>
        <v>Gram Silver</v>
      </c>
    </row>
    <row r="5730" spans="1:3" x14ac:dyDescent="0.25">
      <c r="A5730" s="2" t="str">
        <f ca="1">IFERROR(__xludf.DUMMYFUNCTION("""COMPUTED_VALUE"""),"gramslams")</f>
        <v>gramslams</v>
      </c>
      <c r="B5730" s="2" t="str">
        <f ca="1">IFERROR(__xludf.DUMMYFUNCTION("""COMPUTED_VALUE"""),"gslam")</f>
        <v>gslam</v>
      </c>
      <c r="C5730" s="2" t="str">
        <f ca="1">IFERROR(__xludf.DUMMYFUNCTION("""COMPUTED_VALUE"""),"GramSlams")</f>
        <v>GramSlams</v>
      </c>
    </row>
    <row r="5731" spans="1:3" x14ac:dyDescent="0.25">
      <c r="A5731" s="2" t="str">
        <f ca="1">IFERROR(__xludf.DUMMYFUNCTION("""COMPUTED_VALUE"""),"granary")</f>
        <v>granary</v>
      </c>
      <c r="B5731" s="2" t="str">
        <f ca="1">IFERROR(__xludf.DUMMYFUNCTION("""COMPUTED_VALUE"""),"grain")</f>
        <v>grain</v>
      </c>
      <c r="C5731" s="2" t="str">
        <f ca="1">IFERROR(__xludf.DUMMYFUNCTION("""COMPUTED_VALUE"""),"Granary")</f>
        <v>Granary</v>
      </c>
    </row>
    <row r="5732" spans="1:3" x14ac:dyDescent="0.25">
      <c r="A5732" s="2" t="str">
        <f ca="1">IFERROR(__xludf.DUMMYFUNCTION("""COMPUTED_VALUE"""),"grand-base")</f>
        <v>grand-base</v>
      </c>
      <c r="B5732" s="2" t="str">
        <f ca="1">IFERROR(__xludf.DUMMYFUNCTION("""COMPUTED_VALUE"""),"gb")</f>
        <v>gb</v>
      </c>
      <c r="C5732" s="2" t="str">
        <f ca="1">IFERROR(__xludf.DUMMYFUNCTION("""COMPUTED_VALUE"""),"Grand Base")</f>
        <v>Grand Base</v>
      </c>
    </row>
    <row r="5733" spans="1:3" x14ac:dyDescent="0.25">
      <c r="A5733" s="2" t="str">
        <f ca="1">IFERROR(__xludf.DUMMYFUNCTION("""COMPUTED_VALUE"""),"grape-2")</f>
        <v>grape-2</v>
      </c>
      <c r="B5733" s="2" t="str">
        <f ca="1">IFERROR(__xludf.DUMMYFUNCTION("""COMPUTED_VALUE"""),"grape")</f>
        <v>grape</v>
      </c>
      <c r="C5733" s="2" t="str">
        <f ca="1">IFERROR(__xludf.DUMMYFUNCTION("""COMPUTED_VALUE"""),"Grape Protocol")</f>
        <v>Grape Protocol</v>
      </c>
    </row>
    <row r="5734" spans="1:3" x14ac:dyDescent="0.25">
      <c r="A5734" s="2" t="str">
        <f ca="1">IFERROR(__xludf.DUMMYFUNCTION("""COMPUTED_VALUE"""),"grape-2-2")</f>
        <v>grape-2-2</v>
      </c>
      <c r="B5734" s="2" t="str">
        <f ca="1">IFERROR(__xludf.DUMMYFUNCTION("""COMPUTED_VALUE"""),"grp")</f>
        <v>grp</v>
      </c>
      <c r="C5734" s="2" t="str">
        <f ca="1">IFERROR(__xludf.DUMMYFUNCTION("""COMPUTED_VALUE"""),"Grape")</f>
        <v>Grape</v>
      </c>
    </row>
    <row r="5735" spans="1:3" x14ac:dyDescent="0.25">
      <c r="A5735" s="2" t="str">
        <f ca="1">IFERROR(__xludf.DUMMYFUNCTION("""COMPUTED_VALUE"""),"grape-finance")</f>
        <v>grape-finance</v>
      </c>
      <c r="B5735" s="2" t="str">
        <f ca="1">IFERROR(__xludf.DUMMYFUNCTION("""COMPUTED_VALUE"""),"grape")</f>
        <v>grape</v>
      </c>
      <c r="C5735" s="2" t="str">
        <f ca="1">IFERROR(__xludf.DUMMYFUNCTION("""COMPUTED_VALUE"""),"Grape Finance")</f>
        <v>Grape Finance</v>
      </c>
    </row>
    <row r="5736" spans="1:3" x14ac:dyDescent="0.25">
      <c r="A5736" s="2" t="str">
        <f ca="1">IFERROR(__xludf.DUMMYFUNCTION("""COMPUTED_VALUE"""),"graphite-protocol")</f>
        <v>graphite-protocol</v>
      </c>
      <c r="B5736" s="2" t="str">
        <f ca="1">IFERROR(__xludf.DUMMYFUNCTION("""COMPUTED_VALUE"""),"gp")</f>
        <v>gp</v>
      </c>
      <c r="C5736" s="2" t="str">
        <f ca="1">IFERROR(__xludf.DUMMYFUNCTION("""COMPUTED_VALUE"""),"Graphite Protocol")</f>
        <v>Graphite Protocol</v>
      </c>
    </row>
    <row r="5737" spans="1:3" x14ac:dyDescent="0.25">
      <c r="A5737" s="2" t="str">
        <f ca="1">IFERROR(__xludf.DUMMYFUNCTION("""COMPUTED_VALUE"""),"graphlinq-protocol")</f>
        <v>graphlinq-protocol</v>
      </c>
      <c r="B5737" s="2" t="str">
        <f ca="1">IFERROR(__xludf.DUMMYFUNCTION("""COMPUTED_VALUE"""),"glq")</f>
        <v>glq</v>
      </c>
      <c r="C5737" s="2" t="str">
        <f ca="1">IFERROR(__xludf.DUMMYFUNCTION("""COMPUTED_VALUE"""),"GraphLinq Chain")</f>
        <v>GraphLinq Chain</v>
      </c>
    </row>
    <row r="5738" spans="1:3" x14ac:dyDescent="0.25">
      <c r="A5738" s="2" t="str">
        <f ca="1">IFERROR(__xludf.DUMMYFUNCTION("""COMPUTED_VALUE"""),"grass")</f>
        <v>grass</v>
      </c>
      <c r="B5738" s="2" t="str">
        <f ca="1">IFERROR(__xludf.DUMMYFUNCTION("""COMPUTED_VALUE"""),"grass")</f>
        <v>grass</v>
      </c>
      <c r="C5738" s="2" t="str">
        <f ca="1">IFERROR(__xludf.DUMMYFUNCTION("""COMPUTED_VALUE"""),"Grass")</f>
        <v>Grass</v>
      </c>
    </row>
    <row r="5739" spans="1:3" x14ac:dyDescent="0.25">
      <c r="A5739" s="2" t="str">
        <f ca="1">IFERROR(__xludf.DUMMYFUNCTION("""COMPUTED_VALUE"""),"grave")</f>
        <v>grave</v>
      </c>
      <c r="B5739" s="2" t="str">
        <f ca="1">IFERROR(__xludf.DUMMYFUNCTION("""COMPUTED_VALUE"""),"grve")</f>
        <v>grve</v>
      </c>
      <c r="C5739" s="2" t="str">
        <f ca="1">IFERROR(__xludf.DUMMYFUNCTION("""COMPUTED_VALUE"""),"Grave")</f>
        <v>Grave</v>
      </c>
    </row>
    <row r="5740" spans="1:3" x14ac:dyDescent="0.25">
      <c r="A5740" s="2" t="str">
        <f ca="1">IFERROR(__xludf.DUMMYFUNCTION("""COMPUTED_VALUE"""),"graviocoin")</f>
        <v>graviocoin</v>
      </c>
      <c r="B5740" s="2" t="str">
        <f ca="1">IFERROR(__xludf.DUMMYFUNCTION("""COMPUTED_VALUE"""),"gio")</f>
        <v>gio</v>
      </c>
      <c r="C5740" s="2" t="str">
        <f ca="1">IFERROR(__xludf.DUMMYFUNCTION("""COMPUTED_VALUE"""),"Graviocoin")</f>
        <v>Graviocoin</v>
      </c>
    </row>
    <row r="5741" spans="1:3" x14ac:dyDescent="0.25">
      <c r="A5741" s="2" t="str">
        <f ca="1">IFERROR(__xludf.DUMMYFUNCTION("""COMPUTED_VALUE"""),"gravitas")</f>
        <v>gravitas</v>
      </c>
      <c r="B5741" s="2" t="str">
        <f ca="1">IFERROR(__xludf.DUMMYFUNCTION("""COMPUTED_VALUE"""),"gravitas")</f>
        <v>gravitas</v>
      </c>
      <c r="C5741" s="2" t="str">
        <f ca="1">IFERROR(__xludf.DUMMYFUNCTION("""COMPUTED_VALUE"""),"Gravitas")</f>
        <v>Gravitas</v>
      </c>
    </row>
    <row r="5742" spans="1:3" x14ac:dyDescent="0.25">
      <c r="A5742" s="2" t="str">
        <f ca="1">IFERROR(__xludf.DUMMYFUNCTION("""COMPUTED_VALUE"""),"graviton")</f>
        <v>graviton</v>
      </c>
      <c r="B5742" s="2" t="str">
        <f ca="1">IFERROR(__xludf.DUMMYFUNCTION("""COMPUTED_VALUE"""),"grav")</f>
        <v>grav</v>
      </c>
      <c r="C5742" s="2" t="str">
        <f ca="1">IFERROR(__xludf.DUMMYFUNCTION("""COMPUTED_VALUE"""),"Graviton")</f>
        <v>Graviton</v>
      </c>
    </row>
    <row r="5743" spans="1:3" x14ac:dyDescent="0.25">
      <c r="A5743" s="2" t="str">
        <f ca="1">IFERROR(__xludf.DUMMYFUNCTION("""COMPUTED_VALUE"""),"gravitron")</f>
        <v>gravitron</v>
      </c>
      <c r="B5743" s="2" t="str">
        <f ca="1">IFERROR(__xludf.DUMMYFUNCTION("""COMPUTED_VALUE"""),"gtron")</f>
        <v>gtron</v>
      </c>
      <c r="C5743" s="2" t="str">
        <f ca="1">IFERROR(__xludf.DUMMYFUNCTION("""COMPUTED_VALUE"""),"Gravitron")</f>
        <v>Gravitron</v>
      </c>
    </row>
    <row r="5744" spans="1:3" x14ac:dyDescent="0.25">
      <c r="A5744" s="2" t="str">
        <f ca="1">IFERROR(__xludf.DUMMYFUNCTION("""COMPUTED_VALUE"""),"gravity-bridged-weth-canto")</f>
        <v>gravity-bridged-weth-canto</v>
      </c>
      <c r="B5744" s="2" t="str">
        <f ca="1">IFERROR(__xludf.DUMMYFUNCTION("""COMPUTED_VALUE"""),"weth")</f>
        <v>weth</v>
      </c>
      <c r="C5744" s="2" t="str">
        <f ca="1">IFERROR(__xludf.DUMMYFUNCTION("""COMPUTED_VALUE"""),"Gravity Bridged WETH (Canto)")</f>
        <v>Gravity Bridged WETH (Canto)</v>
      </c>
    </row>
    <row r="5745" spans="1:3" x14ac:dyDescent="0.25">
      <c r="A5745" s="2" t="str">
        <f ca="1">IFERROR(__xludf.DUMMYFUNCTION("""COMPUTED_VALUE"""),"gravity-finance")</f>
        <v>gravity-finance</v>
      </c>
      <c r="B5745" s="2" t="str">
        <f ca="1">IFERROR(__xludf.DUMMYFUNCTION("""COMPUTED_VALUE"""),"gfi")</f>
        <v>gfi</v>
      </c>
      <c r="C5745" s="2" t="str">
        <f ca="1">IFERROR(__xludf.DUMMYFUNCTION("""COMPUTED_VALUE"""),"Gravity Finance")</f>
        <v>Gravity Finance</v>
      </c>
    </row>
    <row r="5746" spans="1:3" x14ac:dyDescent="0.25">
      <c r="A5746" s="2" t="str">
        <f ca="1">IFERROR(__xludf.DUMMYFUNCTION("""COMPUTED_VALUE"""),"greasycex")</f>
        <v>greasycex</v>
      </c>
      <c r="B5746" s="2" t="str">
        <f ca="1">IFERROR(__xludf.DUMMYFUNCTION("""COMPUTED_VALUE"""),"gcx")</f>
        <v>gcx</v>
      </c>
      <c r="C5746" s="2" t="str">
        <f ca="1">IFERROR(__xludf.DUMMYFUNCTION("""COMPUTED_VALUE"""),"GreasyCEX")</f>
        <v>GreasyCEX</v>
      </c>
    </row>
    <row r="5747" spans="1:3" x14ac:dyDescent="0.25">
      <c r="A5747" s="2" t="str">
        <f ca="1">IFERROR(__xludf.DUMMYFUNCTION("""COMPUTED_VALUE"""),"great-bounty-dealer")</f>
        <v>great-bounty-dealer</v>
      </c>
      <c r="B5747" s="2" t="str">
        <f ca="1">IFERROR(__xludf.DUMMYFUNCTION("""COMPUTED_VALUE"""),"gbd")</f>
        <v>gbd</v>
      </c>
      <c r="C5747" s="2" t="str">
        <f ca="1">IFERROR(__xludf.DUMMYFUNCTION("""COMPUTED_VALUE"""),"Great Bounty Dealer")</f>
        <v>Great Bounty Dealer</v>
      </c>
    </row>
    <row r="5748" spans="1:3" x14ac:dyDescent="0.25">
      <c r="A5748" s="2" t="str">
        <f ca="1">IFERROR(__xludf.DUMMYFUNCTION("""COMPUTED_VALUE"""),"greelance")</f>
        <v>greelance</v>
      </c>
      <c r="B5748" s="2" t="str">
        <f ca="1">IFERROR(__xludf.DUMMYFUNCTION("""COMPUTED_VALUE"""),"$grl")</f>
        <v>$grl</v>
      </c>
      <c r="C5748" s="2" t="str">
        <f ca="1">IFERROR(__xludf.DUMMYFUNCTION("""COMPUTED_VALUE"""),"Greelance")</f>
        <v>Greelance</v>
      </c>
    </row>
    <row r="5749" spans="1:3" x14ac:dyDescent="0.25">
      <c r="A5749" s="2" t="str">
        <f ca="1">IFERROR(__xludf.DUMMYFUNCTION("""COMPUTED_VALUE"""),"greenart-coin")</f>
        <v>greenart-coin</v>
      </c>
      <c r="B5749" s="2" t="str">
        <f ca="1">IFERROR(__xludf.DUMMYFUNCTION("""COMPUTED_VALUE"""),"gac")</f>
        <v>gac</v>
      </c>
      <c r="C5749" s="2" t="str">
        <f ca="1">IFERROR(__xludf.DUMMYFUNCTION("""COMPUTED_VALUE"""),"Greenart Coin")</f>
        <v>Greenart Coin</v>
      </c>
    </row>
    <row r="5750" spans="1:3" x14ac:dyDescent="0.25">
      <c r="A5750" s="2" t="str">
        <f ca="1">IFERROR(__xludf.DUMMYFUNCTION("""COMPUTED_VALUE"""),"green-beli")</f>
        <v>green-beli</v>
      </c>
      <c r="B5750" s="2" t="str">
        <f ca="1">IFERROR(__xludf.DUMMYFUNCTION("""COMPUTED_VALUE"""),"grbe")</f>
        <v>grbe</v>
      </c>
      <c r="C5750" s="2" t="str">
        <f ca="1">IFERROR(__xludf.DUMMYFUNCTION("""COMPUTED_VALUE"""),"Green Beli")</f>
        <v>Green Beli</v>
      </c>
    </row>
    <row r="5751" spans="1:3" x14ac:dyDescent="0.25">
      <c r="A5751" s="2" t="str">
        <f ca="1">IFERROR(__xludf.DUMMYFUNCTION("""COMPUTED_VALUE"""),"green-ben")</f>
        <v>green-ben</v>
      </c>
      <c r="B5751" s="2" t="str">
        <f ca="1">IFERROR(__xludf.DUMMYFUNCTION("""COMPUTED_VALUE"""),"eben")</f>
        <v>eben</v>
      </c>
      <c r="C5751" s="2" t="str">
        <f ca="1">IFERROR(__xludf.DUMMYFUNCTION("""COMPUTED_VALUE"""),"Green Ben")</f>
        <v>Green Ben</v>
      </c>
    </row>
    <row r="5752" spans="1:3" x14ac:dyDescent="0.25">
      <c r="A5752" s="2" t="str">
        <f ca="1">IFERROR(__xludf.DUMMYFUNCTION("""COMPUTED_VALUE"""),"green-bitcoin")</f>
        <v>green-bitcoin</v>
      </c>
      <c r="B5752" s="2" t="str">
        <f ca="1">IFERROR(__xludf.DUMMYFUNCTION("""COMPUTED_VALUE"""),"gbtc")</f>
        <v>gbtc</v>
      </c>
      <c r="C5752" s="2" t="str">
        <f ca="1">IFERROR(__xludf.DUMMYFUNCTION("""COMPUTED_VALUE"""),"Green Bitcoin")</f>
        <v>Green Bitcoin</v>
      </c>
    </row>
    <row r="5753" spans="1:3" x14ac:dyDescent="0.25">
      <c r="A5753" s="2" t="str">
        <f ca="1">IFERROR(__xludf.DUMMYFUNCTION("""COMPUTED_VALUE"""),"greendex")</f>
        <v>greendex</v>
      </c>
      <c r="B5753" s="2" t="str">
        <f ca="1">IFERROR(__xludf.DUMMYFUNCTION("""COMPUTED_VALUE"""),"ged")</f>
        <v>ged</v>
      </c>
      <c r="C5753" s="2" t="str">
        <f ca="1">IFERROR(__xludf.DUMMYFUNCTION("""COMPUTED_VALUE"""),"GreenDex")</f>
        <v>GreenDex</v>
      </c>
    </row>
    <row r="5754" spans="1:3" x14ac:dyDescent="0.25">
      <c r="A5754" s="2" t="str">
        <f ca="1">IFERROR(__xludf.DUMMYFUNCTION("""COMPUTED_VALUE"""),"greenenvcoalition")</f>
        <v>greenenvcoalition</v>
      </c>
      <c r="B5754" s="2" t="str">
        <f ca="1">IFERROR(__xludf.DUMMYFUNCTION("""COMPUTED_VALUE"""),"gec")</f>
        <v>gec</v>
      </c>
      <c r="C5754" s="2" t="str">
        <f ca="1">IFERROR(__xludf.DUMMYFUNCTION("""COMPUTED_VALUE"""),"GreenEnvCoalition")</f>
        <v>GreenEnvCoalition</v>
      </c>
    </row>
    <row r="5755" spans="1:3" x14ac:dyDescent="0.25">
      <c r="A5755" s="2" t="str">
        <f ca="1">IFERROR(__xludf.DUMMYFUNCTION("""COMPUTED_VALUE"""),"greenenvironmentalcoins")</f>
        <v>greenenvironmentalcoins</v>
      </c>
      <c r="B5755" s="2" t="str">
        <f ca="1">IFERROR(__xludf.DUMMYFUNCTION("""COMPUTED_VALUE"""),"gec")</f>
        <v>gec</v>
      </c>
      <c r="C5755" s="2" t="str">
        <f ca="1">IFERROR(__xludf.DUMMYFUNCTION("""COMPUTED_VALUE"""),"GreenEnvironmentalCoins")</f>
        <v>GreenEnvironmentalCoins</v>
      </c>
    </row>
    <row r="5756" spans="1:3" x14ac:dyDescent="0.25">
      <c r="A5756" s="2" t="str">
        <f ca="1">IFERROR(__xludf.DUMMYFUNCTION("""COMPUTED_VALUE"""),"greenercoin")</f>
        <v>greenercoin</v>
      </c>
      <c r="B5756" s="2" t="str">
        <f ca="1">IFERROR(__xludf.DUMMYFUNCTION("""COMPUTED_VALUE"""),"gnc")</f>
        <v>gnc</v>
      </c>
      <c r="C5756" s="2" t="str">
        <f ca="1">IFERROR(__xludf.DUMMYFUNCTION("""COMPUTED_VALUE"""),"Greenercoin")</f>
        <v>Greenercoin</v>
      </c>
    </row>
    <row r="5757" spans="1:3" x14ac:dyDescent="0.25">
      <c r="A5757" s="2" t="str">
        <f ca="1">IFERROR(__xludf.DUMMYFUNCTION("""COMPUTED_VALUE"""),"green-god-candle")</f>
        <v>green-god-candle</v>
      </c>
      <c r="B5757" s="2" t="str">
        <f ca="1">IFERROR(__xludf.DUMMYFUNCTION("""COMPUTED_VALUE"""),"ggc")</f>
        <v>ggc</v>
      </c>
      <c r="C5757" s="2" t="str">
        <f ca="1">IFERROR(__xludf.DUMMYFUNCTION("""COMPUTED_VALUE"""),"Green God Candle")</f>
        <v>Green God Candle</v>
      </c>
    </row>
    <row r="5758" spans="1:3" x14ac:dyDescent="0.25">
      <c r="A5758" s="2" t="str">
        <f ca="1">IFERROR(__xludf.DUMMYFUNCTION("""COMPUTED_VALUE"""),"greengold")</f>
        <v>greengold</v>
      </c>
      <c r="B5758" s="2" t="str">
        <f ca="1">IFERROR(__xludf.DUMMYFUNCTION("""COMPUTED_VALUE"""),"$greengold")</f>
        <v>$greengold</v>
      </c>
      <c r="C5758" s="2" t="str">
        <f ca="1">IFERROR(__xludf.DUMMYFUNCTION("""COMPUTED_VALUE"""),"GREENGOLD")</f>
        <v>GREENGOLD</v>
      </c>
    </row>
    <row r="5759" spans="1:3" x14ac:dyDescent="0.25">
      <c r="A5759" s="2" t="str">
        <f ca="1">IFERROR(__xludf.DUMMYFUNCTION("""COMPUTED_VALUE"""),"green-grass-hopper")</f>
        <v>green-grass-hopper</v>
      </c>
      <c r="B5759" s="2" t="str">
        <f ca="1">IFERROR(__xludf.DUMMYFUNCTION("""COMPUTED_VALUE"""),"$ggh")</f>
        <v>$ggh</v>
      </c>
      <c r="C5759" s="2" t="str">
        <f ca="1">IFERROR(__xludf.DUMMYFUNCTION("""COMPUTED_VALUE"""),"Green Grass Hopper")</f>
        <v>Green Grass Hopper</v>
      </c>
    </row>
    <row r="5760" spans="1:3" x14ac:dyDescent="0.25">
      <c r="A5760" s="2" t="str">
        <f ca="1">IFERROR(__xludf.DUMMYFUNCTION("""COMPUTED_VALUE"""),"greenheart-cbd")</f>
        <v>greenheart-cbd</v>
      </c>
      <c r="B5760" s="2" t="str">
        <f ca="1">IFERROR(__xludf.DUMMYFUNCTION("""COMPUTED_VALUE"""),"cbd")</f>
        <v>cbd</v>
      </c>
      <c r="C5760" s="2" t="str">
        <f ca="1">IFERROR(__xludf.DUMMYFUNCTION("""COMPUTED_VALUE"""),"Greenheart CBD")</f>
        <v>Greenheart CBD</v>
      </c>
    </row>
    <row r="5761" spans="1:3" x14ac:dyDescent="0.25">
      <c r="A5761" s="2" t="str">
        <f ca="1">IFERROR(__xludf.DUMMYFUNCTION("""COMPUTED_VALUE"""),"greenlers")</f>
        <v>greenlers</v>
      </c>
      <c r="B5761" s="2" t="str">
        <f ca="1">IFERROR(__xludf.DUMMYFUNCTION("""COMPUTED_VALUE"""),"grnl")</f>
        <v>grnl</v>
      </c>
      <c r="C5761" s="2" t="str">
        <f ca="1">IFERROR(__xludf.DUMMYFUNCTION("""COMPUTED_VALUE"""),"Greenlers")</f>
        <v>Greenlers</v>
      </c>
    </row>
    <row r="5762" spans="1:3" x14ac:dyDescent="0.25">
      <c r="A5762" s="2" t="str">
        <f ca="1">IFERROR(__xludf.DUMMYFUNCTION("""COMPUTED_VALUE"""),"green-life-energy")</f>
        <v>green-life-energy</v>
      </c>
      <c r="B5762" s="2" t="str">
        <f ca="1">IFERROR(__xludf.DUMMYFUNCTION("""COMPUTED_VALUE"""),"gle")</f>
        <v>gle</v>
      </c>
      <c r="C5762" s="2" t="str">
        <f ca="1">IFERROR(__xludf.DUMMYFUNCTION("""COMPUTED_VALUE"""),"Green Life Energy")</f>
        <v>Green Life Energy</v>
      </c>
    </row>
    <row r="5763" spans="1:3" x14ac:dyDescent="0.25">
      <c r="A5763" s="2" t="str">
        <f ca="1">IFERROR(__xludf.DUMMYFUNCTION("""COMPUTED_VALUE"""),"green-planet")</f>
        <v>green-planet</v>
      </c>
      <c r="B5763" s="2" t="str">
        <f ca="1">IFERROR(__xludf.DUMMYFUNCTION("""COMPUTED_VALUE"""),"gamma")</f>
        <v>gamma</v>
      </c>
      <c r="C5763" s="2" t="str">
        <f ca="1">IFERROR(__xludf.DUMMYFUNCTION("""COMPUTED_VALUE"""),"Green Planet")</f>
        <v>Green Planet</v>
      </c>
    </row>
    <row r="5764" spans="1:3" x14ac:dyDescent="0.25">
      <c r="A5764" s="2" t="str">
        <f ca="1">IFERROR(__xludf.DUMMYFUNCTION("""COMPUTED_VALUE"""),"green-satoshi-token")</f>
        <v>green-satoshi-token</v>
      </c>
      <c r="B5764" s="2" t="str">
        <f ca="1">IFERROR(__xludf.DUMMYFUNCTION("""COMPUTED_VALUE"""),"gst-sol")</f>
        <v>gst-sol</v>
      </c>
      <c r="C5764" s="2" t="str">
        <f ca="1">IFERROR(__xludf.DUMMYFUNCTION("""COMPUTED_VALUE"""),"STEPN Green Satoshi Token on Solana")</f>
        <v>STEPN Green Satoshi Token on Solana</v>
      </c>
    </row>
    <row r="5765" spans="1:3" x14ac:dyDescent="0.25">
      <c r="A5765" s="2" t="str">
        <f ca="1">IFERROR(__xludf.DUMMYFUNCTION("""COMPUTED_VALUE"""),"green-satoshi-token-bsc")</f>
        <v>green-satoshi-token-bsc</v>
      </c>
      <c r="B5765" s="2" t="str">
        <f ca="1">IFERROR(__xludf.DUMMYFUNCTION("""COMPUTED_VALUE"""),"gst-bsc")</f>
        <v>gst-bsc</v>
      </c>
      <c r="C5765" s="2" t="str">
        <f ca="1">IFERROR(__xludf.DUMMYFUNCTION("""COMPUTED_VALUE"""),"STEPN Green Satoshi Token on BSC")</f>
        <v>STEPN Green Satoshi Token on BSC</v>
      </c>
    </row>
    <row r="5766" spans="1:3" x14ac:dyDescent="0.25">
      <c r="A5766" s="2" t="str">
        <f ca="1">IFERROR(__xludf.DUMMYFUNCTION("""COMPUTED_VALUE"""),"green-satoshi-token-on-eth")</f>
        <v>green-satoshi-token-on-eth</v>
      </c>
      <c r="B5766" s="2" t="str">
        <f ca="1">IFERROR(__xludf.DUMMYFUNCTION("""COMPUTED_VALUE"""),"gst-eth")</f>
        <v>gst-eth</v>
      </c>
      <c r="C5766" s="2" t="str">
        <f ca="1">IFERROR(__xludf.DUMMYFUNCTION("""COMPUTED_VALUE"""),"STEPN Green Satoshi Token on ETH")</f>
        <v>STEPN Green Satoshi Token on ETH</v>
      </c>
    </row>
    <row r="5767" spans="1:3" x14ac:dyDescent="0.25">
      <c r="A5767" s="2" t="str">
        <f ca="1">IFERROR(__xludf.DUMMYFUNCTION("""COMPUTED_VALUE"""),"green-shiba-inu")</f>
        <v>green-shiba-inu</v>
      </c>
      <c r="B5767" s="2" t="str">
        <f ca="1">IFERROR(__xludf.DUMMYFUNCTION("""COMPUTED_VALUE"""),"ginux")</f>
        <v>ginux</v>
      </c>
      <c r="C5767" s="2" t="str">
        <f ca="1">IFERROR(__xludf.DUMMYFUNCTION("""COMPUTED_VALUE"""),"Green Shiba Inu")</f>
        <v>Green Shiba Inu</v>
      </c>
    </row>
    <row r="5768" spans="1:3" x14ac:dyDescent="0.25">
      <c r="A5768" s="2" t="str">
        <f ca="1">IFERROR(__xludf.DUMMYFUNCTION("""COMPUTED_VALUE"""),"greentrust")</f>
        <v>greentrust</v>
      </c>
      <c r="B5768" s="2" t="str">
        <f ca="1">IFERROR(__xludf.DUMMYFUNCTION("""COMPUTED_VALUE"""),"gnt")</f>
        <v>gnt</v>
      </c>
      <c r="C5768" s="2" t="str">
        <f ca="1">IFERROR(__xludf.DUMMYFUNCTION("""COMPUTED_VALUE"""),"GreenTrust")</f>
        <v>GreenTrust</v>
      </c>
    </row>
    <row r="5769" spans="1:3" x14ac:dyDescent="0.25">
      <c r="A5769" s="2" t="str">
        <f ca="1">IFERROR(__xludf.DUMMYFUNCTION("""COMPUTED_VALUE"""),"green-vs-redd")</f>
        <v>green-vs-redd</v>
      </c>
      <c r="B5769" s="2" t="str">
        <f ca="1">IFERROR(__xludf.DUMMYFUNCTION("""COMPUTED_VALUE"""),"gvr")</f>
        <v>gvr</v>
      </c>
      <c r="C5769" s="2" t="str">
        <f ca="1">IFERROR(__xludf.DUMMYFUNCTION("""COMPUTED_VALUE"""),"Green Vs Redd")</f>
        <v>Green Vs Redd</v>
      </c>
    </row>
    <row r="5770" spans="1:3" x14ac:dyDescent="0.25">
      <c r="A5770" s="2" t="str">
        <f ca="1">IFERROR(__xludf.DUMMYFUNCTION("""COMPUTED_VALUE"""),"greenwaves")</f>
        <v>greenwaves</v>
      </c>
      <c r="B5770" s="2" t="str">
        <f ca="1">IFERROR(__xludf.DUMMYFUNCTION("""COMPUTED_VALUE"""),"grwv")</f>
        <v>grwv</v>
      </c>
      <c r="C5770" s="2" t="str">
        <f ca="1">IFERROR(__xludf.DUMMYFUNCTION("""COMPUTED_VALUE"""),"GreenWAVES [OLD]")</f>
        <v>GreenWAVES [OLD]</v>
      </c>
    </row>
    <row r="5771" spans="1:3" x14ac:dyDescent="0.25">
      <c r="A5771" s="2" t="str">
        <f ca="1">IFERROR(__xludf.DUMMYFUNCTION("""COMPUTED_VALUE"""),"greenwaves-2")</f>
        <v>greenwaves-2</v>
      </c>
      <c r="B5771" s="2" t="str">
        <f ca="1">IFERROR(__xludf.DUMMYFUNCTION("""COMPUTED_VALUE"""),"grwv")</f>
        <v>grwv</v>
      </c>
      <c r="C5771" s="2" t="str">
        <f ca="1">IFERROR(__xludf.DUMMYFUNCTION("""COMPUTED_VALUE"""),"GreenWAVES")</f>
        <v>GreenWAVES</v>
      </c>
    </row>
    <row r="5772" spans="1:3" x14ac:dyDescent="0.25">
      <c r="A5772" s="2" t="str">
        <f ca="1">IFERROR(__xludf.DUMMYFUNCTION("""COMPUTED_VALUE"""),"greenzonex")</f>
        <v>greenzonex</v>
      </c>
      <c r="B5772" s="2" t="str">
        <f ca="1">IFERROR(__xludf.DUMMYFUNCTION("""COMPUTED_VALUE"""),"gzx")</f>
        <v>gzx</v>
      </c>
      <c r="C5772" s="2" t="str">
        <f ca="1">IFERROR(__xludf.DUMMYFUNCTION("""COMPUTED_VALUE"""),"GreenZoneX")</f>
        <v>GreenZoneX</v>
      </c>
    </row>
    <row r="5773" spans="1:3" x14ac:dyDescent="0.25">
      <c r="A5773" s="2" t="str">
        <f ca="1">IFERROR(__xludf.DUMMYFUNCTION("""COMPUTED_VALUE"""),"greg16676935420")</f>
        <v>greg16676935420</v>
      </c>
      <c r="B5773" s="2" t="str">
        <f ca="1">IFERROR(__xludf.DUMMYFUNCTION("""COMPUTED_VALUE"""),"greg")</f>
        <v>greg</v>
      </c>
      <c r="C5773" s="2" t="str">
        <f ca="1">IFERROR(__xludf.DUMMYFUNCTION("""COMPUTED_VALUE"""),"greg16676935420")</f>
        <v>greg16676935420</v>
      </c>
    </row>
    <row r="5774" spans="1:3" x14ac:dyDescent="0.25">
      <c r="A5774" s="2" t="str">
        <f ca="1">IFERROR(__xludf.DUMMYFUNCTION("""COMPUTED_VALUE"""),"grelf")</f>
        <v>grelf</v>
      </c>
      <c r="B5774" s="2" t="str">
        <f ca="1">IFERROR(__xludf.DUMMYFUNCTION("""COMPUTED_VALUE"""),"grelf")</f>
        <v>grelf</v>
      </c>
      <c r="C5774" s="2" t="str">
        <f ca="1">IFERROR(__xludf.DUMMYFUNCTION("""COMPUTED_VALUE"""),"GRELF")</f>
        <v>GRELF</v>
      </c>
    </row>
    <row r="5775" spans="1:3" x14ac:dyDescent="0.25">
      <c r="A5775" s="2" t="str">
        <f ca="1">IFERROR(__xludf.DUMMYFUNCTION("""COMPUTED_VALUE"""),"gridcoin-research")</f>
        <v>gridcoin-research</v>
      </c>
      <c r="B5775" s="2" t="str">
        <f ca="1">IFERROR(__xludf.DUMMYFUNCTION("""COMPUTED_VALUE"""),"grc")</f>
        <v>grc</v>
      </c>
      <c r="C5775" s="2" t="str">
        <f ca="1">IFERROR(__xludf.DUMMYFUNCTION("""COMPUTED_VALUE"""),"Gridcoin")</f>
        <v>Gridcoin</v>
      </c>
    </row>
    <row r="5776" spans="1:3" x14ac:dyDescent="0.25">
      <c r="A5776" s="2" t="str">
        <f ca="1">IFERROR(__xludf.DUMMYFUNCTION("""COMPUTED_VALUE"""),"grimoire-finance-token")</f>
        <v>grimoire-finance-token</v>
      </c>
      <c r="B5776" s="2" t="str">
        <f ca="1">IFERROR(__xludf.DUMMYFUNCTION("""COMPUTED_VALUE"""),"grim")</f>
        <v>grim</v>
      </c>
      <c r="C5776" s="2" t="str">
        <f ca="1">IFERROR(__xludf.DUMMYFUNCTION("""COMPUTED_VALUE"""),"Grimoire Finance Token")</f>
        <v>Grimoire Finance Token</v>
      </c>
    </row>
    <row r="5777" spans="1:3" x14ac:dyDescent="0.25">
      <c r="A5777" s="2" t="str">
        <f ca="1">IFERROR(__xludf.DUMMYFUNCTION("""COMPUTED_VALUE"""),"grimreaper")</f>
        <v>grimreaper</v>
      </c>
      <c r="B5777" s="2" t="str">
        <f ca="1">IFERROR(__xludf.DUMMYFUNCTION("""COMPUTED_VALUE"""),"grim")</f>
        <v>grim</v>
      </c>
      <c r="C5777" s="2" t="str">
        <f ca="1">IFERROR(__xludf.DUMMYFUNCTION("""COMPUTED_VALUE"""),"Grimreaper")</f>
        <v>Grimreaper</v>
      </c>
    </row>
    <row r="5778" spans="1:3" x14ac:dyDescent="0.25">
      <c r="A5778" s="2" t="str">
        <f ca="1">IFERROR(__xludf.DUMMYFUNCTION("""COMPUTED_VALUE"""),"grin")</f>
        <v>grin</v>
      </c>
      <c r="B5778" s="2" t="str">
        <f ca="1">IFERROR(__xludf.DUMMYFUNCTION("""COMPUTED_VALUE"""),"grin")</f>
        <v>grin</v>
      </c>
      <c r="C5778" s="2" t="str">
        <f ca="1">IFERROR(__xludf.DUMMYFUNCTION("""COMPUTED_VALUE"""),"Grin")</f>
        <v>Grin</v>
      </c>
    </row>
    <row r="5779" spans="1:3" x14ac:dyDescent="0.25">
      <c r="A5779" s="2" t="str">
        <f ca="1">IFERROR(__xludf.DUMMYFUNCTION("""COMPUTED_VALUE"""),"gringo")</f>
        <v>gringo</v>
      </c>
      <c r="B5779" s="2" t="str">
        <f ca="1">IFERROR(__xludf.DUMMYFUNCTION("""COMPUTED_VALUE"""),"gringo")</f>
        <v>gringo</v>
      </c>
      <c r="C5779" s="2" t="str">
        <f ca="1">IFERROR(__xludf.DUMMYFUNCTION("""COMPUTED_VALUE"""),"gringo")</f>
        <v>gringo</v>
      </c>
    </row>
    <row r="5780" spans="1:3" x14ac:dyDescent="0.25">
      <c r="A5780" s="2" t="str">
        <f ca="1">IFERROR(__xludf.DUMMYFUNCTION("""COMPUTED_VALUE"""),"grizzly-honey")</f>
        <v>grizzly-honey</v>
      </c>
      <c r="B5780" s="2" t="str">
        <f ca="1">IFERROR(__xludf.DUMMYFUNCTION("""COMPUTED_VALUE"""),"ghny")</f>
        <v>ghny</v>
      </c>
      <c r="C5780" s="2" t="str">
        <f ca="1">IFERROR(__xludf.DUMMYFUNCTION("""COMPUTED_VALUE"""),"Grizzly Honey")</f>
        <v>Grizzly Honey</v>
      </c>
    </row>
    <row r="5781" spans="1:3" x14ac:dyDescent="0.25">
      <c r="A5781" s="2" t="str">
        <f ca="1">IFERROR(__xludf.DUMMYFUNCTION("""COMPUTED_VALUE"""),"grn-grid")</f>
        <v>grn-grid</v>
      </c>
      <c r="B5781" s="2" t="str">
        <f ca="1">IFERROR(__xludf.DUMMYFUNCTION("""COMPUTED_VALUE"""),"g")</f>
        <v>g</v>
      </c>
      <c r="C5781" s="2" t="str">
        <f ca="1">IFERROR(__xludf.DUMMYFUNCTION("""COMPUTED_VALUE"""),"GRNGrid")</f>
        <v>GRNGrid</v>
      </c>
    </row>
    <row r="5782" spans="1:3" x14ac:dyDescent="0.25">
      <c r="A5782" s="2" t="str">
        <f ca="1">IFERROR(__xludf.DUMMYFUNCTION("""COMPUTED_VALUE"""),"groestlcoin")</f>
        <v>groestlcoin</v>
      </c>
      <c r="B5782" s="2" t="str">
        <f ca="1">IFERROR(__xludf.DUMMYFUNCTION("""COMPUTED_VALUE"""),"grs")</f>
        <v>grs</v>
      </c>
      <c r="C5782" s="2" t="str">
        <f ca="1">IFERROR(__xludf.DUMMYFUNCTION("""COMPUTED_VALUE"""),"Groestlcoin")</f>
        <v>Groestlcoin</v>
      </c>
    </row>
    <row r="5783" spans="1:3" x14ac:dyDescent="0.25">
      <c r="A5783" s="2" t="str">
        <f ca="1">IFERROR(__xludf.DUMMYFUNCTION("""COMPUTED_VALUE"""),"grok1-5")</f>
        <v>grok1-5</v>
      </c>
      <c r="B5783" s="2" t="str">
        <f ca="1">IFERROR(__xludf.DUMMYFUNCTION("""COMPUTED_VALUE"""),"grok1.5")</f>
        <v>grok1.5</v>
      </c>
      <c r="C5783" s="2" t="str">
        <f ca="1">IFERROR(__xludf.DUMMYFUNCTION("""COMPUTED_VALUE"""),"Grok1.5")</f>
        <v>Grok1.5</v>
      </c>
    </row>
    <row r="5784" spans="1:3" x14ac:dyDescent="0.25">
      <c r="A5784" s="2" t="str">
        <f ca="1">IFERROR(__xludf.DUMMYFUNCTION("""COMPUTED_VALUE"""),"grok-2")</f>
        <v>grok-2</v>
      </c>
      <c r="B5784" s="2" t="str">
        <f ca="1">IFERROR(__xludf.DUMMYFUNCTION("""COMPUTED_VALUE"""),"$grok")</f>
        <v>$grok</v>
      </c>
      <c r="C5784" s="2" t="str">
        <f ca="1">IFERROR(__xludf.DUMMYFUNCTION("""COMPUTED_VALUE"""),"Grok")</f>
        <v>Grok</v>
      </c>
    </row>
    <row r="5785" spans="1:3" x14ac:dyDescent="0.25">
      <c r="A5785" s="2" t="str">
        <f ca="1">IFERROR(__xludf.DUMMYFUNCTION("""COMPUTED_VALUE"""),"grok2-0")</f>
        <v>grok2-0</v>
      </c>
      <c r="B5785" s="2" t="str">
        <f ca="1">IFERROR(__xludf.DUMMYFUNCTION("""COMPUTED_VALUE"""),"grok2.0")</f>
        <v>grok2.0</v>
      </c>
      <c r="C5785" s="2" t="str">
        <f ca="1">IFERROR(__xludf.DUMMYFUNCTION("""COMPUTED_VALUE"""),"Grok2.0")</f>
        <v>Grok2.0</v>
      </c>
    </row>
    <row r="5786" spans="1:3" x14ac:dyDescent="0.25">
      <c r="A5786" s="2" t="str">
        <f ca="1">IFERROR(__xludf.DUMMYFUNCTION("""COMPUTED_VALUE"""),"grok-3")</f>
        <v>grok-3</v>
      </c>
      <c r="B5786" s="2" t="str">
        <f ca="1">IFERROR(__xludf.DUMMYFUNCTION("""COMPUTED_VALUE"""),"xai")</f>
        <v>xai</v>
      </c>
      <c r="C5786" s="2" t="str">
        <f ca="1">IFERROR(__xludf.DUMMYFUNCTION("""COMPUTED_VALUE"""),"Grok")</f>
        <v>Grok</v>
      </c>
    </row>
    <row r="5787" spans="1:3" x14ac:dyDescent="0.25">
      <c r="A5787" s="2" t="str">
        <f ca="1">IFERROR(__xludf.DUMMYFUNCTION("""COMPUTED_VALUE"""),"grok-4")</f>
        <v>grok-4</v>
      </c>
      <c r="B5787" s="2" t="str">
        <f ca="1">IFERROR(__xludf.DUMMYFUNCTION("""COMPUTED_VALUE"""),"grok")</f>
        <v>grok</v>
      </c>
      <c r="C5787" s="2" t="str">
        <f ca="1">IFERROR(__xludf.DUMMYFUNCTION("""COMPUTED_VALUE"""),"GROK")</f>
        <v>GROK</v>
      </c>
    </row>
    <row r="5788" spans="1:3" x14ac:dyDescent="0.25">
      <c r="A5788" s="2" t="str">
        <f ca="1">IFERROR(__xludf.DUMMYFUNCTION("""COMPUTED_VALUE"""),"grok-6")</f>
        <v>grok-6</v>
      </c>
      <c r="B5788" s="2" t="str">
        <f ca="1">IFERROR(__xludf.DUMMYFUNCTION("""COMPUTED_VALUE"""),"grok")</f>
        <v>grok</v>
      </c>
      <c r="C5788" s="2" t="str">
        <f ca="1">IFERROR(__xludf.DUMMYFUNCTION("""COMPUTED_VALUE"""),"GROK")</f>
        <v>GROK</v>
      </c>
    </row>
    <row r="5789" spans="1:3" x14ac:dyDescent="0.25">
      <c r="A5789" s="2" t="str">
        <f ca="1">IFERROR(__xludf.DUMMYFUNCTION("""COMPUTED_VALUE"""),"grok-bank")</f>
        <v>grok-bank</v>
      </c>
      <c r="B5789" s="2" t="str">
        <f ca="1">IFERROR(__xludf.DUMMYFUNCTION("""COMPUTED_VALUE"""),"grokbank")</f>
        <v>grokbank</v>
      </c>
      <c r="C5789" s="2" t="str">
        <f ca="1">IFERROR(__xludf.DUMMYFUNCTION("""COMPUTED_VALUE"""),"Grok Bank")</f>
        <v>Grok Bank</v>
      </c>
    </row>
    <row r="5790" spans="1:3" x14ac:dyDescent="0.25">
      <c r="A5790" s="2" t="str">
        <f ca="1">IFERROR(__xludf.DUMMYFUNCTION("""COMPUTED_VALUE"""),"grokboy")</f>
        <v>grokboy</v>
      </c>
      <c r="B5790" s="2" t="str">
        <f ca="1">IFERROR(__xludf.DUMMYFUNCTION("""COMPUTED_VALUE"""),"grokboy")</f>
        <v>grokboy</v>
      </c>
      <c r="C5790" s="2" t="str">
        <f ca="1">IFERROR(__xludf.DUMMYFUNCTION("""COMPUTED_VALUE"""),"grokboy")</f>
        <v>grokboy</v>
      </c>
    </row>
    <row r="5791" spans="1:3" x14ac:dyDescent="0.25">
      <c r="A5791" s="2" t="str">
        <f ca="1">IFERROR(__xludf.DUMMYFUNCTION("""COMPUTED_VALUE"""),"grok-by-grok-com")</f>
        <v>grok-by-grok-com</v>
      </c>
      <c r="B5791" s="2" t="str">
        <f ca="1">IFERROR(__xludf.DUMMYFUNCTION("""COMPUTED_VALUE"""),"grōk")</f>
        <v>grōk</v>
      </c>
      <c r="C5791" s="2" t="str">
        <f ca="1">IFERROR(__xludf.DUMMYFUNCTION("""COMPUTED_VALUE"""),"Grok by Grōk.com")</f>
        <v>Grok by Grōk.com</v>
      </c>
    </row>
    <row r="5792" spans="1:3" x14ac:dyDescent="0.25">
      <c r="A5792" s="2" t="str">
        <f ca="1">IFERROR(__xludf.DUMMYFUNCTION("""COMPUTED_VALUE"""),"grok-cat")</f>
        <v>grok-cat</v>
      </c>
      <c r="B5792" s="2" t="str">
        <f ca="1">IFERROR(__xludf.DUMMYFUNCTION("""COMPUTED_VALUE"""),"grokcat")</f>
        <v>grokcat</v>
      </c>
      <c r="C5792" s="2" t="str">
        <f ca="1">IFERROR(__xludf.DUMMYFUNCTION("""COMPUTED_VALUE"""),"Grok Cat")</f>
        <v>Grok Cat</v>
      </c>
    </row>
    <row r="5793" spans="1:3" x14ac:dyDescent="0.25">
      <c r="A5793" s="2" t="str">
        <f ca="1">IFERROR(__xludf.DUMMYFUNCTION("""COMPUTED_VALUE"""),"grok-ceo")</f>
        <v>grok-ceo</v>
      </c>
      <c r="B5793" s="2" t="str">
        <f ca="1">IFERROR(__xludf.DUMMYFUNCTION("""COMPUTED_VALUE"""),"grokceo")</f>
        <v>grokceo</v>
      </c>
      <c r="C5793" s="2" t="str">
        <f ca="1">IFERROR(__xludf.DUMMYFUNCTION("""COMPUTED_VALUE"""),"GROK CEO")</f>
        <v>GROK CEO</v>
      </c>
    </row>
    <row r="5794" spans="1:3" x14ac:dyDescent="0.25">
      <c r="A5794" s="2" t="str">
        <f ca="1">IFERROR(__xludf.DUMMYFUNCTION("""COMPUTED_VALUE"""),"grok-codes")</f>
        <v>grok-codes</v>
      </c>
      <c r="B5794" s="2" t="str">
        <f ca="1">IFERROR(__xludf.DUMMYFUNCTION("""COMPUTED_VALUE"""),"grok")</f>
        <v>grok</v>
      </c>
      <c r="C5794" s="2" t="str">
        <f ca="1">IFERROR(__xludf.DUMMYFUNCTION("""COMPUTED_VALUE"""),"Grok Codes")</f>
        <v>Grok Codes</v>
      </c>
    </row>
    <row r="5795" spans="1:3" x14ac:dyDescent="0.25">
      <c r="A5795" s="2" t="str">
        <f ca="1">IFERROR(__xludf.DUMMYFUNCTION("""COMPUTED_VALUE"""),"grokdogex")</f>
        <v>grokdogex</v>
      </c>
      <c r="B5795" s="2" t="str">
        <f ca="1">IFERROR(__xludf.DUMMYFUNCTION("""COMPUTED_VALUE"""),"gdx")</f>
        <v>gdx</v>
      </c>
      <c r="C5795" s="2" t="str">
        <f ca="1">IFERROR(__xludf.DUMMYFUNCTION("""COMPUTED_VALUE"""),"GrokDogeX")</f>
        <v>GrokDogeX</v>
      </c>
    </row>
    <row r="5796" spans="1:3" x14ac:dyDescent="0.25">
      <c r="A5796" s="2" t="str">
        <f ca="1">IFERROR(__xludf.DUMMYFUNCTION("""COMPUTED_VALUE"""),"grok-elo")</f>
        <v>grok-elo</v>
      </c>
      <c r="B5796" s="2" t="str">
        <f ca="1">IFERROR(__xludf.DUMMYFUNCTION("""COMPUTED_VALUE"""),"gelo")</f>
        <v>gelo</v>
      </c>
      <c r="C5796" s="2" t="str">
        <f ca="1">IFERROR(__xludf.DUMMYFUNCTION("""COMPUTED_VALUE"""),"Grok Elo")</f>
        <v>Grok Elo</v>
      </c>
    </row>
    <row r="5797" spans="1:3" x14ac:dyDescent="0.25">
      <c r="A5797" s="2" t="str">
        <f ca="1">IFERROR(__xludf.DUMMYFUNCTION("""COMPUTED_VALUE"""),"grok-girl")</f>
        <v>grok-girl</v>
      </c>
      <c r="B5797" s="2" t="str">
        <f ca="1">IFERROR(__xludf.DUMMYFUNCTION("""COMPUTED_VALUE"""),"grokgirl")</f>
        <v>grokgirl</v>
      </c>
      <c r="C5797" s="2" t="str">
        <f ca="1">IFERROR(__xludf.DUMMYFUNCTION("""COMPUTED_VALUE"""),"Grok Girl")</f>
        <v>Grok Girl</v>
      </c>
    </row>
    <row r="5798" spans="1:3" x14ac:dyDescent="0.25">
      <c r="A5798" s="2" t="str">
        <f ca="1">IFERROR(__xludf.DUMMYFUNCTION("""COMPUTED_VALUE"""),"grok-heroes")</f>
        <v>grok-heroes</v>
      </c>
      <c r="B5798" s="2" t="str">
        <f ca="1">IFERROR(__xludf.DUMMYFUNCTION("""COMPUTED_VALUE"""),"grokheroes")</f>
        <v>grokheroes</v>
      </c>
      <c r="C5798" s="2" t="str">
        <f ca="1">IFERROR(__xludf.DUMMYFUNCTION("""COMPUTED_VALUE"""),"GROK heroes")</f>
        <v>GROK heroes</v>
      </c>
    </row>
    <row r="5799" spans="1:3" x14ac:dyDescent="0.25">
      <c r="A5799" s="2" t="str">
        <f ca="1">IFERROR(__xludf.DUMMYFUNCTION("""COMPUTED_VALUE"""),"grok-inu")</f>
        <v>grok-inu</v>
      </c>
      <c r="B5799" s="2" t="str">
        <f ca="1">IFERROR(__xludf.DUMMYFUNCTION("""COMPUTED_VALUE"""),"grokinu")</f>
        <v>grokinu</v>
      </c>
      <c r="C5799" s="2" t="str">
        <f ca="1">IFERROR(__xludf.DUMMYFUNCTION("""COMPUTED_VALUE"""),"Grok Inu")</f>
        <v>Grok Inu</v>
      </c>
    </row>
    <row r="5800" spans="1:3" x14ac:dyDescent="0.25">
      <c r="A5800" s="2" t="str">
        <f ca="1">IFERROR(__xludf.DUMMYFUNCTION("""COMPUTED_VALUE"""),"grok-moon")</f>
        <v>grok-moon</v>
      </c>
      <c r="B5800" s="2" t="str">
        <f ca="1">IFERROR(__xludf.DUMMYFUNCTION("""COMPUTED_VALUE"""),"grokmoon")</f>
        <v>grokmoon</v>
      </c>
      <c r="C5800" s="2" t="str">
        <f ca="1">IFERROR(__xludf.DUMMYFUNCTION("""COMPUTED_VALUE"""),"Grok Moon")</f>
        <v>Grok Moon</v>
      </c>
    </row>
    <row r="5801" spans="1:3" x14ac:dyDescent="0.25">
      <c r="A5801" s="2" t="str">
        <f ca="1">IFERROR(__xludf.DUMMYFUNCTION("""COMPUTED_VALUE"""),"grok-queen")</f>
        <v>grok-queen</v>
      </c>
      <c r="B5801" s="2" t="str">
        <f ca="1">IFERROR(__xludf.DUMMYFUNCTION("""COMPUTED_VALUE"""),"grokqueen")</f>
        <v>grokqueen</v>
      </c>
      <c r="C5801" s="2" t="str">
        <f ca="1">IFERROR(__xludf.DUMMYFUNCTION("""COMPUTED_VALUE"""),"Grok Queen")</f>
        <v>Grok Queen</v>
      </c>
    </row>
    <row r="5802" spans="1:3" x14ac:dyDescent="0.25">
      <c r="A5802" s="2" t="str">
        <f ca="1">IFERROR(__xludf.DUMMYFUNCTION("""COMPUTED_VALUE"""),"groktether")</f>
        <v>groktether</v>
      </c>
      <c r="B5802" s="2" t="str">
        <f ca="1">IFERROR(__xludf.DUMMYFUNCTION("""COMPUTED_VALUE"""),"groktether")</f>
        <v>groktether</v>
      </c>
      <c r="C5802" s="2" t="str">
        <f ca="1">IFERROR(__xludf.DUMMYFUNCTION("""COMPUTED_VALUE"""),"GrokTether")</f>
        <v>GrokTether</v>
      </c>
    </row>
    <row r="5803" spans="1:3" x14ac:dyDescent="0.25">
      <c r="A5803" s="2" t="str">
        <f ca="1">IFERROR(__xludf.DUMMYFUNCTION("""COMPUTED_VALUE"""),"grom")</f>
        <v>grom</v>
      </c>
      <c r="B5803" s="2" t="str">
        <f ca="1">IFERROR(__xludf.DUMMYFUNCTION("""COMPUTED_VALUE"""),"gr")</f>
        <v>gr</v>
      </c>
      <c r="C5803" s="2" t="str">
        <f ca="1">IFERROR(__xludf.DUMMYFUNCTION("""COMPUTED_VALUE"""),"GROM")</f>
        <v>GROM</v>
      </c>
    </row>
    <row r="5804" spans="1:3" x14ac:dyDescent="0.25">
      <c r="A5804" s="2" t="str">
        <f ca="1">IFERROR(__xludf.DUMMYFUNCTION("""COMPUTED_VALUE"""),"groove")</f>
        <v>groove</v>
      </c>
      <c r="B5804" s="2" t="str">
        <f ca="1">IFERROR(__xludf.DUMMYFUNCTION("""COMPUTED_VALUE"""),"groove")</f>
        <v>groove</v>
      </c>
      <c r="C5804" s="2" t="str">
        <f ca="1">IFERROR(__xludf.DUMMYFUNCTION("""COMPUTED_VALUE"""),"GROOVE")</f>
        <v>GROOVE</v>
      </c>
    </row>
    <row r="5805" spans="1:3" x14ac:dyDescent="0.25">
      <c r="A5805" s="2" t="str">
        <f ca="1">IFERROR(__xludf.DUMMYFUNCTION("""COMPUTED_VALUE"""),"groq")</f>
        <v>groq</v>
      </c>
      <c r="B5805" s="2" t="str">
        <f ca="1">IFERROR(__xludf.DUMMYFUNCTION("""COMPUTED_VALUE"""),"groq")</f>
        <v>groq</v>
      </c>
      <c r="C5805" s="2" t="str">
        <f ca="1">IFERROR(__xludf.DUMMYFUNCTION("""COMPUTED_VALUE"""),"GROQ")</f>
        <v>GROQ</v>
      </c>
    </row>
    <row r="5806" spans="1:3" x14ac:dyDescent="0.25">
      <c r="A5806" s="2" t="str">
        <f ca="1">IFERROR(__xludf.DUMMYFUNCTION("""COMPUTED_VALUE"""),"grove")</f>
        <v>grove</v>
      </c>
      <c r="B5806" s="2" t="str">
        <f ca="1">IFERROR(__xludf.DUMMYFUNCTION("""COMPUTED_VALUE"""),"grv")</f>
        <v>grv</v>
      </c>
      <c r="C5806" s="2" t="str">
        <f ca="1">IFERROR(__xludf.DUMMYFUNCTION("""COMPUTED_VALUE"""),"GroveCoin")</f>
        <v>GroveCoin</v>
      </c>
    </row>
    <row r="5807" spans="1:3" x14ac:dyDescent="0.25">
      <c r="A5807" s="2" t="str">
        <f ca="1">IFERROR(__xludf.DUMMYFUNCTION("""COMPUTED_VALUE"""),"grovecoin-gburn")</f>
        <v>grovecoin-gburn</v>
      </c>
      <c r="B5807" s="2" t="str">
        <f ca="1">IFERROR(__xludf.DUMMYFUNCTION("""COMPUTED_VALUE"""),"gburn")</f>
        <v>gburn</v>
      </c>
      <c r="C5807" s="2" t="str">
        <f ca="1">IFERROR(__xludf.DUMMYFUNCTION("""COMPUTED_VALUE"""),"GBURN")</f>
        <v>GBURN</v>
      </c>
    </row>
    <row r="5808" spans="1:3" x14ac:dyDescent="0.25">
      <c r="A5808" s="2" t="str">
        <f ca="1">IFERROR(__xludf.DUMMYFUNCTION("""COMPUTED_VALUE"""),"growsol")</f>
        <v>growsol</v>
      </c>
      <c r="B5808" s="2" t="str">
        <f ca="1">IFERROR(__xludf.DUMMYFUNCTION("""COMPUTED_VALUE"""),"grw")</f>
        <v>grw</v>
      </c>
      <c r="C5808" s="2" t="str">
        <f ca="1">IFERROR(__xludf.DUMMYFUNCTION("""COMPUTED_VALUE"""),"GrowSol")</f>
        <v>GrowSol</v>
      </c>
    </row>
    <row r="5809" spans="1:3" x14ac:dyDescent="0.25">
      <c r="A5809" s="2" t="str">
        <f ca="1">IFERROR(__xludf.DUMMYFUNCTION("""COMPUTED_VALUE"""),"growth")</f>
        <v>growth</v>
      </c>
      <c r="B5809" s="2" t="str">
        <f ca="1">IFERROR(__xludf.DUMMYFUNCTION("""COMPUTED_VALUE"""),"gro")</f>
        <v>gro</v>
      </c>
      <c r="C5809" s="2" t="str">
        <f ca="1">IFERROR(__xludf.DUMMYFUNCTION("""COMPUTED_VALUE"""),"Growth")</f>
        <v>Growth</v>
      </c>
    </row>
    <row r="5810" spans="1:3" x14ac:dyDescent="0.25">
      <c r="A5810" s="2" t="str">
        <f ca="1">IFERROR(__xludf.DUMMYFUNCTION("""COMPUTED_VALUE"""),"growthdefi-gbtc")</f>
        <v>growthdefi-gbtc</v>
      </c>
      <c r="B5810" s="2" t="str">
        <f ca="1">IFERROR(__xludf.DUMMYFUNCTION("""COMPUTED_VALUE"""),"gbtc")</f>
        <v>gbtc</v>
      </c>
      <c r="C5810" s="2" t="str">
        <f ca="1">IFERROR(__xludf.DUMMYFUNCTION("""COMPUTED_VALUE"""),"GrowthDefi GBTC")</f>
        <v>GrowthDefi GBTC</v>
      </c>
    </row>
    <row r="5811" spans="1:3" x14ac:dyDescent="0.25">
      <c r="A5811" s="2" t="str">
        <f ca="1">IFERROR(__xludf.DUMMYFUNCTION("""COMPUTED_VALUE"""),"grow-token-3")</f>
        <v>grow-token-3</v>
      </c>
      <c r="B5811" s="2" t="str">
        <f ca="1">IFERROR(__xludf.DUMMYFUNCTION("""COMPUTED_VALUE"""),"grow")</f>
        <v>grow</v>
      </c>
      <c r="C5811" s="2" t="str">
        <f ca="1">IFERROR(__xludf.DUMMYFUNCTION("""COMPUTED_VALUE"""),"Grow Token")</f>
        <v>Grow Token</v>
      </c>
    </row>
    <row r="5812" spans="1:3" x14ac:dyDescent="0.25">
      <c r="A5812" s="2" t="str">
        <f ca="1">IFERROR(__xludf.DUMMYFUNCTION("""COMPUTED_VALUE"""),"groyper")</f>
        <v>groyper</v>
      </c>
      <c r="B5812" s="2" t="str">
        <f ca="1">IFERROR(__xludf.DUMMYFUNCTION("""COMPUTED_VALUE"""),"groyper")</f>
        <v>groyper</v>
      </c>
      <c r="C5812" s="2" t="str">
        <f ca="1">IFERROR(__xludf.DUMMYFUNCTION("""COMPUTED_VALUE"""),"Groyper")</f>
        <v>Groyper</v>
      </c>
    </row>
    <row r="5813" spans="1:3" x14ac:dyDescent="0.25">
      <c r="A5813" s="2" t="str">
        <f ca="1">IFERROR(__xludf.DUMMYFUNCTION("""COMPUTED_VALUE"""),"grug")</f>
        <v>grug</v>
      </c>
      <c r="B5813" s="2" t="str">
        <f ca="1">IFERROR(__xludf.DUMMYFUNCTION("""COMPUTED_VALUE"""),"grug")</f>
        <v>grug</v>
      </c>
      <c r="C5813" s="2" t="str">
        <f ca="1">IFERROR(__xludf.DUMMYFUNCTION("""COMPUTED_VALUE"""),"GRUG")</f>
        <v>GRUG</v>
      </c>
    </row>
    <row r="5814" spans="1:3" x14ac:dyDescent="0.25">
      <c r="A5814" s="2" t="str">
        <f ca="1">IFERROR(__xludf.DUMMYFUNCTION("""COMPUTED_VALUE"""),"grumpie")</f>
        <v>grumpie</v>
      </c>
      <c r="B5814" s="2" t="str">
        <f ca="1">IFERROR(__xludf.DUMMYFUNCTION("""COMPUTED_VALUE"""),"grump")</f>
        <v>grump</v>
      </c>
      <c r="C5814" s="2" t="str">
        <f ca="1">IFERROR(__xludf.DUMMYFUNCTION("""COMPUTED_VALUE"""),"Grumpie")</f>
        <v>Grumpie</v>
      </c>
    </row>
    <row r="5815" spans="1:3" x14ac:dyDescent="0.25">
      <c r="A5815" s="2" t="str">
        <f ca="1">IFERROR(__xludf.DUMMYFUNCTION("""COMPUTED_VALUE"""),"gsenetwork")</f>
        <v>gsenetwork</v>
      </c>
      <c r="B5815" s="2" t="str">
        <f ca="1">IFERROR(__xludf.DUMMYFUNCTION("""COMPUTED_VALUE"""),"gse")</f>
        <v>gse</v>
      </c>
      <c r="C5815" s="2" t="str">
        <f ca="1">IFERROR(__xludf.DUMMYFUNCTION("""COMPUTED_VALUE"""),"GSENetwork")</f>
        <v>GSENetwork</v>
      </c>
    </row>
    <row r="5816" spans="1:3" x14ac:dyDescent="0.25">
      <c r="A5816" s="2" t="str">
        <f ca="1">IFERROR(__xludf.DUMMYFUNCTION("""COMPUTED_VALUE"""),"gstcoin")</f>
        <v>gstcoin</v>
      </c>
      <c r="B5816" s="2" t="str">
        <f ca="1">IFERROR(__xludf.DUMMYFUNCTION("""COMPUTED_VALUE"""),"gst")</f>
        <v>gst</v>
      </c>
      <c r="C5816" s="2" t="str">
        <f ca="1">IFERROR(__xludf.DUMMYFUNCTION("""COMPUTED_VALUE"""),"GSTCOIN")</f>
        <v>GSTCOIN</v>
      </c>
    </row>
    <row r="5817" spans="1:3" x14ac:dyDescent="0.25">
      <c r="A5817" s="2" t="str">
        <f ca="1">IFERROR(__xludf.DUMMYFUNCTION("""COMPUTED_VALUE"""),"g-token")</f>
        <v>g-token</v>
      </c>
      <c r="B5817" s="2" t="str">
        <f ca="1">IFERROR(__xludf.DUMMYFUNCTION("""COMPUTED_VALUE"""),"g")</f>
        <v>g</v>
      </c>
      <c r="C5817" s="2" t="str">
        <f ca="1">IFERROR(__xludf.DUMMYFUNCTION("""COMPUTED_VALUE"""),"Gravity")</f>
        <v>Gravity</v>
      </c>
    </row>
    <row r="5818" spans="1:3" x14ac:dyDescent="0.25">
      <c r="A5818" s="2" t="str">
        <f ca="1">IFERROR(__xludf.DUMMYFUNCTION("""COMPUTED_VALUE"""),"gt-protocol")</f>
        <v>gt-protocol</v>
      </c>
      <c r="B5818" s="2" t="str">
        <f ca="1">IFERROR(__xludf.DUMMYFUNCTION("""COMPUTED_VALUE"""),"gtai")</f>
        <v>gtai</v>
      </c>
      <c r="C5818" s="2" t="str">
        <f ca="1">IFERROR(__xludf.DUMMYFUNCTION("""COMPUTED_VALUE"""),"GT Protocol")</f>
        <v>GT Protocol</v>
      </c>
    </row>
    <row r="5819" spans="1:3" x14ac:dyDescent="0.25">
      <c r="A5819" s="2" t="str">
        <f ca="1">IFERROR(__xludf.DUMMYFUNCTION("""COMPUTED_VALUE"""),"gtrok")</f>
        <v>gtrok</v>
      </c>
      <c r="B5819" s="2" t="str">
        <f ca="1">IFERROR(__xludf.DUMMYFUNCTION("""COMPUTED_VALUE"""),"gtrok")</f>
        <v>gtrok</v>
      </c>
      <c r="C5819" s="2" t="str">
        <f ca="1">IFERROR(__xludf.DUMMYFUNCTION("""COMPUTED_VALUE"""),"GTROK")</f>
        <v>GTROK</v>
      </c>
    </row>
    <row r="5820" spans="1:3" x14ac:dyDescent="0.25">
      <c r="A5820" s="2" t="str">
        <f ca="1">IFERROR(__xludf.DUMMYFUNCTION("""COMPUTED_VALUE"""),"gua")</f>
        <v>gua</v>
      </c>
      <c r="B5820" s="2" t="str">
        <f ca="1">IFERROR(__xludf.DUMMYFUNCTION("""COMPUTED_VALUE"""),"gua")</f>
        <v>gua</v>
      </c>
      <c r="C5820" s="2" t="str">
        <f ca="1">IFERROR(__xludf.DUMMYFUNCTION("""COMPUTED_VALUE"""),"GUA")</f>
        <v>GUA</v>
      </c>
    </row>
    <row r="5821" spans="1:3" x14ac:dyDescent="0.25">
      <c r="A5821" s="2" t="str">
        <f ca="1">IFERROR(__xludf.DUMMYFUNCTION("""COMPUTED_VALUE"""),"guacamole")</f>
        <v>guacamole</v>
      </c>
      <c r="B5821" s="2" t="str">
        <f ca="1">IFERROR(__xludf.DUMMYFUNCTION("""COMPUTED_VALUE"""),"guac")</f>
        <v>guac</v>
      </c>
      <c r="C5821" s="2" t="str">
        <f ca="1">IFERROR(__xludf.DUMMYFUNCTION("""COMPUTED_VALUE"""),"Guacamole")</f>
        <v>Guacamole</v>
      </c>
    </row>
    <row r="5822" spans="1:3" x14ac:dyDescent="0.25">
      <c r="A5822" s="2" t="str">
        <f ca="1">IFERROR(__xludf.DUMMYFUNCTION("""COMPUTED_VALUE"""),"guapcoin")</f>
        <v>guapcoin</v>
      </c>
      <c r="B5822" s="2" t="str">
        <f ca="1">IFERROR(__xludf.DUMMYFUNCTION("""COMPUTED_VALUE"""),"guap")</f>
        <v>guap</v>
      </c>
      <c r="C5822" s="2" t="str">
        <f ca="1">IFERROR(__xludf.DUMMYFUNCTION("""COMPUTED_VALUE"""),"Guapcoin")</f>
        <v>Guapcoin</v>
      </c>
    </row>
    <row r="5823" spans="1:3" x14ac:dyDescent="0.25">
      <c r="A5823" s="2" t="str">
        <f ca="1">IFERROR(__xludf.DUMMYFUNCTION("""COMPUTED_VALUE"""),"guarantee")</f>
        <v>guarantee</v>
      </c>
      <c r="B5823" s="2" t="str">
        <f ca="1">IFERROR(__xludf.DUMMYFUNCTION("""COMPUTED_VALUE"""),"tee")</f>
        <v>tee</v>
      </c>
      <c r="C5823" s="2" t="str">
        <f ca="1">IFERROR(__xludf.DUMMYFUNCTION("""COMPUTED_VALUE"""),"Guarantee")</f>
        <v>Guarantee</v>
      </c>
    </row>
    <row r="5824" spans="1:3" x14ac:dyDescent="0.25">
      <c r="A5824" s="2" t="str">
        <f ca="1">IFERROR(__xludf.DUMMYFUNCTION("""COMPUTED_VALUE"""),"guardai")</f>
        <v>guardai</v>
      </c>
      <c r="B5824" s="2" t="str">
        <f ca="1">IFERROR(__xludf.DUMMYFUNCTION("""COMPUTED_VALUE"""),"guardai")</f>
        <v>guardai</v>
      </c>
      <c r="C5824" s="2" t="str">
        <f ca="1">IFERROR(__xludf.DUMMYFUNCTION("""COMPUTED_VALUE"""),"GuardAI")</f>
        <v>GuardAI</v>
      </c>
    </row>
    <row r="5825" spans="1:3" x14ac:dyDescent="0.25">
      <c r="A5825" s="2" t="str">
        <f ca="1">IFERROR(__xludf.DUMMYFUNCTION("""COMPUTED_VALUE"""),"guarded-ether")</f>
        <v>guarded-ether</v>
      </c>
      <c r="B5825" s="2" t="str">
        <f ca="1">IFERROR(__xludf.DUMMYFUNCTION("""COMPUTED_VALUE"""),"geth")</f>
        <v>geth</v>
      </c>
      <c r="C5825" s="2" t="str">
        <f ca="1">IFERROR(__xludf.DUMMYFUNCTION("""COMPUTED_VALUE"""),"Guarded Ether")</f>
        <v>Guarded Ether</v>
      </c>
    </row>
    <row r="5826" spans="1:3" x14ac:dyDescent="0.25">
      <c r="A5826" s="2" t="str">
        <f ca="1">IFERROR(__xludf.DUMMYFUNCTION("""COMPUTED_VALUE"""),"guardians-of-the-ball")</f>
        <v>guardians-of-the-ball</v>
      </c>
      <c r="B5826" s="2" t="str">
        <f ca="1">IFERROR(__xludf.DUMMYFUNCTION("""COMPUTED_VALUE"""),"gobal")</f>
        <v>gobal</v>
      </c>
      <c r="C5826" s="2" t="str">
        <f ca="1">IFERROR(__xludf.DUMMYFUNCTION("""COMPUTED_VALUE"""),"Guardians of the Ball")</f>
        <v>Guardians of the Ball</v>
      </c>
    </row>
    <row r="5827" spans="1:3" x14ac:dyDescent="0.25">
      <c r="A5827" s="2" t="str">
        <f ca="1">IFERROR(__xludf.DUMMYFUNCTION("""COMPUTED_VALUE"""),"guardian-token")</f>
        <v>guardian-token</v>
      </c>
      <c r="B5827" s="2" t="str">
        <f ca="1">IFERROR(__xludf.DUMMYFUNCTION("""COMPUTED_VALUE"""),"guard")</f>
        <v>guard</v>
      </c>
      <c r="C5827" s="2" t="str">
        <f ca="1">IFERROR(__xludf.DUMMYFUNCTION("""COMPUTED_VALUE"""),"Guardian GUARD")</f>
        <v>Guardian GUARD</v>
      </c>
    </row>
    <row r="5828" spans="1:3" x14ac:dyDescent="0.25">
      <c r="A5828" s="2" t="str">
        <f ca="1">IFERROR(__xludf.DUMMYFUNCTION("""COMPUTED_VALUE"""),"guard-of-decent")</f>
        <v>guard-of-decent</v>
      </c>
      <c r="B5828" s="2" t="str">
        <f ca="1">IFERROR(__xludf.DUMMYFUNCTION("""COMPUTED_VALUE"""),"godex")</f>
        <v>godex</v>
      </c>
      <c r="C5828" s="2" t="str">
        <f ca="1">IFERROR(__xludf.DUMMYFUNCTION("""COMPUTED_VALUE"""),"GUARD OF DECENT")</f>
        <v>GUARD OF DECENT</v>
      </c>
    </row>
    <row r="5829" spans="1:3" x14ac:dyDescent="0.25">
      <c r="A5829" s="2" t="str">
        <f ca="1">IFERROR(__xludf.DUMMYFUNCTION("""COMPUTED_VALUE"""),"guccipepe")</f>
        <v>guccipepe</v>
      </c>
      <c r="B5829" s="2" t="str">
        <f ca="1">IFERROR(__xludf.DUMMYFUNCTION("""COMPUTED_VALUE"""),"guccipepe")</f>
        <v>guccipepe</v>
      </c>
      <c r="C5829" s="2" t="str">
        <f ca="1">IFERROR(__xludf.DUMMYFUNCTION("""COMPUTED_VALUE"""),"GucciPepe")</f>
        <v>GucciPepe</v>
      </c>
    </row>
    <row r="5830" spans="1:3" x14ac:dyDescent="0.25">
      <c r="A5830" s="2" t="str">
        <f ca="1">IFERROR(__xludf.DUMMYFUNCTION("""COMPUTED_VALUE"""),"guessonchain")</f>
        <v>guessonchain</v>
      </c>
      <c r="B5830" s="2" t="str">
        <f ca="1">IFERROR(__xludf.DUMMYFUNCTION("""COMPUTED_VALUE"""),"guess")</f>
        <v>guess</v>
      </c>
      <c r="C5830" s="2" t="str">
        <f ca="1">IFERROR(__xludf.DUMMYFUNCTION("""COMPUTED_VALUE"""),"GuessOnChain")</f>
        <v>GuessOnChain</v>
      </c>
    </row>
    <row r="5831" spans="1:3" x14ac:dyDescent="0.25">
      <c r="A5831" s="2" t="str">
        <f ca="1">IFERROR(__xludf.DUMMYFUNCTION("""COMPUTED_VALUE"""),"gugu")</f>
        <v>gugu</v>
      </c>
      <c r="B5831" s="2" t="str">
        <f ca="1">IFERROR(__xludf.DUMMYFUNCTION("""COMPUTED_VALUE"""),"gugu")</f>
        <v>gugu</v>
      </c>
      <c r="C5831" s="2" t="str">
        <f ca="1">IFERROR(__xludf.DUMMYFUNCTION("""COMPUTED_VALUE"""),"gugu")</f>
        <v>gugu</v>
      </c>
    </row>
    <row r="5832" spans="1:3" x14ac:dyDescent="0.25">
      <c r="A5832" s="2" t="str">
        <f ca="1">IFERROR(__xludf.DUMMYFUNCTION("""COMPUTED_VALUE"""),"gui-inu")</f>
        <v>gui-inu</v>
      </c>
      <c r="B5832" s="2" t="str">
        <f ca="1">IFERROR(__xludf.DUMMYFUNCTION("""COMPUTED_VALUE"""),"gui")</f>
        <v>gui</v>
      </c>
      <c r="C5832" s="2" t="str">
        <f ca="1">IFERROR(__xludf.DUMMYFUNCTION("""COMPUTED_VALUE"""),"Gui Inu")</f>
        <v>Gui Inu</v>
      </c>
    </row>
    <row r="5833" spans="1:3" x14ac:dyDescent="0.25">
      <c r="A5833" s="2" t="str">
        <f ca="1">IFERROR(__xludf.DUMMYFUNCTION("""COMPUTED_VALUE"""),"guildfi")</f>
        <v>guildfi</v>
      </c>
      <c r="B5833" s="2" t="str">
        <f ca="1">IFERROR(__xludf.DUMMYFUNCTION("""COMPUTED_VALUE"""),"gf")</f>
        <v>gf</v>
      </c>
      <c r="C5833" s="2" t="str">
        <f ca="1">IFERROR(__xludf.DUMMYFUNCTION("""COMPUTED_VALUE"""),"GuildFi")</f>
        <v>GuildFi</v>
      </c>
    </row>
    <row r="5834" spans="1:3" x14ac:dyDescent="0.25">
      <c r="A5834" s="2" t="str">
        <f ca="1">IFERROR(__xludf.DUMMYFUNCTION("""COMPUTED_VALUE"""),"guild-of-guardians")</f>
        <v>guild-of-guardians</v>
      </c>
      <c r="B5834" s="2" t="str">
        <f ca="1">IFERROR(__xludf.DUMMYFUNCTION("""COMPUTED_VALUE"""),"gog")</f>
        <v>gog</v>
      </c>
      <c r="C5834" s="2" t="str">
        <f ca="1">IFERROR(__xludf.DUMMYFUNCTION("""COMPUTED_VALUE"""),"Guild of Guardians")</f>
        <v>Guild of Guardians</v>
      </c>
    </row>
    <row r="5835" spans="1:3" x14ac:dyDescent="0.25">
      <c r="A5835" s="2" t="str">
        <f ca="1">IFERROR(__xludf.DUMMYFUNCTION("""COMPUTED_VALUE"""),"gulfcoin-2")</f>
        <v>gulfcoin-2</v>
      </c>
      <c r="B5835" s="2" t="str">
        <f ca="1">IFERROR(__xludf.DUMMYFUNCTION("""COMPUTED_VALUE"""),"gulf")</f>
        <v>gulf</v>
      </c>
      <c r="C5835" s="2" t="str">
        <f ca="1">IFERROR(__xludf.DUMMYFUNCTION("""COMPUTED_VALUE"""),"GulfCoin")</f>
        <v>GulfCoin</v>
      </c>
    </row>
    <row r="5836" spans="1:3" x14ac:dyDescent="0.25">
      <c r="A5836" s="2" t="str">
        <f ca="1">IFERROR(__xludf.DUMMYFUNCTION("""COMPUTED_VALUE"""),"gummy")</f>
        <v>gummy</v>
      </c>
      <c r="B5836" s="2" t="str">
        <f ca="1">IFERROR(__xludf.DUMMYFUNCTION("""COMPUTED_VALUE"""),"gummy")</f>
        <v>gummy</v>
      </c>
      <c r="C5836" s="2" t="str">
        <f ca="1">IFERROR(__xludf.DUMMYFUNCTION("""COMPUTED_VALUE"""),"GUMMY")</f>
        <v>GUMMY</v>
      </c>
    </row>
    <row r="5837" spans="1:3" x14ac:dyDescent="0.25">
      <c r="A5837" s="2" t="str">
        <f ca="1">IFERROR(__xludf.DUMMYFUNCTION("""COMPUTED_VALUE"""),"gun-game")</f>
        <v>gun-game</v>
      </c>
      <c r="B5837" s="2" t="str">
        <f ca="1">IFERROR(__xludf.DUMMYFUNCTION("""COMPUTED_VALUE"""),"gg")</f>
        <v>gg</v>
      </c>
      <c r="C5837" s="2" t="str">
        <f ca="1">IFERROR(__xludf.DUMMYFUNCTION("""COMPUTED_VALUE"""),"Gun Game")</f>
        <v>Gun Game</v>
      </c>
    </row>
    <row r="5838" spans="1:3" x14ac:dyDescent="0.25">
      <c r="A5838" s="2" t="str">
        <f ca="1">IFERROR(__xludf.DUMMYFUNCTION("""COMPUTED_VALUE"""),"gunstar-metaverse")</f>
        <v>gunstar-metaverse</v>
      </c>
      <c r="B5838" s="2" t="str">
        <f ca="1">IFERROR(__xludf.DUMMYFUNCTION("""COMPUTED_VALUE"""),"gsts")</f>
        <v>gsts</v>
      </c>
      <c r="C5838" s="2" t="str">
        <f ca="1">IFERROR(__xludf.DUMMYFUNCTION("""COMPUTED_VALUE"""),"Gunstar Metaverse")</f>
        <v>Gunstar Metaverse</v>
      </c>
    </row>
    <row r="5839" spans="1:3" x14ac:dyDescent="0.25">
      <c r="A5839" s="2" t="str">
        <f ca="1">IFERROR(__xludf.DUMMYFUNCTION("""COMPUTED_VALUE"""),"gursonavax")</f>
        <v>gursonavax</v>
      </c>
      <c r="B5839" s="2" t="str">
        <f ca="1">IFERROR(__xludf.DUMMYFUNCTION("""COMPUTED_VALUE"""),"gurs")</f>
        <v>gurs</v>
      </c>
      <c r="C5839" s="2" t="str">
        <f ca="1">IFERROR(__xludf.DUMMYFUNCTION("""COMPUTED_VALUE"""),"GursOnAVAX")</f>
        <v>GursOnAVAX</v>
      </c>
    </row>
    <row r="5840" spans="1:3" x14ac:dyDescent="0.25">
      <c r="A5840" s="2" t="str">
        <f ca="1">IFERROR(__xludf.DUMMYFUNCTION("""COMPUTED_VALUE"""),"guru-network")</f>
        <v>guru-network</v>
      </c>
      <c r="B5840" s="2" t="str">
        <f ca="1">IFERROR(__xludf.DUMMYFUNCTION("""COMPUTED_VALUE"""),"guru")</f>
        <v>guru</v>
      </c>
      <c r="C5840" s="2" t="str">
        <f ca="1">IFERROR(__xludf.DUMMYFUNCTION("""COMPUTED_VALUE"""),"Guru Network")</f>
        <v>Guru Network</v>
      </c>
    </row>
    <row r="5841" spans="1:3" x14ac:dyDescent="0.25">
      <c r="A5841" s="2" t="str">
        <f ca="1">IFERROR(__xludf.DUMMYFUNCTION("""COMPUTED_VALUE"""),"gus")</f>
        <v>gus</v>
      </c>
      <c r="B5841" s="2" t="str">
        <f ca="1">IFERROR(__xludf.DUMMYFUNCTION("""COMPUTED_VALUE"""),"gus")</f>
        <v>gus</v>
      </c>
      <c r="C5841" s="2" t="str">
        <f ca="1">IFERROR(__xludf.DUMMYFUNCTION("""COMPUTED_VALUE"""),"GUS")</f>
        <v>GUS</v>
      </c>
    </row>
    <row r="5842" spans="1:3" x14ac:dyDescent="0.25">
      <c r="A5842" s="2" t="str">
        <f ca="1">IFERROR(__xludf.DUMMYFUNCTION("""COMPUTED_VALUE"""),"gusd-token-49eca0d2-b7ae-4a58-bef7-2310688658f2")</f>
        <v>gusd-token-49eca0d2-b7ae-4a58-bef7-2310688658f2</v>
      </c>
      <c r="B5842" s="2" t="str">
        <f ca="1">IFERROR(__xludf.DUMMYFUNCTION("""COMPUTED_VALUE"""),"gusd")</f>
        <v>gusd</v>
      </c>
      <c r="C5842" s="2" t="str">
        <f ca="1">IFERROR(__xludf.DUMMYFUNCTION("""COMPUTED_VALUE"""),"GUSD Token (Gaura)")</f>
        <v>GUSD Token (Gaura)</v>
      </c>
    </row>
    <row r="5843" spans="1:3" x14ac:dyDescent="0.25">
      <c r="A5843" s="2" t="str">
        <f ca="1">IFERROR(__xludf.DUMMYFUNCTION("""COMPUTED_VALUE"""),"guufy")</f>
        <v>guufy</v>
      </c>
      <c r="B5843" s="2" t="str">
        <f ca="1">IFERROR(__xludf.DUMMYFUNCTION("""COMPUTED_VALUE"""),"guufy")</f>
        <v>guufy</v>
      </c>
      <c r="C5843" s="2" t="str">
        <f ca="1">IFERROR(__xludf.DUMMYFUNCTION("""COMPUTED_VALUE"""),"Guufy")</f>
        <v>Guufy</v>
      </c>
    </row>
    <row r="5844" spans="1:3" x14ac:dyDescent="0.25">
      <c r="A5844" s="2" t="str">
        <f ca="1">IFERROR(__xludf.DUMMYFUNCTION("""COMPUTED_VALUE"""),"guys")</f>
        <v>guys</v>
      </c>
      <c r="B5844" s="2" t="str">
        <f ca="1">IFERROR(__xludf.DUMMYFUNCTION("""COMPUTED_VALUE"""),"hole")</f>
        <v>hole</v>
      </c>
      <c r="C5844" s="2" t="str">
        <f ca="1">IFERROR(__xludf.DUMMYFUNCTION("""COMPUTED_VALUE"""),"Hole Guys")</f>
        <v>Hole Guys</v>
      </c>
    </row>
    <row r="5845" spans="1:3" x14ac:dyDescent="0.25">
      <c r="A5845" s="2" t="str">
        <f ca="1">IFERROR(__xludf.DUMMYFUNCTION("""COMPUTED_VALUE"""),"guzzler")</f>
        <v>guzzler</v>
      </c>
      <c r="B5845" s="2" t="str">
        <f ca="1">IFERROR(__xludf.DUMMYFUNCTION("""COMPUTED_VALUE"""),"gzlr")</f>
        <v>gzlr</v>
      </c>
      <c r="C5845" s="2" t="str">
        <f ca="1">IFERROR(__xludf.DUMMYFUNCTION("""COMPUTED_VALUE"""),"Guzzler")</f>
        <v>Guzzler</v>
      </c>
    </row>
    <row r="5846" spans="1:3" x14ac:dyDescent="0.25">
      <c r="A5846" s="2" t="str">
        <f ca="1">IFERROR(__xludf.DUMMYFUNCTION("""COMPUTED_VALUE"""),"gxchain")</f>
        <v>gxchain</v>
      </c>
      <c r="B5846" s="2" t="str">
        <f ca="1">IFERROR(__xludf.DUMMYFUNCTION("""COMPUTED_VALUE"""),"gxc")</f>
        <v>gxc</v>
      </c>
      <c r="C5846" s="2" t="str">
        <f ca="1">IFERROR(__xludf.DUMMYFUNCTION("""COMPUTED_VALUE"""),"GXChain")</f>
        <v>GXChain</v>
      </c>
    </row>
    <row r="5847" spans="1:3" x14ac:dyDescent="0.25">
      <c r="A5847" s="2" t="str">
        <f ca="1">IFERROR(__xludf.DUMMYFUNCTION("""COMPUTED_VALUE"""),"gyen")</f>
        <v>gyen</v>
      </c>
      <c r="B5847" s="2" t="str">
        <f ca="1">IFERROR(__xludf.DUMMYFUNCTION("""COMPUTED_VALUE"""),"gyen")</f>
        <v>gyen</v>
      </c>
      <c r="C5847" s="2" t="str">
        <f ca="1">IFERROR(__xludf.DUMMYFUNCTION("""COMPUTED_VALUE"""),"GYEN")</f>
        <v>GYEN</v>
      </c>
    </row>
    <row r="5848" spans="1:3" x14ac:dyDescent="0.25">
      <c r="A5848" s="2" t="str">
        <f ca="1">IFERROR(__xludf.DUMMYFUNCTION("""COMPUTED_VALUE"""),"gym-network")</f>
        <v>gym-network</v>
      </c>
      <c r="B5848" s="2" t="str">
        <f ca="1">IFERROR(__xludf.DUMMYFUNCTION("""COMPUTED_VALUE"""),"gymnet")</f>
        <v>gymnet</v>
      </c>
      <c r="C5848" s="2" t="str">
        <f ca="1">IFERROR(__xludf.DUMMYFUNCTION("""COMPUTED_VALUE"""),"Gym Network")</f>
        <v>Gym Network</v>
      </c>
    </row>
    <row r="5849" spans="1:3" x14ac:dyDescent="0.25">
      <c r="A5849" s="2" t="str">
        <f ca="1">IFERROR(__xludf.DUMMYFUNCTION("""COMPUTED_VALUE"""),"gyoshi")</f>
        <v>gyoshi</v>
      </c>
      <c r="B5849" s="2" t="str">
        <f ca="1">IFERROR(__xludf.DUMMYFUNCTION("""COMPUTED_VALUE"""),"gyoshi")</f>
        <v>gyoshi</v>
      </c>
      <c r="C5849" s="2" t="str">
        <f ca="1">IFERROR(__xludf.DUMMYFUNCTION("""COMPUTED_VALUE"""),"GYOSHI")</f>
        <v>GYOSHI</v>
      </c>
    </row>
    <row r="5850" spans="1:3" x14ac:dyDescent="0.25">
      <c r="A5850" s="2" t="str">
        <f ca="1">IFERROR(__xludf.DUMMYFUNCTION("""COMPUTED_VALUE"""),"gyoza")</f>
        <v>gyoza</v>
      </c>
      <c r="B5850" s="2" t="str">
        <f ca="1">IFERROR(__xludf.DUMMYFUNCTION("""COMPUTED_VALUE"""),"gyoza")</f>
        <v>gyoza</v>
      </c>
      <c r="C5850" s="2" t="str">
        <f ca="1">IFERROR(__xludf.DUMMYFUNCTION("""COMPUTED_VALUE"""),"Gyoza")</f>
        <v>Gyoza</v>
      </c>
    </row>
    <row r="5851" spans="1:3" x14ac:dyDescent="0.25">
      <c r="A5851" s="2" t="str">
        <f ca="1">IFERROR(__xludf.DUMMYFUNCTION("""COMPUTED_VALUE"""),"gyre-token")</f>
        <v>gyre-token</v>
      </c>
      <c r="B5851" s="2" t="str">
        <f ca="1">IFERROR(__xludf.DUMMYFUNCTION("""COMPUTED_VALUE"""),"gyr")</f>
        <v>gyr</v>
      </c>
      <c r="C5851" s="2" t="str">
        <f ca="1">IFERROR(__xludf.DUMMYFUNCTION("""COMPUTED_VALUE"""),"Gyre Token")</f>
        <v>Gyre Token</v>
      </c>
    </row>
    <row r="5852" spans="1:3" x14ac:dyDescent="0.25">
      <c r="A5852" s="2" t="str">
        <f ca="1">IFERROR(__xludf.DUMMYFUNCTION("""COMPUTED_VALUE"""),"gyroscope")</f>
        <v>gyroscope</v>
      </c>
      <c r="B5852" s="2" t="str">
        <f ca="1">IFERROR(__xludf.DUMMYFUNCTION("""COMPUTED_VALUE"""),"gyfi")</f>
        <v>gyfi</v>
      </c>
      <c r="C5852" s="2" t="str">
        <f ca="1">IFERROR(__xludf.DUMMYFUNCTION("""COMPUTED_VALUE"""),"Gyroscope")</f>
        <v>Gyroscope</v>
      </c>
    </row>
    <row r="5853" spans="1:3" x14ac:dyDescent="0.25">
      <c r="A5853" s="2" t="str">
        <f ca="1">IFERROR(__xludf.DUMMYFUNCTION("""COMPUTED_VALUE"""),"gyroscope-gyd")</f>
        <v>gyroscope-gyd</v>
      </c>
      <c r="B5853" s="2" t="str">
        <f ca="1">IFERROR(__xludf.DUMMYFUNCTION("""COMPUTED_VALUE"""),"gyd")</f>
        <v>gyd</v>
      </c>
      <c r="C5853" s="2" t="str">
        <f ca="1">IFERROR(__xludf.DUMMYFUNCTION("""COMPUTED_VALUE"""),"Gyroscope GYD")</f>
        <v>Gyroscope GYD</v>
      </c>
    </row>
    <row r="5854" spans="1:3" x14ac:dyDescent="0.25">
      <c r="A5854" s="2" t="str">
        <f ca="1">IFERROR(__xludf.DUMMYFUNCTION("""COMPUTED_VALUE"""),"gyrowin")</f>
        <v>gyrowin</v>
      </c>
      <c r="B5854" s="2" t="str">
        <f ca="1">IFERROR(__xludf.DUMMYFUNCTION("""COMPUTED_VALUE"""),"gw")</f>
        <v>gw</v>
      </c>
      <c r="C5854" s="2" t="str">
        <f ca="1">IFERROR(__xludf.DUMMYFUNCTION("""COMPUTED_VALUE"""),"Gyrowin")</f>
        <v>Gyrowin</v>
      </c>
    </row>
    <row r="5855" spans="1:3" x14ac:dyDescent="0.25">
      <c r="A5855" s="2" t="str">
        <f ca="1">IFERROR(__xludf.DUMMYFUNCTION("""COMPUTED_VALUE"""),"h2")</f>
        <v>h2</v>
      </c>
      <c r="B5855" s="2" t="str">
        <f ca="1">IFERROR(__xludf.DUMMYFUNCTION("""COMPUTED_VALUE"""),"$h2")</f>
        <v>$h2</v>
      </c>
      <c r="C5855" s="2" t="str">
        <f ca="1">IFERROR(__xludf.DUMMYFUNCTION("""COMPUTED_VALUE"""),"H2 Finance")</f>
        <v>H2 Finance</v>
      </c>
    </row>
    <row r="5856" spans="1:3" x14ac:dyDescent="0.25">
      <c r="A5856" s="2" t="str">
        <f ca="1">IFERROR(__xludf.DUMMYFUNCTION("""COMPUTED_VALUE"""),"h2finance")</f>
        <v>h2finance</v>
      </c>
      <c r="B5856" s="2" t="str">
        <f ca="1">IFERROR(__xludf.DUMMYFUNCTION("""COMPUTED_VALUE"""),"yfih2")</f>
        <v>yfih2</v>
      </c>
      <c r="C5856" s="2" t="str">
        <f ca="1">IFERROR(__xludf.DUMMYFUNCTION("""COMPUTED_VALUE"""),"H2Finance")</f>
        <v>H2Finance</v>
      </c>
    </row>
    <row r="5857" spans="1:3" x14ac:dyDescent="0.25">
      <c r="A5857" s="2" t="str">
        <f ca="1">IFERROR(__xludf.DUMMYFUNCTION("""COMPUTED_VALUE"""),"h2o-dao")</f>
        <v>h2o-dao</v>
      </c>
      <c r="B5857" s="2" t="str">
        <f ca="1">IFERROR(__xludf.DUMMYFUNCTION("""COMPUTED_VALUE"""),"h2o")</f>
        <v>h2o</v>
      </c>
      <c r="C5857" s="2" t="str">
        <f ca="1">IFERROR(__xludf.DUMMYFUNCTION("""COMPUTED_VALUE"""),"H2O Dao")</f>
        <v>H2O Dao</v>
      </c>
    </row>
    <row r="5858" spans="1:3" x14ac:dyDescent="0.25">
      <c r="A5858" s="2" t="str">
        <f ca="1">IFERROR(__xludf.DUMMYFUNCTION("""COMPUTED_VALUE"""),"h2o-securities")</f>
        <v>h2o-securities</v>
      </c>
      <c r="B5858" s="2" t="str">
        <f ca="1">IFERROR(__xludf.DUMMYFUNCTION("""COMPUTED_VALUE"""),"h2on")</f>
        <v>h2on</v>
      </c>
      <c r="C5858" s="2" t="str">
        <f ca="1">IFERROR(__xludf.DUMMYFUNCTION("""COMPUTED_VALUE"""),"H2O Securities")</f>
        <v>H2O Securities</v>
      </c>
    </row>
    <row r="5859" spans="1:3" x14ac:dyDescent="0.25">
      <c r="A5859" s="2" t="str">
        <f ca="1">IFERROR(__xludf.DUMMYFUNCTION("""COMPUTED_VALUE"""),"habbolana")</f>
        <v>habbolana</v>
      </c>
      <c r="B5859" s="2" t="str">
        <f ca="1">IFERROR(__xludf.DUMMYFUNCTION("""COMPUTED_VALUE"""),"habbo")</f>
        <v>habbo</v>
      </c>
      <c r="C5859" s="2" t="str">
        <f ca="1">IFERROR(__xludf.DUMMYFUNCTION("""COMPUTED_VALUE"""),"Habbolana")</f>
        <v>Habbolana</v>
      </c>
    </row>
    <row r="5860" spans="1:3" x14ac:dyDescent="0.25">
      <c r="A5860" s="2" t="str">
        <f ca="1">IFERROR(__xludf.DUMMYFUNCTION("""COMPUTED_VALUE"""),"habi")</f>
        <v>habi</v>
      </c>
      <c r="B5860" s="2" t="str">
        <f ca="1">IFERROR(__xludf.DUMMYFUNCTION("""COMPUTED_VALUE"""),"habi")</f>
        <v>habi</v>
      </c>
      <c r="C5860" s="2" t="str">
        <f ca="1">IFERROR(__xludf.DUMMYFUNCTION("""COMPUTED_VALUE"""),"Habi")</f>
        <v>Habi</v>
      </c>
    </row>
    <row r="5861" spans="1:3" x14ac:dyDescent="0.25">
      <c r="A5861" s="2" t="str">
        <f ca="1">IFERROR(__xludf.DUMMYFUNCTION("""COMPUTED_VALUE"""),"habibi")</f>
        <v>habibi</v>
      </c>
      <c r="B5861" s="2" t="str">
        <f ca="1">IFERROR(__xludf.DUMMYFUNCTION("""COMPUTED_VALUE"""),"habibi")</f>
        <v>habibi</v>
      </c>
      <c r="C5861" s="2" t="str">
        <f ca="1">IFERROR(__xludf.DUMMYFUNCTION("""COMPUTED_VALUE"""),"Habibi")</f>
        <v>Habibi</v>
      </c>
    </row>
    <row r="5862" spans="1:3" x14ac:dyDescent="0.25">
      <c r="A5862" s="2" t="str">
        <f ca="1">IFERROR(__xludf.DUMMYFUNCTION("""COMPUTED_VALUE"""),"habibi-sol")</f>
        <v>habibi-sol</v>
      </c>
      <c r="B5862" s="2" t="str">
        <f ca="1">IFERROR(__xludf.DUMMYFUNCTION("""COMPUTED_VALUE"""),"habibi")</f>
        <v>habibi</v>
      </c>
      <c r="C5862" s="2" t="str">
        <f ca="1">IFERROR(__xludf.DUMMYFUNCTION("""COMPUTED_VALUE"""),"Habibi (Sol)")</f>
        <v>Habibi (Sol)</v>
      </c>
    </row>
    <row r="5863" spans="1:3" x14ac:dyDescent="0.25">
      <c r="A5863" s="2" t="str">
        <f ca="1">IFERROR(__xludf.DUMMYFUNCTION("""COMPUTED_VALUE"""),"hacash")</f>
        <v>hacash</v>
      </c>
      <c r="B5863" s="2" t="str">
        <f ca="1">IFERROR(__xludf.DUMMYFUNCTION("""COMPUTED_VALUE"""),"hac")</f>
        <v>hac</v>
      </c>
      <c r="C5863" s="2" t="str">
        <f ca="1">IFERROR(__xludf.DUMMYFUNCTION("""COMPUTED_VALUE"""),"Hacash")</f>
        <v>Hacash</v>
      </c>
    </row>
    <row r="5864" spans="1:3" x14ac:dyDescent="0.25">
      <c r="A5864" s="2" t="str">
        <f ca="1">IFERROR(__xludf.DUMMYFUNCTION("""COMPUTED_VALUE"""),"hacash-diamond")</f>
        <v>hacash-diamond</v>
      </c>
      <c r="B5864" s="2" t="str">
        <f ca="1">IFERROR(__xludf.DUMMYFUNCTION("""COMPUTED_VALUE"""),"hacd")</f>
        <v>hacd</v>
      </c>
      <c r="C5864" s="2" t="str">
        <f ca="1">IFERROR(__xludf.DUMMYFUNCTION("""COMPUTED_VALUE"""),"Hacash Diamond")</f>
        <v>Hacash Diamond</v>
      </c>
    </row>
    <row r="5865" spans="1:3" x14ac:dyDescent="0.25">
      <c r="A5865" s="2" t="str">
        <f ca="1">IFERROR(__xludf.DUMMYFUNCTION("""COMPUTED_VALUE"""),"hachi")</f>
        <v>hachi</v>
      </c>
      <c r="B5865" s="2" t="str">
        <f ca="1">IFERROR(__xludf.DUMMYFUNCTION("""COMPUTED_VALUE"""),"hachi")</f>
        <v>hachi</v>
      </c>
      <c r="C5865" s="2" t="str">
        <f ca="1">IFERROR(__xludf.DUMMYFUNCTION("""COMPUTED_VALUE"""),"Hachi")</f>
        <v>Hachi</v>
      </c>
    </row>
    <row r="5866" spans="1:3" x14ac:dyDescent="0.25">
      <c r="A5866" s="2" t="str">
        <f ca="1">IFERROR(__xludf.DUMMYFUNCTION("""COMPUTED_VALUE"""),"hachiko-2")</f>
        <v>hachiko-2</v>
      </c>
      <c r="B5866" s="2" t="str">
        <f ca="1">IFERROR(__xludf.DUMMYFUNCTION("""COMPUTED_VALUE"""),"hachiko")</f>
        <v>hachiko</v>
      </c>
      <c r="C5866" s="2" t="str">
        <f ca="1">IFERROR(__xludf.DUMMYFUNCTION("""COMPUTED_VALUE"""),"Hachiko")</f>
        <v>Hachiko</v>
      </c>
    </row>
    <row r="5867" spans="1:3" x14ac:dyDescent="0.25">
      <c r="A5867" s="2" t="str">
        <f ca="1">IFERROR(__xludf.DUMMYFUNCTION("""COMPUTED_VALUE"""),"hachiko-era")</f>
        <v>hachiko-era</v>
      </c>
      <c r="B5867" s="2" t="str">
        <f ca="1">IFERROR(__xludf.DUMMYFUNCTION("""COMPUTED_VALUE"""),"haki")</f>
        <v>haki</v>
      </c>
      <c r="C5867" s="2" t="str">
        <f ca="1">IFERROR(__xludf.DUMMYFUNCTION("""COMPUTED_VALUE"""),"Hachiko Inu")</f>
        <v>Hachiko Inu</v>
      </c>
    </row>
    <row r="5868" spans="1:3" x14ac:dyDescent="0.25">
      <c r="A5868" s="2" t="str">
        <f ca="1">IFERROR(__xludf.DUMMYFUNCTION("""COMPUTED_VALUE"""),"hachikoinu")</f>
        <v>hachikoinu</v>
      </c>
      <c r="B5868" s="2" t="str">
        <f ca="1">IFERROR(__xludf.DUMMYFUNCTION("""COMPUTED_VALUE"""),"inu")</f>
        <v>inu</v>
      </c>
      <c r="C5868" s="2" t="str">
        <f ca="1">IFERROR(__xludf.DUMMYFUNCTION("""COMPUTED_VALUE"""),"HachikoInu")</f>
        <v>HachikoInu</v>
      </c>
    </row>
    <row r="5869" spans="1:3" x14ac:dyDescent="0.25">
      <c r="A5869" s="2" t="str">
        <f ca="1">IFERROR(__xludf.DUMMYFUNCTION("""COMPUTED_VALUE"""),"hachiko-inu-meme")</f>
        <v>hachiko-inu-meme</v>
      </c>
      <c r="B5869" s="2" t="str">
        <f ca="1">IFERROR(__xludf.DUMMYFUNCTION("""COMPUTED_VALUE"""),"hachi")</f>
        <v>hachi</v>
      </c>
      <c r="C5869" s="2" t="str">
        <f ca="1">IFERROR(__xludf.DUMMYFUNCTION("""COMPUTED_VALUE"""),"Hachiko Inu")</f>
        <v>Hachiko Inu</v>
      </c>
    </row>
    <row r="5870" spans="1:3" x14ac:dyDescent="0.25">
      <c r="A5870" s="2" t="str">
        <f ca="1">IFERROR(__xludf.DUMMYFUNCTION("""COMPUTED_VALUE"""),"hachikosolana")</f>
        <v>hachikosolana</v>
      </c>
      <c r="B5870" s="2" t="str">
        <f ca="1">IFERROR(__xludf.DUMMYFUNCTION("""COMPUTED_VALUE"""),"hachi")</f>
        <v>hachi</v>
      </c>
      <c r="C5870" s="2" t="str">
        <f ca="1">IFERROR(__xludf.DUMMYFUNCTION("""COMPUTED_VALUE"""),"HachikoSolana")</f>
        <v>HachikoSolana</v>
      </c>
    </row>
    <row r="5871" spans="1:3" x14ac:dyDescent="0.25">
      <c r="A5871" s="2" t="str">
        <f ca="1">IFERROR(__xludf.DUMMYFUNCTION("""COMPUTED_VALUE"""),"hachi-kun")</f>
        <v>hachi-kun</v>
      </c>
      <c r="B5871" s="2" t="str">
        <f ca="1">IFERROR(__xludf.DUMMYFUNCTION("""COMPUTED_VALUE"""),"hachi")</f>
        <v>hachi</v>
      </c>
      <c r="C5871" s="2" t="str">
        <f ca="1">IFERROR(__xludf.DUMMYFUNCTION("""COMPUTED_VALUE"""),"HACHI-KUN")</f>
        <v>HACHI-KUN</v>
      </c>
    </row>
    <row r="5872" spans="1:3" x14ac:dyDescent="0.25">
      <c r="A5872" s="2" t="str">
        <f ca="1">IFERROR(__xludf.DUMMYFUNCTION("""COMPUTED_VALUE"""),"hack")</f>
        <v>hack</v>
      </c>
      <c r="B5872" s="2" t="str">
        <f ca="1">IFERROR(__xludf.DUMMYFUNCTION("""COMPUTED_VALUE"""),"$hack")</f>
        <v>$hack</v>
      </c>
      <c r="C5872" s="2" t="str">
        <f ca="1">IFERROR(__xludf.DUMMYFUNCTION("""COMPUTED_VALUE"""),"HACK")</f>
        <v>HACK</v>
      </c>
    </row>
    <row r="5873" spans="1:3" x14ac:dyDescent="0.25">
      <c r="A5873" s="2" t="str">
        <f ca="1">IFERROR(__xludf.DUMMYFUNCTION("""COMPUTED_VALUE"""),"hackenai")</f>
        <v>hackenai</v>
      </c>
      <c r="B5873" s="2" t="str">
        <f ca="1">IFERROR(__xludf.DUMMYFUNCTION("""COMPUTED_VALUE"""),"hai")</f>
        <v>hai</v>
      </c>
      <c r="C5873" s="2" t="str">
        <f ca="1">IFERROR(__xludf.DUMMYFUNCTION("""COMPUTED_VALUE"""),"Hacken")</f>
        <v>Hacken</v>
      </c>
    </row>
    <row r="5874" spans="1:3" x14ac:dyDescent="0.25">
      <c r="A5874" s="2" t="str">
        <f ca="1">IFERROR(__xludf.DUMMYFUNCTION("""COMPUTED_VALUE"""),"hades")</f>
        <v>hades</v>
      </c>
      <c r="B5874" s="2" t="str">
        <f ca="1">IFERROR(__xludf.DUMMYFUNCTION("""COMPUTED_VALUE"""),"hades")</f>
        <v>hades</v>
      </c>
      <c r="C5874" s="2" t="str">
        <f ca="1">IFERROR(__xludf.DUMMYFUNCTION("""COMPUTED_VALUE"""),"Hades")</f>
        <v>Hades</v>
      </c>
    </row>
    <row r="5875" spans="1:3" x14ac:dyDescent="0.25">
      <c r="A5875" s="2" t="str">
        <f ca="1">IFERROR(__xludf.DUMMYFUNCTION("""COMPUTED_VALUE"""),"hades-network")</f>
        <v>hades-network</v>
      </c>
      <c r="B5875" s="2" t="str">
        <f ca="1">IFERROR(__xludf.DUMMYFUNCTION("""COMPUTED_VALUE"""),"hades")</f>
        <v>hades</v>
      </c>
      <c r="C5875" s="2" t="str">
        <f ca="1">IFERROR(__xludf.DUMMYFUNCTION("""COMPUTED_VALUE"""),"Hades Network")</f>
        <v>Hades Network</v>
      </c>
    </row>
    <row r="5876" spans="1:3" x14ac:dyDescent="0.25">
      <c r="A5876" s="2" t="str">
        <f ca="1">IFERROR(__xludf.DUMMYFUNCTION("""COMPUTED_VALUE"""),"haedal-staked-sui")</f>
        <v>haedal-staked-sui</v>
      </c>
      <c r="B5876" s="2" t="str">
        <f ca="1">IFERROR(__xludf.DUMMYFUNCTION("""COMPUTED_VALUE"""),"hasui")</f>
        <v>hasui</v>
      </c>
      <c r="C5876" s="2" t="str">
        <f ca="1">IFERROR(__xludf.DUMMYFUNCTION("""COMPUTED_VALUE"""),"Haedal Staked SUI")</f>
        <v>Haedal Staked SUI</v>
      </c>
    </row>
    <row r="5877" spans="1:3" x14ac:dyDescent="0.25">
      <c r="A5877" s="2" t="str">
        <f ca="1">IFERROR(__xludf.DUMMYFUNCTION("""COMPUTED_VALUE"""),"haggord")</f>
        <v>haggord</v>
      </c>
      <c r="B5877" s="2" t="str">
        <f ca="1">IFERROR(__xludf.DUMMYFUNCTION("""COMPUTED_VALUE"""),"haggord")</f>
        <v>haggord</v>
      </c>
      <c r="C5877" s="2" t="str">
        <f ca="1">IFERROR(__xludf.DUMMYFUNCTION("""COMPUTED_VALUE"""),"HAGGORD")</f>
        <v>HAGGORD</v>
      </c>
    </row>
    <row r="5878" spans="1:3" x14ac:dyDescent="0.25">
      <c r="A5878" s="2" t="str">
        <f ca="1">IFERROR(__xludf.DUMMYFUNCTION("""COMPUTED_VALUE"""),"haha")</f>
        <v>haha</v>
      </c>
      <c r="B5878" s="2" t="str">
        <f ca="1">IFERROR(__xludf.DUMMYFUNCTION("""COMPUTED_VALUE"""),"haha")</f>
        <v>haha</v>
      </c>
      <c r="C5878" s="2" t="str">
        <f ca="1">IFERROR(__xludf.DUMMYFUNCTION("""COMPUTED_VALUE"""),"HAHA")</f>
        <v>HAHA</v>
      </c>
    </row>
    <row r="5879" spans="1:3" x14ac:dyDescent="0.25">
      <c r="A5879" s="2" t="str">
        <f ca="1">IFERROR(__xludf.DUMMYFUNCTION("""COMPUTED_VALUE"""),"hahayes")</f>
        <v>hahayes</v>
      </c>
      <c r="B5879" s="2" t="str">
        <f ca="1">IFERROR(__xludf.DUMMYFUNCTION("""COMPUTED_VALUE"""),"rizo")</f>
        <v>rizo</v>
      </c>
      <c r="C5879" s="2" t="str">
        <f ca="1">IFERROR(__xludf.DUMMYFUNCTION("""COMPUTED_VALUE"""),"HahaYes")</f>
        <v>HahaYes</v>
      </c>
    </row>
    <row r="5880" spans="1:3" x14ac:dyDescent="0.25">
      <c r="A5880" s="2" t="str">
        <f ca="1">IFERROR(__xludf.DUMMYFUNCTION("""COMPUTED_VALUE"""),"haiperai")</f>
        <v>haiperai</v>
      </c>
      <c r="B5880" s="2" t="str">
        <f ca="1">IFERROR(__xludf.DUMMYFUNCTION("""COMPUTED_VALUE"""),"haiperai")</f>
        <v>haiperai</v>
      </c>
      <c r="C5880" s="2" t="str">
        <f ca="1">IFERROR(__xludf.DUMMYFUNCTION("""COMPUTED_VALUE"""),"HaiperAI")</f>
        <v>HaiperAI</v>
      </c>
    </row>
    <row r="5881" spans="1:3" x14ac:dyDescent="0.25">
      <c r="A5881" s="2" t="str">
        <f ca="1">IFERROR(__xludf.DUMMYFUNCTION("""COMPUTED_VALUE"""),"hairdao")</f>
        <v>hairdao</v>
      </c>
      <c r="B5881" s="2" t="str">
        <f ca="1">IFERROR(__xludf.DUMMYFUNCTION("""COMPUTED_VALUE"""),"hair")</f>
        <v>hair</v>
      </c>
      <c r="C5881" s="2" t="str">
        <f ca="1">IFERROR(__xludf.DUMMYFUNCTION("""COMPUTED_VALUE"""),"HairDAO")</f>
        <v>HairDAO</v>
      </c>
    </row>
    <row r="5882" spans="1:3" x14ac:dyDescent="0.25">
      <c r="A5882" s="2" t="str">
        <f ca="1">IFERROR(__xludf.DUMMYFUNCTION("""COMPUTED_VALUE"""),"hairyplotterftx")</f>
        <v>hairyplotterftx</v>
      </c>
      <c r="B5882" s="2" t="str">
        <f ca="1">IFERROR(__xludf.DUMMYFUNCTION("""COMPUTED_VALUE"""),"ftx")</f>
        <v>ftx</v>
      </c>
      <c r="C5882" s="2" t="str">
        <f ca="1">IFERROR(__xludf.DUMMYFUNCTION("""COMPUTED_VALUE"""),"HairyPlotterFTX")</f>
        <v>HairyPlotterFTX</v>
      </c>
    </row>
    <row r="5883" spans="1:3" x14ac:dyDescent="0.25">
      <c r="A5883" s="2" t="str">
        <f ca="1">IFERROR(__xludf.DUMMYFUNCTION("""COMPUTED_VALUE"""),"hairypotheadtrempsanic69inu")</f>
        <v>hairypotheadtrempsanic69inu</v>
      </c>
      <c r="B5883" s="2" t="str">
        <f ca="1">IFERROR(__xludf.DUMMYFUNCTION("""COMPUTED_VALUE"""),"solana")</f>
        <v>solana</v>
      </c>
      <c r="C5883" s="2" t="str">
        <f ca="1">IFERROR(__xludf.DUMMYFUNCTION("""COMPUTED_VALUE"""),"HAIRYPOTHEADTREMPSANIC69INU")</f>
        <v>HAIRYPOTHEADTREMPSANIC69INU</v>
      </c>
    </row>
    <row r="5884" spans="1:3" x14ac:dyDescent="0.25">
      <c r="A5884" s="2" t="str">
        <f ca="1">IFERROR(__xludf.DUMMYFUNCTION("""COMPUTED_VALUE"""),"hairy-the-bene")</f>
        <v>hairy-the-bene</v>
      </c>
      <c r="B5884" s="2" t="str">
        <f ca="1">IFERROR(__xludf.DUMMYFUNCTION("""COMPUTED_VALUE"""),"hairy")</f>
        <v>hairy</v>
      </c>
      <c r="C5884" s="2" t="str">
        <f ca="1">IFERROR(__xludf.DUMMYFUNCTION("""COMPUTED_VALUE"""),"Hairy The Bene")</f>
        <v>Hairy The Bene</v>
      </c>
    </row>
    <row r="5885" spans="1:3" x14ac:dyDescent="0.25">
      <c r="A5885" s="2" t="str">
        <f ca="1">IFERROR(__xludf.DUMMYFUNCTION("""COMPUTED_VALUE"""),"hakka-finance")</f>
        <v>hakka-finance</v>
      </c>
      <c r="B5885" s="2" t="str">
        <f ca="1">IFERROR(__xludf.DUMMYFUNCTION("""COMPUTED_VALUE"""),"hakka")</f>
        <v>hakka</v>
      </c>
      <c r="C5885" s="2" t="str">
        <f ca="1">IFERROR(__xludf.DUMMYFUNCTION("""COMPUTED_VALUE"""),"Hakka Finance")</f>
        <v>Hakka Finance</v>
      </c>
    </row>
    <row r="5886" spans="1:3" x14ac:dyDescent="0.25">
      <c r="A5886" s="2" t="str">
        <f ca="1">IFERROR(__xludf.DUMMYFUNCTION("""COMPUTED_VALUE"""),"haku-ryujin")</f>
        <v>haku-ryujin</v>
      </c>
      <c r="B5886" s="2" t="str">
        <f ca="1">IFERROR(__xludf.DUMMYFUNCTION("""COMPUTED_VALUE"""),"haku")</f>
        <v>haku</v>
      </c>
      <c r="C5886" s="2" t="str">
        <f ca="1">IFERROR(__xludf.DUMMYFUNCTION("""COMPUTED_VALUE"""),"Haku Ryujin")</f>
        <v>Haku Ryujin</v>
      </c>
    </row>
    <row r="5887" spans="1:3" x14ac:dyDescent="0.25">
      <c r="A5887" s="2" t="str">
        <f ca="1">IFERROR(__xludf.DUMMYFUNCTION("""COMPUTED_VALUE"""),"hakuswap")</f>
        <v>hakuswap</v>
      </c>
      <c r="B5887" s="2" t="str">
        <f ca="1">IFERROR(__xludf.DUMMYFUNCTION("""COMPUTED_VALUE"""),"haku")</f>
        <v>haku</v>
      </c>
      <c r="C5887" s="2" t="str">
        <f ca="1">IFERROR(__xludf.DUMMYFUNCTION("""COMPUTED_VALUE"""),"HakuSwap")</f>
        <v>HakuSwap</v>
      </c>
    </row>
    <row r="5888" spans="1:3" x14ac:dyDescent="0.25">
      <c r="A5888" s="2" t="str">
        <f ca="1">IFERROR(__xludf.DUMMYFUNCTION("""COMPUTED_VALUE"""),"halcyon")</f>
        <v>halcyon</v>
      </c>
      <c r="B5888" s="2" t="str">
        <f ca="1">IFERROR(__xludf.DUMMYFUNCTION("""COMPUTED_VALUE"""),"hal")</f>
        <v>hal</v>
      </c>
      <c r="C5888" s="2" t="str">
        <f ca="1">IFERROR(__xludf.DUMMYFUNCTION("""COMPUTED_VALUE"""),"Halcyon")</f>
        <v>Halcyon</v>
      </c>
    </row>
    <row r="5889" spans="1:3" x14ac:dyDescent="0.25">
      <c r="A5889" s="2" t="str">
        <f ca="1">IFERROR(__xludf.DUMMYFUNCTION("""COMPUTED_VALUE"""),"half-of-pepe")</f>
        <v>half-of-pepe</v>
      </c>
      <c r="B5889" s="2" t="str">
        <f ca="1">IFERROR(__xludf.DUMMYFUNCTION("""COMPUTED_VALUE"""),"pe")</f>
        <v>pe</v>
      </c>
      <c r="C5889" s="2" t="str">
        <f ca="1">IFERROR(__xludf.DUMMYFUNCTION("""COMPUTED_VALUE"""),"Half of Pepe")</f>
        <v>Half of Pepe</v>
      </c>
    </row>
    <row r="5890" spans="1:3" x14ac:dyDescent="0.25">
      <c r="A5890" s="2" t="str">
        <f ca="1">IFERROR(__xludf.DUMMYFUNCTION("""COMPUTED_VALUE"""),"halfpizza")</f>
        <v>halfpizza</v>
      </c>
      <c r="B5890" s="2" t="str">
        <f ca="1">IFERROR(__xludf.DUMMYFUNCTION("""COMPUTED_VALUE"""),"piza")</f>
        <v>piza</v>
      </c>
      <c r="C5890" s="2" t="str">
        <f ca="1">IFERROR(__xludf.DUMMYFUNCTION("""COMPUTED_VALUE"""),"Half Pizza")</f>
        <v>Half Pizza</v>
      </c>
    </row>
    <row r="5891" spans="1:3" x14ac:dyDescent="0.25">
      <c r="A5891" s="2" t="str">
        <f ca="1">IFERROR(__xludf.DUMMYFUNCTION("""COMPUTED_VALUE"""),"half-shiba-inu")</f>
        <v>half-shiba-inu</v>
      </c>
      <c r="B5891" s="2" t="str">
        <f ca="1">IFERROR(__xludf.DUMMYFUNCTION("""COMPUTED_VALUE"""),"shib0.5")</f>
        <v>shib0.5</v>
      </c>
      <c r="C5891" s="2" t="str">
        <f ca="1">IFERROR(__xludf.DUMMYFUNCTION("""COMPUTED_VALUE"""),"Half Shiba Inu")</f>
        <v>Half Shiba Inu</v>
      </c>
    </row>
    <row r="5892" spans="1:3" x14ac:dyDescent="0.25">
      <c r="A5892" s="2" t="str">
        <f ca="1">IFERROR(__xludf.DUMMYFUNCTION("""COMPUTED_VALUE"""),"halo-coin")</f>
        <v>halo-coin</v>
      </c>
      <c r="B5892" s="2" t="str">
        <f ca="1">IFERROR(__xludf.DUMMYFUNCTION("""COMPUTED_VALUE"""),"halo")</f>
        <v>halo</v>
      </c>
      <c r="C5892" s="2" t="str">
        <f ca="1">IFERROR(__xludf.DUMMYFUNCTION("""COMPUTED_VALUE"""),"Halo Coin")</f>
        <v>Halo Coin</v>
      </c>
    </row>
    <row r="5893" spans="1:3" x14ac:dyDescent="0.25">
      <c r="A5893" s="2" t="str">
        <f ca="1">IFERROR(__xludf.DUMMYFUNCTION("""COMPUTED_VALUE"""),"halo-network")</f>
        <v>halo-network</v>
      </c>
      <c r="B5893" s="2" t="str">
        <f ca="1">IFERROR(__xludf.DUMMYFUNCTION("""COMPUTED_VALUE"""),"ho")</f>
        <v>ho</v>
      </c>
      <c r="C5893" s="2" t="str">
        <f ca="1">IFERROR(__xludf.DUMMYFUNCTION("""COMPUTED_VALUE"""),"HALO Network")</f>
        <v>HALO Network</v>
      </c>
    </row>
    <row r="5894" spans="1:3" x14ac:dyDescent="0.25">
      <c r="A5894" s="2" t="str">
        <f ca="1">IFERROR(__xludf.DUMMYFUNCTION("""COMPUTED_VALUE"""),"halonft-art")</f>
        <v>halonft-art</v>
      </c>
      <c r="B5894" s="2" t="str">
        <f ca="1">IFERROR(__xludf.DUMMYFUNCTION("""COMPUTED_VALUE"""),"halo")</f>
        <v>halo</v>
      </c>
      <c r="C5894" s="2" t="str">
        <f ca="1">IFERROR(__xludf.DUMMYFUNCTION("""COMPUTED_VALUE"""),"HALOnft.art")</f>
        <v>HALOnft.art</v>
      </c>
    </row>
    <row r="5895" spans="1:3" x14ac:dyDescent="0.25">
      <c r="A5895" s="2" t="str">
        <f ca="1">IFERROR(__xludf.DUMMYFUNCTION("""COMPUTED_VALUE"""),"halving")</f>
        <v>halving</v>
      </c>
      <c r="B5895" s="2" t="str">
        <f ca="1">IFERROR(__xludf.DUMMYFUNCTION("""COMPUTED_VALUE"""),"halving")</f>
        <v>halving</v>
      </c>
      <c r="C5895" s="2" t="str">
        <f ca="1">IFERROR(__xludf.DUMMYFUNCTION("""COMPUTED_VALUE"""),"Halving")</f>
        <v>Halving</v>
      </c>
    </row>
    <row r="5896" spans="1:3" x14ac:dyDescent="0.25">
      <c r="A5896" s="2" t="str">
        <f ca="1">IFERROR(__xludf.DUMMYFUNCTION("""COMPUTED_VALUE"""),"halvi-solana")</f>
        <v>halvi-solana</v>
      </c>
      <c r="B5896" s="2" t="str">
        <f ca="1">IFERROR(__xludf.DUMMYFUNCTION("""COMPUTED_VALUE"""),"halvi")</f>
        <v>halvi</v>
      </c>
      <c r="C5896" s="2" t="str">
        <f ca="1">IFERROR(__xludf.DUMMYFUNCTION("""COMPUTED_VALUE"""),"Halvi Solana")</f>
        <v>Halvi Solana</v>
      </c>
    </row>
    <row r="5897" spans="1:3" x14ac:dyDescent="0.25">
      <c r="A5897" s="2" t="str">
        <f ca="1">IFERROR(__xludf.DUMMYFUNCTION("""COMPUTED_VALUE"""),"hamachi-finance")</f>
        <v>hamachi-finance</v>
      </c>
      <c r="B5897" s="2" t="str">
        <f ca="1">IFERROR(__xludf.DUMMYFUNCTION("""COMPUTED_VALUE"""),"hami")</f>
        <v>hami</v>
      </c>
      <c r="C5897" s="2" t="str">
        <f ca="1">IFERROR(__xludf.DUMMYFUNCTION("""COMPUTED_VALUE"""),"Hamachi Finance")</f>
        <v>Hamachi Finance</v>
      </c>
    </row>
    <row r="5898" spans="1:3" x14ac:dyDescent="0.25">
      <c r="A5898" s="2" t="str">
        <f ca="1">IFERROR(__xludf.DUMMYFUNCTION("""COMPUTED_VALUE"""),"hami")</f>
        <v>hami</v>
      </c>
      <c r="B5898" s="2" t="str">
        <f ca="1">IFERROR(__xludf.DUMMYFUNCTION("""COMPUTED_VALUE"""),"$hami")</f>
        <v>$hami</v>
      </c>
      <c r="C5898" s="2" t="str">
        <f ca="1">IFERROR(__xludf.DUMMYFUNCTION("""COMPUTED_VALUE"""),"HAMI")</f>
        <v>HAMI</v>
      </c>
    </row>
    <row r="5899" spans="1:3" x14ac:dyDescent="0.25">
      <c r="A5899" s="2" t="str">
        <f ca="1">IFERROR(__xludf.DUMMYFUNCTION("""COMPUTED_VALUE"""),"hamilton-ust")</f>
        <v>hamilton-ust</v>
      </c>
      <c r="B5899" s="2" t="str">
        <f ca="1">IFERROR(__xludf.DUMMYFUNCTION("""COMPUTED_VALUE"""),"hust")</f>
        <v>hust</v>
      </c>
      <c r="C5899" s="2" t="str">
        <f ca="1">IFERROR(__xludf.DUMMYFUNCTION("""COMPUTED_VALUE"""),"Hamilton UST")</f>
        <v>Hamilton UST</v>
      </c>
    </row>
    <row r="5900" spans="1:3" x14ac:dyDescent="0.25">
      <c r="A5900" s="2" t="str">
        <f ca="1">IFERROR(__xludf.DUMMYFUNCTION("""COMPUTED_VALUE"""),"hammy")</f>
        <v>hammy</v>
      </c>
      <c r="B5900" s="2" t="str">
        <f ca="1">IFERROR(__xludf.DUMMYFUNCTION("""COMPUTED_VALUE"""),"hammy")</f>
        <v>hammy</v>
      </c>
      <c r="C5900" s="2" t="str">
        <f ca="1">IFERROR(__xludf.DUMMYFUNCTION("""COMPUTED_VALUE"""),"HAMMY")</f>
        <v>HAMMY</v>
      </c>
    </row>
    <row r="5901" spans="1:3" x14ac:dyDescent="0.25">
      <c r="A5901" s="2" t="str">
        <f ca="1">IFERROR(__xludf.DUMMYFUNCTION("""COMPUTED_VALUE"""),"hamster")</f>
        <v>hamster</v>
      </c>
      <c r="B5901" s="2" t="str">
        <f ca="1">IFERROR(__xludf.DUMMYFUNCTION("""COMPUTED_VALUE"""),"ham")</f>
        <v>ham</v>
      </c>
      <c r="C5901" s="2" t="str">
        <f ca="1">IFERROR(__xludf.DUMMYFUNCTION("""COMPUTED_VALUE"""),"Hamster")</f>
        <v>Hamster</v>
      </c>
    </row>
    <row r="5902" spans="1:3" x14ac:dyDescent="0.25">
      <c r="A5902" s="2" t="str">
        <f ca="1">IFERROR(__xludf.DUMMYFUNCTION("""COMPUTED_VALUE"""),"hamster-groomers")</f>
        <v>hamster-groomers</v>
      </c>
      <c r="B5902" s="2" t="str">
        <f ca="1">IFERROR(__xludf.DUMMYFUNCTION("""COMPUTED_VALUE"""),"groomer")</f>
        <v>groomer</v>
      </c>
      <c r="C5902" s="2" t="str">
        <f ca="1">IFERROR(__xludf.DUMMYFUNCTION("""COMPUTED_VALUE"""),"Hamster Groomers")</f>
        <v>Hamster Groomers</v>
      </c>
    </row>
    <row r="5903" spans="1:3" x14ac:dyDescent="0.25">
      <c r="A5903" s="2" t="str">
        <f ca="1">IFERROR(__xludf.DUMMYFUNCTION("""COMPUTED_VALUE"""),"hamster-kombat")</f>
        <v>hamster-kombat</v>
      </c>
      <c r="B5903" s="2" t="str">
        <f ca="1">IFERROR(__xludf.DUMMYFUNCTION("""COMPUTED_VALUE"""),"hmstr")</f>
        <v>hmstr</v>
      </c>
      <c r="C5903" s="2" t="str">
        <f ca="1">IFERROR(__xludf.DUMMYFUNCTION("""COMPUTED_VALUE"""),"Hamster Kombat")</f>
        <v>Hamster Kombat</v>
      </c>
    </row>
    <row r="5904" spans="1:3" x14ac:dyDescent="0.25">
      <c r="A5904" s="2" t="str">
        <f ca="1">IFERROR(__xludf.DUMMYFUNCTION("""COMPUTED_VALUE"""),"hamsters")</f>
        <v>hamsters</v>
      </c>
      <c r="B5904" s="2" t="str">
        <f ca="1">IFERROR(__xludf.DUMMYFUNCTION("""COMPUTED_VALUE"""),"hams")</f>
        <v>hams</v>
      </c>
      <c r="C5904" s="2" t="str">
        <f ca="1">IFERROR(__xludf.DUMMYFUNCTION("""COMPUTED_VALUE"""),"Hamsters")</f>
        <v>Hamsters</v>
      </c>
    </row>
    <row r="5905" spans="1:3" x14ac:dyDescent="0.25">
      <c r="A5905" s="2" t="str">
        <f ca="1">IFERROR(__xludf.DUMMYFUNCTION("""COMPUTED_VALUE"""),"hamster-wif-hat")</f>
        <v>hamster-wif-hat</v>
      </c>
      <c r="B5905" s="2" t="str">
        <f ca="1">IFERROR(__xludf.DUMMYFUNCTION("""COMPUTED_VALUE"""),"wif")</f>
        <v>wif</v>
      </c>
      <c r="C5905" s="2" t="str">
        <f ca="1">IFERROR(__xludf.DUMMYFUNCTION("""COMPUTED_VALUE"""),"HAMSTER WIF HAT")</f>
        <v>HAMSTER WIF HAT</v>
      </c>
    </row>
    <row r="5906" spans="1:3" x14ac:dyDescent="0.25">
      <c r="A5906" s="2" t="str">
        <f ca="1">IFERROR(__xludf.DUMMYFUNCTION("""COMPUTED_VALUE"""),"hana")</f>
        <v>hana</v>
      </c>
      <c r="B5906" s="2" t="str">
        <f ca="1">IFERROR(__xludf.DUMMYFUNCTION("""COMPUTED_VALUE"""),"hana")</f>
        <v>hana</v>
      </c>
      <c r="C5906" s="2" t="str">
        <f ca="1">IFERROR(__xludf.DUMMYFUNCTION("""COMPUTED_VALUE"""),"Hana")</f>
        <v>Hana</v>
      </c>
    </row>
    <row r="5907" spans="1:3" x14ac:dyDescent="0.25">
      <c r="A5907" s="2" t="str">
        <f ca="1">IFERROR(__xludf.DUMMYFUNCTION("""COMPUTED_VALUE"""),"hanabi-chan")</f>
        <v>hanabi-chan</v>
      </c>
      <c r="B5907" s="2" t="str">
        <f ca="1">IFERROR(__xludf.DUMMYFUNCTION("""COMPUTED_VALUE"""),"hanabi")</f>
        <v>hanabi</v>
      </c>
      <c r="C5907" s="2" t="str">
        <f ca="1">IFERROR(__xludf.DUMMYFUNCTION("""COMPUTED_VALUE"""),"Hanabi-chan")</f>
        <v>Hanabi-chan</v>
      </c>
    </row>
    <row r="5908" spans="1:3" x14ac:dyDescent="0.25">
      <c r="A5908" s="2" t="str">
        <f ca="1">IFERROR(__xludf.DUMMYFUNCTION("""COMPUTED_VALUE"""),"hanchain")</f>
        <v>hanchain</v>
      </c>
      <c r="B5908" s="2" t="str">
        <f ca="1">IFERROR(__xludf.DUMMYFUNCTION("""COMPUTED_VALUE"""),"han")</f>
        <v>han</v>
      </c>
      <c r="C5908" s="2" t="str">
        <f ca="1">IFERROR(__xludf.DUMMYFUNCTION("""COMPUTED_VALUE"""),"HanChain")</f>
        <v>HanChain</v>
      </c>
    </row>
    <row r="5909" spans="1:3" x14ac:dyDescent="0.25">
      <c r="A5909" s="2" t="str">
        <f ca="1">IFERROR(__xludf.DUMMYFUNCTION("""COMPUTED_VALUE"""),"handle-fi")</f>
        <v>handle-fi</v>
      </c>
      <c r="B5909" s="2" t="str">
        <f ca="1">IFERROR(__xludf.DUMMYFUNCTION("""COMPUTED_VALUE"""),"forex")</f>
        <v>forex</v>
      </c>
      <c r="C5909" s="3" t="str">
        <f ca="1">IFERROR(__xludf.DUMMYFUNCTION("""COMPUTED_VALUE"""),"handle.fi")</f>
        <v>handle.fi</v>
      </c>
    </row>
    <row r="5910" spans="1:3" x14ac:dyDescent="0.25">
      <c r="A5910" s="2" t="str">
        <f ca="1">IFERROR(__xludf.DUMMYFUNCTION("""COMPUTED_VALUE"""),"handshake")</f>
        <v>handshake</v>
      </c>
      <c r="B5910" s="2" t="str">
        <f ca="1">IFERROR(__xludf.DUMMYFUNCTION("""COMPUTED_VALUE"""),"hns")</f>
        <v>hns</v>
      </c>
      <c r="C5910" s="2" t="str">
        <f ca="1">IFERROR(__xludf.DUMMYFUNCTION("""COMPUTED_VALUE"""),"Handshake")</f>
        <v>Handshake</v>
      </c>
    </row>
    <row r="5911" spans="1:3" x14ac:dyDescent="0.25">
      <c r="A5911" s="2" t="str">
        <f ca="1">IFERROR(__xludf.DUMMYFUNCTION("""COMPUTED_VALUE"""),"handy")</f>
        <v>handy</v>
      </c>
      <c r="B5911" s="2" t="str">
        <f ca="1">IFERROR(__xludf.DUMMYFUNCTION("""COMPUTED_VALUE"""),"handy")</f>
        <v>handy</v>
      </c>
      <c r="C5911" s="2" t="str">
        <f ca="1">IFERROR(__xludf.DUMMYFUNCTION("""COMPUTED_VALUE"""),"Handy")</f>
        <v>Handy</v>
      </c>
    </row>
    <row r="5912" spans="1:3" x14ac:dyDescent="0.25">
      <c r="A5912" s="2" t="str">
        <f ca="1">IFERROR(__xludf.DUMMYFUNCTION("""COMPUTED_VALUE"""),"handz-of-gods")</f>
        <v>handz-of-gods</v>
      </c>
      <c r="B5912" s="2" t="str">
        <f ca="1">IFERROR(__xludf.DUMMYFUNCTION("""COMPUTED_VALUE"""),"handz")</f>
        <v>handz</v>
      </c>
      <c r="C5912" s="2" t="str">
        <f ca="1">IFERROR(__xludf.DUMMYFUNCTION("""COMPUTED_VALUE"""),"Handz of Gods")</f>
        <v>Handz of Gods</v>
      </c>
    </row>
    <row r="5913" spans="1:3" x14ac:dyDescent="0.25">
      <c r="A5913" s="2" t="str">
        <f ca="1">IFERROR(__xludf.DUMMYFUNCTION("""COMPUTED_VALUE"""),"haneplatform")</f>
        <v>haneplatform</v>
      </c>
      <c r="B5913" s="2" t="str">
        <f ca="1">IFERROR(__xludf.DUMMYFUNCTION("""COMPUTED_VALUE"""),"hanep")</f>
        <v>hanep</v>
      </c>
      <c r="C5913" s="2" t="str">
        <f ca="1">IFERROR(__xludf.DUMMYFUNCTION("""COMPUTED_VALUE"""),"HANePlatform")</f>
        <v>HANePlatform</v>
      </c>
    </row>
    <row r="5914" spans="1:3" x14ac:dyDescent="0.25">
      <c r="A5914" s="2" t="str">
        <f ca="1">IFERROR(__xludf.DUMMYFUNCTION("""COMPUTED_VALUE"""),"hank")</f>
        <v>hank</v>
      </c>
      <c r="B5914" s="2" t="str">
        <f ca="1">IFERROR(__xludf.DUMMYFUNCTION("""COMPUTED_VALUE"""),"hank")</f>
        <v>hank</v>
      </c>
      <c r="C5914" s="2" t="str">
        <f ca="1">IFERROR(__xludf.DUMMYFUNCTION("""COMPUTED_VALUE"""),"Hank")</f>
        <v>Hank</v>
      </c>
    </row>
    <row r="5915" spans="1:3" x14ac:dyDescent="0.25">
      <c r="A5915" s="2" t="str">
        <f ca="1">IFERROR(__xludf.DUMMYFUNCTION("""COMPUTED_VALUE"""),"hanuman-universe")</f>
        <v>hanuman-universe</v>
      </c>
      <c r="B5915" s="2" t="str">
        <f ca="1">IFERROR(__xludf.DUMMYFUNCTION("""COMPUTED_VALUE"""),"hut")</f>
        <v>hut</v>
      </c>
      <c r="C5915" s="2" t="str">
        <f ca="1">IFERROR(__xludf.DUMMYFUNCTION("""COMPUTED_VALUE"""),"Hanuman Universe")</f>
        <v>Hanuman Universe</v>
      </c>
    </row>
    <row r="5916" spans="1:3" x14ac:dyDescent="0.25">
      <c r="A5916" s="2" t="str">
        <f ca="1">IFERROR(__xludf.DUMMYFUNCTION("""COMPUTED_VALUE"""),"hanu-yokia")</f>
        <v>hanu-yokia</v>
      </c>
      <c r="B5916" s="2" t="str">
        <f ca="1">IFERROR(__xludf.DUMMYFUNCTION("""COMPUTED_VALUE"""),"hanu")</f>
        <v>hanu</v>
      </c>
      <c r="C5916" s="2" t="str">
        <f ca="1">IFERROR(__xludf.DUMMYFUNCTION("""COMPUTED_VALUE"""),"Hanu Yokia")</f>
        <v>Hanu Yokia</v>
      </c>
    </row>
    <row r="5917" spans="1:3" x14ac:dyDescent="0.25">
      <c r="A5917" s="2" t="str">
        <f ca="1">IFERROR(__xludf.DUMMYFUNCTION("""COMPUTED_VALUE"""),"hapi")</f>
        <v>hapi</v>
      </c>
      <c r="B5917" s="2" t="str">
        <f ca="1">IFERROR(__xludf.DUMMYFUNCTION("""COMPUTED_VALUE"""),"hapi")</f>
        <v>hapi</v>
      </c>
      <c r="C5917" s="2" t="str">
        <f ca="1">IFERROR(__xludf.DUMMYFUNCTION("""COMPUTED_VALUE"""),"HAPI")</f>
        <v>HAPI</v>
      </c>
    </row>
    <row r="5918" spans="1:3" x14ac:dyDescent="0.25">
      <c r="A5918" s="2" t="str">
        <f ca="1">IFERROR(__xludf.DUMMYFUNCTION("""COMPUTED_VALUE"""),"happi-cat")</f>
        <v>happi-cat</v>
      </c>
      <c r="B5918" s="2" t="str">
        <f ca="1">IFERROR(__xludf.DUMMYFUNCTION("""COMPUTED_VALUE"""),"happi")</f>
        <v>happi</v>
      </c>
      <c r="C5918" s="2" t="str">
        <f ca="1">IFERROR(__xludf.DUMMYFUNCTION("""COMPUTED_VALUE"""),"happi cat")</f>
        <v>happi cat</v>
      </c>
    </row>
    <row r="5919" spans="1:3" x14ac:dyDescent="0.25">
      <c r="A5919" s="2" t="str">
        <f ca="1">IFERROR(__xludf.DUMMYFUNCTION("""COMPUTED_VALUE"""),"happyai")</f>
        <v>happyai</v>
      </c>
      <c r="B5919" s="2" t="str">
        <f ca="1">IFERROR(__xludf.DUMMYFUNCTION("""COMPUTED_VALUE"""),"smileai")</f>
        <v>smileai</v>
      </c>
      <c r="C5919" s="2" t="str">
        <f ca="1">IFERROR(__xludf.DUMMYFUNCTION("""COMPUTED_VALUE"""),"HappyAI")</f>
        <v>HappyAI</v>
      </c>
    </row>
    <row r="5920" spans="1:3" x14ac:dyDescent="0.25">
      <c r="A5920" s="2" t="str">
        <f ca="1">IFERROR(__xludf.DUMMYFUNCTION("""COMPUTED_VALUE"""),"happy-birthday-coin")</f>
        <v>happy-birthday-coin</v>
      </c>
      <c r="B5920" s="2" t="str">
        <f ca="1">IFERROR(__xludf.DUMMYFUNCTION("""COMPUTED_VALUE"""),"hbdc")</f>
        <v>hbdc</v>
      </c>
      <c r="C5920" s="2" t="str">
        <f ca="1">IFERROR(__xludf.DUMMYFUNCTION("""COMPUTED_VALUE"""),"Happy Birthday Coin")</f>
        <v>Happy Birthday Coin</v>
      </c>
    </row>
    <row r="5921" spans="1:3" x14ac:dyDescent="0.25">
      <c r="A5921" s="2" t="str">
        <f ca="1">IFERROR(__xludf.DUMMYFUNCTION("""COMPUTED_VALUE"""),"happyfans")</f>
        <v>happyfans</v>
      </c>
      <c r="B5921" s="2" t="str">
        <f ca="1">IFERROR(__xludf.DUMMYFUNCTION("""COMPUTED_VALUE"""),"happy")</f>
        <v>happy</v>
      </c>
      <c r="C5921" s="2" t="str">
        <f ca="1">IFERROR(__xludf.DUMMYFUNCTION("""COMPUTED_VALUE"""),"HappyFans")</f>
        <v>HappyFans</v>
      </c>
    </row>
    <row r="5922" spans="1:3" x14ac:dyDescent="0.25">
      <c r="A5922" s="2" t="str">
        <f ca="1">IFERROR(__xludf.DUMMYFUNCTION("""COMPUTED_VALUE"""),"happy-puppy-club")</f>
        <v>happy-puppy-club</v>
      </c>
      <c r="B5922" s="2" t="str">
        <f ca="1">IFERROR(__xludf.DUMMYFUNCTION("""COMPUTED_VALUE"""),"hpc")</f>
        <v>hpc</v>
      </c>
      <c r="C5922" s="2" t="str">
        <f ca="1">IFERROR(__xludf.DUMMYFUNCTION("""COMPUTED_VALUE"""),"Happy Puppy Club")</f>
        <v>Happy Puppy Club</v>
      </c>
    </row>
    <row r="5923" spans="1:3" x14ac:dyDescent="0.25">
      <c r="A5923" s="2" t="str">
        <f ca="1">IFERROR(__xludf.DUMMYFUNCTION("""COMPUTED_VALUE"""),"hapticai")</f>
        <v>hapticai</v>
      </c>
      <c r="B5923" s="2" t="str">
        <f ca="1">IFERROR(__xludf.DUMMYFUNCTION("""COMPUTED_VALUE"""),"hai")</f>
        <v>hai</v>
      </c>
      <c r="C5923" s="2" t="str">
        <f ca="1">IFERROR(__xludf.DUMMYFUNCTION("""COMPUTED_VALUE"""),"HapticAI")</f>
        <v>HapticAI</v>
      </c>
    </row>
    <row r="5924" spans="1:3" x14ac:dyDescent="0.25">
      <c r="A5924" s="2" t="str">
        <f ca="1">IFERROR(__xludf.DUMMYFUNCTION("""COMPUTED_VALUE"""),"haram")</f>
        <v>haram</v>
      </c>
      <c r="B5924" s="2" t="str">
        <f ca="1">IFERROR(__xludf.DUMMYFUNCTION("""COMPUTED_VALUE"""),"$haram")</f>
        <v>$haram</v>
      </c>
      <c r="C5924" s="2" t="str">
        <f ca="1">IFERROR(__xludf.DUMMYFUNCTION("""COMPUTED_VALUE"""),"Haram")</f>
        <v>Haram</v>
      </c>
    </row>
    <row r="5925" spans="1:3" x14ac:dyDescent="0.25">
      <c r="A5925" s="2" t="str">
        <f ca="1">IFERROR(__xludf.DUMMYFUNCTION("""COMPUTED_VALUE"""),"harambe")</f>
        <v>harambe</v>
      </c>
      <c r="B5925" s="2" t="str">
        <f ca="1">IFERROR(__xludf.DUMMYFUNCTION("""COMPUTED_VALUE"""),"harambe")</f>
        <v>harambe</v>
      </c>
      <c r="C5925" s="2" t="str">
        <f ca="1">IFERROR(__xludf.DUMMYFUNCTION("""COMPUTED_VALUE"""),"Harambe")</f>
        <v>Harambe</v>
      </c>
    </row>
    <row r="5926" spans="1:3" x14ac:dyDescent="0.25">
      <c r="A5926" s="2" t="str">
        <f ca="1">IFERROR(__xludf.DUMMYFUNCTION("""COMPUTED_VALUE"""),"harambe-2")</f>
        <v>harambe-2</v>
      </c>
      <c r="B5926" s="2" t="str">
        <f ca="1">IFERROR(__xludf.DUMMYFUNCTION("""COMPUTED_VALUE"""),"harambe")</f>
        <v>harambe</v>
      </c>
      <c r="C5926" s="2" t="str">
        <f ca="1">IFERROR(__xludf.DUMMYFUNCTION("""COMPUTED_VALUE"""),"Harambe on Solana")</f>
        <v>Harambe on Solana</v>
      </c>
    </row>
    <row r="5927" spans="1:3" x14ac:dyDescent="0.25">
      <c r="A5927" s="2" t="str">
        <f ca="1">IFERROR(__xludf.DUMMYFUNCTION("""COMPUTED_VALUE"""),"harambe-ai")</f>
        <v>harambe-ai</v>
      </c>
      <c r="B5927" s="2" t="str">
        <f ca="1">IFERROR(__xludf.DUMMYFUNCTION("""COMPUTED_VALUE"""),"harambeai")</f>
        <v>harambeai</v>
      </c>
      <c r="C5927" s="2" t="str">
        <f ca="1">IFERROR(__xludf.DUMMYFUNCTION("""COMPUTED_VALUE"""),"Harambe AI")</f>
        <v>Harambe AI</v>
      </c>
    </row>
    <row r="5928" spans="1:3" x14ac:dyDescent="0.25">
      <c r="A5928" s="2" t="str">
        <f ca="1">IFERROR(__xludf.DUMMYFUNCTION("""COMPUTED_VALUE"""),"harambecoin")</f>
        <v>harambecoin</v>
      </c>
      <c r="B5928" s="2" t="str">
        <f ca="1">IFERROR(__xludf.DUMMYFUNCTION("""COMPUTED_VALUE"""),"harambe")</f>
        <v>harambe</v>
      </c>
      <c r="C5928" s="2" t="str">
        <f ca="1">IFERROR(__xludf.DUMMYFUNCTION("""COMPUTED_VALUE"""),"HarambeCoin")</f>
        <v>HarambeCoin</v>
      </c>
    </row>
    <row r="5929" spans="1:3" x14ac:dyDescent="0.25">
      <c r="A5929" s="2" t="str">
        <f ca="1">IFERROR(__xludf.DUMMYFUNCTION("""COMPUTED_VALUE"""),"hara-token")</f>
        <v>hara-token</v>
      </c>
      <c r="B5929" s="2" t="str">
        <f ca="1">IFERROR(__xludf.DUMMYFUNCTION("""COMPUTED_VALUE"""),"hart")</f>
        <v>hart</v>
      </c>
      <c r="C5929" s="2" t="str">
        <f ca="1">IFERROR(__xludf.DUMMYFUNCTION("""COMPUTED_VALUE"""),"Hara")</f>
        <v>Hara</v>
      </c>
    </row>
    <row r="5930" spans="1:3" x14ac:dyDescent="0.25">
      <c r="A5930" s="2" t="str">
        <f ca="1">IFERROR(__xludf.DUMMYFUNCTION("""COMPUTED_VALUE"""),"harbor-2")</f>
        <v>harbor-2</v>
      </c>
      <c r="B5930" s="2" t="str">
        <f ca="1">IFERROR(__xludf.DUMMYFUNCTION("""COMPUTED_VALUE"""),"harbor")</f>
        <v>harbor</v>
      </c>
      <c r="C5930" s="2" t="str">
        <f ca="1">IFERROR(__xludf.DUMMYFUNCTION("""COMPUTED_VALUE"""),"Harbor Protocol")</f>
        <v>Harbor Protocol</v>
      </c>
    </row>
    <row r="5931" spans="1:3" x14ac:dyDescent="0.25">
      <c r="A5931" s="2" t="str">
        <f ca="1">IFERROR(__xludf.DUMMYFUNCTION("""COMPUTED_VALUE"""),"harbor-3")</f>
        <v>harbor-3</v>
      </c>
      <c r="B5931" s="2" t="str">
        <f ca="1">IFERROR(__xludf.DUMMYFUNCTION("""COMPUTED_VALUE"""),"hbr")</f>
        <v>hbr</v>
      </c>
      <c r="C5931" s="2" t="str">
        <f ca="1">IFERROR(__xludf.DUMMYFUNCTION("""COMPUTED_VALUE"""),"Harbor")</f>
        <v>Harbor</v>
      </c>
    </row>
    <row r="5932" spans="1:3" x14ac:dyDescent="0.25">
      <c r="A5932" s="2" t="str">
        <f ca="1">IFERROR(__xludf.DUMMYFUNCTION("""COMPUTED_VALUE"""),"hard-frog-nick")</f>
        <v>hard-frog-nick</v>
      </c>
      <c r="B5932" s="2" t="str">
        <f ca="1">IFERROR(__xludf.DUMMYFUNCTION("""COMPUTED_VALUE"""),"nick")</f>
        <v>nick</v>
      </c>
      <c r="C5932" s="2" t="str">
        <f ca="1">IFERROR(__xludf.DUMMYFUNCTION("""COMPUTED_VALUE"""),"Hard Frog Nick")</f>
        <v>Hard Frog Nick</v>
      </c>
    </row>
    <row r="5933" spans="1:3" x14ac:dyDescent="0.25">
      <c r="A5933" s="2" t="str">
        <f ca="1">IFERROR(__xludf.DUMMYFUNCTION("""COMPUTED_VALUE"""),"hare-token")</f>
        <v>hare-token</v>
      </c>
      <c r="B5933" s="2" t="str">
        <f ca="1">IFERROR(__xludf.DUMMYFUNCTION("""COMPUTED_VALUE"""),"hare")</f>
        <v>hare</v>
      </c>
      <c r="C5933" s="2" t="str">
        <f ca="1">IFERROR(__xludf.DUMMYFUNCTION("""COMPUTED_VALUE"""),"Hare [OLD]")</f>
        <v>Hare [OLD]</v>
      </c>
    </row>
    <row r="5934" spans="1:3" x14ac:dyDescent="0.25">
      <c r="A5934" s="2" t="str">
        <f ca="1">IFERROR(__xludf.DUMMYFUNCTION("""COMPUTED_VALUE"""),"harlequins-fan-token")</f>
        <v>harlequins-fan-token</v>
      </c>
      <c r="B5934" s="2" t="str">
        <f ca="1">IFERROR(__xludf.DUMMYFUNCTION("""COMPUTED_VALUE"""),"quins")</f>
        <v>quins</v>
      </c>
      <c r="C5934" s="2" t="str">
        <f ca="1">IFERROR(__xludf.DUMMYFUNCTION("""COMPUTED_VALUE"""),"Harlequins Fan Token")</f>
        <v>Harlequins Fan Token</v>
      </c>
    </row>
    <row r="5935" spans="1:3" x14ac:dyDescent="0.25">
      <c r="A5935" s="2" t="str">
        <f ca="1">IFERROR(__xludf.DUMMYFUNCTION("""COMPUTED_VALUE"""),"harmony")</f>
        <v>harmony</v>
      </c>
      <c r="B5935" s="2" t="str">
        <f ca="1">IFERROR(__xludf.DUMMYFUNCTION("""COMPUTED_VALUE"""),"one")</f>
        <v>one</v>
      </c>
      <c r="C5935" s="2" t="str">
        <f ca="1">IFERROR(__xludf.DUMMYFUNCTION("""COMPUTED_VALUE"""),"Harmony")</f>
        <v>Harmony</v>
      </c>
    </row>
    <row r="5936" spans="1:3" x14ac:dyDescent="0.25">
      <c r="A5936" s="2" t="str">
        <f ca="1">IFERROR(__xludf.DUMMYFUNCTION("""COMPUTED_VALUE"""),"harmony-horizen-bridged-busd-harmony")</f>
        <v>harmony-horizen-bridged-busd-harmony</v>
      </c>
      <c r="B5936" s="2" t="str">
        <f ca="1">IFERROR(__xludf.DUMMYFUNCTION("""COMPUTED_VALUE"""),"busd")</f>
        <v>busd</v>
      </c>
      <c r="C5936" s="2" t="str">
        <f ca="1">IFERROR(__xludf.DUMMYFUNCTION("""COMPUTED_VALUE"""),"Harmony Horizen Bridged BUSD (Harmony)")</f>
        <v>Harmony Horizen Bridged BUSD (Harmony)</v>
      </c>
    </row>
    <row r="5937" spans="1:3" x14ac:dyDescent="0.25">
      <c r="A5937" s="2" t="str">
        <f ca="1">IFERROR(__xludf.DUMMYFUNCTION("""COMPUTED_VALUE"""),"harmony-horizen-bridged-usdc-harmony")</f>
        <v>harmony-horizen-bridged-usdc-harmony</v>
      </c>
      <c r="B5937" s="2" t="str">
        <f ca="1">IFERROR(__xludf.DUMMYFUNCTION("""COMPUTED_VALUE"""),"usdc")</f>
        <v>usdc</v>
      </c>
      <c r="C5937" s="2" t="str">
        <f ca="1">IFERROR(__xludf.DUMMYFUNCTION("""COMPUTED_VALUE"""),"Harmony Horizen Bridged USDC (Harmony)")</f>
        <v>Harmony Horizen Bridged USDC (Harmony)</v>
      </c>
    </row>
    <row r="5938" spans="1:3" x14ac:dyDescent="0.25">
      <c r="A5938" s="2" t="str">
        <f ca="1">IFERROR(__xludf.DUMMYFUNCTION("""COMPUTED_VALUE"""),"harmony-horizon-bridged-ceth-harmony-shard-0")</f>
        <v>harmony-horizon-bridged-ceth-harmony-shard-0</v>
      </c>
      <c r="B5938" s="2" t="str">
        <f ca="1">IFERROR(__xludf.DUMMYFUNCTION("""COMPUTED_VALUE"""),"1eth")</f>
        <v>1eth</v>
      </c>
      <c r="C5938" s="2" t="str">
        <f ca="1">IFERROR(__xludf.DUMMYFUNCTION("""COMPUTED_VALUE"""),"Harmony Horizon Bridged cETH (Harmony Shard 0)")</f>
        <v>Harmony Horizon Bridged cETH (Harmony Shard 0)</v>
      </c>
    </row>
    <row r="5939" spans="1:3" x14ac:dyDescent="0.25">
      <c r="A5939" s="2" t="str">
        <f ca="1">IFERROR(__xludf.DUMMYFUNCTION("""COMPUTED_VALUE"""),"harmony-horizon-bridged-dai-harmony-shard-0")</f>
        <v>harmony-horizon-bridged-dai-harmony-shard-0</v>
      </c>
      <c r="B5939" s="2" t="str">
        <f ca="1">IFERROR(__xludf.DUMMYFUNCTION("""COMPUTED_VALUE"""),"dai")</f>
        <v>dai</v>
      </c>
      <c r="C5939" s="2" t="str">
        <f ca="1">IFERROR(__xludf.DUMMYFUNCTION("""COMPUTED_VALUE"""),"Harmony Horizon Bridged DAI (Harmony Shard 0)")</f>
        <v>Harmony Horizon Bridged DAI (Harmony Shard 0)</v>
      </c>
    </row>
    <row r="5940" spans="1:3" x14ac:dyDescent="0.25">
      <c r="A5940" s="2" t="str">
        <f ca="1">IFERROR(__xludf.DUMMYFUNCTION("""COMPUTED_VALUE"""),"harold")</f>
        <v>harold</v>
      </c>
      <c r="B5940" s="2" t="str">
        <f ca="1">IFERROR(__xludf.DUMMYFUNCTION("""COMPUTED_VALUE"""),"harold")</f>
        <v>harold</v>
      </c>
      <c r="C5940" s="2" t="str">
        <f ca="1">IFERROR(__xludf.DUMMYFUNCTION("""COMPUTED_VALUE"""),"Harold")</f>
        <v>Harold</v>
      </c>
    </row>
    <row r="5941" spans="1:3" x14ac:dyDescent="0.25">
      <c r="A5941" s="2" t="str">
        <f ca="1">IFERROR(__xludf.DUMMYFUNCTION("""COMPUTED_VALUE"""),"haroldcoin")</f>
        <v>haroldcoin</v>
      </c>
      <c r="B5941" s="2" t="str">
        <f ca="1">IFERROR(__xludf.DUMMYFUNCTION("""COMPUTED_VALUE"""),"hrld")</f>
        <v>hrld</v>
      </c>
      <c r="C5941" s="2" t="str">
        <f ca="1">IFERROR(__xludf.DUMMYFUNCTION("""COMPUTED_VALUE"""),"Haroldcoin")</f>
        <v>Haroldcoin</v>
      </c>
    </row>
    <row r="5942" spans="1:3" x14ac:dyDescent="0.25">
      <c r="A5942" s="2" t="str">
        <f ca="1">IFERROR(__xludf.DUMMYFUNCTION("""COMPUTED_VALUE"""),"harrypotterobamapacman8inu")</f>
        <v>harrypotterobamapacman8inu</v>
      </c>
      <c r="B5942" s="2" t="str">
        <f ca="1">IFERROR(__xludf.DUMMYFUNCTION("""COMPUTED_VALUE"""),"xrp")</f>
        <v>xrp</v>
      </c>
      <c r="C5942" s="2" t="str">
        <f ca="1">IFERROR(__xludf.DUMMYFUNCTION("""COMPUTED_VALUE"""),"HarryPotterObamaPacMan8Inu")</f>
        <v>HarryPotterObamaPacMan8Inu</v>
      </c>
    </row>
    <row r="5943" spans="1:3" x14ac:dyDescent="0.25">
      <c r="A5943" s="2" t="str">
        <f ca="1">IFERROR(__xludf.DUMMYFUNCTION("""COMPUTED_VALUE"""),"harrypotterobamasonic10in")</f>
        <v>harrypotterobamasonic10in</v>
      </c>
      <c r="B5943" s="2" t="str">
        <f ca="1">IFERROR(__xludf.DUMMYFUNCTION("""COMPUTED_VALUE"""),"bitcoin")</f>
        <v>bitcoin</v>
      </c>
      <c r="C5943" s="2" t="str">
        <f ca="1">IFERROR(__xludf.DUMMYFUNCTION("""COMPUTED_VALUE"""),"HarryPotterObamaSonic10Inu (ETH)")</f>
        <v>HarryPotterObamaSonic10Inu (ETH)</v>
      </c>
    </row>
    <row r="5944" spans="1:3" x14ac:dyDescent="0.25">
      <c r="A5944" s="2" t="str">
        <f ca="1">IFERROR(__xludf.DUMMYFUNCTION("""COMPUTED_VALUE"""),"harrypotterobamasonic10inu")</f>
        <v>harrypotterobamasonic10inu</v>
      </c>
      <c r="B5944" s="2" t="str">
        <f ca="1">IFERROR(__xludf.DUMMYFUNCTION("""COMPUTED_VALUE"""),"bitcoin")</f>
        <v>bitcoin</v>
      </c>
      <c r="C5944" s="2" t="str">
        <f ca="1">IFERROR(__xludf.DUMMYFUNCTION("""COMPUTED_VALUE"""),"HarryPotterObamaSonic10Inu")</f>
        <v>HarryPotterObamaSonic10Inu</v>
      </c>
    </row>
    <row r="5945" spans="1:3" x14ac:dyDescent="0.25">
      <c r="A5945" s="2" t="str">
        <f ca="1">IFERROR(__xludf.DUMMYFUNCTION("""COMPUTED_VALUE"""),"harrypottertrumphomersimpson777inu")</f>
        <v>harrypottertrumphomersimpson777inu</v>
      </c>
      <c r="B5945" s="2" t="str">
        <f ca="1">IFERROR(__xludf.DUMMYFUNCTION("""COMPUTED_VALUE"""),"ethereum")</f>
        <v>ethereum</v>
      </c>
      <c r="C5945" s="2" t="str">
        <f ca="1">IFERROR(__xludf.DUMMYFUNCTION("""COMPUTED_VALUE"""),"HarryPotterTrumpHomerSimpson777Inu")</f>
        <v>HarryPotterTrumpHomerSimpson777Inu</v>
      </c>
    </row>
    <row r="5946" spans="1:3" x14ac:dyDescent="0.25">
      <c r="A5946" s="2" t="str">
        <f ca="1">IFERROR(__xludf.DUMMYFUNCTION("""COMPUTED_VALUE"""),"harrypotterwifhatmyrowynn")</f>
        <v>harrypotterwifhatmyrowynn</v>
      </c>
      <c r="B5946" s="2" t="str">
        <f ca="1">IFERROR(__xludf.DUMMYFUNCTION("""COMPUTED_VALUE"""),"solana")</f>
        <v>solana</v>
      </c>
      <c r="C5946" s="2" t="str">
        <f ca="1">IFERROR(__xludf.DUMMYFUNCTION("""COMPUTED_VALUE"""),"HarryPotterWifHatMyroWynn")</f>
        <v>HarryPotterWifHatMyroWynn</v>
      </c>
    </row>
    <row r="5947" spans="1:3" x14ac:dyDescent="0.25">
      <c r="A5947" s="2" t="str">
        <f ca="1">IFERROR(__xludf.DUMMYFUNCTION("""COMPUTED_VALUE"""),"harvest-finance")</f>
        <v>harvest-finance</v>
      </c>
      <c r="B5947" s="2" t="str">
        <f ca="1">IFERROR(__xludf.DUMMYFUNCTION("""COMPUTED_VALUE"""),"farm")</f>
        <v>farm</v>
      </c>
      <c r="C5947" s="2" t="str">
        <f ca="1">IFERROR(__xludf.DUMMYFUNCTION("""COMPUTED_VALUE"""),"Harvest Finance")</f>
        <v>Harvest Finance</v>
      </c>
    </row>
    <row r="5948" spans="1:3" x14ac:dyDescent="0.25">
      <c r="A5948" s="2" t="str">
        <f ca="1">IFERROR(__xludf.DUMMYFUNCTION("""COMPUTED_VALUE"""),"hashai")</f>
        <v>hashai</v>
      </c>
      <c r="B5948" s="2" t="str">
        <f ca="1">IFERROR(__xludf.DUMMYFUNCTION("""COMPUTED_VALUE"""),"hashai")</f>
        <v>hashai</v>
      </c>
      <c r="C5948" s="2" t="str">
        <f ca="1">IFERROR(__xludf.DUMMYFUNCTION("""COMPUTED_VALUE"""),"HashAI")</f>
        <v>HashAI</v>
      </c>
    </row>
    <row r="5949" spans="1:3" x14ac:dyDescent="0.25">
      <c r="A5949" s="2" t="str">
        <f ca="1">IFERROR(__xludf.DUMMYFUNCTION("""COMPUTED_VALUE"""),"hashbit")</f>
        <v>hashbit</v>
      </c>
      <c r="B5949" s="2" t="str">
        <f ca="1">IFERROR(__xludf.DUMMYFUNCTION("""COMPUTED_VALUE"""),"hbit")</f>
        <v>hbit</v>
      </c>
      <c r="C5949" s="2" t="str">
        <f ca="1">IFERROR(__xludf.DUMMYFUNCTION("""COMPUTED_VALUE"""),"HashBit [OLD]")</f>
        <v>HashBit [OLD]</v>
      </c>
    </row>
    <row r="5950" spans="1:3" x14ac:dyDescent="0.25">
      <c r="A5950" s="2" t="str">
        <f ca="1">IFERROR(__xludf.DUMMYFUNCTION("""COMPUTED_VALUE"""),"hashbit-2")</f>
        <v>hashbit-2</v>
      </c>
      <c r="B5950" s="2" t="str">
        <f ca="1">IFERROR(__xludf.DUMMYFUNCTION("""COMPUTED_VALUE"""),"hbit")</f>
        <v>hbit</v>
      </c>
      <c r="C5950" s="2" t="str">
        <f ca="1">IFERROR(__xludf.DUMMYFUNCTION("""COMPUTED_VALUE"""),"HashBit")</f>
        <v>HashBit</v>
      </c>
    </row>
    <row r="5951" spans="1:3" x14ac:dyDescent="0.25">
      <c r="A5951" s="2" t="str">
        <f ca="1">IFERROR(__xludf.DUMMYFUNCTION("""COMPUTED_VALUE"""),"hashcoin")</f>
        <v>hashcoin</v>
      </c>
      <c r="B5951" s="2" t="str">
        <f ca="1">IFERROR(__xludf.DUMMYFUNCTION("""COMPUTED_VALUE"""),"hsc")</f>
        <v>hsc</v>
      </c>
      <c r="C5951" s="2" t="str">
        <f ca="1">IFERROR(__xludf.DUMMYFUNCTION("""COMPUTED_VALUE"""),"HashCoin")</f>
        <v>HashCoin</v>
      </c>
    </row>
    <row r="5952" spans="1:3" x14ac:dyDescent="0.25">
      <c r="A5952" s="2" t="str">
        <f ca="1">IFERROR(__xludf.DUMMYFUNCTION("""COMPUTED_VALUE"""),"hashflow")</f>
        <v>hashflow</v>
      </c>
      <c r="B5952" s="2" t="str">
        <f ca="1">IFERROR(__xludf.DUMMYFUNCTION("""COMPUTED_VALUE"""),"hft")</f>
        <v>hft</v>
      </c>
      <c r="C5952" s="2" t="str">
        <f ca="1">IFERROR(__xludf.DUMMYFUNCTION("""COMPUTED_VALUE"""),"Hashflow")</f>
        <v>Hashflow</v>
      </c>
    </row>
    <row r="5953" spans="1:3" x14ac:dyDescent="0.25">
      <c r="A5953" s="2" t="str">
        <f ca="1">IFERROR(__xludf.DUMMYFUNCTION("""COMPUTED_VALUE"""),"hashgard")</f>
        <v>hashgard</v>
      </c>
      <c r="B5953" s="2" t="str">
        <f ca="1">IFERROR(__xludf.DUMMYFUNCTION("""COMPUTED_VALUE"""),"gard")</f>
        <v>gard</v>
      </c>
      <c r="C5953" s="2" t="str">
        <f ca="1">IFERROR(__xludf.DUMMYFUNCTION("""COMPUTED_VALUE"""),"Hashgard")</f>
        <v>Hashgard</v>
      </c>
    </row>
    <row r="5954" spans="1:3" x14ac:dyDescent="0.25">
      <c r="A5954" s="2" t="str">
        <f ca="1">IFERROR(__xludf.DUMMYFUNCTION("""COMPUTED_VALUE"""),"hashkey-ecopoints")</f>
        <v>hashkey-ecopoints</v>
      </c>
      <c r="B5954" s="2" t="str">
        <f ca="1">IFERROR(__xludf.DUMMYFUNCTION("""COMPUTED_VALUE"""),"hsk")</f>
        <v>hsk</v>
      </c>
      <c r="C5954" s="2" t="str">
        <f ca="1">IFERROR(__xludf.DUMMYFUNCTION("""COMPUTED_VALUE"""),"HashKey Platform Token")</f>
        <v>HashKey Platform Token</v>
      </c>
    </row>
    <row r="5955" spans="1:3" x14ac:dyDescent="0.25">
      <c r="A5955" s="2" t="str">
        <f ca="1">IFERROR(__xludf.DUMMYFUNCTION("""COMPUTED_VALUE"""),"hashmind")</f>
        <v>hashmind</v>
      </c>
      <c r="B5955" s="2" t="str">
        <f ca="1">IFERROR(__xludf.DUMMYFUNCTION("""COMPUTED_VALUE"""),"hash")</f>
        <v>hash</v>
      </c>
      <c r="C5955" s="2" t="str">
        <f ca="1">IFERROR(__xludf.DUMMYFUNCTION("""COMPUTED_VALUE"""),"HashMind")</f>
        <v>HashMind</v>
      </c>
    </row>
    <row r="5956" spans="1:3" x14ac:dyDescent="0.25">
      <c r="A5956" s="2" t="str">
        <f ca="1">IFERROR(__xludf.DUMMYFUNCTION("""COMPUTED_VALUE"""),"hashpack")</f>
        <v>hashpack</v>
      </c>
      <c r="B5956" s="2" t="str">
        <f ca="1">IFERROR(__xludf.DUMMYFUNCTION("""COMPUTED_VALUE"""),"pack")</f>
        <v>pack</v>
      </c>
      <c r="C5956" s="2" t="str">
        <f ca="1">IFERROR(__xludf.DUMMYFUNCTION("""COMPUTED_VALUE"""),"HashPack")</f>
        <v>HashPack</v>
      </c>
    </row>
    <row r="5957" spans="1:3" x14ac:dyDescent="0.25">
      <c r="A5957" s="2" t="str">
        <f ca="1">IFERROR(__xludf.DUMMYFUNCTION("""COMPUTED_VALUE"""),"hashpad-2")</f>
        <v>hashpad-2</v>
      </c>
      <c r="B5957" s="2" t="str">
        <f ca="1">IFERROR(__xludf.DUMMYFUNCTION("""COMPUTED_VALUE"""),"hpad")</f>
        <v>hpad</v>
      </c>
      <c r="C5957" s="2" t="str">
        <f ca="1">IFERROR(__xludf.DUMMYFUNCTION("""COMPUTED_VALUE"""),"Hashpad")</f>
        <v>Hashpad</v>
      </c>
    </row>
    <row r="5958" spans="1:3" x14ac:dyDescent="0.25">
      <c r="A5958" s="2" t="str">
        <f ca="1">IFERROR(__xludf.DUMMYFUNCTION("""COMPUTED_VALUE"""),"hashpanda")</f>
        <v>hashpanda</v>
      </c>
      <c r="B5958" s="2" t="str">
        <f ca="1">IFERROR(__xludf.DUMMYFUNCTION("""COMPUTED_VALUE"""),"panda")</f>
        <v>panda</v>
      </c>
      <c r="C5958" s="2" t="str">
        <f ca="1">IFERROR(__xludf.DUMMYFUNCTION("""COMPUTED_VALUE"""),"HashPanda")</f>
        <v>HashPanda</v>
      </c>
    </row>
    <row r="5959" spans="1:3" x14ac:dyDescent="0.25">
      <c r="A5959" s="2" t="str">
        <f ca="1">IFERROR(__xludf.DUMMYFUNCTION("""COMPUTED_VALUE"""),"hashport-bridged-link")</f>
        <v>hashport-bridged-link</v>
      </c>
      <c r="B5959" s="2" t="str">
        <f ca="1">IFERROR(__xludf.DUMMYFUNCTION("""COMPUTED_VALUE"""),"link[hts]")</f>
        <v>link[hts]</v>
      </c>
      <c r="C5959" s="2" t="str">
        <f ca="1">IFERROR(__xludf.DUMMYFUNCTION("""COMPUTED_VALUE"""),"Hashport Bridged LINK")</f>
        <v>Hashport Bridged LINK</v>
      </c>
    </row>
    <row r="5960" spans="1:3" x14ac:dyDescent="0.25">
      <c r="A5960" s="2" t="str">
        <f ca="1">IFERROR(__xludf.DUMMYFUNCTION("""COMPUTED_VALUE"""),"hashport-bridged-qnt")</f>
        <v>hashport-bridged-qnt</v>
      </c>
      <c r="B5960" s="2" t="str">
        <f ca="1">IFERROR(__xludf.DUMMYFUNCTION("""COMPUTED_VALUE"""),"qnt[hts]")</f>
        <v>qnt[hts]</v>
      </c>
      <c r="C5960" s="2" t="str">
        <f ca="1">IFERROR(__xludf.DUMMYFUNCTION("""COMPUTED_VALUE"""),"Hashport Bridged QNT")</f>
        <v>Hashport Bridged QNT</v>
      </c>
    </row>
    <row r="5961" spans="1:3" x14ac:dyDescent="0.25">
      <c r="A5961" s="2" t="str">
        <f ca="1">IFERROR(__xludf.DUMMYFUNCTION("""COMPUTED_VALUE"""),"hashport-bridged-wavax")</f>
        <v>hashport-bridged-wavax</v>
      </c>
      <c r="B5961" s="2" t="str">
        <f ca="1">IFERROR(__xludf.DUMMYFUNCTION("""COMPUTED_VALUE"""),"wavax[hts]")</f>
        <v>wavax[hts]</v>
      </c>
      <c r="C5961" s="2" t="str">
        <f ca="1">IFERROR(__xludf.DUMMYFUNCTION("""COMPUTED_VALUE"""),"Hashport Bridged wAVAX")</f>
        <v>Hashport Bridged wAVAX</v>
      </c>
    </row>
    <row r="5962" spans="1:3" x14ac:dyDescent="0.25">
      <c r="A5962" s="2" t="str">
        <f ca="1">IFERROR(__xludf.DUMMYFUNCTION("""COMPUTED_VALUE"""),"hashpower-ai")</f>
        <v>hashpower-ai</v>
      </c>
      <c r="B5962" s="2" t="str">
        <f ca="1">IFERROR(__xludf.DUMMYFUNCTION("""COMPUTED_VALUE"""),"hash")</f>
        <v>hash</v>
      </c>
      <c r="C5962" s="2" t="str">
        <f ca="1">IFERROR(__xludf.DUMMYFUNCTION("""COMPUTED_VALUE"""),"HashPower AI")</f>
        <v>HashPower AI</v>
      </c>
    </row>
    <row r="5963" spans="1:3" x14ac:dyDescent="0.25">
      <c r="A5963" s="2" t="str">
        <f ca="1">IFERROR(__xludf.DUMMYFUNCTION("""COMPUTED_VALUE"""),"hashtagger")</f>
        <v>hashtagger</v>
      </c>
      <c r="B5963" s="2" t="str">
        <f ca="1">IFERROR(__xludf.DUMMYFUNCTION("""COMPUTED_VALUE"""),"mooo")</f>
        <v>mooo</v>
      </c>
      <c r="C5963" s="2" t="str">
        <f ca="1">IFERROR(__xludf.DUMMYFUNCTION("""COMPUTED_VALUE"""),"Hashtagger")</f>
        <v>Hashtagger</v>
      </c>
    </row>
    <row r="5964" spans="1:3" x14ac:dyDescent="0.25">
      <c r="A5964" s="2" t="str">
        <f ca="1">IFERROR(__xludf.DUMMYFUNCTION("""COMPUTED_VALUE"""),"hashtag-united-fan-token")</f>
        <v>hashtag-united-fan-token</v>
      </c>
      <c r="B5964" s="2" t="str">
        <f ca="1">IFERROR(__xludf.DUMMYFUNCTION("""COMPUTED_VALUE"""),"hashtag")</f>
        <v>hashtag</v>
      </c>
      <c r="C5964" s="2" t="str">
        <f ca="1">IFERROR(__xludf.DUMMYFUNCTION("""COMPUTED_VALUE"""),"Hashtag United Fan Token")</f>
        <v>Hashtag United Fan Token</v>
      </c>
    </row>
    <row r="5965" spans="1:3" x14ac:dyDescent="0.25">
      <c r="A5965" s="2" t="str">
        <f ca="1">IFERROR(__xludf.DUMMYFUNCTION("""COMPUTED_VALUE"""),"hashvox-ai")</f>
        <v>hashvox-ai</v>
      </c>
      <c r="B5965" s="2" t="str">
        <f ca="1">IFERROR(__xludf.DUMMYFUNCTION("""COMPUTED_VALUE"""),"0xvox")</f>
        <v>0xvox</v>
      </c>
      <c r="C5965" s="2" t="str">
        <f ca="1">IFERROR(__xludf.DUMMYFUNCTION("""COMPUTED_VALUE"""),"HashVox AI")</f>
        <v>HashVox AI</v>
      </c>
    </row>
    <row r="5966" spans="1:3" x14ac:dyDescent="0.25">
      <c r="A5966" s="2" t="str">
        <f ca="1">IFERROR(__xludf.DUMMYFUNCTION("""COMPUTED_VALUE"""),"hat")</f>
        <v>hat</v>
      </c>
      <c r="B5966" s="2" t="str">
        <f ca="1">IFERROR(__xludf.DUMMYFUNCTION("""COMPUTED_VALUE"""),"hat")</f>
        <v>hat</v>
      </c>
      <c r="C5966" s="2" t="str">
        <f ca="1">IFERROR(__xludf.DUMMYFUNCTION("""COMPUTED_VALUE"""),"Hat")</f>
        <v>Hat</v>
      </c>
    </row>
    <row r="5967" spans="1:3" x14ac:dyDescent="0.25">
      <c r="A5967" s="2" t="str">
        <f ca="1">IFERROR(__xludf.DUMMYFUNCTION("""COMPUTED_VALUE"""),"hatchypocket")</f>
        <v>hatchypocket</v>
      </c>
      <c r="B5967" s="2" t="str">
        <f ca="1">IFERROR(__xludf.DUMMYFUNCTION("""COMPUTED_VALUE"""),"hatchy")</f>
        <v>hatchy</v>
      </c>
      <c r="C5967" s="2" t="str">
        <f ca="1">IFERROR(__xludf.DUMMYFUNCTION("""COMPUTED_VALUE"""),"HatchyPocket")</f>
        <v>HatchyPocket</v>
      </c>
    </row>
    <row r="5968" spans="1:3" x14ac:dyDescent="0.25">
      <c r="A5968" s="2" t="str">
        <f ca="1">IFERROR(__xludf.DUMMYFUNCTION("""COMPUTED_VALUE"""),"hathor")</f>
        <v>hathor</v>
      </c>
      <c r="B5968" s="2" t="str">
        <f ca="1">IFERROR(__xludf.DUMMYFUNCTION("""COMPUTED_VALUE"""),"htr")</f>
        <v>htr</v>
      </c>
      <c r="C5968" s="2" t="str">
        <f ca="1">IFERROR(__xludf.DUMMYFUNCTION("""COMPUTED_VALUE"""),"Hathor")</f>
        <v>Hathor</v>
      </c>
    </row>
    <row r="5969" spans="1:3" x14ac:dyDescent="0.25">
      <c r="A5969" s="2" t="str">
        <f ca="1">IFERROR(__xludf.DUMMYFUNCTION("""COMPUTED_VALUE"""),"hatom")</f>
        <v>hatom</v>
      </c>
      <c r="B5969" s="2" t="str">
        <f ca="1">IFERROR(__xludf.DUMMYFUNCTION("""COMPUTED_VALUE"""),"htm")</f>
        <v>htm</v>
      </c>
      <c r="C5969" s="2" t="str">
        <f ca="1">IFERROR(__xludf.DUMMYFUNCTION("""COMPUTED_VALUE"""),"Hatom")</f>
        <v>Hatom</v>
      </c>
    </row>
    <row r="5970" spans="1:3" x14ac:dyDescent="0.25">
      <c r="A5970" s="2" t="str">
        <f ca="1">IFERROR(__xludf.DUMMYFUNCTION("""COMPUTED_VALUE"""),"hat-solana")</f>
        <v>hat-solana</v>
      </c>
      <c r="B5970" s="2" t="str">
        <f ca="1">IFERROR(__xludf.DUMMYFUNCTION("""COMPUTED_VALUE"""),"hat")</f>
        <v>hat</v>
      </c>
      <c r="C5970" s="2" t="str">
        <f ca="1">IFERROR(__xludf.DUMMYFUNCTION("""COMPUTED_VALUE"""),"HAT Solana")</f>
        <v>HAT Solana</v>
      </c>
    </row>
    <row r="5971" spans="1:3" x14ac:dyDescent="0.25">
      <c r="A5971" s="2" t="str">
        <f ca="1">IFERROR(__xludf.DUMMYFUNCTION("""COMPUTED_VALUE"""),"hava-coin")</f>
        <v>hava-coin</v>
      </c>
      <c r="B5971" s="2" t="str">
        <f ca="1">IFERROR(__xludf.DUMMYFUNCTION("""COMPUTED_VALUE"""),"hava")</f>
        <v>hava</v>
      </c>
      <c r="C5971" s="2" t="str">
        <f ca="1">IFERROR(__xludf.DUMMYFUNCTION("""COMPUTED_VALUE"""),"Hava Coin")</f>
        <v>Hava Coin</v>
      </c>
    </row>
    <row r="5972" spans="1:3" x14ac:dyDescent="0.25">
      <c r="A5972" s="2" t="str">
        <f ca="1">IFERROR(__xludf.DUMMYFUNCTION("""COMPUTED_VALUE"""),"havah")</f>
        <v>havah</v>
      </c>
      <c r="B5972" s="2" t="str">
        <f ca="1">IFERROR(__xludf.DUMMYFUNCTION("""COMPUTED_VALUE"""),"hvh")</f>
        <v>hvh</v>
      </c>
      <c r="C5972" s="2" t="str">
        <f ca="1">IFERROR(__xludf.DUMMYFUNCTION("""COMPUTED_VALUE"""),"HAVAH")</f>
        <v>HAVAH</v>
      </c>
    </row>
    <row r="5973" spans="1:3" x14ac:dyDescent="0.25">
      <c r="A5973" s="2" t="str">
        <f ca="1">IFERROR(__xludf.DUMMYFUNCTION("""COMPUTED_VALUE"""),"have-fun-598a6209-8136-4282-a14c-1f2b2b5d0c26")</f>
        <v>have-fun-598a6209-8136-4282-a14c-1f2b2b5d0c26</v>
      </c>
      <c r="B5973" s="2" t="str">
        <f ca="1">IFERROR(__xludf.DUMMYFUNCTION("""COMPUTED_VALUE"""),"hf")</f>
        <v>hf</v>
      </c>
      <c r="C5973" s="2" t="str">
        <f ca="1">IFERROR(__xludf.DUMMYFUNCTION("""COMPUTED_VALUE"""),"Have Fun Token")</f>
        <v>Have Fun Token</v>
      </c>
    </row>
    <row r="5974" spans="1:3" x14ac:dyDescent="0.25">
      <c r="A5974" s="2" t="str">
        <f ca="1">IFERROR(__xludf.DUMMYFUNCTION("""COMPUTED_VALUE"""),"haven")</f>
        <v>haven</v>
      </c>
      <c r="B5974" s="2" t="str">
        <f ca="1">IFERROR(__xludf.DUMMYFUNCTION("""COMPUTED_VALUE"""),"xhv")</f>
        <v>xhv</v>
      </c>
      <c r="C5974" s="2" t="str">
        <f ca="1">IFERROR(__xludf.DUMMYFUNCTION("""COMPUTED_VALUE"""),"Haven")</f>
        <v>Haven</v>
      </c>
    </row>
    <row r="5975" spans="1:3" x14ac:dyDescent="0.25">
      <c r="A5975" s="2" t="str">
        <f ca="1">IFERROR(__xludf.DUMMYFUNCTION("""COMPUTED_VALUE"""),"haven1")</f>
        <v>haven1</v>
      </c>
      <c r="B5975" s="2" t="str">
        <f ca="1">IFERROR(__xludf.DUMMYFUNCTION("""COMPUTED_VALUE"""),"h1")</f>
        <v>h1</v>
      </c>
      <c r="C5975" s="2" t="str">
        <f ca="1">IFERROR(__xludf.DUMMYFUNCTION("""COMPUTED_VALUE"""),"Haven1")</f>
        <v>Haven1</v>
      </c>
    </row>
    <row r="5976" spans="1:3" x14ac:dyDescent="0.25">
      <c r="A5976" s="2" t="str">
        <f ca="1">IFERROR(__xludf.DUMMYFUNCTION("""COMPUTED_VALUE"""),"haven-s-compass")</f>
        <v>haven-s-compass</v>
      </c>
      <c r="B5976" s="2" t="str">
        <f ca="1">IFERROR(__xludf.DUMMYFUNCTION("""COMPUTED_VALUE"""),"cmps")</f>
        <v>cmps</v>
      </c>
      <c r="C5976" s="2" t="str">
        <f ca="1">IFERROR(__xludf.DUMMYFUNCTION("""COMPUTED_VALUE"""),"Haven's Compass")</f>
        <v>Haven's Compass</v>
      </c>
    </row>
    <row r="5977" spans="1:3" x14ac:dyDescent="0.25">
      <c r="A5977" s="2" t="str">
        <f ca="1">IFERROR(__xludf.DUMMYFUNCTION("""COMPUTED_VALUE"""),"havoc")</f>
        <v>havoc</v>
      </c>
      <c r="B5977" s="2" t="str">
        <f ca="1">IFERROR(__xludf.DUMMYFUNCTION("""COMPUTED_VALUE"""),"havoc")</f>
        <v>havoc</v>
      </c>
      <c r="C5977" s="2" t="str">
        <f ca="1">IFERROR(__xludf.DUMMYFUNCTION("""COMPUTED_VALUE"""),"havoc")</f>
        <v>havoc</v>
      </c>
    </row>
    <row r="5978" spans="1:3" x14ac:dyDescent="0.25">
      <c r="A5978" s="2" t="str">
        <f ca="1">IFERROR(__xludf.DUMMYFUNCTION("""COMPUTED_VALUE"""),"havven")</f>
        <v>havven</v>
      </c>
      <c r="B5978" s="2" t="str">
        <f ca="1">IFERROR(__xludf.DUMMYFUNCTION("""COMPUTED_VALUE"""),"snx")</f>
        <v>snx</v>
      </c>
      <c r="C5978" s="2" t="str">
        <f ca="1">IFERROR(__xludf.DUMMYFUNCTION("""COMPUTED_VALUE"""),"Synthetix Network")</f>
        <v>Synthetix Network</v>
      </c>
    </row>
    <row r="5979" spans="1:3" x14ac:dyDescent="0.25">
      <c r="A5979" s="2" t="str">
        <f ca="1">IFERROR(__xludf.DUMMYFUNCTION("""COMPUTED_VALUE"""),"hawex")</f>
        <v>hawex</v>
      </c>
      <c r="B5979" s="2" t="str">
        <f ca="1">IFERROR(__xludf.DUMMYFUNCTION("""COMPUTED_VALUE"""),"hawex")</f>
        <v>hawex</v>
      </c>
      <c r="C5979" s="2" t="str">
        <f ca="1">IFERROR(__xludf.DUMMYFUNCTION("""COMPUTED_VALUE"""),"Hawex")</f>
        <v>Hawex</v>
      </c>
    </row>
    <row r="5980" spans="1:3" x14ac:dyDescent="0.25">
      <c r="A5980" s="2" t="str">
        <f ca="1">IFERROR(__xludf.DUMMYFUNCTION("""COMPUTED_VALUE"""),"hawk-2")</f>
        <v>hawk-2</v>
      </c>
      <c r="B5980" s="2" t="str">
        <f ca="1">IFERROR(__xludf.DUMMYFUNCTION("""COMPUTED_VALUE"""),"hawk")</f>
        <v>hawk</v>
      </c>
      <c r="C5980" s="2" t="str">
        <f ca="1">IFERROR(__xludf.DUMMYFUNCTION("""COMPUTED_VALUE"""),"Hawk")</f>
        <v>Hawk</v>
      </c>
    </row>
    <row r="5981" spans="1:3" x14ac:dyDescent="0.25">
      <c r="A5981" s="2" t="str">
        <f ca="1">IFERROR(__xludf.DUMMYFUNCTION("""COMPUTED_VALUE"""),"hawksight")</f>
        <v>hawksight</v>
      </c>
      <c r="B5981" s="2" t="str">
        <f ca="1">IFERROR(__xludf.DUMMYFUNCTION("""COMPUTED_VALUE"""),"hawk")</f>
        <v>hawk</v>
      </c>
      <c r="C5981" s="2" t="str">
        <f ca="1">IFERROR(__xludf.DUMMYFUNCTION("""COMPUTED_VALUE"""),"Hawksight")</f>
        <v>Hawksight</v>
      </c>
    </row>
    <row r="5982" spans="1:3" x14ac:dyDescent="0.25">
      <c r="A5982" s="2" t="str">
        <f ca="1">IFERROR(__xludf.DUMMYFUNCTION("""COMPUTED_VALUE"""),"hawk-tuah")</f>
        <v>hawk-tuah</v>
      </c>
      <c r="B5982" s="2" t="str">
        <f ca="1">IFERROR(__xludf.DUMMYFUNCTION("""COMPUTED_VALUE"""),"hawktuah")</f>
        <v>hawktuah</v>
      </c>
      <c r="C5982" s="2" t="str">
        <f ca="1">IFERROR(__xludf.DUMMYFUNCTION("""COMPUTED_VALUE"""),"Hawk Tuah")</f>
        <v>Hawk Tuah</v>
      </c>
    </row>
    <row r="5983" spans="1:3" x14ac:dyDescent="0.25">
      <c r="A5983" s="2" t="str">
        <f ca="1">IFERROR(__xludf.DUMMYFUNCTION("""COMPUTED_VALUE"""),"haycoin")</f>
        <v>haycoin</v>
      </c>
      <c r="B5983" s="2" t="str">
        <f ca="1">IFERROR(__xludf.DUMMYFUNCTION("""COMPUTED_VALUE"""),"hay")</f>
        <v>hay</v>
      </c>
      <c r="C5983" s="2" t="str">
        <f ca="1">IFERROR(__xludf.DUMMYFUNCTION("""COMPUTED_VALUE"""),"HayCoin")</f>
        <v>HayCoin</v>
      </c>
    </row>
    <row r="5984" spans="1:3" x14ac:dyDescent="0.25">
      <c r="A5984" s="2" t="str">
        <f ca="1">IFERROR(__xludf.DUMMYFUNCTION("""COMPUTED_VALUE"""),"hazel")</f>
        <v>hazel</v>
      </c>
      <c r="B5984" s="2" t="str">
        <f ca="1">IFERROR(__xludf.DUMMYFUNCTION("""COMPUTED_VALUE"""),"hazel")</f>
        <v>hazel</v>
      </c>
      <c r="C5984" s="2" t="str">
        <f ca="1">IFERROR(__xludf.DUMMYFUNCTION("""COMPUTED_VALUE"""),"Hazel")</f>
        <v>Hazel</v>
      </c>
    </row>
    <row r="5985" spans="1:3" x14ac:dyDescent="0.25">
      <c r="A5985" s="2" t="str">
        <f ca="1">IFERROR(__xludf.DUMMYFUNCTION("""COMPUTED_VALUE"""),"hbarbarian")</f>
        <v>hbarbarian</v>
      </c>
      <c r="B5985" s="2" t="str">
        <f ca="1">IFERROR(__xludf.DUMMYFUNCTION("""COMPUTED_VALUE"""),"hbarbarian")</f>
        <v>hbarbarian</v>
      </c>
      <c r="C5985" s="2" t="str">
        <f ca="1">IFERROR(__xludf.DUMMYFUNCTION("""COMPUTED_VALUE"""),"HBARbarian")</f>
        <v>HBARbarian</v>
      </c>
    </row>
    <row r="5986" spans="1:3" x14ac:dyDescent="0.25">
      <c r="A5986" s="2" t="str">
        <f ca="1">IFERROR(__xludf.DUMMYFUNCTION("""COMPUTED_VALUE"""),"hbarx")</f>
        <v>hbarx</v>
      </c>
      <c r="B5986" s="2" t="str">
        <f ca="1">IFERROR(__xludf.DUMMYFUNCTION("""COMPUTED_VALUE"""),"hbarx")</f>
        <v>hbarx</v>
      </c>
      <c r="C5986" s="2" t="str">
        <f ca="1">IFERROR(__xludf.DUMMYFUNCTION("""COMPUTED_VALUE"""),"HBARX")</f>
        <v>HBARX</v>
      </c>
    </row>
    <row r="5987" spans="1:3" x14ac:dyDescent="0.25">
      <c r="A5987" s="2" t="str">
        <f ca="1">IFERROR(__xludf.DUMMYFUNCTION("""COMPUTED_VALUE"""),"hdoki")</f>
        <v>hdoki</v>
      </c>
      <c r="B5987" s="2" t="str">
        <f ca="1">IFERROR(__xludf.DUMMYFUNCTION("""COMPUTED_VALUE"""),"oki")</f>
        <v>oki</v>
      </c>
      <c r="C5987" s="2" t="str">
        <f ca="1">IFERROR(__xludf.DUMMYFUNCTION("""COMPUTED_VALUE"""),"HDOKI")</f>
        <v>HDOKI</v>
      </c>
    </row>
    <row r="5988" spans="1:3" x14ac:dyDescent="0.25">
      <c r="A5988" s="2" t="str">
        <f ca="1">IFERROR(__xludf.DUMMYFUNCTION("""COMPUTED_VALUE"""),"headline")</f>
        <v>headline</v>
      </c>
      <c r="B5988" s="2" t="str">
        <f ca="1">IFERROR(__xludf.DUMMYFUNCTION("""COMPUTED_VALUE"""),"hdl")</f>
        <v>hdl</v>
      </c>
      <c r="C5988" s="2" t="str">
        <f ca="1">IFERROR(__xludf.DUMMYFUNCTION("""COMPUTED_VALUE"""),"Headline")</f>
        <v>Headline</v>
      </c>
    </row>
    <row r="5989" spans="1:3" x14ac:dyDescent="0.25">
      <c r="A5989" s="2" t="str">
        <f ca="1">IFERROR(__xludf.DUMMYFUNCTION("""COMPUTED_VALUE"""),"headstarter")</f>
        <v>headstarter</v>
      </c>
      <c r="B5989" s="2" t="str">
        <f ca="1">IFERROR(__xludf.DUMMYFUNCTION("""COMPUTED_VALUE"""),"hst")</f>
        <v>hst</v>
      </c>
      <c r="C5989" s="2" t="str">
        <f ca="1">IFERROR(__xludf.DUMMYFUNCTION("""COMPUTED_VALUE"""),"HeadStarter")</f>
        <v>HeadStarter</v>
      </c>
    </row>
    <row r="5990" spans="1:3" x14ac:dyDescent="0.25">
      <c r="A5990" s="2" t="str">
        <f ca="1">IFERROR(__xludf.DUMMYFUNCTION("""COMPUTED_VALUE"""),"health-and-wealth")</f>
        <v>health-and-wealth</v>
      </c>
      <c r="B5990" s="2" t="str">
        <f ca="1">IFERROR(__xludf.DUMMYFUNCTION("""COMPUTED_VALUE"""),"hewe")</f>
        <v>hewe</v>
      </c>
      <c r="C5990" s="2" t="str">
        <f ca="1">IFERROR(__xludf.DUMMYFUNCTION("""COMPUTED_VALUE"""),"Health and Wealth")</f>
        <v>Health and Wealth</v>
      </c>
    </row>
    <row r="5991" spans="1:3" x14ac:dyDescent="0.25">
      <c r="A5991" s="2" t="str">
        <f ca="1">IFERROR(__xludf.DUMMYFUNCTION("""COMPUTED_VALUE"""),"healthmedi")</f>
        <v>healthmedi</v>
      </c>
      <c r="B5991" s="2" t="str">
        <f ca="1">IFERROR(__xludf.DUMMYFUNCTION("""COMPUTED_VALUE"""),"hmd")</f>
        <v>hmd</v>
      </c>
      <c r="C5991" s="2" t="str">
        <f ca="1">IFERROR(__xludf.DUMMYFUNCTION("""COMPUTED_VALUE"""),"Healthmedi")</f>
        <v>Healthmedi</v>
      </c>
    </row>
    <row r="5992" spans="1:3" x14ac:dyDescent="0.25">
      <c r="A5992" s="2" t="str">
        <f ca="1">IFERROR(__xludf.DUMMYFUNCTION("""COMPUTED_VALUE"""),"heartx-utility-token")</f>
        <v>heartx-utility-token</v>
      </c>
      <c r="B5992" s="2" t="str">
        <f ca="1">IFERROR(__xludf.DUMMYFUNCTION("""COMPUTED_VALUE"""),"hnx")</f>
        <v>hnx</v>
      </c>
      <c r="C5992" s="2" t="str">
        <f ca="1">IFERROR(__xludf.DUMMYFUNCTION("""COMPUTED_VALUE"""),"HeartX Utility Token")</f>
        <v>HeartX Utility Token</v>
      </c>
    </row>
    <row r="5993" spans="1:3" x14ac:dyDescent="0.25">
      <c r="A5993" s="2" t="str">
        <f ca="1">IFERROR(__xludf.DUMMYFUNCTION("""COMPUTED_VALUE"""),"heavenland-hto")</f>
        <v>heavenland-hto</v>
      </c>
      <c r="B5993" s="2" t="str">
        <f ca="1">IFERROR(__xludf.DUMMYFUNCTION("""COMPUTED_VALUE"""),"hto")</f>
        <v>hto</v>
      </c>
      <c r="C5993" s="2" t="str">
        <f ca="1">IFERROR(__xludf.DUMMYFUNCTION("""COMPUTED_VALUE"""),"Heavenland HTO")</f>
        <v>Heavenland HTO</v>
      </c>
    </row>
    <row r="5994" spans="1:3" x14ac:dyDescent="0.25">
      <c r="A5994" s="2" t="str">
        <f ca="1">IFERROR(__xludf.DUMMYFUNCTION("""COMPUTED_VALUE"""),"hebeblock")</f>
        <v>hebeblock</v>
      </c>
      <c r="B5994" s="2" t="str">
        <f ca="1">IFERROR(__xludf.DUMMYFUNCTION("""COMPUTED_VALUE"""),"hebe")</f>
        <v>hebe</v>
      </c>
      <c r="C5994" s="2" t="str">
        <f ca="1">IFERROR(__xludf.DUMMYFUNCTION("""COMPUTED_VALUE"""),"HebeBlock")</f>
        <v>HebeBlock</v>
      </c>
    </row>
    <row r="5995" spans="1:3" x14ac:dyDescent="0.25">
      <c r="A5995" s="2" t="str">
        <f ca="1">IFERROR(__xludf.DUMMYFUNCTION("""COMPUTED_VALUE"""),"hectic-turkey")</f>
        <v>hectic-turkey</v>
      </c>
      <c r="B5995" s="2" t="str">
        <f ca="1">IFERROR(__xludf.DUMMYFUNCTION("""COMPUTED_VALUE"""),"hect")</f>
        <v>hect</v>
      </c>
      <c r="C5995" s="2" t="str">
        <f ca="1">IFERROR(__xludf.DUMMYFUNCTION("""COMPUTED_VALUE"""),"Hectic Turkey")</f>
        <v>Hectic Turkey</v>
      </c>
    </row>
    <row r="5996" spans="1:3" x14ac:dyDescent="0.25">
      <c r="A5996" s="2" t="str">
        <f ca="1">IFERROR(__xludf.DUMMYFUNCTION("""COMPUTED_VALUE"""),"hector-dao")</f>
        <v>hector-dao</v>
      </c>
      <c r="B5996" s="2" t="str">
        <f ca="1">IFERROR(__xludf.DUMMYFUNCTION("""COMPUTED_VALUE"""),"hec")</f>
        <v>hec</v>
      </c>
      <c r="C5996" s="2" t="str">
        <f ca="1">IFERROR(__xludf.DUMMYFUNCTION("""COMPUTED_VALUE"""),"Hector Network")</f>
        <v>Hector Network</v>
      </c>
    </row>
    <row r="5997" spans="1:3" x14ac:dyDescent="0.25">
      <c r="A5997" s="2" t="str">
        <f ca="1">IFERROR(__xludf.DUMMYFUNCTION("""COMPUTED_VALUE"""),"hedera-hashgraph")</f>
        <v>hedera-hashgraph</v>
      </c>
      <c r="B5997" s="2" t="str">
        <f ca="1">IFERROR(__xludf.DUMMYFUNCTION("""COMPUTED_VALUE"""),"hbar")</f>
        <v>hbar</v>
      </c>
      <c r="C5997" s="2" t="str">
        <f ca="1">IFERROR(__xludf.DUMMYFUNCTION("""COMPUTED_VALUE"""),"Hedera")</f>
        <v>Hedera</v>
      </c>
    </row>
    <row r="5998" spans="1:3" x14ac:dyDescent="0.25">
      <c r="A5998" s="2" t="str">
        <f ca="1">IFERROR(__xludf.DUMMYFUNCTION("""COMPUTED_VALUE"""),"hedera-liquity")</f>
        <v>hedera-liquity</v>
      </c>
      <c r="B5998" s="2" t="str">
        <f ca="1">IFERROR(__xludf.DUMMYFUNCTION("""COMPUTED_VALUE"""),"hlqt")</f>
        <v>hlqt</v>
      </c>
      <c r="C5998" s="2" t="str">
        <f ca="1">IFERROR(__xludf.DUMMYFUNCTION("""COMPUTED_VALUE"""),"Hedera Liquity")</f>
        <v>Hedera Liquity</v>
      </c>
    </row>
    <row r="5999" spans="1:3" x14ac:dyDescent="0.25">
      <c r="A5999" s="2" t="str">
        <f ca="1">IFERROR(__xludf.DUMMYFUNCTION("""COMPUTED_VALUE"""),"hedera-swiss-franc")</f>
        <v>hedera-swiss-franc</v>
      </c>
      <c r="B5999" s="2" t="str">
        <f ca="1">IFERROR(__xludf.DUMMYFUNCTION("""COMPUTED_VALUE"""),"hchf")</f>
        <v>hchf</v>
      </c>
      <c r="C5999" s="2" t="str">
        <f ca="1">IFERROR(__xludf.DUMMYFUNCTION("""COMPUTED_VALUE"""),"Hedera Swiss Franc")</f>
        <v>Hedera Swiss Franc</v>
      </c>
    </row>
    <row r="6000" spans="1:3" x14ac:dyDescent="0.25">
      <c r="A6000" s="2" t="str">
        <f ca="1">IFERROR(__xludf.DUMMYFUNCTION("""COMPUTED_VALUE"""),"hedgefi")</f>
        <v>hedgefi</v>
      </c>
      <c r="B6000" s="2" t="str">
        <f ca="1">IFERROR(__xludf.DUMMYFUNCTION("""COMPUTED_VALUE"""),"hedge")</f>
        <v>hedge</v>
      </c>
      <c r="C6000" s="2" t="str">
        <f ca="1">IFERROR(__xludf.DUMMYFUNCTION("""COMPUTED_VALUE"""),"HedgeFi")</f>
        <v>HedgeFi</v>
      </c>
    </row>
    <row r="6001" spans="1:3" x14ac:dyDescent="0.25">
      <c r="A6001" s="2" t="str">
        <f ca="1">IFERROR(__xludf.DUMMYFUNCTION("""COMPUTED_VALUE"""),"hedgehog")</f>
        <v>hedgehog</v>
      </c>
      <c r="B6001" s="2" t="str">
        <f ca="1">IFERROR(__xludf.DUMMYFUNCTION("""COMPUTED_VALUE"""),"hedgehog")</f>
        <v>hedgehog</v>
      </c>
      <c r="C6001" s="2" t="str">
        <f ca="1">IFERROR(__xludf.DUMMYFUNCTION("""COMPUTED_VALUE"""),"Hedgehog")</f>
        <v>Hedgehog</v>
      </c>
    </row>
    <row r="6002" spans="1:3" x14ac:dyDescent="0.25">
      <c r="A6002" s="2" t="str">
        <f ca="1">IFERROR(__xludf.DUMMYFUNCTION("""COMPUTED_VALUE"""),"hedgehog-in-the-fog")</f>
        <v>hedgehog-in-the-fog</v>
      </c>
      <c r="B6002" s="2" t="str">
        <f ca="1">IFERROR(__xludf.DUMMYFUNCTION("""COMPUTED_VALUE"""),"hif")</f>
        <v>hif</v>
      </c>
      <c r="C6002" s="2" t="str">
        <f ca="1">IFERROR(__xludf.DUMMYFUNCTION("""COMPUTED_VALUE"""),"Hedgehog in the fog")</f>
        <v>Hedgehog in the fog</v>
      </c>
    </row>
    <row r="6003" spans="1:3" x14ac:dyDescent="0.25">
      <c r="A6003" s="2" t="str">
        <f ca="1">IFERROR(__xludf.DUMMYFUNCTION("""COMPUTED_VALUE"""),"hedge-on-sol")</f>
        <v>hedge-on-sol</v>
      </c>
      <c r="B6003" s="2" t="str">
        <f ca="1">IFERROR(__xludf.DUMMYFUNCTION("""COMPUTED_VALUE"""),"hedge")</f>
        <v>hedge</v>
      </c>
      <c r="C6003" s="2" t="str">
        <f ca="1">IFERROR(__xludf.DUMMYFUNCTION("""COMPUTED_VALUE"""),"HEDGE on Sol")</f>
        <v>HEDGE on Sol</v>
      </c>
    </row>
    <row r="6004" spans="1:3" x14ac:dyDescent="0.25">
      <c r="A6004" s="2" t="str">
        <f ca="1">IFERROR(__xludf.DUMMYFUNCTION("""COMPUTED_VALUE"""),"hedgepay")</f>
        <v>hedgepay</v>
      </c>
      <c r="B6004" s="2" t="str">
        <f ca="1">IFERROR(__xludf.DUMMYFUNCTION("""COMPUTED_VALUE"""),"hpay")</f>
        <v>hpay</v>
      </c>
      <c r="C6004" s="2" t="str">
        <f ca="1">IFERROR(__xludf.DUMMYFUNCTION("""COMPUTED_VALUE"""),"HedgePay")</f>
        <v>HedgePay</v>
      </c>
    </row>
    <row r="6005" spans="1:3" x14ac:dyDescent="0.25">
      <c r="A6005" s="2" t="str">
        <f ca="1">IFERROR(__xludf.DUMMYFUNCTION("""COMPUTED_VALUE"""),"hedget")</f>
        <v>hedget</v>
      </c>
      <c r="B6005" s="2" t="str">
        <f ca="1">IFERROR(__xludf.DUMMYFUNCTION("""COMPUTED_VALUE"""),"hget")</f>
        <v>hget</v>
      </c>
      <c r="C6005" s="2" t="str">
        <f ca="1">IFERROR(__xludf.DUMMYFUNCTION("""COMPUTED_VALUE"""),"Hedget")</f>
        <v>Hedget</v>
      </c>
    </row>
    <row r="6006" spans="1:3" x14ac:dyDescent="0.25">
      <c r="A6006" s="2" t="str">
        <f ca="1">IFERROR(__xludf.DUMMYFUNCTION("""COMPUTED_VALUE"""),"hedgetrade")</f>
        <v>hedgetrade</v>
      </c>
      <c r="B6006" s="2" t="str">
        <f ca="1">IFERROR(__xludf.DUMMYFUNCTION("""COMPUTED_VALUE"""),"hedg")</f>
        <v>hedg</v>
      </c>
      <c r="C6006" s="2" t="str">
        <f ca="1">IFERROR(__xludf.DUMMYFUNCTION("""COMPUTED_VALUE"""),"HedgeTrade")</f>
        <v>HedgeTrade</v>
      </c>
    </row>
    <row r="6007" spans="1:3" x14ac:dyDescent="0.25">
      <c r="A6007" s="2" t="str">
        <f ca="1">IFERROR(__xludf.DUMMYFUNCTION("""COMPUTED_VALUE"""),"hedge-usd")</f>
        <v>hedge-usd</v>
      </c>
      <c r="B6007" s="2" t="str">
        <f ca="1">IFERROR(__xludf.DUMMYFUNCTION("""COMPUTED_VALUE"""),"ush")</f>
        <v>ush</v>
      </c>
      <c r="C6007" s="2" t="str">
        <f ca="1">IFERROR(__xludf.DUMMYFUNCTION("""COMPUTED_VALUE"""),"Hedge USD")</f>
        <v>Hedge USD</v>
      </c>
    </row>
    <row r="6008" spans="1:3" x14ac:dyDescent="0.25">
      <c r="A6008" s="2" t="str">
        <f ca="1">IFERROR(__xludf.DUMMYFUNCTION("""COMPUTED_VALUE"""),"hedron")</f>
        <v>hedron</v>
      </c>
      <c r="B6008" s="2" t="str">
        <f ca="1">IFERROR(__xludf.DUMMYFUNCTION("""COMPUTED_VALUE"""),"hdrn")</f>
        <v>hdrn</v>
      </c>
      <c r="C6008" s="2" t="str">
        <f ca="1">IFERROR(__xludf.DUMMYFUNCTION("""COMPUTED_VALUE"""),"Hedron")</f>
        <v>Hedron</v>
      </c>
    </row>
    <row r="6009" spans="1:3" x14ac:dyDescent="0.25">
      <c r="A6009" s="2" t="str">
        <f ca="1">IFERROR(__xludf.DUMMYFUNCTION("""COMPUTED_VALUE"""),"heeeheee")</f>
        <v>heeeheee</v>
      </c>
      <c r="B6009" s="2" t="str">
        <f ca="1">IFERROR(__xludf.DUMMYFUNCTION("""COMPUTED_VALUE"""),"heehee")</f>
        <v>heehee</v>
      </c>
      <c r="C6009" s="2" t="str">
        <f ca="1">IFERROR(__xludf.DUMMYFUNCTION("""COMPUTED_VALUE"""),"HeeeHeee")</f>
        <v>HeeeHeee</v>
      </c>
    </row>
    <row r="6010" spans="1:3" x14ac:dyDescent="0.25">
      <c r="A6010" s="2" t="str">
        <f ca="1">IFERROR(__xludf.DUMMYFUNCTION("""COMPUTED_VALUE"""),"hefe")</f>
        <v>hefe</v>
      </c>
      <c r="B6010" s="2" t="str">
        <f ca="1">IFERROR(__xludf.DUMMYFUNCTION("""COMPUTED_VALUE"""),"hefe")</f>
        <v>hefe</v>
      </c>
      <c r="C6010" s="2" t="str">
        <f ca="1">IFERROR(__xludf.DUMMYFUNCTION("""COMPUTED_VALUE"""),"HEFE")</f>
        <v>HEFE</v>
      </c>
    </row>
    <row r="6011" spans="1:3" x14ac:dyDescent="0.25">
      <c r="A6011" s="2" t="str">
        <f ca="1">IFERROR(__xludf.DUMMYFUNCTION("""COMPUTED_VALUE"""),"hefi")</f>
        <v>hefi</v>
      </c>
      <c r="B6011" s="2" t="str">
        <f ca="1">IFERROR(__xludf.DUMMYFUNCTION("""COMPUTED_VALUE"""),"hefi")</f>
        <v>hefi</v>
      </c>
      <c r="C6011" s="2" t="str">
        <f ca="1">IFERROR(__xludf.DUMMYFUNCTION("""COMPUTED_VALUE"""),"HeFi")</f>
        <v>HeFi</v>
      </c>
    </row>
    <row r="6012" spans="1:3" x14ac:dyDescent="0.25">
      <c r="A6012" s="2" t="str">
        <f ca="1">IFERROR(__xludf.DUMMYFUNCTION("""COMPUTED_VALUE"""),"hege")</f>
        <v>hege</v>
      </c>
      <c r="B6012" s="2" t="str">
        <f ca="1">IFERROR(__xludf.DUMMYFUNCTION("""COMPUTED_VALUE"""),"$hege")</f>
        <v>$hege</v>
      </c>
      <c r="C6012" s="2" t="str">
        <f ca="1">IFERROR(__xludf.DUMMYFUNCTION("""COMPUTED_VALUE"""),"Hege")</f>
        <v>Hege</v>
      </c>
    </row>
    <row r="6013" spans="1:3" x14ac:dyDescent="0.25">
      <c r="A6013" s="2" t="str">
        <f ca="1">IFERROR(__xludf.DUMMYFUNCTION("""COMPUTED_VALUE"""),"hegic")</f>
        <v>hegic</v>
      </c>
      <c r="B6013" s="2" t="str">
        <f ca="1">IFERROR(__xludf.DUMMYFUNCTION("""COMPUTED_VALUE"""),"hegic")</f>
        <v>hegic</v>
      </c>
      <c r="C6013" s="2" t="str">
        <f ca="1">IFERROR(__xludf.DUMMYFUNCTION("""COMPUTED_VALUE"""),"Hegic")</f>
        <v>Hegic</v>
      </c>
    </row>
    <row r="6014" spans="1:3" x14ac:dyDescent="0.25">
      <c r="A6014" s="2" t="str">
        <f ca="1">IFERROR(__xludf.DUMMYFUNCTION("""COMPUTED_VALUE"""),"hegic-yvault")</f>
        <v>hegic-yvault</v>
      </c>
      <c r="B6014" s="2" t="str">
        <f ca="1">IFERROR(__xludf.DUMMYFUNCTION("""COMPUTED_VALUE"""),"yvhegic")</f>
        <v>yvhegic</v>
      </c>
      <c r="C6014" s="2" t="str">
        <f ca="1">IFERROR(__xludf.DUMMYFUNCTION("""COMPUTED_VALUE"""),"HEGIC yVault")</f>
        <v>HEGIC yVault</v>
      </c>
    </row>
    <row r="6015" spans="1:3" x14ac:dyDescent="0.25">
      <c r="A6015" s="2" t="str">
        <f ca="1">IFERROR(__xludf.DUMMYFUNCTION("""COMPUTED_VALUE"""),"hehe")</f>
        <v>hehe</v>
      </c>
      <c r="B6015" s="2" t="str">
        <f ca="1">IFERROR(__xludf.DUMMYFUNCTION("""COMPUTED_VALUE"""),"hehe")</f>
        <v>hehe</v>
      </c>
      <c r="C6015" s="2" t="str">
        <f ca="1">IFERROR(__xludf.DUMMYFUNCTION("""COMPUTED_VALUE"""),"HeHe")</f>
        <v>HeHe</v>
      </c>
    </row>
    <row r="6016" spans="1:3" x14ac:dyDescent="0.25">
      <c r="A6016" s="2" t="str">
        <f ca="1">IFERROR(__xludf.DUMMYFUNCTION("""COMPUTED_VALUE"""),"hehecat")</f>
        <v>hehecat</v>
      </c>
      <c r="B6016" s="2" t="str">
        <f ca="1">IFERROR(__xludf.DUMMYFUNCTION("""COMPUTED_VALUE"""),"hehe")</f>
        <v>hehe</v>
      </c>
      <c r="C6016" s="2" t="str">
        <f ca="1">IFERROR(__xludf.DUMMYFUNCTION("""COMPUTED_VALUE"""),"hehe")</f>
        <v>hehe</v>
      </c>
    </row>
    <row r="6017" spans="1:3" x14ac:dyDescent="0.25">
      <c r="A6017" s="2" t="str">
        <f ca="1">IFERROR(__xludf.DUMMYFUNCTION("""COMPUTED_VALUE"""),"hela")</f>
        <v>hela</v>
      </c>
      <c r="B6017" s="2" t="str">
        <f ca="1">IFERROR(__xludf.DUMMYFUNCTION("""COMPUTED_VALUE"""),"hela")</f>
        <v>hela</v>
      </c>
      <c r="C6017" s="2" t="str">
        <f ca="1">IFERROR(__xludf.DUMMYFUNCTION("""COMPUTED_VALUE"""),"HeLa")</f>
        <v>HeLa</v>
      </c>
    </row>
    <row r="6018" spans="1:3" x14ac:dyDescent="0.25">
      <c r="A6018" s="2" t="str">
        <f ca="1">IFERROR(__xludf.DUMMYFUNCTION("""COMPUTED_VALUE"""),"hela-usd")</f>
        <v>hela-usd</v>
      </c>
      <c r="B6018" s="2" t="str">
        <f ca="1">IFERROR(__xludf.DUMMYFUNCTION("""COMPUTED_VALUE"""),"hlusd")</f>
        <v>hlusd</v>
      </c>
      <c r="C6018" s="2" t="str">
        <f ca="1">IFERROR(__xludf.DUMMYFUNCTION("""COMPUTED_VALUE"""),"HeLa USD")</f>
        <v>HeLa USD</v>
      </c>
    </row>
    <row r="6019" spans="1:3" x14ac:dyDescent="0.25">
      <c r="A6019" s="2" t="str">
        <f ca="1">IFERROR(__xludf.DUMMYFUNCTION("""COMPUTED_VALUE"""),"helga-inu")</f>
        <v>helga-inu</v>
      </c>
      <c r="B6019" s="2" t="str">
        <f ca="1">IFERROR(__xludf.DUMMYFUNCTION("""COMPUTED_VALUE"""),"helga")</f>
        <v>helga</v>
      </c>
      <c r="C6019" s="2" t="str">
        <f ca="1">IFERROR(__xludf.DUMMYFUNCTION("""COMPUTED_VALUE"""),"Helga Inu")</f>
        <v>Helga Inu</v>
      </c>
    </row>
    <row r="6020" spans="1:3" x14ac:dyDescent="0.25">
      <c r="A6020" s="2" t="str">
        <f ca="1">IFERROR(__xludf.DUMMYFUNCTION("""COMPUTED_VALUE"""),"helichain")</f>
        <v>helichain</v>
      </c>
      <c r="B6020" s="2" t="str">
        <f ca="1">IFERROR(__xludf.DUMMYFUNCTION("""COMPUTED_VALUE"""),"heli")</f>
        <v>heli</v>
      </c>
      <c r="C6020" s="2" t="str">
        <f ca="1">IFERROR(__xludf.DUMMYFUNCTION("""COMPUTED_VALUE"""),"HeliChain")</f>
        <v>HeliChain</v>
      </c>
    </row>
    <row r="6021" spans="1:3" x14ac:dyDescent="0.25">
      <c r="A6021" s="2" t="str">
        <f ca="1">IFERROR(__xludf.DUMMYFUNCTION("""COMPUTED_VALUE"""),"helicopter-finance")</f>
        <v>helicopter-finance</v>
      </c>
      <c r="B6021" s="2" t="str">
        <f ca="1">IFERROR(__xludf.DUMMYFUNCTION("""COMPUTED_VALUE"""),"copter")</f>
        <v>copter</v>
      </c>
      <c r="C6021" s="2" t="str">
        <f ca="1">IFERROR(__xludf.DUMMYFUNCTION("""COMPUTED_VALUE"""),"Helicopter Finance")</f>
        <v>Helicopter Finance</v>
      </c>
    </row>
    <row r="6022" spans="1:3" x14ac:dyDescent="0.25">
      <c r="A6022" s="2" t="str">
        <f ca="1">IFERROR(__xludf.DUMMYFUNCTION("""COMPUTED_VALUE"""),"heli-doge")</f>
        <v>heli-doge</v>
      </c>
      <c r="B6022" s="2" t="str">
        <f ca="1">IFERROR(__xludf.DUMMYFUNCTION("""COMPUTED_VALUE"""),"hd")</f>
        <v>hd</v>
      </c>
      <c r="C6022" s="2" t="str">
        <f ca="1">IFERROR(__xludf.DUMMYFUNCTION("""COMPUTED_VALUE"""),"HELI Doge")</f>
        <v>HELI Doge</v>
      </c>
    </row>
    <row r="6023" spans="1:3" x14ac:dyDescent="0.25">
      <c r="A6023" s="2" t="str">
        <f ca="1">IFERROR(__xludf.DUMMYFUNCTION("""COMPUTED_VALUE"""),"helio-protocol-hay")</f>
        <v>helio-protocol-hay</v>
      </c>
      <c r="B6023" s="2" t="str">
        <f ca="1">IFERROR(__xludf.DUMMYFUNCTION("""COMPUTED_VALUE"""),"lisusd")</f>
        <v>lisusd</v>
      </c>
      <c r="C6023" s="2" t="str">
        <f ca="1">IFERROR(__xludf.DUMMYFUNCTION("""COMPUTED_VALUE"""),"Lista USD")</f>
        <v>Lista USD</v>
      </c>
    </row>
    <row r="6024" spans="1:3" x14ac:dyDescent="0.25">
      <c r="A6024" s="2" t="str">
        <f ca="1">IFERROR(__xludf.DUMMYFUNCTION("""COMPUTED_VALUE"""),"helios")</f>
        <v>helios</v>
      </c>
      <c r="B6024" s="2" t="str">
        <f ca="1">IFERROR(__xludf.DUMMYFUNCTION("""COMPUTED_VALUE"""),"hlx")</f>
        <v>hlx</v>
      </c>
      <c r="C6024" s="2" t="str">
        <f ca="1">IFERROR(__xludf.DUMMYFUNCTION("""COMPUTED_VALUE"""),"HELIOS")</f>
        <v>HELIOS</v>
      </c>
    </row>
    <row r="6025" spans="1:3" x14ac:dyDescent="0.25">
      <c r="A6025" s="2" t="str">
        <f ca="1">IFERROR(__xludf.DUMMYFUNCTION("""COMPUTED_VALUE"""),"heliswap")</f>
        <v>heliswap</v>
      </c>
      <c r="B6025" s="2" t="str">
        <f ca="1">IFERROR(__xludf.DUMMYFUNCTION("""COMPUTED_VALUE"""),"heli")</f>
        <v>heli</v>
      </c>
      <c r="C6025" s="2" t="str">
        <f ca="1">IFERROR(__xludf.DUMMYFUNCTION("""COMPUTED_VALUE"""),"HeliSwap")</f>
        <v>HeliSwap</v>
      </c>
    </row>
    <row r="6026" spans="1:3" x14ac:dyDescent="0.25">
      <c r="A6026" s="2" t="str">
        <f ca="1">IFERROR(__xludf.DUMMYFUNCTION("""COMPUTED_VALUE"""),"heliswap-bridged-usdc-hts")</f>
        <v>heliswap-bridged-usdc-hts</v>
      </c>
      <c r="B6026" s="2" t="str">
        <f ca="1">IFERROR(__xludf.DUMMYFUNCTION("""COMPUTED_VALUE"""),"usdc[hts]")</f>
        <v>usdc[hts]</v>
      </c>
      <c r="C6026" s="2" t="str">
        <f ca="1">IFERROR(__xludf.DUMMYFUNCTION("""COMPUTED_VALUE"""),"Bridged USDC (Hashport)")</f>
        <v>Bridged USDC (Hashport)</v>
      </c>
    </row>
    <row r="6027" spans="1:3" x14ac:dyDescent="0.25">
      <c r="A6027" s="2" t="str">
        <f ca="1">IFERROR(__xludf.DUMMYFUNCTION("""COMPUTED_VALUE"""),"helium")</f>
        <v>helium</v>
      </c>
      <c r="B6027" s="2" t="str">
        <f ca="1">IFERROR(__xludf.DUMMYFUNCTION("""COMPUTED_VALUE"""),"hnt")</f>
        <v>hnt</v>
      </c>
      <c r="C6027" s="2" t="str">
        <f ca="1">IFERROR(__xludf.DUMMYFUNCTION("""COMPUTED_VALUE"""),"Helium")</f>
        <v>Helium</v>
      </c>
    </row>
    <row r="6028" spans="1:3" x14ac:dyDescent="0.25">
      <c r="A6028" s="2" t="str">
        <f ca="1">IFERROR(__xludf.DUMMYFUNCTION("""COMPUTED_VALUE"""),"helium-iot")</f>
        <v>helium-iot</v>
      </c>
      <c r="B6028" s="2" t="str">
        <f ca="1">IFERROR(__xludf.DUMMYFUNCTION("""COMPUTED_VALUE"""),"iot")</f>
        <v>iot</v>
      </c>
      <c r="C6028" s="2" t="str">
        <f ca="1">IFERROR(__xludf.DUMMYFUNCTION("""COMPUTED_VALUE"""),"Helium IOT")</f>
        <v>Helium IOT</v>
      </c>
    </row>
    <row r="6029" spans="1:3" x14ac:dyDescent="0.25">
      <c r="A6029" s="2" t="str">
        <f ca="1">IFERROR(__xludf.DUMMYFUNCTION("""COMPUTED_VALUE"""),"helium-mobile")</f>
        <v>helium-mobile</v>
      </c>
      <c r="B6029" s="2" t="str">
        <f ca="1">IFERROR(__xludf.DUMMYFUNCTION("""COMPUTED_VALUE"""),"mobile")</f>
        <v>mobile</v>
      </c>
      <c r="C6029" s="2" t="str">
        <f ca="1">IFERROR(__xludf.DUMMYFUNCTION("""COMPUTED_VALUE"""),"Helium Mobile")</f>
        <v>Helium Mobile</v>
      </c>
    </row>
    <row r="6030" spans="1:3" x14ac:dyDescent="0.25">
      <c r="A6030" s="2" t="str">
        <f ca="1">IFERROR(__xludf.DUMMYFUNCTION("""COMPUTED_VALUE"""),"helius-staked-sol")</f>
        <v>helius-staked-sol</v>
      </c>
      <c r="B6030" s="2" t="str">
        <f ca="1">IFERROR(__xludf.DUMMYFUNCTION("""COMPUTED_VALUE"""),"hsol")</f>
        <v>hsol</v>
      </c>
      <c r="C6030" s="2" t="str">
        <f ca="1">IFERROR(__xludf.DUMMYFUNCTION("""COMPUTED_VALUE"""),"Helius Staked SOL")</f>
        <v>Helius Staked SOL</v>
      </c>
    </row>
    <row r="6031" spans="1:3" x14ac:dyDescent="0.25">
      <c r="A6031" s="2" t="str">
        <f ca="1">IFERROR(__xludf.DUMMYFUNCTION("""COMPUTED_VALUE"""),"hellar")</f>
        <v>hellar</v>
      </c>
      <c r="B6031" s="2" t="str">
        <f ca="1">IFERROR(__xludf.DUMMYFUNCTION("""COMPUTED_VALUE"""),"hel")</f>
        <v>hel</v>
      </c>
      <c r="C6031" s="2" t="str">
        <f ca="1">IFERROR(__xludf.DUMMYFUNCTION("""COMPUTED_VALUE"""),"Hellar")</f>
        <v>Hellar</v>
      </c>
    </row>
    <row r="6032" spans="1:3" x14ac:dyDescent="0.25">
      <c r="A6032" s="2" t="str">
        <f ca="1">IFERROR(__xludf.DUMMYFUNCTION("""COMPUTED_VALUE"""),"helleniccoin")</f>
        <v>helleniccoin</v>
      </c>
      <c r="B6032" s="2" t="str">
        <f ca="1">IFERROR(__xludf.DUMMYFUNCTION("""COMPUTED_VALUE"""),"hnc")</f>
        <v>hnc</v>
      </c>
      <c r="C6032" s="2" t="str">
        <f ca="1">IFERROR(__xludf.DUMMYFUNCTION("""COMPUTED_VALUE"""),"HNC Coin")</f>
        <v>HNC Coin</v>
      </c>
    </row>
    <row r="6033" spans="1:3" x14ac:dyDescent="0.25">
      <c r="A6033" s="2" t="str">
        <f ca="1">IFERROR(__xludf.DUMMYFUNCTION("""COMPUTED_VALUE"""),"hello-art")</f>
        <v>hello-art</v>
      </c>
      <c r="B6033" s="2" t="str">
        <f ca="1">IFERROR(__xludf.DUMMYFUNCTION("""COMPUTED_VALUE"""),"htt")</f>
        <v>htt</v>
      </c>
      <c r="C6033" s="2" t="str">
        <f ca="1">IFERROR(__xludf.DUMMYFUNCTION("""COMPUTED_VALUE"""),"Hello Art")</f>
        <v>Hello Art</v>
      </c>
    </row>
    <row r="6034" spans="1:3" x14ac:dyDescent="0.25">
      <c r="A6034" s="2" t="str">
        <f ca="1">IFERROR(__xludf.DUMMYFUNCTION("""COMPUTED_VALUE"""),"hello-labs")</f>
        <v>hello-labs</v>
      </c>
      <c r="B6034" s="2" t="str">
        <f ca="1">IFERROR(__xludf.DUMMYFUNCTION("""COMPUTED_VALUE"""),"hello")</f>
        <v>hello</v>
      </c>
      <c r="C6034" s="2" t="str">
        <f ca="1">IFERROR(__xludf.DUMMYFUNCTION("""COMPUTED_VALUE"""),"HELLO")</f>
        <v>HELLO</v>
      </c>
    </row>
    <row r="6035" spans="1:3" x14ac:dyDescent="0.25">
      <c r="A6035" s="2" t="str">
        <f ca="1">IFERROR(__xludf.DUMMYFUNCTION("""COMPUTED_VALUE"""),"helmet-insure")</f>
        <v>helmet-insure</v>
      </c>
      <c r="B6035" s="2" t="str">
        <f ca="1">IFERROR(__xludf.DUMMYFUNCTION("""COMPUTED_VALUE"""),"helmet")</f>
        <v>helmet</v>
      </c>
      <c r="C6035" s="2" t="str">
        <f ca="1">IFERROR(__xludf.DUMMYFUNCTION("""COMPUTED_VALUE"""),"Helmet Insure")</f>
        <v>Helmet Insure</v>
      </c>
    </row>
    <row r="6036" spans="1:3" x14ac:dyDescent="0.25">
      <c r="A6036" s="2" t="str">
        <f ca="1">IFERROR(__xludf.DUMMYFUNCTION("""COMPUTED_VALUE"""),"helpkidz-coin")</f>
        <v>helpkidz-coin</v>
      </c>
      <c r="B6036" s="2" t="str">
        <f ca="1">IFERROR(__xludf.DUMMYFUNCTION("""COMPUTED_VALUE"""),"hkc")</f>
        <v>hkc</v>
      </c>
      <c r="C6036" s="2" t="str">
        <f ca="1">IFERROR(__xludf.DUMMYFUNCTION("""COMPUTED_VALUE"""),"HelpKidz Coin")</f>
        <v>HelpKidz Coin</v>
      </c>
    </row>
    <row r="6037" spans="1:3" x14ac:dyDescent="0.25">
      <c r="A6037" s="2" t="str">
        <f ca="1">IFERROR(__xludf.DUMMYFUNCTION("""COMPUTED_VALUE"""),"hemera")</f>
        <v>hemera</v>
      </c>
      <c r="B6037" s="2" t="str">
        <f ca="1">IFERROR(__xludf.DUMMYFUNCTION("""COMPUTED_VALUE"""),"hem")</f>
        <v>hem</v>
      </c>
      <c r="C6037" s="2" t="str">
        <f ca="1">IFERROR(__xludf.DUMMYFUNCTION("""COMPUTED_VALUE"""),"Hemera")</f>
        <v>Hemera</v>
      </c>
    </row>
    <row r="6038" spans="1:3" x14ac:dyDescent="0.25">
      <c r="A6038" s="2" t="str">
        <f ca="1">IFERROR(__xludf.DUMMYFUNCTION("""COMPUTED_VALUE"""),"hemis")</f>
        <v>hemis</v>
      </c>
      <c r="B6038" s="2" t="str">
        <f ca="1">IFERROR(__xludf.DUMMYFUNCTION("""COMPUTED_VALUE"""),"hms")</f>
        <v>hms</v>
      </c>
      <c r="C6038" s="2" t="str">
        <f ca="1">IFERROR(__xludf.DUMMYFUNCTION("""COMPUTED_VALUE"""),"Hemis")</f>
        <v>Hemis</v>
      </c>
    </row>
    <row r="6039" spans="1:3" x14ac:dyDescent="0.25">
      <c r="A6039" s="2" t="str">
        <f ca="1">IFERROR(__xludf.DUMMYFUNCTION("""COMPUTED_VALUE"""),"hempcoin-thc")</f>
        <v>hempcoin-thc</v>
      </c>
      <c r="B6039" s="2" t="str">
        <f ca="1">IFERROR(__xludf.DUMMYFUNCTION("""COMPUTED_VALUE"""),"thc")</f>
        <v>thc</v>
      </c>
      <c r="C6039" s="2" t="str">
        <f ca="1">IFERROR(__xludf.DUMMYFUNCTION("""COMPUTED_VALUE"""),"Hempcoin")</f>
        <v>Hempcoin</v>
      </c>
    </row>
    <row r="6040" spans="1:3" x14ac:dyDescent="0.25">
      <c r="A6040" s="2" t="str">
        <f ca="1">IFERROR(__xludf.DUMMYFUNCTION("""COMPUTED_VALUE"""),"hemule")</f>
        <v>hemule</v>
      </c>
      <c r="B6040" s="2" t="str">
        <f ca="1">IFERROR(__xludf.DUMMYFUNCTION("""COMPUTED_VALUE"""),"hemule")</f>
        <v>hemule</v>
      </c>
      <c r="C6040" s="2" t="str">
        <f ca="1">IFERROR(__xludf.DUMMYFUNCTION("""COMPUTED_VALUE"""),"Hemule")</f>
        <v>Hemule</v>
      </c>
    </row>
    <row r="6041" spans="1:3" x14ac:dyDescent="0.25">
      <c r="A6041" s="2" t="str">
        <f ca="1">IFERROR(__xludf.DUMMYFUNCTION("""COMPUTED_VALUE"""),"heptafranc")</f>
        <v>heptafranc</v>
      </c>
      <c r="B6041" s="2" t="str">
        <f ca="1">IFERROR(__xludf.DUMMYFUNCTION("""COMPUTED_VALUE"""),"hptf")</f>
        <v>hptf</v>
      </c>
      <c r="C6041" s="2" t="str">
        <f ca="1">IFERROR(__xludf.DUMMYFUNCTION("""COMPUTED_VALUE"""),"HEPTAFRANC")</f>
        <v>HEPTAFRANC</v>
      </c>
    </row>
    <row r="6042" spans="1:3" x14ac:dyDescent="0.25">
      <c r="A6042" s="2" t="str">
        <f ca="1">IFERROR(__xludf.DUMMYFUNCTION("""COMPUTED_VALUE"""),"hepton")</f>
        <v>hepton</v>
      </c>
      <c r="B6042" s="2" t="str">
        <f ca="1">IFERROR(__xludf.DUMMYFUNCTION("""COMPUTED_VALUE"""),"hte")</f>
        <v>hte</v>
      </c>
      <c r="C6042" s="2" t="str">
        <f ca="1">IFERROR(__xludf.DUMMYFUNCTION("""COMPUTED_VALUE"""),"Hepton")</f>
        <v>Hepton</v>
      </c>
    </row>
    <row r="6043" spans="1:3" x14ac:dyDescent="0.25">
      <c r="A6043" s="2" t="str">
        <f ca="1">IFERROR(__xludf.DUMMYFUNCTION("""COMPUTED_VALUE"""),"hera-finance")</f>
        <v>hera-finance</v>
      </c>
      <c r="B6043" s="2" t="str">
        <f ca="1">IFERROR(__xludf.DUMMYFUNCTION("""COMPUTED_VALUE"""),"hera")</f>
        <v>hera</v>
      </c>
      <c r="C6043" s="2" t="str">
        <f ca="1">IFERROR(__xludf.DUMMYFUNCTION("""COMPUTED_VALUE"""),"Hera Finance")</f>
        <v>Hera Finance</v>
      </c>
    </row>
    <row r="6044" spans="1:3" x14ac:dyDescent="0.25">
      <c r="A6044" s="2" t="str">
        <f ca="1">IFERROR(__xludf.DUMMYFUNCTION("""COMPUTED_VALUE"""),"her-ai")</f>
        <v>her-ai</v>
      </c>
      <c r="B6044" s="2" t="str">
        <f ca="1">IFERROR(__xludf.DUMMYFUNCTION("""COMPUTED_VALUE"""),"her")</f>
        <v>her</v>
      </c>
      <c r="C6044" s="3" t="str">
        <f ca="1">IFERROR(__xludf.DUMMYFUNCTION("""COMPUTED_VALUE"""),"Her.AI")</f>
        <v>Her.AI</v>
      </c>
    </row>
    <row r="6045" spans="1:3" x14ac:dyDescent="0.25">
      <c r="A6045" s="2" t="str">
        <f ca="1">IFERROR(__xludf.DUMMYFUNCTION("""COMPUTED_VALUE"""),"herbalist-token")</f>
        <v>herbalist-token</v>
      </c>
      <c r="B6045" s="2" t="str">
        <f ca="1">IFERROR(__xludf.DUMMYFUNCTION("""COMPUTED_VALUE"""),"herb")</f>
        <v>herb</v>
      </c>
      <c r="C6045" s="2" t="str">
        <f ca="1">IFERROR(__xludf.DUMMYFUNCTION("""COMPUTED_VALUE"""),"Herbalist")</f>
        <v>Herbalist</v>
      </c>
    </row>
    <row r="6046" spans="1:3" x14ac:dyDescent="0.25">
      <c r="A6046" s="2" t="str">
        <f ca="1">IFERROR(__xludf.DUMMYFUNCTION("""COMPUTED_VALUE"""),"herbcoin")</f>
        <v>herbcoin</v>
      </c>
      <c r="B6046" s="2" t="str">
        <f ca="1">IFERROR(__xludf.DUMMYFUNCTION("""COMPUTED_VALUE"""),"herb")</f>
        <v>herb</v>
      </c>
      <c r="C6046" s="2" t="str">
        <f ca="1">IFERROR(__xludf.DUMMYFUNCTION("""COMPUTED_VALUE"""),"HERBCOIN")</f>
        <v>HERBCOIN</v>
      </c>
    </row>
    <row r="6047" spans="1:3" x14ac:dyDescent="0.25">
      <c r="A6047" s="2" t="str">
        <f ca="1">IFERROR(__xludf.DUMMYFUNCTION("""COMPUTED_VALUE"""),"hercules-token")</f>
        <v>hercules-token</v>
      </c>
      <c r="B6047" s="2" t="str">
        <f ca="1">IFERROR(__xludf.DUMMYFUNCTION("""COMPUTED_VALUE"""),"torch")</f>
        <v>torch</v>
      </c>
      <c r="C6047" s="2" t="str">
        <f ca="1">IFERROR(__xludf.DUMMYFUNCTION("""COMPUTED_VALUE"""),"Hercules Token")</f>
        <v>Hercules Token</v>
      </c>
    </row>
    <row r="6048" spans="1:3" x14ac:dyDescent="0.25">
      <c r="A6048" s="2" t="str">
        <f ca="1">IFERROR(__xludf.DUMMYFUNCTION("""COMPUTED_VALUE"""),"herity-network")</f>
        <v>herity-network</v>
      </c>
      <c r="B6048" s="2" t="str">
        <f ca="1">IFERROR(__xludf.DUMMYFUNCTION("""COMPUTED_VALUE"""),"her")</f>
        <v>her</v>
      </c>
      <c r="C6048" s="2" t="str">
        <f ca="1">IFERROR(__xludf.DUMMYFUNCTION("""COMPUTED_VALUE"""),"Herity Network")</f>
        <v>Herity Network</v>
      </c>
    </row>
    <row r="6049" spans="1:3" x14ac:dyDescent="0.25">
      <c r="A6049" s="2" t="str">
        <f ca="1">IFERROR(__xludf.DUMMYFUNCTION("""COMPUTED_VALUE"""),"hermes-dao")</f>
        <v>hermes-dao</v>
      </c>
      <c r="B6049" s="2" t="str">
        <f ca="1">IFERROR(__xludf.DUMMYFUNCTION("""COMPUTED_VALUE"""),"hmx")</f>
        <v>hmx</v>
      </c>
      <c r="C6049" s="2" t="str">
        <f ca="1">IFERROR(__xludf.DUMMYFUNCTION("""COMPUTED_VALUE"""),"Hermes DAO")</f>
        <v>Hermes DAO</v>
      </c>
    </row>
    <row r="6050" spans="1:3" x14ac:dyDescent="0.25">
      <c r="A6050" s="2" t="str">
        <f ca="1">IFERROR(__xludf.DUMMYFUNCTION("""COMPUTED_VALUE"""),"hermes-protocol")</f>
        <v>hermes-protocol</v>
      </c>
      <c r="B6050" s="2" t="str">
        <f ca="1">IFERROR(__xludf.DUMMYFUNCTION("""COMPUTED_VALUE"""),"hermes")</f>
        <v>hermes</v>
      </c>
      <c r="C6050" s="2" t="str">
        <f ca="1">IFERROR(__xludf.DUMMYFUNCTION("""COMPUTED_VALUE"""),"Hermes Protocol")</f>
        <v>Hermes Protocol</v>
      </c>
    </row>
    <row r="6051" spans="1:3" x14ac:dyDescent="0.25">
      <c r="A6051" s="2" t="str">
        <f ca="1">IFERROR(__xludf.DUMMYFUNCTION("""COMPUTED_VALUE"""),"hermez-network-token")</f>
        <v>hermez-network-token</v>
      </c>
      <c r="B6051" s="2" t="str">
        <f ca="1">IFERROR(__xludf.DUMMYFUNCTION("""COMPUTED_VALUE"""),"hez")</f>
        <v>hez</v>
      </c>
      <c r="C6051" s="2" t="str">
        <f ca="1">IFERROR(__xludf.DUMMYFUNCTION("""COMPUTED_VALUE"""),"Hermez Network")</f>
        <v>Hermez Network</v>
      </c>
    </row>
    <row r="6052" spans="1:3" x14ac:dyDescent="0.25">
      <c r="A6052" s="2" t="str">
        <f ca="1">IFERROR(__xludf.DUMMYFUNCTION("""COMPUTED_VALUE"""),"hero-arena")</f>
        <v>hero-arena</v>
      </c>
      <c r="B6052" s="2" t="str">
        <f ca="1">IFERROR(__xludf.DUMMYFUNCTION("""COMPUTED_VALUE"""),"hera")</f>
        <v>hera</v>
      </c>
      <c r="C6052" s="2" t="str">
        <f ca="1">IFERROR(__xludf.DUMMYFUNCTION("""COMPUTED_VALUE"""),"Hero Arena")</f>
        <v>Hero Arena</v>
      </c>
    </row>
    <row r="6053" spans="1:3" x14ac:dyDescent="0.25">
      <c r="A6053" s="2" t="str">
        <f ca="1">IFERROR(__xludf.DUMMYFUNCTION("""COMPUTED_VALUE"""),"hero-blaze-three-kingdoms")</f>
        <v>hero-blaze-three-kingdoms</v>
      </c>
      <c r="B6053" s="2" t="str">
        <f ca="1">IFERROR(__xludf.DUMMYFUNCTION("""COMPUTED_VALUE"""),"mudol2")</f>
        <v>mudol2</v>
      </c>
      <c r="C6053" s="2" t="str">
        <f ca="1">IFERROR(__xludf.DUMMYFUNCTION("""COMPUTED_VALUE"""),"Hero Blaze: Three Kingdoms")</f>
        <v>Hero Blaze: Three Kingdoms</v>
      </c>
    </row>
    <row r="6054" spans="1:3" x14ac:dyDescent="0.25">
      <c r="A6054" s="2" t="str">
        <f ca="1">IFERROR(__xludf.DUMMYFUNCTION("""COMPUTED_VALUE"""),"heroeschained")</f>
        <v>heroeschained</v>
      </c>
      <c r="B6054" s="2" t="str">
        <f ca="1">IFERROR(__xludf.DUMMYFUNCTION("""COMPUTED_VALUE"""),"hec")</f>
        <v>hec</v>
      </c>
      <c r="C6054" s="2" t="str">
        <f ca="1">IFERROR(__xludf.DUMMYFUNCTION("""COMPUTED_VALUE"""),"HeroesChained")</f>
        <v>HeroesChained</v>
      </c>
    </row>
    <row r="6055" spans="1:3" x14ac:dyDescent="0.25">
      <c r="A6055" s="2" t="str">
        <f ca="1">IFERROR(__xludf.DUMMYFUNCTION("""COMPUTED_VALUE"""),"heroes-empires")</f>
        <v>heroes-empires</v>
      </c>
      <c r="B6055" s="2" t="str">
        <f ca="1">IFERROR(__xludf.DUMMYFUNCTION("""COMPUTED_VALUE"""),"he")</f>
        <v>he</v>
      </c>
      <c r="C6055" s="2" t="str">
        <f ca="1">IFERROR(__xludf.DUMMYFUNCTION("""COMPUTED_VALUE"""),"Heroes &amp; Empires")</f>
        <v>Heroes &amp; Empires</v>
      </c>
    </row>
    <row r="6056" spans="1:3" x14ac:dyDescent="0.25">
      <c r="A6056" s="2" t="str">
        <f ca="1">IFERROR(__xludf.DUMMYFUNCTION("""COMPUTED_VALUE"""),"heroes-of-mavia")</f>
        <v>heroes-of-mavia</v>
      </c>
      <c r="B6056" s="2" t="str">
        <f ca="1">IFERROR(__xludf.DUMMYFUNCTION("""COMPUTED_VALUE"""),"mavia")</f>
        <v>mavia</v>
      </c>
      <c r="C6056" s="2" t="str">
        <f ca="1">IFERROR(__xludf.DUMMYFUNCTION("""COMPUTED_VALUE"""),"Heroes of Mavia")</f>
        <v>Heroes of Mavia</v>
      </c>
    </row>
    <row r="6057" spans="1:3" x14ac:dyDescent="0.25">
      <c r="A6057" s="2" t="str">
        <f ca="1">IFERROR(__xludf.DUMMYFUNCTION("""COMPUTED_VALUE"""),"heroes-of-nft")</f>
        <v>heroes-of-nft</v>
      </c>
      <c r="B6057" s="2" t="str">
        <f ca="1">IFERROR(__xludf.DUMMYFUNCTION("""COMPUTED_VALUE"""),"hon")</f>
        <v>hon</v>
      </c>
      <c r="C6057" s="2" t="str">
        <f ca="1">IFERROR(__xludf.DUMMYFUNCTION("""COMPUTED_VALUE"""),"Heroes of NFT")</f>
        <v>Heroes of NFT</v>
      </c>
    </row>
    <row r="6058" spans="1:3" x14ac:dyDescent="0.25">
      <c r="A6058" s="2" t="str">
        <f ca="1">IFERROR(__xludf.DUMMYFUNCTION("""COMPUTED_VALUE"""),"heroes-td")</f>
        <v>heroes-td</v>
      </c>
      <c r="B6058" s="2" t="str">
        <f ca="1">IFERROR(__xludf.DUMMYFUNCTION("""COMPUTED_VALUE"""),"htd")</f>
        <v>htd</v>
      </c>
      <c r="C6058" s="2" t="str">
        <f ca="1">IFERROR(__xludf.DUMMYFUNCTION("""COMPUTED_VALUE"""),"Heroes TD")</f>
        <v>Heroes TD</v>
      </c>
    </row>
    <row r="6059" spans="1:3" x14ac:dyDescent="0.25">
      <c r="A6059" s="2" t="str">
        <f ca="1">IFERROR(__xludf.DUMMYFUNCTION("""COMPUTED_VALUE"""),"herofi-token-2")</f>
        <v>herofi-token-2</v>
      </c>
      <c r="B6059" s="2" t="str">
        <f ca="1">IFERROR(__xludf.DUMMYFUNCTION("""COMPUTED_VALUE"""),"rofi")</f>
        <v>rofi</v>
      </c>
      <c r="C6059" s="2" t="str">
        <f ca="1">IFERROR(__xludf.DUMMYFUNCTION("""COMPUTED_VALUE"""),"HeroFi ROFI")</f>
        <v>HeroFi ROFI</v>
      </c>
    </row>
    <row r="6060" spans="1:3" x14ac:dyDescent="0.25">
      <c r="A6060" s="2" t="str">
        <f ca="1">IFERROR(__xludf.DUMMYFUNCTION("""COMPUTED_VALUE"""),"hero-meme")</f>
        <v>hero-meme</v>
      </c>
      <c r="B6060" s="2" t="str">
        <f ca="1">IFERROR(__xludf.DUMMYFUNCTION("""COMPUTED_VALUE"""),"hero")</f>
        <v>hero</v>
      </c>
      <c r="C6060" s="2" t="str">
        <f ca="1">IFERROR(__xludf.DUMMYFUNCTION("""COMPUTED_VALUE"""),"Hero")</f>
        <v>Hero</v>
      </c>
    </row>
    <row r="6061" spans="1:3" x14ac:dyDescent="0.25">
      <c r="A6061" s="2" t="str">
        <f ca="1">IFERROR(__xludf.DUMMYFUNCTION("""COMPUTED_VALUE"""),"hex")</f>
        <v>hex</v>
      </c>
      <c r="B6061" s="2" t="str">
        <f ca="1">IFERROR(__xludf.DUMMYFUNCTION("""COMPUTED_VALUE"""),"hex")</f>
        <v>hex</v>
      </c>
      <c r="C6061" s="2" t="str">
        <f ca="1">IFERROR(__xludf.DUMMYFUNCTION("""COMPUTED_VALUE"""),"HEX")</f>
        <v>HEX</v>
      </c>
    </row>
    <row r="6062" spans="1:3" x14ac:dyDescent="0.25">
      <c r="A6062" s="2" t="str">
        <f ca="1">IFERROR(__xludf.DUMMYFUNCTION("""COMPUTED_VALUE"""),"hex-dollar-coin")</f>
        <v>hex-dollar-coin</v>
      </c>
      <c r="B6062" s="2" t="str">
        <f ca="1">IFERROR(__xludf.DUMMYFUNCTION("""COMPUTED_VALUE"""),"hexdc")</f>
        <v>hexdc</v>
      </c>
      <c r="C6062" s="2" t="str">
        <f ca="1">IFERROR(__xludf.DUMMYFUNCTION("""COMPUTED_VALUE"""),"HEX Dollar Coin")</f>
        <v>HEX Dollar Coin</v>
      </c>
    </row>
    <row r="6063" spans="1:3" x14ac:dyDescent="0.25">
      <c r="A6063" s="2" t="str">
        <f ca="1">IFERROR(__xludf.DUMMYFUNCTION("""COMPUTED_VALUE"""),"hexfire")</f>
        <v>hexfire</v>
      </c>
      <c r="B6063" s="2" t="str">
        <f ca="1">IFERROR(__xludf.DUMMYFUNCTION("""COMPUTED_VALUE"""),"fire")</f>
        <v>fire</v>
      </c>
      <c r="C6063" s="2" t="str">
        <f ca="1">IFERROR(__xludf.DUMMYFUNCTION("""COMPUTED_VALUE"""),"HEXFIRE")</f>
        <v>HEXFIRE</v>
      </c>
    </row>
    <row r="6064" spans="1:3" x14ac:dyDescent="0.25">
      <c r="A6064" s="2" t="str">
        <f ca="1">IFERROR(__xludf.DUMMYFUNCTION("""COMPUTED_VALUE"""),"hex-orange-address")</f>
        <v>hex-orange-address</v>
      </c>
      <c r="B6064" s="2" t="str">
        <f ca="1">IFERROR(__xludf.DUMMYFUNCTION("""COMPUTED_VALUE"""),"hoa")</f>
        <v>hoa</v>
      </c>
      <c r="C6064" s="2" t="str">
        <f ca="1">IFERROR(__xludf.DUMMYFUNCTION("""COMPUTED_VALUE"""),"Hex Orange Address")</f>
        <v>Hex Orange Address</v>
      </c>
    </row>
    <row r="6065" spans="1:3" x14ac:dyDescent="0.25">
      <c r="A6065" s="2" t="str">
        <f ca="1">IFERROR(__xludf.DUMMYFUNCTION("""COMPUTED_VALUE"""),"hex-pulsechain")</f>
        <v>hex-pulsechain</v>
      </c>
      <c r="B6065" s="2" t="str">
        <f ca="1">IFERROR(__xludf.DUMMYFUNCTION("""COMPUTED_VALUE"""),"hex")</f>
        <v>hex</v>
      </c>
      <c r="C6065" s="2" t="str">
        <f ca="1">IFERROR(__xludf.DUMMYFUNCTION("""COMPUTED_VALUE"""),"HEX (PulseChain)")</f>
        <v>HEX (PulseChain)</v>
      </c>
    </row>
    <row r="6066" spans="1:3" x14ac:dyDescent="0.25">
      <c r="A6066" s="2" t="str">
        <f ca="1">IFERROR(__xludf.DUMMYFUNCTION("""COMPUTED_VALUE"""),"hex-trust-usdx")</f>
        <v>hex-trust-usdx</v>
      </c>
      <c r="B6066" s="2" t="str">
        <f ca="1">IFERROR(__xludf.DUMMYFUNCTION("""COMPUTED_VALUE"""),"usdx")</f>
        <v>usdx</v>
      </c>
      <c r="C6066" s="2" t="str">
        <f ca="1">IFERROR(__xludf.DUMMYFUNCTION("""COMPUTED_VALUE"""),"Hex Trust USD")</f>
        <v>Hex Trust USD</v>
      </c>
    </row>
    <row r="6067" spans="1:3" x14ac:dyDescent="0.25">
      <c r="A6067" s="2" t="str">
        <f ca="1">IFERROR(__xludf.DUMMYFUNCTION("""COMPUTED_VALUE"""),"heyflokiai")</f>
        <v>heyflokiai</v>
      </c>
      <c r="B6067" s="2" t="str">
        <f ca="1">IFERROR(__xludf.DUMMYFUNCTION("""COMPUTED_VALUE"""),"a2e")</f>
        <v>a2e</v>
      </c>
      <c r="C6067" s="2" t="str">
        <f ca="1">IFERROR(__xludf.DUMMYFUNCTION("""COMPUTED_VALUE"""),"Hey Floki Ai")</f>
        <v>Hey Floki Ai</v>
      </c>
    </row>
    <row r="6068" spans="1:3" x14ac:dyDescent="0.25">
      <c r="A6068" s="2" t="str">
        <f ca="1">IFERROR(__xludf.DUMMYFUNCTION("""COMPUTED_VALUE"""),"hibeanz")</f>
        <v>hibeanz</v>
      </c>
      <c r="B6068" s="2" t="str">
        <f ca="1">IFERROR(__xludf.DUMMYFUNCTION("""COMPUTED_VALUE"""),"hibeanz")</f>
        <v>hibeanz</v>
      </c>
      <c r="C6068" s="2" t="str">
        <f ca="1">IFERROR(__xludf.DUMMYFUNCTION("""COMPUTED_VALUE"""),"hiBEANZ")</f>
        <v>hiBEANZ</v>
      </c>
    </row>
    <row r="6069" spans="1:3" x14ac:dyDescent="0.25">
      <c r="A6069" s="2" t="str">
        <f ca="1">IFERROR(__xludf.DUMMYFUNCTION("""COMPUTED_VALUE"""),"hibiki-run")</f>
        <v>hibiki-run</v>
      </c>
      <c r="B6069" s="2" t="str">
        <f ca="1">IFERROR(__xludf.DUMMYFUNCTION("""COMPUTED_VALUE"""),"hut")</f>
        <v>hut</v>
      </c>
      <c r="C6069" s="2" t="str">
        <f ca="1">IFERROR(__xludf.DUMMYFUNCTION("""COMPUTED_VALUE"""),"Hibiki Run")</f>
        <v>Hibiki Run</v>
      </c>
    </row>
    <row r="6070" spans="1:3" x14ac:dyDescent="0.25">
      <c r="A6070" s="2" t="str">
        <f ca="1">IFERROR(__xludf.DUMMYFUNCTION("""COMPUTED_VALUE"""),"hiblocks")</f>
        <v>hiblocks</v>
      </c>
      <c r="B6070" s="2" t="str">
        <f ca="1">IFERROR(__xludf.DUMMYFUNCTION("""COMPUTED_VALUE"""),"hibs")</f>
        <v>hibs</v>
      </c>
      <c r="C6070" s="2" t="str">
        <f ca="1">IFERROR(__xludf.DUMMYFUNCTION("""COMPUTED_VALUE"""),"Hiblocks")</f>
        <v>Hiblocks</v>
      </c>
    </row>
    <row r="6071" spans="1:3" x14ac:dyDescent="0.25">
      <c r="A6071" s="2" t="str">
        <f ca="1">IFERROR(__xludf.DUMMYFUNCTION("""COMPUTED_VALUE"""),"hi-dollar")</f>
        <v>hi-dollar</v>
      </c>
      <c r="B6071" s="2" t="str">
        <f ca="1">IFERROR(__xludf.DUMMYFUNCTION("""COMPUTED_VALUE"""),"hi")</f>
        <v>hi</v>
      </c>
      <c r="C6071" s="2" t="str">
        <f ca="1">IFERROR(__xludf.DUMMYFUNCTION("""COMPUTED_VALUE"""),"hi Dollar")</f>
        <v>hi Dollar</v>
      </c>
    </row>
    <row r="6072" spans="1:3" x14ac:dyDescent="0.25">
      <c r="A6072" s="2" t="str">
        <f ca="1">IFERROR(__xludf.DUMMYFUNCTION("""COMPUTED_VALUE"""),"hidoodles")</f>
        <v>hidoodles</v>
      </c>
      <c r="B6072" s="2" t="str">
        <f ca="1">IFERROR(__xludf.DUMMYFUNCTION("""COMPUTED_VALUE"""),"hidoodles")</f>
        <v>hidoodles</v>
      </c>
      <c r="C6072" s="2" t="str">
        <f ca="1">IFERROR(__xludf.DUMMYFUNCTION("""COMPUTED_VALUE"""),"hiDOODLES")</f>
        <v>hiDOODLES</v>
      </c>
    </row>
    <row r="6073" spans="1:3" x14ac:dyDescent="0.25">
      <c r="A6073" s="2" t="str">
        <f ca="1">IFERROR(__xludf.DUMMYFUNCTION("""COMPUTED_VALUE"""),"hiens3")</f>
        <v>hiens3</v>
      </c>
      <c r="B6073" s="2" t="str">
        <f ca="1">IFERROR(__xludf.DUMMYFUNCTION("""COMPUTED_VALUE"""),"hiens3")</f>
        <v>hiens3</v>
      </c>
      <c r="C6073" s="2" t="str">
        <f ca="1">IFERROR(__xludf.DUMMYFUNCTION("""COMPUTED_VALUE"""),"hiENS3")</f>
        <v>hiENS3</v>
      </c>
    </row>
    <row r="6074" spans="1:3" x14ac:dyDescent="0.25">
      <c r="A6074" s="2" t="str">
        <f ca="1">IFERROR(__xludf.DUMMYFUNCTION("""COMPUTED_VALUE"""),"hiens4")</f>
        <v>hiens4</v>
      </c>
      <c r="B6074" s="2" t="str">
        <f ca="1">IFERROR(__xludf.DUMMYFUNCTION("""COMPUTED_VALUE"""),"hiens4")</f>
        <v>hiens4</v>
      </c>
      <c r="C6074" s="2" t="str">
        <f ca="1">IFERROR(__xludf.DUMMYFUNCTION("""COMPUTED_VALUE"""),"hiENS4")</f>
        <v>hiENS4</v>
      </c>
    </row>
    <row r="6075" spans="1:3" x14ac:dyDescent="0.25">
      <c r="A6075" s="2" t="str">
        <f ca="1">IFERROR(__xludf.DUMMYFUNCTION("""COMPUTED_VALUE"""),"hifi-finance")</f>
        <v>hifi-finance</v>
      </c>
      <c r="B6075" s="2" t="str">
        <f ca="1">IFERROR(__xludf.DUMMYFUNCTION("""COMPUTED_VALUE"""),"hifi")</f>
        <v>hifi</v>
      </c>
      <c r="C6075" s="2" t="str">
        <f ca="1">IFERROR(__xludf.DUMMYFUNCTION("""COMPUTED_VALUE"""),"Hifi Finance")</f>
        <v>Hifi Finance</v>
      </c>
    </row>
    <row r="6076" spans="1:3" x14ac:dyDescent="0.25">
      <c r="A6076" s="2" t="str">
        <f ca="1">IFERROR(__xludf.DUMMYFUNCTION("""COMPUTED_VALUE"""),"hifriends")</f>
        <v>hifriends</v>
      </c>
      <c r="B6076" s="2" t="str">
        <f ca="1">IFERROR(__xludf.DUMMYFUNCTION("""COMPUTED_VALUE"""),"hifriends")</f>
        <v>hifriends</v>
      </c>
      <c r="C6076" s="2" t="str">
        <f ca="1">IFERROR(__xludf.DUMMYFUNCTION("""COMPUTED_VALUE"""),"hiFRIENDS")</f>
        <v>hiFRIENDS</v>
      </c>
    </row>
    <row r="6077" spans="1:3" x14ac:dyDescent="0.25">
      <c r="A6077" s="2" t="str">
        <f ca="1">IFERROR(__xludf.DUMMYFUNCTION("""COMPUTED_VALUE"""),"high")</f>
        <v>high</v>
      </c>
      <c r="B6077" s="2" t="str">
        <f ca="1">IFERROR(__xludf.DUMMYFUNCTION("""COMPUTED_VALUE"""),"high")</f>
        <v>high</v>
      </c>
      <c r="C6077" s="2" t="str">
        <f ca="1">IFERROR(__xludf.DUMMYFUNCTION("""COMPUTED_VALUE"""),"High")</f>
        <v>High</v>
      </c>
    </row>
    <row r="6078" spans="1:3" x14ac:dyDescent="0.25">
      <c r="A6078" s="2" t="str">
        <f ca="1">IFERROR(__xludf.DUMMYFUNCTION("""COMPUTED_VALUE"""),"higher")</f>
        <v>higher</v>
      </c>
      <c r="B6078" s="2" t="str">
        <f ca="1">IFERROR(__xludf.DUMMYFUNCTION("""COMPUTED_VALUE"""),"higher")</f>
        <v>higher</v>
      </c>
      <c r="C6078" s="2" t="str">
        <f ca="1">IFERROR(__xludf.DUMMYFUNCTION("""COMPUTED_VALUE"""),"higher")</f>
        <v>higher</v>
      </c>
    </row>
    <row r="6079" spans="1:3" x14ac:dyDescent="0.25">
      <c r="A6079" s="2" t="str">
        <f ca="1">IFERROR(__xludf.DUMMYFUNCTION("""COMPUTED_VALUE"""),"higher-imo")</f>
        <v>higher-imo</v>
      </c>
      <c r="B6079" s="2" t="str">
        <f ca="1">IFERROR(__xludf.DUMMYFUNCTION("""COMPUTED_VALUE"""),"higher")</f>
        <v>higher</v>
      </c>
      <c r="C6079" s="2" t="str">
        <f ca="1">IFERROR(__xludf.DUMMYFUNCTION("""COMPUTED_VALUE"""),"HIgher IMO")</f>
        <v>HIgher IMO</v>
      </c>
    </row>
    <row r="6080" spans="1:3" x14ac:dyDescent="0.25">
      <c r="A6080" s="2" t="str">
        <f ca="1">IFERROR(__xludf.DUMMYFUNCTION("""COMPUTED_VALUE"""),"highnoon")</f>
        <v>highnoon</v>
      </c>
      <c r="B6080" s="2" t="str">
        <f ca="1">IFERROR(__xludf.DUMMYFUNCTION("""COMPUTED_VALUE"""),"noon")</f>
        <v>noon</v>
      </c>
      <c r="C6080" s="2" t="str">
        <f ca="1">IFERROR(__xludf.DUMMYFUNCTION("""COMPUTED_VALUE"""),"HighNoon")</f>
        <v>HighNoon</v>
      </c>
    </row>
    <row r="6081" spans="1:3" x14ac:dyDescent="0.25">
      <c r="A6081" s="2" t="str">
        <f ca="1">IFERROR(__xludf.DUMMYFUNCTION("""COMPUTED_VALUE"""),"high-performance-blockchain")</f>
        <v>high-performance-blockchain</v>
      </c>
      <c r="B6081" s="2" t="str">
        <f ca="1">IFERROR(__xludf.DUMMYFUNCTION("""COMPUTED_VALUE"""),"hpb")</f>
        <v>hpb</v>
      </c>
      <c r="C6081" s="2" t="str">
        <f ca="1">IFERROR(__xludf.DUMMYFUNCTION("""COMPUTED_VALUE"""),"High Performance Blockchain")</f>
        <v>High Performance Blockchain</v>
      </c>
    </row>
    <row r="6082" spans="1:3" x14ac:dyDescent="0.25">
      <c r="A6082" s="2" t="str">
        <f ca="1">IFERROR(__xludf.DUMMYFUNCTION("""COMPUTED_VALUE"""),"highstreet")</f>
        <v>highstreet</v>
      </c>
      <c r="B6082" s="2" t="str">
        <f ca="1">IFERROR(__xludf.DUMMYFUNCTION("""COMPUTED_VALUE"""),"high")</f>
        <v>high</v>
      </c>
      <c r="C6082" s="2" t="str">
        <f ca="1">IFERROR(__xludf.DUMMYFUNCTION("""COMPUTED_VALUE"""),"Highstreet")</f>
        <v>Highstreet</v>
      </c>
    </row>
    <row r="6083" spans="1:3" x14ac:dyDescent="0.25">
      <c r="A6083" s="2" t="str">
        <f ca="1">IFERROR(__xludf.DUMMYFUNCTION("""COMPUTED_VALUE"""),"high-yield-eth-index")</f>
        <v>high-yield-eth-index</v>
      </c>
      <c r="B6083" s="2" t="str">
        <f ca="1">IFERROR(__xludf.DUMMYFUNCTION("""COMPUTED_VALUE"""),"hyeth")</f>
        <v>hyeth</v>
      </c>
      <c r="C6083" s="2" t="str">
        <f ca="1">IFERROR(__xludf.DUMMYFUNCTION("""COMPUTED_VALUE"""),"High Yield ETH Index")</f>
        <v>High Yield ETH Index</v>
      </c>
    </row>
    <row r="6084" spans="1:3" x14ac:dyDescent="0.25">
      <c r="A6084" s="2" t="str">
        <f ca="1">IFERROR(__xludf.DUMMYFUNCTION("""COMPUTED_VALUE"""),"high-yield-usd")</f>
        <v>high-yield-usd</v>
      </c>
      <c r="B6084" s="2" t="str">
        <f ca="1">IFERROR(__xludf.DUMMYFUNCTION("""COMPUTED_VALUE"""),"hyusd")</f>
        <v>hyusd</v>
      </c>
      <c r="C6084" s="2" t="str">
        <f ca="1">IFERROR(__xludf.DUMMYFUNCTION("""COMPUTED_VALUE"""),"High Yield USD")</f>
        <v>High Yield USD</v>
      </c>
    </row>
    <row r="6085" spans="1:3" x14ac:dyDescent="0.25">
      <c r="A6085" s="2" t="str">
        <f ca="1">IFERROR(__xludf.DUMMYFUNCTION("""COMPUTED_VALUE"""),"high-yield-usd-base")</f>
        <v>high-yield-usd-base</v>
      </c>
      <c r="B6085" s="2" t="str">
        <f ca="1">IFERROR(__xludf.DUMMYFUNCTION("""COMPUTED_VALUE"""),"hyusd")</f>
        <v>hyusd</v>
      </c>
      <c r="C6085" s="2" t="str">
        <f ca="1">IFERROR(__xludf.DUMMYFUNCTION("""COMPUTED_VALUE"""),"High Yield USD (Base)")</f>
        <v>High Yield USD (Base)</v>
      </c>
    </row>
    <row r="6086" spans="1:3" x14ac:dyDescent="0.25">
      <c r="A6086" s="2" t="str">
        <f ca="1">IFERROR(__xludf.DUMMYFUNCTION("""COMPUTED_VALUE"""),"hikari-protocol")</f>
        <v>hikari-protocol</v>
      </c>
      <c r="B6086" s="2" t="str">
        <f ca="1">IFERROR(__xludf.DUMMYFUNCTION("""COMPUTED_VALUE"""),"hikari")</f>
        <v>hikari</v>
      </c>
      <c r="C6086" s="2" t="str">
        <f ca="1">IFERROR(__xludf.DUMMYFUNCTION("""COMPUTED_VALUE"""),"Hikari Protocol")</f>
        <v>Hikari Protocol</v>
      </c>
    </row>
    <row r="6087" spans="1:3" x14ac:dyDescent="0.25">
      <c r="A6087" s="2" t="str">
        <f ca="1">IFERROR(__xludf.DUMMYFUNCTION("""COMPUTED_VALUE"""),"hillstone")</f>
        <v>hillstone</v>
      </c>
      <c r="B6087" s="2" t="str">
        <f ca="1">IFERROR(__xludf.DUMMYFUNCTION("""COMPUTED_VALUE"""),"hsf")</f>
        <v>hsf</v>
      </c>
      <c r="C6087" s="2" t="str">
        <f ca="1">IFERROR(__xludf.DUMMYFUNCTION("""COMPUTED_VALUE"""),"Hillstone Finance")</f>
        <v>Hillstone Finance</v>
      </c>
    </row>
    <row r="6088" spans="1:3" x14ac:dyDescent="0.25">
      <c r="A6088" s="2" t="str">
        <f ca="1">IFERROR(__xludf.DUMMYFUNCTION("""COMPUTED_VALUE"""),"hilo-2")</f>
        <v>hilo-2</v>
      </c>
      <c r="B6088" s="2" t="str">
        <f ca="1">IFERROR(__xludf.DUMMYFUNCTION("""COMPUTED_VALUE"""),"hilo")</f>
        <v>hilo</v>
      </c>
      <c r="C6088" s="2" t="str">
        <f ca="1">IFERROR(__xludf.DUMMYFUNCTION("""COMPUTED_VALUE"""),"Hilo")</f>
        <v>Hilo</v>
      </c>
    </row>
    <row r="6089" spans="1:3" x14ac:dyDescent="0.25">
      <c r="A6089" s="2" t="str">
        <f ca="1">IFERROR(__xludf.DUMMYFUNCTION("""COMPUTED_VALUE"""),"himitsu")</f>
        <v>himitsu</v>
      </c>
      <c r="B6089" s="2" t="str">
        <f ca="1">IFERROR(__xludf.DUMMYFUNCTION("""COMPUTED_VALUE"""),"him")</f>
        <v>him</v>
      </c>
      <c r="C6089" s="2" t="str">
        <f ca="1">IFERROR(__xludf.DUMMYFUNCTION("""COMPUTED_VALUE"""),"Himitsu")</f>
        <v>Himitsu</v>
      </c>
    </row>
    <row r="6090" spans="1:3" x14ac:dyDescent="0.25">
      <c r="A6090" s="2" t="str">
        <f ca="1">IFERROR(__xludf.DUMMYFUNCTION("""COMPUTED_VALUE"""),"himoonbirds")</f>
        <v>himoonbirds</v>
      </c>
      <c r="B6090" s="2" t="str">
        <f ca="1">IFERROR(__xludf.DUMMYFUNCTION("""COMPUTED_VALUE"""),"himoonbirds")</f>
        <v>himoonbirds</v>
      </c>
      <c r="C6090" s="2" t="str">
        <f ca="1">IFERROR(__xludf.DUMMYFUNCTION("""COMPUTED_VALUE"""),"hiMOONBIRDS")</f>
        <v>hiMOONBIRDS</v>
      </c>
    </row>
    <row r="6091" spans="1:3" x14ac:dyDescent="0.25">
      <c r="A6091" s="2" t="str">
        <f ca="1">IFERROR(__xludf.DUMMYFUNCTION("""COMPUTED_VALUE"""),"himo-world")</f>
        <v>himo-world</v>
      </c>
      <c r="B6091" s="2" t="str">
        <f ca="1">IFERROR(__xludf.DUMMYFUNCTION("""COMPUTED_VALUE"""),"himo")</f>
        <v>himo</v>
      </c>
      <c r="C6091" s="2" t="str">
        <f ca="1">IFERROR(__xludf.DUMMYFUNCTION("""COMPUTED_VALUE"""),"Himo World")</f>
        <v>Himo World</v>
      </c>
    </row>
    <row r="6092" spans="1:3" x14ac:dyDescent="0.25">
      <c r="A6092" s="2" t="str">
        <f ca="1">IFERROR(__xludf.DUMMYFUNCTION("""COMPUTED_VALUE"""),"hinkal-staked-eth")</f>
        <v>hinkal-staked-eth</v>
      </c>
      <c r="B6092" s="2" t="str">
        <f ca="1">IFERROR(__xludf.DUMMYFUNCTION("""COMPUTED_VALUE"""),"heth")</f>
        <v>heth</v>
      </c>
      <c r="C6092" s="2" t="str">
        <f ca="1">IFERROR(__xludf.DUMMYFUNCTION("""COMPUTED_VALUE"""),"Hinkal Staked ETH")</f>
        <v>Hinkal Staked ETH</v>
      </c>
    </row>
    <row r="6093" spans="1:3" x14ac:dyDescent="0.25">
      <c r="A6093" s="2" t="str">
        <f ca="1">IFERROR(__xludf.DUMMYFUNCTION("""COMPUTED_VALUE"""),"hipenguins")</f>
        <v>hipenguins</v>
      </c>
      <c r="B6093" s="2" t="str">
        <f ca="1">IFERROR(__xludf.DUMMYFUNCTION("""COMPUTED_VALUE"""),"hipenguins")</f>
        <v>hipenguins</v>
      </c>
      <c r="C6093" s="2" t="str">
        <f ca="1">IFERROR(__xludf.DUMMYFUNCTION("""COMPUTED_VALUE"""),"hiPENGUINS")</f>
        <v>hiPENGUINS</v>
      </c>
    </row>
    <row r="6094" spans="1:3" x14ac:dyDescent="0.25">
      <c r="A6094" s="2" t="str">
        <f ca="1">IFERROR(__xludf.DUMMYFUNCTION("""COMPUTED_VALUE"""),"hipo-finance")</f>
        <v>hipo-finance</v>
      </c>
      <c r="B6094" s="2" t="str">
        <f ca="1">IFERROR(__xludf.DUMMYFUNCTION("""COMPUTED_VALUE"""),"hpo")</f>
        <v>hpo</v>
      </c>
      <c r="C6094" s="2" t="str">
        <f ca="1">IFERROR(__xludf.DUMMYFUNCTION("""COMPUTED_VALUE"""),"Hipo Finance")</f>
        <v>Hipo Finance</v>
      </c>
    </row>
    <row r="6095" spans="1:3" x14ac:dyDescent="0.25">
      <c r="A6095" s="2" t="str">
        <f ca="1">IFERROR(__xludf.DUMMYFUNCTION("""COMPUTED_VALUE"""),"hipo-staked-ton")</f>
        <v>hipo-staked-ton</v>
      </c>
      <c r="B6095" s="2" t="str">
        <f ca="1">IFERROR(__xludf.DUMMYFUNCTION("""COMPUTED_VALUE"""),"hton")</f>
        <v>hton</v>
      </c>
      <c r="C6095" s="2" t="str">
        <f ca="1">IFERROR(__xludf.DUMMYFUNCTION("""COMPUTED_VALUE"""),"Hipo Staked TON")</f>
        <v>Hipo Staked TON</v>
      </c>
    </row>
    <row r="6096" spans="1:3" x14ac:dyDescent="0.25">
      <c r="A6096" s="2" t="str">
        <f ca="1">IFERROR(__xludf.DUMMYFUNCTION("""COMPUTED_VALUE"""),"hippop")</f>
        <v>hippop</v>
      </c>
      <c r="B6096" s="2" t="str">
        <f ca="1">IFERROR(__xludf.DUMMYFUNCTION("""COMPUTED_VALUE"""),"hip")</f>
        <v>hip</v>
      </c>
      <c r="C6096" s="2" t="str">
        <f ca="1">IFERROR(__xludf.DUMMYFUNCTION("""COMPUTED_VALUE"""),"HIPPOP")</f>
        <v>HIPPOP</v>
      </c>
    </row>
    <row r="6097" spans="1:3" x14ac:dyDescent="0.25">
      <c r="A6097" s="2" t="str">
        <f ca="1">IFERROR(__xludf.DUMMYFUNCTION("""COMPUTED_VALUE"""),"hippopotamus")</f>
        <v>hippopotamus</v>
      </c>
      <c r="B6097" s="2" t="str">
        <f ca="1">IFERROR(__xludf.DUMMYFUNCTION("""COMPUTED_VALUE"""),"hpo")</f>
        <v>hpo</v>
      </c>
      <c r="C6097" s="2" t="str">
        <f ca="1">IFERROR(__xludf.DUMMYFUNCTION("""COMPUTED_VALUE"""),"Hippo Wallet")</f>
        <v>Hippo Wallet</v>
      </c>
    </row>
    <row r="6098" spans="1:3" x14ac:dyDescent="0.25">
      <c r="A6098" s="2" t="str">
        <f ca="1">IFERROR(__xludf.DUMMYFUNCTION("""COMPUTED_VALUE"""),"hippo-token")</f>
        <v>hippo-token</v>
      </c>
      <c r="B6098" s="2" t="str">
        <f ca="1">IFERROR(__xludf.DUMMYFUNCTION("""COMPUTED_VALUE"""),"hip")</f>
        <v>hip</v>
      </c>
      <c r="C6098" s="2" t="str">
        <f ca="1">IFERROR(__xludf.DUMMYFUNCTION("""COMPUTED_VALUE"""),"Hippo")</f>
        <v>Hippo</v>
      </c>
    </row>
    <row r="6099" spans="1:3" x14ac:dyDescent="0.25">
      <c r="A6099" s="2" t="str">
        <f ca="1">IFERROR(__xludf.DUMMYFUNCTION("""COMPUTED_VALUE"""),"hiro")</f>
        <v>hiro</v>
      </c>
      <c r="B6099" s="2" t="str">
        <f ca="1">IFERROR(__xludf.DUMMYFUNCTION("""COMPUTED_VALUE"""),"hrt")</f>
        <v>hrt</v>
      </c>
      <c r="C6099" s="2" t="str">
        <f ca="1">IFERROR(__xludf.DUMMYFUNCTION("""COMPUTED_VALUE"""),"HIRO")</f>
        <v>HIRO</v>
      </c>
    </row>
    <row r="6100" spans="1:3" x14ac:dyDescent="0.25">
      <c r="A6100" s="2" t="str">
        <f ca="1">IFERROR(__xludf.DUMMYFUNCTION("""COMPUTED_VALUE"""),"hiseals")</f>
        <v>hiseals</v>
      </c>
      <c r="B6100" s="2" t="str">
        <f ca="1">IFERROR(__xludf.DUMMYFUNCTION("""COMPUTED_VALUE"""),"hiseals")</f>
        <v>hiseals</v>
      </c>
      <c r="C6100" s="2" t="str">
        <f ca="1">IFERROR(__xludf.DUMMYFUNCTION("""COMPUTED_VALUE"""),"hiSEALS")</f>
        <v>hiSEALS</v>
      </c>
    </row>
    <row r="6101" spans="1:3" x14ac:dyDescent="0.25">
      <c r="A6101" s="2" t="str">
        <f ca="1">IFERROR(__xludf.DUMMYFUNCTION("""COMPUTED_VALUE"""),"historia")</f>
        <v>historia</v>
      </c>
      <c r="B6101" s="2" t="str">
        <f ca="1">IFERROR(__xludf.DUMMYFUNCTION("""COMPUTED_VALUE"""),"hta")</f>
        <v>hta</v>
      </c>
      <c r="C6101" s="2" t="str">
        <f ca="1">IFERROR(__xludf.DUMMYFUNCTION("""COMPUTED_VALUE"""),"Historia")</f>
        <v>Historia</v>
      </c>
    </row>
    <row r="6102" spans="1:3" x14ac:dyDescent="0.25">
      <c r="A6102" s="2" t="str">
        <f ca="1">IFERROR(__xludf.DUMMYFUNCTION("""COMPUTED_VALUE"""),"historydao")</f>
        <v>historydao</v>
      </c>
      <c r="B6102" s="2" t="str">
        <f ca="1">IFERROR(__xludf.DUMMYFUNCTION("""COMPUTED_VALUE"""),"hao")</f>
        <v>hao</v>
      </c>
      <c r="C6102" s="2" t="str">
        <f ca="1">IFERROR(__xludf.DUMMYFUNCTION("""COMPUTED_VALUE"""),"HistoryDAO")</f>
        <v>HistoryDAO</v>
      </c>
    </row>
    <row r="6103" spans="1:3" x14ac:dyDescent="0.25">
      <c r="A6103" s="2" t="str">
        <f ca="1">IFERROR(__xludf.DUMMYFUNCTION("""COMPUTED_VALUE"""),"history-of-pepe")</f>
        <v>history-of-pepe</v>
      </c>
      <c r="B6103" s="2" t="str">
        <f ca="1">IFERROR(__xludf.DUMMYFUNCTION("""COMPUTED_VALUE"""),"hope")</f>
        <v>hope</v>
      </c>
      <c r="C6103" s="2" t="str">
        <f ca="1">IFERROR(__xludf.DUMMYFUNCTION("""COMPUTED_VALUE"""),"History of Pepe")</f>
        <v>History of Pepe</v>
      </c>
    </row>
    <row r="6104" spans="1:3" x14ac:dyDescent="0.25">
      <c r="A6104" s="2" t="str">
        <f ca="1">IFERROR(__xludf.DUMMYFUNCTION("""COMPUTED_VALUE"""),"hitbtc-token")</f>
        <v>hitbtc-token</v>
      </c>
      <c r="B6104" s="2" t="str">
        <f ca="1">IFERROR(__xludf.DUMMYFUNCTION("""COMPUTED_VALUE"""),"hit")</f>
        <v>hit</v>
      </c>
      <c r="C6104" s="2" t="str">
        <f ca="1">IFERROR(__xludf.DUMMYFUNCTION("""COMPUTED_VALUE"""),"HitBTC")</f>
        <v>HitBTC</v>
      </c>
    </row>
    <row r="6105" spans="1:3" x14ac:dyDescent="0.25">
      <c r="A6105" s="2" t="str">
        <f ca="1">IFERROR(__xludf.DUMMYFUNCTION("""COMPUTED_VALUE"""),"hitchain")</f>
        <v>hitchain</v>
      </c>
      <c r="B6105" s="2" t="str">
        <f ca="1">IFERROR(__xludf.DUMMYFUNCTION("""COMPUTED_VALUE"""),"hit")</f>
        <v>hit</v>
      </c>
      <c r="C6105" s="2" t="str">
        <f ca="1">IFERROR(__xludf.DUMMYFUNCTION("""COMPUTED_VALUE"""),"HitChain")</f>
        <v>HitChain</v>
      </c>
    </row>
    <row r="6106" spans="1:3" x14ac:dyDescent="0.25">
      <c r="A6106" s="2" t="str">
        <f ca="1">IFERROR(__xludf.DUMMYFUNCTION("""COMPUTED_VALUE"""),"hitmakr")</f>
        <v>hitmakr</v>
      </c>
      <c r="B6106" s="2" t="str">
        <f ca="1">IFERROR(__xludf.DUMMYFUNCTION("""COMPUTED_VALUE"""),"hmkr")</f>
        <v>hmkr</v>
      </c>
      <c r="C6106" s="2" t="str">
        <f ca="1">IFERROR(__xludf.DUMMYFUNCTION("""COMPUTED_VALUE"""),"Hitmakr")</f>
        <v>Hitmakr</v>
      </c>
    </row>
    <row r="6107" spans="1:3" x14ac:dyDescent="0.25">
      <c r="A6107" s="2" t="str">
        <f ca="1">IFERROR(__xludf.DUMMYFUNCTION("""COMPUTED_VALUE"""),"hit-meeee-upp")</f>
        <v>hit-meeee-upp</v>
      </c>
      <c r="B6107" s="2" t="str">
        <f ca="1">IFERROR(__xludf.DUMMYFUNCTION("""COMPUTED_VALUE"""),"hmu")</f>
        <v>hmu</v>
      </c>
      <c r="C6107" s="2" t="str">
        <f ca="1">IFERROR(__xludf.DUMMYFUNCTION("""COMPUTED_VALUE"""),"hit meeee upp")</f>
        <v>hit meeee upp</v>
      </c>
    </row>
    <row r="6108" spans="1:3" x14ac:dyDescent="0.25">
      <c r="A6108" s="2" t="str">
        <f ca="1">IFERROR(__xludf.DUMMYFUNCTION("""COMPUTED_VALUE"""),"hive")</f>
        <v>hive</v>
      </c>
      <c r="B6108" s="2" t="str">
        <f ca="1">IFERROR(__xludf.DUMMYFUNCTION("""COMPUTED_VALUE"""),"hive")</f>
        <v>hive</v>
      </c>
      <c r="C6108" s="2" t="str">
        <f ca="1">IFERROR(__xludf.DUMMYFUNCTION("""COMPUTED_VALUE"""),"Hive")</f>
        <v>Hive</v>
      </c>
    </row>
    <row r="6109" spans="1:3" x14ac:dyDescent="0.25">
      <c r="A6109" s="2" t="str">
        <f ca="1">IFERROR(__xludf.DUMMYFUNCTION("""COMPUTED_VALUE"""),"hive_dollar")</f>
        <v>hive_dollar</v>
      </c>
      <c r="B6109" s="2" t="str">
        <f ca="1">IFERROR(__xludf.DUMMYFUNCTION("""COMPUTED_VALUE"""),"hbd")</f>
        <v>hbd</v>
      </c>
      <c r="C6109" s="2" t="str">
        <f ca="1">IFERROR(__xludf.DUMMYFUNCTION("""COMPUTED_VALUE"""),"Hive Dollar")</f>
        <v>Hive Dollar</v>
      </c>
    </row>
    <row r="6110" spans="1:3" x14ac:dyDescent="0.25">
      <c r="A6110" s="2" t="str">
        <f ca="1">IFERROR(__xludf.DUMMYFUNCTION("""COMPUTED_VALUE"""),"hive-game-token")</f>
        <v>hive-game-token</v>
      </c>
      <c r="B6110" s="2" t="str">
        <f ca="1">IFERROR(__xludf.DUMMYFUNCTION("""COMPUTED_VALUE"""),"hgt")</f>
        <v>hgt</v>
      </c>
      <c r="C6110" s="2" t="str">
        <f ca="1">IFERROR(__xludf.DUMMYFUNCTION("""COMPUTED_VALUE"""),"Hive Game Token")</f>
        <v>Hive Game Token</v>
      </c>
    </row>
    <row r="6111" spans="1:3" x14ac:dyDescent="0.25">
      <c r="A6111" s="2" t="str">
        <f ca="1">IFERROR(__xludf.DUMMYFUNCTION("""COMPUTED_VALUE"""),"hivemapper")</f>
        <v>hivemapper</v>
      </c>
      <c r="B6111" s="2" t="str">
        <f ca="1">IFERROR(__xludf.DUMMYFUNCTION("""COMPUTED_VALUE"""),"honey")</f>
        <v>honey</v>
      </c>
      <c r="C6111" s="2" t="str">
        <f ca="1">IFERROR(__xludf.DUMMYFUNCTION("""COMPUTED_VALUE"""),"Hivemapper")</f>
        <v>Hivemapper</v>
      </c>
    </row>
    <row r="6112" spans="1:3" x14ac:dyDescent="0.25">
      <c r="A6112" s="2" t="str">
        <f ca="1">IFERROR(__xludf.DUMMYFUNCTION("""COMPUTED_VALUE"""),"hive-network")</f>
        <v>hive-network</v>
      </c>
      <c r="B6112" s="2" t="str">
        <f ca="1">IFERROR(__xludf.DUMMYFUNCTION("""COMPUTED_VALUE"""),"hny")</f>
        <v>hny</v>
      </c>
      <c r="C6112" s="2" t="str">
        <f ca="1">IFERROR(__xludf.DUMMYFUNCTION("""COMPUTED_VALUE"""),"Honey")</f>
        <v>Honey</v>
      </c>
    </row>
    <row r="6113" spans="1:3" x14ac:dyDescent="0.25">
      <c r="A6113" s="2" t="str">
        <f ca="1">IFERROR(__xludf.DUMMYFUNCTION("""COMPUTED_VALUE"""),"hiveswap")</f>
        <v>hiveswap</v>
      </c>
      <c r="B6113" s="2" t="str">
        <f ca="1">IFERROR(__xludf.DUMMYFUNCTION("""COMPUTED_VALUE"""),"hivp")</f>
        <v>hivp</v>
      </c>
      <c r="C6113" s="2" t="str">
        <f ca="1">IFERROR(__xludf.DUMMYFUNCTION("""COMPUTED_VALUE"""),"HiveSwap")</f>
        <v>HiveSwap</v>
      </c>
    </row>
    <row r="6114" spans="1:3" x14ac:dyDescent="0.25">
      <c r="A6114" s="2" t="str">
        <f ca="1">IFERROR(__xludf.DUMMYFUNCTION("""COMPUTED_VALUE"""),"hiveterminal")</f>
        <v>hiveterminal</v>
      </c>
      <c r="B6114" s="2" t="str">
        <f ca="1">IFERROR(__xludf.DUMMYFUNCTION("""COMPUTED_VALUE"""),"hvn")</f>
        <v>hvn</v>
      </c>
      <c r="C6114" s="2" t="str">
        <f ca="1">IFERROR(__xludf.DUMMYFUNCTION("""COMPUTED_VALUE"""),"Hiveterminal")</f>
        <v>Hiveterminal</v>
      </c>
    </row>
    <row r="6115" spans="1:3" x14ac:dyDescent="0.25">
      <c r="A6115" s="2" t="str">
        <f ca="1">IFERROR(__xludf.DUMMYFUNCTION("""COMPUTED_VALUE"""),"hivewater")</f>
        <v>hivewater</v>
      </c>
      <c r="B6115" s="2" t="str">
        <f ca="1">IFERROR(__xludf.DUMMYFUNCTION("""COMPUTED_VALUE"""),"hivewater")</f>
        <v>hivewater</v>
      </c>
      <c r="C6115" s="2" t="str">
        <f ca="1">IFERROR(__xludf.DUMMYFUNCTION("""COMPUTED_VALUE"""),"hiveWater")</f>
        <v>hiveWater</v>
      </c>
    </row>
    <row r="6116" spans="1:3" x14ac:dyDescent="0.25">
      <c r="A6116" s="2" t="str">
        <f ca="1">IFERROR(__xludf.DUMMYFUNCTION("""COMPUTED_VALUE"""),"hkava")</f>
        <v>hkava</v>
      </c>
      <c r="B6116" s="2" t="str">
        <f ca="1">IFERROR(__xludf.DUMMYFUNCTION("""COMPUTED_VALUE"""),"hkava")</f>
        <v>hkava</v>
      </c>
      <c r="C6116" s="2" t="str">
        <f ca="1">IFERROR(__xludf.DUMMYFUNCTION("""COMPUTED_VALUE"""),"hKAVA")</f>
        <v>hKAVA</v>
      </c>
    </row>
    <row r="6117" spans="1:3" x14ac:dyDescent="0.25">
      <c r="A6117" s="2" t="str">
        <f ca="1">IFERROR(__xludf.DUMMYFUNCTION("""COMPUTED_VALUE"""),"hmmonsol")</f>
        <v>hmmonsol</v>
      </c>
      <c r="B6117" s="2" t="str">
        <f ca="1">IFERROR(__xludf.DUMMYFUNCTION("""COMPUTED_VALUE"""),"hmm")</f>
        <v>hmm</v>
      </c>
      <c r="C6117" s="2" t="str">
        <f ca="1">IFERROR(__xludf.DUMMYFUNCTION("""COMPUTED_VALUE"""),"HmmOnSOL")</f>
        <v>HmmOnSOL</v>
      </c>
    </row>
    <row r="6118" spans="1:3" x14ac:dyDescent="0.25">
      <c r="A6118" s="2" t="str">
        <f ca="1">IFERROR(__xludf.DUMMYFUNCTION("""COMPUTED_VALUE"""),"hmx")</f>
        <v>hmx</v>
      </c>
      <c r="B6118" s="2" t="str">
        <f ca="1">IFERROR(__xludf.DUMMYFUNCTION("""COMPUTED_VALUE"""),"hmx")</f>
        <v>hmx</v>
      </c>
      <c r="C6118" s="2" t="str">
        <f ca="1">IFERROR(__xludf.DUMMYFUNCTION("""COMPUTED_VALUE"""),"HMX")</f>
        <v>HMX</v>
      </c>
    </row>
    <row r="6119" spans="1:3" x14ac:dyDescent="0.25">
      <c r="A6119" s="2" t="str">
        <f ca="1">IFERROR(__xludf.DUMMYFUNCTION("""COMPUTED_VALUE"""),"hnb-protocol")</f>
        <v>hnb-protocol</v>
      </c>
      <c r="B6119" s="2" t="str">
        <f ca="1">IFERROR(__xludf.DUMMYFUNCTION("""COMPUTED_VALUE"""),"hnb")</f>
        <v>hnb</v>
      </c>
      <c r="C6119" s="2" t="str">
        <f ca="1">IFERROR(__xludf.DUMMYFUNCTION("""COMPUTED_VALUE"""),"HNB Protocol")</f>
        <v>HNB Protocol</v>
      </c>
    </row>
    <row r="6120" spans="1:3" x14ac:dyDescent="0.25">
      <c r="A6120" s="2" t="str">
        <f ca="1">IFERROR(__xludf.DUMMYFUNCTION("""COMPUTED_VALUE"""),"hobbes")</f>
        <v>hobbes</v>
      </c>
      <c r="B6120" s="2" t="str">
        <f ca="1">IFERROR(__xludf.DUMMYFUNCTION("""COMPUTED_VALUE"""),"hobbes")</f>
        <v>hobbes</v>
      </c>
      <c r="C6120" s="2" t="str">
        <f ca="1">IFERROR(__xludf.DUMMYFUNCTION("""COMPUTED_VALUE"""),"Hobbes [OLD]")</f>
        <v>Hobbes [OLD]</v>
      </c>
    </row>
    <row r="6121" spans="1:3" x14ac:dyDescent="0.25">
      <c r="A6121" s="2" t="str">
        <f ca="1">IFERROR(__xludf.DUMMYFUNCTION("""COMPUTED_VALUE"""),"hobbes-new")</f>
        <v>hobbes-new</v>
      </c>
      <c r="B6121" s="2" t="str">
        <f ca="1">IFERROR(__xludf.DUMMYFUNCTION("""COMPUTED_VALUE"""),"hobbes")</f>
        <v>hobbes</v>
      </c>
      <c r="C6121" s="2" t="str">
        <f ca="1">IFERROR(__xludf.DUMMYFUNCTION("""COMPUTED_VALUE"""),"Hobbes")</f>
        <v>Hobbes</v>
      </c>
    </row>
    <row r="6122" spans="1:3" x14ac:dyDescent="0.25">
      <c r="A6122" s="2" t="str">
        <f ca="1">IFERROR(__xludf.DUMMYFUNCTION("""COMPUTED_VALUE"""),"hocus-pocus-finance")</f>
        <v>hocus-pocus-finance</v>
      </c>
      <c r="B6122" s="2" t="str">
        <f ca="1">IFERROR(__xludf.DUMMYFUNCTION("""COMPUTED_VALUE"""),"hoc")</f>
        <v>hoc</v>
      </c>
      <c r="C6122" s="2" t="str">
        <f ca="1">IFERROR(__xludf.DUMMYFUNCTION("""COMPUTED_VALUE"""),"Hocus Pocus Finance")</f>
        <v>Hocus Pocus Finance</v>
      </c>
    </row>
    <row r="6123" spans="1:3" x14ac:dyDescent="0.25">
      <c r="A6123" s="2" t="str">
        <f ca="1">IFERROR(__xludf.DUMMYFUNCTION("""COMPUTED_VALUE"""),"hodl")</f>
        <v>hodl</v>
      </c>
      <c r="B6123" s="2" t="str">
        <f ca="1">IFERROR(__xludf.DUMMYFUNCTION("""COMPUTED_VALUE"""),"hodl")</f>
        <v>hodl</v>
      </c>
      <c r="C6123" s="2" t="str">
        <f ca="1">IFERROR(__xludf.DUMMYFUNCTION("""COMPUTED_VALUE"""),"HODL")</f>
        <v>HODL</v>
      </c>
    </row>
    <row r="6124" spans="1:3" x14ac:dyDescent="0.25">
      <c r="A6124" s="2" t="str">
        <f ca="1">IFERROR(__xludf.DUMMYFUNCTION("""COMPUTED_VALUE"""),"hodlassets")</f>
        <v>hodlassets</v>
      </c>
      <c r="B6124" s="2" t="str">
        <f ca="1">IFERROR(__xludf.DUMMYFUNCTION("""COMPUTED_VALUE"""),"hodl")</f>
        <v>hodl</v>
      </c>
      <c r="C6124" s="2" t="str">
        <f ca="1">IFERROR(__xludf.DUMMYFUNCTION("""COMPUTED_VALUE"""),"HodlAssets")</f>
        <v>HodlAssets</v>
      </c>
    </row>
    <row r="6125" spans="1:3" x14ac:dyDescent="0.25">
      <c r="A6125" s="2" t="str">
        <f ca="1">IFERROR(__xludf.DUMMYFUNCTION("""COMPUTED_VALUE"""),"hodl-finance")</f>
        <v>hodl-finance</v>
      </c>
      <c r="B6125" s="2" t="str">
        <f ca="1">IFERROR(__xludf.DUMMYFUNCTION("""COMPUTED_VALUE"""),"hft")</f>
        <v>hft</v>
      </c>
      <c r="C6125" s="2" t="str">
        <f ca="1">IFERROR(__xludf.DUMMYFUNCTION("""COMPUTED_VALUE"""),"Hodl Finance")</f>
        <v>Hodl Finance</v>
      </c>
    </row>
    <row r="6126" spans="1:3" x14ac:dyDescent="0.25">
      <c r="A6126" s="2" t="str">
        <f ca="1">IFERROR(__xludf.DUMMYFUNCTION("""COMPUTED_VALUE"""),"hodl-meme")</f>
        <v>hodl-meme</v>
      </c>
      <c r="B6126" s="2" t="str">
        <f ca="1">IFERROR(__xludf.DUMMYFUNCTION("""COMPUTED_VALUE"""),"hodl")</f>
        <v>hodl</v>
      </c>
      <c r="C6126" s="2" t="str">
        <f ca="1">IFERROR(__xludf.DUMMYFUNCTION("""COMPUTED_VALUE"""),"HODL")</f>
        <v>HODL</v>
      </c>
    </row>
    <row r="6127" spans="1:3" x14ac:dyDescent="0.25">
      <c r="A6127" s="2" t="str">
        <f ca="1">IFERROR(__xludf.DUMMYFUNCTION("""COMPUTED_VALUE"""),"hodl-token")</f>
        <v>hodl-token</v>
      </c>
      <c r="B6127" s="2" t="str">
        <f ca="1">IFERROR(__xludf.DUMMYFUNCTION("""COMPUTED_VALUE"""),"hodl")</f>
        <v>hodl</v>
      </c>
      <c r="C6127" s="2" t="str">
        <f ca="1">IFERROR(__xludf.DUMMYFUNCTION("""COMPUTED_VALUE"""),"HODL")</f>
        <v>HODL</v>
      </c>
    </row>
    <row r="6128" spans="1:3" x14ac:dyDescent="0.25">
      <c r="A6128" s="2" t="str">
        <f ca="1">IFERROR(__xludf.DUMMYFUNCTION("""COMPUTED_VALUE"""),"hodooi-com")</f>
        <v>hodooi-com</v>
      </c>
      <c r="B6128" s="2" t="str">
        <f ca="1">IFERROR(__xludf.DUMMYFUNCTION("""COMPUTED_VALUE"""),"hod")</f>
        <v>hod</v>
      </c>
      <c r="C6128" s="3" t="str">
        <f ca="1">IFERROR(__xludf.DUMMYFUNCTION("""COMPUTED_VALUE"""),"HoDooi.com")</f>
        <v>HoDooi.com</v>
      </c>
    </row>
    <row r="6129" spans="1:3" x14ac:dyDescent="0.25">
      <c r="A6129" s="2" t="str">
        <f ca="1">IFERROR(__xludf.DUMMYFUNCTION("""COMPUTED_VALUE"""),"hog")</f>
        <v>hog</v>
      </c>
      <c r="B6129" s="2" t="str">
        <f ca="1">IFERROR(__xludf.DUMMYFUNCTION("""COMPUTED_VALUE"""),"hog")</f>
        <v>hog</v>
      </c>
      <c r="C6129" s="2" t="str">
        <f ca="1">IFERROR(__xludf.DUMMYFUNCTION("""COMPUTED_VALUE"""),"Hog")</f>
        <v>Hog</v>
      </c>
    </row>
    <row r="6130" spans="1:3" x14ac:dyDescent="0.25">
      <c r="A6130" s="2" t="str">
        <f ca="1">IFERROR(__xludf.DUMMYFUNCTION("""COMPUTED_VALUE"""),"hoge-finance")</f>
        <v>hoge-finance</v>
      </c>
      <c r="B6130" s="2" t="str">
        <f ca="1">IFERROR(__xludf.DUMMYFUNCTION("""COMPUTED_VALUE"""),"hoge")</f>
        <v>hoge</v>
      </c>
      <c r="C6130" s="2" t="str">
        <f ca="1">IFERROR(__xludf.DUMMYFUNCTION("""COMPUTED_VALUE"""),"Hoge Finance")</f>
        <v>Hoge Finance</v>
      </c>
    </row>
    <row r="6131" spans="1:3" x14ac:dyDescent="0.25">
      <c r="A6131" s="2" t="str">
        <f ca="1">IFERROR(__xludf.DUMMYFUNCTION("""COMPUTED_VALUE"""),"hoichi")</f>
        <v>hoichi</v>
      </c>
      <c r="B6131" s="2" t="str">
        <f ca="1">IFERROR(__xludf.DUMMYFUNCTION("""COMPUTED_VALUE"""),"hoichi")</f>
        <v>hoichi</v>
      </c>
      <c r="C6131" s="2" t="str">
        <f ca="1">IFERROR(__xludf.DUMMYFUNCTION("""COMPUTED_VALUE"""),"Hoichi")</f>
        <v>Hoichi</v>
      </c>
    </row>
    <row r="6132" spans="1:3" x14ac:dyDescent="0.25">
      <c r="A6132" s="2" t="str">
        <f ca="1">IFERROR(__xludf.DUMMYFUNCTION("""COMPUTED_VALUE"""),"hokkaido-inu")</f>
        <v>hokkaido-inu</v>
      </c>
      <c r="B6132" s="2" t="str">
        <f ca="1">IFERROR(__xludf.DUMMYFUNCTION("""COMPUTED_VALUE"""),"$hokk")</f>
        <v>$hokk</v>
      </c>
      <c r="C6132" s="2" t="str">
        <f ca="1">IFERROR(__xludf.DUMMYFUNCTION("""COMPUTED_VALUE"""),"Hokkaidu Inu")</f>
        <v>Hokkaidu Inu</v>
      </c>
    </row>
    <row r="6133" spans="1:3" x14ac:dyDescent="0.25">
      <c r="A6133" s="2" t="str">
        <f ca="1">IFERROR(__xludf.DUMMYFUNCTION("""COMPUTED_VALUE"""),"hokkaido-inu-30bdfab6-dfb9-4fc0-b3c3-02bffe162ee4")</f>
        <v>hokkaido-inu-30bdfab6-dfb9-4fc0-b3c3-02bffe162ee4</v>
      </c>
      <c r="B6133" s="2" t="str">
        <f ca="1">IFERROR(__xludf.DUMMYFUNCTION("""COMPUTED_VALUE"""),"hoka")</f>
        <v>hoka</v>
      </c>
      <c r="C6133" s="2" t="str">
        <f ca="1">IFERROR(__xludf.DUMMYFUNCTION("""COMPUTED_VALUE"""),"Hokkaido Inu")</f>
        <v>Hokkaido Inu</v>
      </c>
    </row>
    <row r="6134" spans="1:3" x14ac:dyDescent="0.25">
      <c r="A6134" s="2" t="str">
        <f ca="1">IFERROR(__xludf.DUMMYFUNCTION("""COMPUTED_VALUE"""),"hokkaido-inu-token")</f>
        <v>hokkaido-inu-token</v>
      </c>
      <c r="B6134" s="2" t="str">
        <f ca="1">IFERROR(__xludf.DUMMYFUNCTION("""COMPUTED_VALUE"""),"hinu")</f>
        <v>hinu</v>
      </c>
      <c r="C6134" s="2" t="str">
        <f ca="1">IFERROR(__xludf.DUMMYFUNCTION("""COMPUTED_VALUE"""),"Hokkaido Inu Token")</f>
        <v>Hokkaido Inu Token</v>
      </c>
    </row>
    <row r="6135" spans="1:3" x14ac:dyDescent="0.25">
      <c r="A6135" s="2" t="str">
        <f ca="1">IFERROR(__xludf.DUMMYFUNCTION("""COMPUTED_VALUE"""),"hokkaido-ken")</f>
        <v>hokkaido-ken</v>
      </c>
      <c r="B6135" s="2" t="str">
        <f ca="1">IFERROR(__xludf.DUMMYFUNCTION("""COMPUTED_VALUE"""),"doken")</f>
        <v>doken</v>
      </c>
      <c r="C6135" s="2" t="str">
        <f ca="1">IFERROR(__xludf.DUMMYFUNCTION("""COMPUTED_VALUE"""),"Hokkaido Ken")</f>
        <v>Hokkaido Ken</v>
      </c>
    </row>
    <row r="6136" spans="1:3" x14ac:dyDescent="0.25">
      <c r="A6136" s="2" t="str">
        <f ca="1">IFERROR(__xludf.DUMMYFUNCTION("""COMPUTED_VALUE"""),"hokkaidu-inu")</f>
        <v>hokkaidu-inu</v>
      </c>
      <c r="B6136" s="2" t="str">
        <f ca="1">IFERROR(__xludf.DUMMYFUNCTION("""COMPUTED_VALUE"""),"hokk")</f>
        <v>hokk</v>
      </c>
      <c r="C6136" s="2" t="str">
        <f ca="1">IFERROR(__xludf.DUMMYFUNCTION("""COMPUTED_VALUE"""),"HOKK Finance")</f>
        <v>HOKK Finance</v>
      </c>
    </row>
    <row r="6137" spans="1:3" x14ac:dyDescent="0.25">
      <c r="A6137" s="2" t="str">
        <f ca="1">IFERROR(__xludf.DUMMYFUNCTION("""COMPUTED_VALUE"""),"hola")</f>
        <v>hola</v>
      </c>
      <c r="B6137" s="2" t="str">
        <f ca="1">IFERROR(__xludf.DUMMYFUNCTION("""COMPUTED_VALUE"""),"hola")</f>
        <v>hola</v>
      </c>
      <c r="C6137" s="2" t="str">
        <f ca="1">IFERROR(__xludf.DUMMYFUNCTION("""COMPUTED_VALUE"""),"Hola")</f>
        <v>Hola</v>
      </c>
    </row>
    <row r="6138" spans="1:3" x14ac:dyDescent="0.25">
      <c r="A6138" s="2" t="str">
        <f ca="1">IFERROR(__xludf.DUMMYFUNCTION("""COMPUTED_VALUE"""),"hold-2")</f>
        <v>hold-2</v>
      </c>
      <c r="B6138" s="2" t="str">
        <f ca="1">IFERROR(__xludf.DUMMYFUNCTION("""COMPUTED_VALUE"""),"earn")</f>
        <v>earn</v>
      </c>
      <c r="C6138" s="2" t="str">
        <f ca="1">IFERROR(__xludf.DUMMYFUNCTION("""COMPUTED_VALUE"""),"HOLD")</f>
        <v>HOLD</v>
      </c>
    </row>
    <row r="6139" spans="1:3" x14ac:dyDescent="0.25">
      <c r="A6139" s="2" t="str">
        <f ca="1">IFERROR(__xludf.DUMMYFUNCTION("""COMPUTED_VALUE"""),"hold-fun")</f>
        <v>hold-fun</v>
      </c>
      <c r="B6139" s="2" t="str">
        <f ca="1">IFERROR(__xludf.DUMMYFUNCTION("""COMPUTED_VALUE"""),"hfun")</f>
        <v>hfun</v>
      </c>
      <c r="C6139" s="2" t="str">
        <f ca="1">IFERROR(__xludf.DUMMYFUNCTION("""COMPUTED_VALUE"""),"Hold.fun")</f>
        <v>Hold.fun</v>
      </c>
    </row>
    <row r="6140" spans="1:3" x14ac:dyDescent="0.25">
      <c r="A6140" s="2" t="str">
        <f ca="1">IFERROR(__xludf.DUMMYFUNCTION("""COMPUTED_VALUE"""),"holdium")</f>
        <v>holdium</v>
      </c>
      <c r="B6140" s="2" t="str">
        <f ca="1">IFERROR(__xludf.DUMMYFUNCTION("""COMPUTED_VALUE"""),"hm")</f>
        <v>hm</v>
      </c>
      <c r="C6140" s="2" t="str">
        <f ca="1">IFERROR(__xludf.DUMMYFUNCTION("""COMPUTED_VALUE"""),"Holdium")</f>
        <v>Holdium</v>
      </c>
    </row>
    <row r="6141" spans="1:3" x14ac:dyDescent="0.25">
      <c r="A6141" s="2" t="str">
        <f ca="1">IFERROR(__xludf.DUMMYFUNCTION("""COMPUTED_VALUE"""),"hold-on-for-dear-life")</f>
        <v>hold-on-for-dear-life</v>
      </c>
      <c r="B6141" s="2" t="str">
        <f ca="1">IFERROR(__xludf.DUMMYFUNCTION("""COMPUTED_VALUE"""),"hodl")</f>
        <v>hodl</v>
      </c>
      <c r="C6141" s="2" t="str">
        <f ca="1">IFERROR(__xludf.DUMMYFUNCTION("""COMPUTED_VALUE"""),"Hold On for Dear Life")</f>
        <v>Hold On for Dear Life</v>
      </c>
    </row>
    <row r="6142" spans="1:3" x14ac:dyDescent="0.25">
      <c r="A6142" s="2" t="str">
        <f ca="1">IFERROR(__xludf.DUMMYFUNCTION("""COMPUTED_VALUE"""),"hold-on-for-dear-life-hodl")</f>
        <v>hold-on-for-dear-life-hodl</v>
      </c>
      <c r="B6142" s="2" t="str">
        <f ca="1">IFERROR(__xludf.DUMMYFUNCTION("""COMPUTED_VALUE"""),"hodl")</f>
        <v>hodl</v>
      </c>
      <c r="C6142" s="2" t="str">
        <f ca="1">IFERROR(__xludf.DUMMYFUNCTION("""COMPUTED_VALUE"""),"Hold on for dear life HODL")</f>
        <v>Hold on for dear life HODL</v>
      </c>
    </row>
    <row r="6143" spans="1:3" x14ac:dyDescent="0.25">
      <c r="A6143" s="2" t="str">
        <f ca="1">IFERROR(__xludf.DUMMYFUNCTION("""COMPUTED_VALUE"""),"holdr")</f>
        <v>holdr</v>
      </c>
      <c r="B6143" s="2" t="str">
        <f ca="1">IFERROR(__xludf.DUMMYFUNCTION("""COMPUTED_VALUE"""),"hldr")</f>
        <v>hldr</v>
      </c>
      <c r="C6143" s="2" t="str">
        <f ca="1">IFERROR(__xludf.DUMMYFUNCTION("""COMPUTED_VALUE"""),"Holdr")</f>
        <v>Holdr</v>
      </c>
    </row>
    <row r="6144" spans="1:3" x14ac:dyDescent="0.25">
      <c r="A6144" s="2" t="str">
        <f ca="1">IFERROR(__xludf.DUMMYFUNCTION("""COMPUTED_VALUE"""),"holdstation")</f>
        <v>holdstation</v>
      </c>
      <c r="B6144" s="2" t="str">
        <f ca="1">IFERROR(__xludf.DUMMYFUNCTION("""COMPUTED_VALUE"""),"hold")</f>
        <v>hold</v>
      </c>
      <c r="C6144" s="2" t="str">
        <f ca="1">IFERROR(__xludf.DUMMYFUNCTION("""COMPUTED_VALUE"""),"Holdstation")</f>
        <v>Holdstation</v>
      </c>
    </row>
    <row r="6145" spans="1:3" x14ac:dyDescent="0.25">
      <c r="A6145" s="2" t="str">
        <f ca="1">IFERROR(__xludf.DUMMYFUNCTION("""COMPUTED_VALUE"""),"holdstation-usd-coin")</f>
        <v>holdstation-usd-coin</v>
      </c>
      <c r="B6145" s="2" t="str">
        <f ca="1">IFERROR(__xludf.DUMMYFUNCTION("""COMPUTED_VALUE"""),"hsusdc")</f>
        <v>hsusdc</v>
      </c>
      <c r="C6145" s="2" t="str">
        <f ca="1">IFERROR(__xludf.DUMMYFUNCTION("""COMPUTED_VALUE"""),"Holdstation USDC")</f>
        <v>Holdstation USDC</v>
      </c>
    </row>
    <row r="6146" spans="1:3" x14ac:dyDescent="0.25">
      <c r="A6146" s="2" t="str">
        <f ca="1">IFERROR(__xludf.DUMMYFUNCTION("""COMPUTED_VALUE"""),"holdstation-utility-gold")</f>
        <v>holdstation-utility-gold</v>
      </c>
      <c r="B6146" s="2" t="str">
        <f ca="1">IFERROR(__xludf.DUMMYFUNCTION("""COMPUTED_VALUE"""),"ugold")</f>
        <v>ugold</v>
      </c>
      <c r="C6146" s="2" t="str">
        <f ca="1">IFERROR(__xludf.DUMMYFUNCTION("""COMPUTED_VALUE"""),"Holdstation Utility GOLD")</f>
        <v>Holdstation Utility GOLD</v>
      </c>
    </row>
    <row r="6147" spans="1:3" x14ac:dyDescent="0.25">
      <c r="A6147" s="2" t="str">
        <f ca="1">IFERROR(__xludf.DUMMYFUNCTION("""COMPUTED_VALUE"""),"hold-vip")</f>
        <v>hold-vip</v>
      </c>
      <c r="B6147" s="2" t="str">
        <f ca="1">IFERROR(__xludf.DUMMYFUNCTION("""COMPUTED_VALUE"""),"hold")</f>
        <v>hold</v>
      </c>
      <c r="C6147" s="2" t="str">
        <f ca="1">IFERROR(__xludf.DUMMYFUNCTION("""COMPUTED_VALUE"""),"Hold VIP")</f>
        <v>Hold VIP</v>
      </c>
    </row>
    <row r="6148" spans="1:3" x14ac:dyDescent="0.25">
      <c r="A6148" s="2" t="str">
        <f ca="1">IFERROR(__xludf.DUMMYFUNCTION("""COMPUTED_VALUE"""),"hollygold")</f>
        <v>hollygold</v>
      </c>
      <c r="B6148" s="2" t="str">
        <f ca="1">IFERROR(__xludf.DUMMYFUNCTION("""COMPUTED_VALUE"""),"hgold")</f>
        <v>hgold</v>
      </c>
      <c r="C6148" s="2" t="str">
        <f ca="1">IFERROR(__xludf.DUMMYFUNCTION("""COMPUTED_VALUE"""),"HollyGold")</f>
        <v>HollyGold</v>
      </c>
    </row>
    <row r="6149" spans="1:3" x14ac:dyDescent="0.25">
      <c r="A6149" s="2" t="str">
        <f ca="1">IFERROR(__xludf.DUMMYFUNCTION("""COMPUTED_VALUE"""),"holograph")</f>
        <v>holograph</v>
      </c>
      <c r="B6149" s="2" t="str">
        <f ca="1">IFERROR(__xludf.DUMMYFUNCTION("""COMPUTED_VALUE"""),"hlg")</f>
        <v>hlg</v>
      </c>
      <c r="C6149" s="2" t="str">
        <f ca="1">IFERROR(__xludf.DUMMYFUNCTION("""COMPUTED_VALUE"""),"Holograph")</f>
        <v>Holograph</v>
      </c>
    </row>
    <row r="6150" spans="1:3" x14ac:dyDescent="0.25">
      <c r="A6150" s="2" t="str">
        <f ca="1">IFERROR(__xludf.DUMMYFUNCTION("""COMPUTED_VALUE"""),"holonus")</f>
        <v>holonus</v>
      </c>
      <c r="B6150" s="2" t="str">
        <f ca="1">IFERROR(__xludf.DUMMYFUNCTION("""COMPUTED_VALUE"""),"hln")</f>
        <v>hln</v>
      </c>
      <c r="C6150" s="2" t="str">
        <f ca="1">IFERROR(__xludf.DUMMYFUNCTION("""COMPUTED_VALUE"""),"Holonus")</f>
        <v>Holonus</v>
      </c>
    </row>
    <row r="6151" spans="1:3" x14ac:dyDescent="0.25">
      <c r="A6151" s="2" t="str">
        <f ca="1">IFERROR(__xludf.DUMMYFUNCTION("""COMPUTED_VALUE"""),"holoride")</f>
        <v>holoride</v>
      </c>
      <c r="B6151" s="2" t="str">
        <f ca="1">IFERROR(__xludf.DUMMYFUNCTION("""COMPUTED_VALUE"""),"ride")</f>
        <v>ride</v>
      </c>
      <c r="C6151" s="2" t="str">
        <f ca="1">IFERROR(__xludf.DUMMYFUNCTION("""COMPUTED_VALUE"""),"holoride")</f>
        <v>holoride</v>
      </c>
    </row>
    <row r="6152" spans="1:3" x14ac:dyDescent="0.25">
      <c r="A6152" s="2" t="str">
        <f ca="1">IFERROR(__xludf.DUMMYFUNCTION("""COMPUTED_VALUE"""),"holotoken")</f>
        <v>holotoken</v>
      </c>
      <c r="B6152" s="2" t="str">
        <f ca="1">IFERROR(__xludf.DUMMYFUNCTION("""COMPUTED_VALUE"""),"hot")</f>
        <v>hot</v>
      </c>
      <c r="C6152" s="2" t="str">
        <f ca="1">IFERROR(__xludf.DUMMYFUNCTION("""COMPUTED_VALUE"""),"Holo")</f>
        <v>Holo</v>
      </c>
    </row>
    <row r="6153" spans="1:3" x14ac:dyDescent="0.25">
      <c r="A6153" s="2" t="str">
        <f ca="1">IFERROR(__xludf.DUMMYFUNCTION("""COMPUTED_VALUE"""),"holygrail")</f>
        <v>holygrail</v>
      </c>
      <c r="B6153" s="2" t="str">
        <f ca="1">IFERROR(__xludf.DUMMYFUNCTION("""COMPUTED_VALUE"""),"hly")</f>
        <v>hly</v>
      </c>
      <c r="C6153" s="2" t="str">
        <f ca="1">IFERROR(__xludf.DUMMYFUNCTION("""COMPUTED_VALUE"""),"HolyGrail")</f>
        <v>HolyGrail</v>
      </c>
    </row>
    <row r="6154" spans="1:3" x14ac:dyDescent="0.25">
      <c r="A6154" s="2" t="str">
        <f ca="1">IFERROR(__xludf.DUMMYFUNCTION("""COMPUTED_VALUE"""),"holygrails-io")</f>
        <v>holygrails-io</v>
      </c>
      <c r="B6154" s="2" t="str">
        <f ca="1">IFERROR(__xludf.DUMMYFUNCTION("""COMPUTED_VALUE"""),"holy")</f>
        <v>holy</v>
      </c>
      <c r="C6154" s="3" t="str">
        <f ca="1">IFERROR(__xludf.DUMMYFUNCTION("""COMPUTED_VALUE"""),"HolyGrails.io")</f>
        <v>HolyGrails.io</v>
      </c>
    </row>
    <row r="6155" spans="1:3" x14ac:dyDescent="0.25">
      <c r="A6155" s="2" t="str">
        <f ca="1">IFERROR(__xludf.DUMMYFUNCTION("""COMPUTED_VALUE"""),"holyheld-2")</f>
        <v>holyheld-2</v>
      </c>
      <c r="B6155" s="2" t="str">
        <f ca="1">IFERROR(__xludf.DUMMYFUNCTION("""COMPUTED_VALUE"""),"move")</f>
        <v>move</v>
      </c>
      <c r="C6155" s="2" t="str">
        <f ca="1">IFERROR(__xludf.DUMMYFUNCTION("""COMPUTED_VALUE"""),"Mover")</f>
        <v>Mover</v>
      </c>
    </row>
    <row r="6156" spans="1:3" x14ac:dyDescent="0.25">
      <c r="A6156" s="2" t="str">
        <f ca="1">IFERROR(__xludf.DUMMYFUNCTION("""COMPUTED_VALUE"""),"hom")</f>
        <v>hom</v>
      </c>
      <c r="B6156" s="2" t="str">
        <f ca="1">IFERROR(__xludf.DUMMYFUNCTION("""COMPUTED_VALUE"""),"hom")</f>
        <v>hom</v>
      </c>
      <c r="C6156" s="2" t="str">
        <f ca="1">IFERROR(__xludf.DUMMYFUNCTION("""COMPUTED_VALUE"""),"Homeety")</f>
        <v>Homeety</v>
      </c>
    </row>
    <row r="6157" spans="1:3" x14ac:dyDescent="0.25">
      <c r="A6157" s="2" t="str">
        <f ca="1">IFERROR(__xludf.DUMMYFUNCTION("""COMPUTED_VALUE"""),"home3")</f>
        <v>home3</v>
      </c>
      <c r="B6157" s="2" t="str">
        <f ca="1">IFERROR(__xludf.DUMMYFUNCTION("""COMPUTED_VALUE"""),"hts")</f>
        <v>hts</v>
      </c>
      <c r="C6157" s="2" t="str">
        <f ca="1">IFERROR(__xludf.DUMMYFUNCTION("""COMPUTED_VALUE"""),"Home3")</f>
        <v>Home3</v>
      </c>
    </row>
    <row r="6158" spans="1:3" x14ac:dyDescent="0.25">
      <c r="A6158" s="2" t="str">
        <f ca="1">IFERROR(__xludf.DUMMYFUNCTION("""COMPUTED_VALUE"""),"homer")</f>
        <v>homer</v>
      </c>
      <c r="B6158" s="2" t="str">
        <f ca="1">IFERROR(__xludf.DUMMYFUNCTION("""COMPUTED_VALUE"""),"simpson")</f>
        <v>simpson</v>
      </c>
      <c r="C6158" s="2" t="str">
        <f ca="1">IFERROR(__xludf.DUMMYFUNCTION("""COMPUTED_VALUE"""),"Homer")</f>
        <v>Homer</v>
      </c>
    </row>
    <row r="6159" spans="1:3" x14ac:dyDescent="0.25">
      <c r="A6159" s="2" t="str">
        <f ca="1">IFERROR(__xludf.DUMMYFUNCTION("""COMPUTED_VALUE"""),"homie")</f>
        <v>homie</v>
      </c>
      <c r="B6159" s="2" t="str">
        <f ca="1">IFERROR(__xludf.DUMMYFUNCTION("""COMPUTED_VALUE"""),"homie")</f>
        <v>homie</v>
      </c>
      <c r="C6159" s="2" t="str">
        <f ca="1">IFERROR(__xludf.DUMMYFUNCTION("""COMPUTED_VALUE"""),"Homie")</f>
        <v>Homie</v>
      </c>
    </row>
    <row r="6160" spans="1:3" x14ac:dyDescent="0.25">
      <c r="A6160" s="2" t="str">
        <f ca="1">IFERROR(__xludf.DUMMYFUNCTION("""COMPUTED_VALUE"""),"homie-wars")</f>
        <v>homie-wars</v>
      </c>
      <c r="B6160" s="2" t="str">
        <f ca="1">IFERROR(__xludf.DUMMYFUNCTION("""COMPUTED_VALUE"""),"homiecoin")</f>
        <v>homiecoin</v>
      </c>
      <c r="C6160" s="2" t="str">
        <f ca="1">IFERROR(__xludf.DUMMYFUNCTION("""COMPUTED_VALUE"""),"Homie Wars")</f>
        <v>Homie Wars</v>
      </c>
    </row>
    <row r="6161" spans="1:3" x14ac:dyDescent="0.25">
      <c r="A6161" s="2" t="str">
        <f ca="1">IFERROR(__xludf.DUMMYFUNCTION("""COMPUTED_VALUE"""),"honest-mining")</f>
        <v>honest-mining</v>
      </c>
      <c r="B6161" s="2" t="str">
        <f ca="1">IFERROR(__xludf.DUMMYFUNCTION("""COMPUTED_VALUE"""),"hnst")</f>
        <v>hnst</v>
      </c>
      <c r="C6161" s="2" t="str">
        <f ca="1">IFERROR(__xludf.DUMMYFUNCTION("""COMPUTED_VALUE"""),"Honest")</f>
        <v>Honest</v>
      </c>
    </row>
    <row r="6162" spans="1:3" x14ac:dyDescent="0.25">
      <c r="A6162" s="2" t="str">
        <f ca="1">IFERROR(__xludf.DUMMYFUNCTION("""COMPUTED_VALUE"""),"honey")</f>
        <v>honey</v>
      </c>
      <c r="B6162" s="2" t="str">
        <f ca="1">IFERROR(__xludf.DUMMYFUNCTION("""COMPUTED_VALUE"""),"hny")</f>
        <v>hny</v>
      </c>
      <c r="C6162" s="2" t="str">
        <f ca="1">IFERROR(__xludf.DUMMYFUNCTION("""COMPUTED_VALUE"""),"Honey")</f>
        <v>Honey</v>
      </c>
    </row>
    <row r="6163" spans="1:3" x14ac:dyDescent="0.25">
      <c r="A6163" s="2" t="str">
        <f ca="1">IFERROR(__xludf.DUMMYFUNCTION("""COMPUTED_VALUE"""),"honey-badger-2")</f>
        <v>honey-badger-2</v>
      </c>
      <c r="B6163" s="2" t="str">
        <f ca="1">IFERROR(__xludf.DUMMYFUNCTION("""COMPUTED_VALUE"""),"hoba")</f>
        <v>hoba</v>
      </c>
      <c r="C6163" s="2" t="str">
        <f ca="1">IFERROR(__xludf.DUMMYFUNCTION("""COMPUTED_VALUE"""),"Honey Badger")</f>
        <v>Honey Badger</v>
      </c>
    </row>
    <row r="6164" spans="1:3" x14ac:dyDescent="0.25">
      <c r="A6164" s="2" t="str">
        <f ca="1">IFERROR(__xludf.DUMMYFUNCTION("""COMPUTED_VALUE"""),"honeyland-honey")</f>
        <v>honeyland-honey</v>
      </c>
      <c r="B6164" s="2" t="str">
        <f ca="1">IFERROR(__xludf.DUMMYFUNCTION("""COMPUTED_VALUE"""),"hxd")</f>
        <v>hxd</v>
      </c>
      <c r="C6164" s="2" t="str">
        <f ca="1">IFERROR(__xludf.DUMMYFUNCTION("""COMPUTED_VALUE"""),"Honeyland")</f>
        <v>Honeyland</v>
      </c>
    </row>
    <row r="6165" spans="1:3" x14ac:dyDescent="0.25">
      <c r="A6165" s="2" t="str">
        <f ca="1">IFERROR(__xludf.DUMMYFUNCTION("""COMPUTED_VALUE"""),"honeymoon-token")</f>
        <v>honeymoon-token</v>
      </c>
      <c r="B6165" s="2" t="str">
        <f ca="1">IFERROR(__xludf.DUMMYFUNCTION("""COMPUTED_VALUE"""),"moon")</f>
        <v>moon</v>
      </c>
      <c r="C6165" s="2" t="str">
        <f ca="1">IFERROR(__xludf.DUMMYFUNCTION("""COMPUTED_VALUE"""),"HoneyMOON")</f>
        <v>HoneyMOON</v>
      </c>
    </row>
    <row r="6166" spans="1:3" x14ac:dyDescent="0.25">
      <c r="A6166" s="2" t="str">
        <f ca="1">IFERROR(__xludf.DUMMYFUNCTION("""COMPUTED_VALUE"""),"hongkongdao")</f>
        <v>hongkongdao</v>
      </c>
      <c r="B6166" s="2" t="str">
        <f ca="1">IFERROR(__xludf.DUMMYFUNCTION("""COMPUTED_VALUE"""),"hkd")</f>
        <v>hkd</v>
      </c>
      <c r="C6166" s="2" t="str">
        <f ca="1">IFERROR(__xludf.DUMMYFUNCTION("""COMPUTED_VALUE"""),"HongKongDAO")</f>
        <v>HongKongDAO</v>
      </c>
    </row>
    <row r="6167" spans="1:3" x14ac:dyDescent="0.25">
      <c r="A6167" s="2" t="str">
        <f ca="1">IFERROR(__xludf.DUMMYFUNCTION("""COMPUTED_VALUE"""),"honk")</f>
        <v>honk</v>
      </c>
      <c r="B6167" s="2" t="str">
        <f ca="1">IFERROR(__xludf.DUMMYFUNCTION("""COMPUTED_VALUE"""),"honk")</f>
        <v>honk</v>
      </c>
      <c r="C6167" s="2" t="str">
        <f ca="1">IFERROR(__xludf.DUMMYFUNCTION("""COMPUTED_VALUE"""),"Honk")</f>
        <v>Honk</v>
      </c>
    </row>
    <row r="6168" spans="1:3" x14ac:dyDescent="0.25">
      <c r="A6168" s="2" t="str">
        <f ca="1">IFERROR(__xludf.DUMMYFUNCTION("""COMPUTED_VALUE"""),"honk-2")</f>
        <v>honk-2</v>
      </c>
      <c r="B6168" s="2" t="str">
        <f ca="1">IFERROR(__xludf.DUMMYFUNCTION("""COMPUTED_VALUE"""),"honk")</f>
        <v>honk</v>
      </c>
      <c r="C6168" s="2" t="str">
        <f ca="1">IFERROR(__xludf.DUMMYFUNCTION("""COMPUTED_VALUE"""),"HONK")</f>
        <v>HONK</v>
      </c>
    </row>
    <row r="6169" spans="1:3" x14ac:dyDescent="0.25">
      <c r="A6169" s="2" t="str">
        <f ca="1">IFERROR(__xludf.DUMMYFUNCTION("""COMPUTED_VALUE"""),"honkler")</f>
        <v>honkler</v>
      </c>
      <c r="B6169" s="2" t="str">
        <f ca="1">IFERROR(__xludf.DUMMYFUNCTION("""COMPUTED_VALUE"""),"honkler")</f>
        <v>honkler</v>
      </c>
      <c r="C6169" s="2" t="str">
        <f ca="1">IFERROR(__xludf.DUMMYFUNCTION("""COMPUTED_VALUE"""),"Honkler")</f>
        <v>Honkler</v>
      </c>
    </row>
    <row r="6170" spans="1:3" x14ac:dyDescent="0.25">
      <c r="A6170" s="2" t="str">
        <f ca="1">IFERROR(__xludf.DUMMYFUNCTION("""COMPUTED_VALUE"""),"honorarium")</f>
        <v>honorarium</v>
      </c>
      <c r="B6170" s="2" t="str">
        <f ca="1">IFERROR(__xludf.DUMMYFUNCTION("""COMPUTED_VALUE"""),"hrm")</f>
        <v>hrm</v>
      </c>
      <c r="C6170" s="2" t="str">
        <f ca="1">IFERROR(__xludf.DUMMYFUNCTION("""COMPUTED_VALUE"""),"Honorarium")</f>
        <v>Honorarium</v>
      </c>
    </row>
    <row r="6171" spans="1:3" x14ac:dyDescent="0.25">
      <c r="A6171" s="2" t="str">
        <f ca="1">IFERROR(__xludf.DUMMYFUNCTION("""COMPUTED_VALUE"""),"honor-world-token")</f>
        <v>honor-world-token</v>
      </c>
      <c r="B6171" s="2" t="str">
        <f ca="1">IFERROR(__xludf.DUMMYFUNCTION("""COMPUTED_VALUE"""),"hwt")</f>
        <v>hwt</v>
      </c>
      <c r="C6171" s="2" t="str">
        <f ca="1">IFERROR(__xludf.DUMMYFUNCTION("""COMPUTED_VALUE"""),"Honor World Token")</f>
        <v>Honor World Token</v>
      </c>
    </row>
    <row r="6172" spans="1:3" x14ac:dyDescent="0.25">
      <c r="A6172" s="2" t="str">
        <f ca="1">IFERROR(__xludf.DUMMYFUNCTION("""COMPUTED_VALUE"""),"hooked-protocol")</f>
        <v>hooked-protocol</v>
      </c>
      <c r="B6172" s="2" t="str">
        <f ca="1">IFERROR(__xludf.DUMMYFUNCTION("""COMPUTED_VALUE"""),"hook")</f>
        <v>hook</v>
      </c>
      <c r="C6172" s="2" t="str">
        <f ca="1">IFERROR(__xludf.DUMMYFUNCTION("""COMPUTED_VALUE"""),"Hooked Protocol")</f>
        <v>Hooked Protocol</v>
      </c>
    </row>
    <row r="6173" spans="1:3" x14ac:dyDescent="0.25">
      <c r="A6173" s="2" t="str">
        <f ca="1">IFERROR(__xludf.DUMMYFUNCTION("""COMPUTED_VALUE"""),"hoops")</f>
        <v>hoops</v>
      </c>
      <c r="B6173" s="2" t="str">
        <f ca="1">IFERROR(__xludf.DUMMYFUNCTION("""COMPUTED_VALUE"""),"hoops")</f>
        <v>hoops</v>
      </c>
      <c r="C6173" s="2" t="str">
        <f ca="1">IFERROR(__xludf.DUMMYFUNCTION("""COMPUTED_VALUE"""),"Hoops")</f>
        <v>Hoops</v>
      </c>
    </row>
    <row r="6174" spans="1:3" x14ac:dyDescent="0.25">
      <c r="A6174" s="2" t="str">
        <f ca="1">IFERROR(__xludf.DUMMYFUNCTION("""COMPUTED_VALUE"""),"hoosat-network")</f>
        <v>hoosat-network</v>
      </c>
      <c r="B6174" s="2" t="str">
        <f ca="1">IFERROR(__xludf.DUMMYFUNCTION("""COMPUTED_VALUE"""),"htn")</f>
        <v>htn</v>
      </c>
      <c r="C6174" s="2" t="str">
        <f ca="1">IFERROR(__xludf.DUMMYFUNCTION("""COMPUTED_VALUE"""),"Hoosat Network")</f>
        <v>Hoosat Network</v>
      </c>
    </row>
    <row r="6175" spans="1:3" x14ac:dyDescent="0.25">
      <c r="A6175" s="2" t="str">
        <f ca="1">IFERROR(__xludf.DUMMYFUNCTION("""COMPUTED_VALUE"""),"hootchain")</f>
        <v>hootchain</v>
      </c>
      <c r="B6175" s="2" t="str">
        <f ca="1">IFERROR(__xludf.DUMMYFUNCTION("""COMPUTED_VALUE"""),"hoot")</f>
        <v>hoot</v>
      </c>
      <c r="C6175" s="2" t="str">
        <f ca="1">IFERROR(__xludf.DUMMYFUNCTION("""COMPUTED_VALUE"""),"Hootchain")</f>
        <v>Hootchain</v>
      </c>
    </row>
    <row r="6176" spans="1:3" x14ac:dyDescent="0.25">
      <c r="A6176" s="2" t="str">
        <f ca="1">IFERROR(__xludf.DUMMYFUNCTION("""COMPUTED_VALUE"""),"hope-2")</f>
        <v>hope-2</v>
      </c>
      <c r="B6176" s="2" t="str">
        <f ca="1">IFERROR(__xludf.DUMMYFUNCTION("""COMPUTED_VALUE"""),"hope")</f>
        <v>hope</v>
      </c>
      <c r="C6176" s="2" t="str">
        <f ca="1">IFERROR(__xludf.DUMMYFUNCTION("""COMPUTED_VALUE"""),"Hope.money")</f>
        <v>Hope.money</v>
      </c>
    </row>
    <row r="6177" spans="1:3" x14ac:dyDescent="0.25">
      <c r="A6177" s="2" t="str">
        <f ca="1">IFERROR(__xludf.DUMMYFUNCTION("""COMPUTED_VALUE"""),"hoppers-game")</f>
        <v>hoppers-game</v>
      </c>
      <c r="B6177" s="2" t="str">
        <f ca="1">IFERROR(__xludf.DUMMYFUNCTION("""COMPUTED_VALUE"""),"fly")</f>
        <v>fly</v>
      </c>
      <c r="C6177" s="2" t="str">
        <f ca="1">IFERROR(__xludf.DUMMYFUNCTION("""COMPUTED_VALUE"""),"Hoppers Game")</f>
        <v>Hoppers Game</v>
      </c>
    </row>
    <row r="6178" spans="1:3" x14ac:dyDescent="0.25">
      <c r="A6178" s="2" t="str">
        <f ca="1">IFERROR(__xludf.DUMMYFUNCTION("""COMPUTED_VALUE"""),"hopper-the-rabbit")</f>
        <v>hopper-the-rabbit</v>
      </c>
      <c r="B6178" s="2" t="str">
        <f ca="1">IFERROR(__xludf.DUMMYFUNCTION("""COMPUTED_VALUE"""),"hopper")</f>
        <v>hopper</v>
      </c>
      <c r="C6178" s="2" t="str">
        <f ca="1">IFERROR(__xludf.DUMMYFUNCTION("""COMPUTED_VALUE"""),"Hopper the Rabbit")</f>
        <v>Hopper the Rabbit</v>
      </c>
    </row>
    <row r="6179" spans="1:3" x14ac:dyDescent="0.25">
      <c r="A6179" s="2" t="str">
        <f ca="1">IFERROR(__xludf.DUMMYFUNCTION("""COMPUTED_VALUE"""),"hop-protocol")</f>
        <v>hop-protocol</v>
      </c>
      <c r="B6179" s="2" t="str">
        <f ca="1">IFERROR(__xludf.DUMMYFUNCTION("""COMPUTED_VALUE"""),"hop")</f>
        <v>hop</v>
      </c>
      <c r="C6179" s="2" t="str">
        <f ca="1">IFERROR(__xludf.DUMMYFUNCTION("""COMPUTED_VALUE"""),"Hop Protocol")</f>
        <v>Hop Protocol</v>
      </c>
    </row>
    <row r="6180" spans="1:3" x14ac:dyDescent="0.25">
      <c r="A6180" s="2" t="str">
        <f ca="1">IFERROR(__xludf.DUMMYFUNCTION("""COMPUTED_VALUE"""),"hoppy-meme")</f>
        <v>hoppy-meme</v>
      </c>
      <c r="B6180" s="2" t="str">
        <f ca="1">IFERROR(__xludf.DUMMYFUNCTION("""COMPUTED_VALUE"""),"hoppy")</f>
        <v>hoppy</v>
      </c>
      <c r="C6180" s="2" t="str">
        <f ca="1">IFERROR(__xludf.DUMMYFUNCTION("""COMPUTED_VALUE"""),"Hoppy")</f>
        <v>Hoppy</v>
      </c>
    </row>
    <row r="6181" spans="1:3" x14ac:dyDescent="0.25">
      <c r="A6181" s="2" t="str">
        <f ca="1">IFERROR(__xludf.DUMMYFUNCTION("""COMPUTED_VALUE"""),"hoppy-the-frog")</f>
        <v>hoppy-the-frog</v>
      </c>
      <c r="B6181" s="2" t="str">
        <f ca="1">IFERROR(__xludf.DUMMYFUNCTION("""COMPUTED_VALUE"""),"hoppy")</f>
        <v>hoppy</v>
      </c>
      <c r="C6181" s="2" t="str">
        <f ca="1">IFERROR(__xludf.DUMMYFUNCTION("""COMPUTED_VALUE"""),"Hoppy The Frog")</f>
        <v>Hoppy The Frog</v>
      </c>
    </row>
    <row r="6182" spans="1:3" x14ac:dyDescent="0.25">
      <c r="A6182" s="2" t="str">
        <f ca="1">IFERROR(__xludf.DUMMYFUNCTION("""COMPUTED_VALUE"""),"hoppy-token")</f>
        <v>hoppy-token</v>
      </c>
      <c r="B6182" s="2" t="str">
        <f ca="1">IFERROR(__xludf.DUMMYFUNCTION("""COMPUTED_VALUE"""),"hoppy")</f>
        <v>hoppy</v>
      </c>
      <c r="C6182" s="2" t="str">
        <f ca="1">IFERROR(__xludf.DUMMYFUNCTION("""COMPUTED_VALUE"""),"Hoppy Token")</f>
        <v>Hoppy Token</v>
      </c>
    </row>
    <row r="6183" spans="1:3" x14ac:dyDescent="0.25">
      <c r="A6183" s="2" t="str">
        <f ca="1">IFERROR(__xludf.DUMMYFUNCTION("""COMPUTED_VALUE"""),"hopr")</f>
        <v>hopr</v>
      </c>
      <c r="B6183" s="2" t="str">
        <f ca="1">IFERROR(__xludf.DUMMYFUNCTION("""COMPUTED_VALUE"""),"hopr")</f>
        <v>hopr</v>
      </c>
      <c r="C6183" s="2" t="str">
        <f ca="1">IFERROR(__xludf.DUMMYFUNCTION("""COMPUTED_VALUE"""),"HOPR")</f>
        <v>HOPR</v>
      </c>
    </row>
    <row r="6184" spans="1:3" x14ac:dyDescent="0.25">
      <c r="A6184" s="2" t="str">
        <f ca="1">IFERROR(__xludf.DUMMYFUNCTION("""COMPUTED_VALUE"""),"hord")</f>
        <v>hord</v>
      </c>
      <c r="B6184" s="2" t="str">
        <f ca="1">IFERROR(__xludf.DUMMYFUNCTION("""COMPUTED_VALUE"""),"hord")</f>
        <v>hord</v>
      </c>
      <c r="C6184" s="2" t="str">
        <f ca="1">IFERROR(__xludf.DUMMYFUNCTION("""COMPUTED_VALUE"""),"Hord")</f>
        <v>Hord</v>
      </c>
    </row>
    <row r="6185" spans="1:3" x14ac:dyDescent="0.25">
      <c r="A6185" s="2" t="str">
        <f ca="1">IFERROR(__xludf.DUMMYFUNCTION("""COMPUTED_VALUE"""),"horizon-2")</f>
        <v>horizon-2</v>
      </c>
      <c r="B6185" s="2" t="str">
        <f ca="1">IFERROR(__xludf.DUMMYFUNCTION("""COMPUTED_VALUE"""),"hzn")</f>
        <v>hzn</v>
      </c>
      <c r="C6185" s="2" t="str">
        <f ca="1">IFERROR(__xludf.DUMMYFUNCTION("""COMPUTED_VALUE"""),"Horizon")</f>
        <v>Horizon</v>
      </c>
    </row>
    <row r="6186" spans="1:3" x14ac:dyDescent="0.25">
      <c r="A6186" s="2" t="str">
        <f ca="1">IFERROR(__xludf.DUMMYFUNCTION("""COMPUTED_VALUE"""),"horizon-3")</f>
        <v>horizon-3</v>
      </c>
      <c r="B6186" s="2" t="str">
        <f ca="1">IFERROR(__xludf.DUMMYFUNCTION("""COMPUTED_VALUE"""),"hrzn")</f>
        <v>hrzn</v>
      </c>
      <c r="C6186" s="2" t="str">
        <f ca="1">IFERROR(__xludf.DUMMYFUNCTION("""COMPUTED_VALUE"""),"Horizon")</f>
        <v>Horizon</v>
      </c>
    </row>
    <row r="6187" spans="1:3" x14ac:dyDescent="0.25">
      <c r="A6187" s="2" t="str">
        <f ca="1">IFERROR(__xludf.DUMMYFUNCTION("""COMPUTED_VALUE"""),"horizon-blockchain")</f>
        <v>horizon-blockchain</v>
      </c>
      <c r="B6187" s="2" t="str">
        <f ca="1">IFERROR(__xludf.DUMMYFUNCTION("""COMPUTED_VALUE"""),"hm")</f>
        <v>hm</v>
      </c>
      <c r="C6187" s="2" t="str">
        <f ca="1">IFERROR(__xludf.DUMMYFUNCTION("""COMPUTED_VALUE"""),"Horizon Blockchain")</f>
        <v>Horizon Blockchain</v>
      </c>
    </row>
    <row r="6188" spans="1:3" x14ac:dyDescent="0.25">
      <c r="A6188" s="2" t="str">
        <f ca="1">IFERROR(__xludf.DUMMYFUNCTION("""COMPUTED_VALUE"""),"horizon-protocol")</f>
        <v>horizon-protocol</v>
      </c>
      <c r="B6188" s="2" t="str">
        <f ca="1">IFERROR(__xludf.DUMMYFUNCTION("""COMPUTED_VALUE"""),"hzn")</f>
        <v>hzn</v>
      </c>
      <c r="C6188" s="2" t="str">
        <f ca="1">IFERROR(__xludf.DUMMYFUNCTION("""COMPUTED_VALUE"""),"Horizon Protocol")</f>
        <v>Horizon Protocol</v>
      </c>
    </row>
    <row r="6189" spans="1:3" x14ac:dyDescent="0.25">
      <c r="A6189" s="2" t="str">
        <f ca="1">IFERROR(__xludf.DUMMYFUNCTION("""COMPUTED_VALUE"""),"hornt")</f>
        <v>hornt</v>
      </c>
      <c r="B6189" s="2" t="str">
        <f ca="1">IFERROR(__xludf.DUMMYFUNCTION("""COMPUTED_VALUE"""),"hornt")</f>
        <v>hornt</v>
      </c>
      <c r="C6189" s="2" t="str">
        <f ca="1">IFERROR(__xludf.DUMMYFUNCTION("""COMPUTED_VALUE"""),"Hornt")</f>
        <v>Hornt</v>
      </c>
    </row>
    <row r="6190" spans="1:3" x14ac:dyDescent="0.25">
      <c r="A6190" s="2" t="str">
        <f ca="1">IFERROR(__xludf.DUMMYFUNCTION("""COMPUTED_VALUE"""),"horuslayer")</f>
        <v>horuslayer</v>
      </c>
      <c r="B6190" s="2" t="str">
        <f ca="1">IFERROR(__xludf.DUMMYFUNCTION("""COMPUTED_VALUE"""),"$hrx")</f>
        <v>$hrx</v>
      </c>
      <c r="C6190" s="2" t="str">
        <f ca="1">IFERROR(__xludf.DUMMYFUNCTION("""COMPUTED_VALUE"""),"HorusLayer")</f>
        <v>HorusLayer</v>
      </c>
    </row>
    <row r="6191" spans="1:3" x14ac:dyDescent="0.25">
      <c r="A6191" s="2" t="str">
        <f ca="1">IFERROR(__xludf.DUMMYFUNCTION("""COMPUTED_VALUE"""),"hosky")</f>
        <v>hosky</v>
      </c>
      <c r="B6191" s="2" t="str">
        <f ca="1">IFERROR(__xludf.DUMMYFUNCTION("""COMPUTED_VALUE"""),"hosky")</f>
        <v>hosky</v>
      </c>
      <c r="C6191" s="2" t="str">
        <f ca="1">IFERROR(__xludf.DUMMYFUNCTION("""COMPUTED_VALUE"""),"Hosky")</f>
        <v>Hosky</v>
      </c>
    </row>
    <row r="6192" spans="1:3" x14ac:dyDescent="0.25">
      <c r="A6192" s="2" t="str">
        <f ca="1">IFERROR(__xludf.DUMMYFUNCTION("""COMPUTED_VALUE"""),"host-ai")</f>
        <v>host-ai</v>
      </c>
      <c r="B6192" s="2" t="str">
        <f ca="1">IFERROR(__xludf.DUMMYFUNCTION("""COMPUTED_VALUE"""),"hostai")</f>
        <v>hostai</v>
      </c>
      <c r="C6192" s="2" t="str">
        <f ca="1">IFERROR(__xludf.DUMMYFUNCTION("""COMPUTED_VALUE"""),"Host AI")</f>
        <v>Host AI</v>
      </c>
    </row>
    <row r="6193" spans="1:3" x14ac:dyDescent="0.25">
      <c r="A6193" s="2" t="str">
        <f ca="1">IFERROR(__xludf.DUMMYFUNCTION("""COMPUTED_VALUE"""),"hot-boxy")</f>
        <v>hot-boxy</v>
      </c>
      <c r="B6193" s="2" t="str">
        <f ca="1">IFERROR(__xludf.DUMMYFUNCTION("""COMPUTED_VALUE"""),"boxy")</f>
        <v>boxy</v>
      </c>
      <c r="C6193" s="2" t="str">
        <f ca="1">IFERROR(__xludf.DUMMYFUNCTION("""COMPUTED_VALUE"""),"HOT BOXY")</f>
        <v>HOT BOXY</v>
      </c>
    </row>
    <row r="6194" spans="1:3" x14ac:dyDescent="0.25">
      <c r="A6194" s="2" t="str">
        <f ca="1">IFERROR(__xludf.DUMMYFUNCTION("""COMPUTED_VALUE"""),"hot-cross")</f>
        <v>hot-cross</v>
      </c>
      <c r="B6194" s="2" t="str">
        <f ca="1">IFERROR(__xludf.DUMMYFUNCTION("""COMPUTED_VALUE"""),"hotcross")</f>
        <v>hotcross</v>
      </c>
      <c r="C6194" s="2" t="str">
        <f ca="1">IFERROR(__xludf.DUMMYFUNCTION("""COMPUTED_VALUE"""),"Hot Cross")</f>
        <v>Hot Cross</v>
      </c>
    </row>
    <row r="6195" spans="1:3" x14ac:dyDescent="0.25">
      <c r="A6195" s="2" t="str">
        <f ca="1">IFERROR(__xludf.DUMMYFUNCTION("""COMPUTED_VALUE"""),"hot-doge")</f>
        <v>hot-doge</v>
      </c>
      <c r="B6195" s="2" t="str">
        <f ca="1">IFERROR(__xludf.DUMMYFUNCTION("""COMPUTED_VALUE"""),"hotdoge")</f>
        <v>hotdoge</v>
      </c>
      <c r="C6195" s="2" t="str">
        <f ca="1">IFERROR(__xludf.DUMMYFUNCTION("""COMPUTED_VALUE"""),"HotDoge [OLD]")</f>
        <v>HotDoge [OLD]</v>
      </c>
    </row>
    <row r="6196" spans="1:3" x14ac:dyDescent="0.25">
      <c r="A6196" s="2" t="str">
        <f ca="1">IFERROR(__xludf.DUMMYFUNCTION("""COMPUTED_VALUE"""),"hotelium")</f>
        <v>hotelium</v>
      </c>
      <c r="B6196" s="2" t="str">
        <f ca="1">IFERROR(__xludf.DUMMYFUNCTION("""COMPUTED_VALUE"""),"htl")</f>
        <v>htl</v>
      </c>
      <c r="C6196" s="2" t="str">
        <f ca="1">IFERROR(__xludf.DUMMYFUNCTION("""COMPUTED_VALUE"""),"Hotelium")</f>
        <v>Hotelium</v>
      </c>
    </row>
    <row r="6197" spans="1:3" x14ac:dyDescent="0.25">
      <c r="A6197" s="2" t="str">
        <f ca="1">IFERROR(__xludf.DUMMYFUNCTION("""COMPUTED_VALUE"""),"hotkeyswap")</f>
        <v>hotkeyswap</v>
      </c>
      <c r="B6197" s="2" t="str">
        <f ca="1">IFERROR(__xludf.DUMMYFUNCTION("""COMPUTED_VALUE"""),"hotkey")</f>
        <v>hotkey</v>
      </c>
      <c r="C6197" s="2" t="str">
        <f ca="1">IFERROR(__xludf.DUMMYFUNCTION("""COMPUTED_VALUE"""),"HotKeySwap")</f>
        <v>HotKeySwap</v>
      </c>
    </row>
    <row r="6198" spans="1:3" x14ac:dyDescent="0.25">
      <c r="A6198" s="2" t="str">
        <f ca="1">IFERROR(__xludf.DUMMYFUNCTION("""COMPUTED_VALUE"""),"hotmoon")</f>
        <v>hotmoon</v>
      </c>
      <c r="B6198" s="2" t="str">
        <f ca="1">IFERROR(__xludf.DUMMYFUNCTION("""COMPUTED_VALUE"""),"hotmoon")</f>
        <v>hotmoon</v>
      </c>
      <c r="C6198" s="2" t="str">
        <f ca="1">IFERROR(__xludf.DUMMYFUNCTION("""COMPUTED_VALUE"""),"HotMoon")</f>
        <v>HotMoon</v>
      </c>
    </row>
    <row r="6199" spans="1:3" x14ac:dyDescent="0.25">
      <c r="A6199" s="2" t="str">
        <f ca="1">IFERROR(__xludf.DUMMYFUNCTION("""COMPUTED_VALUE"""),"hot-n-cold-finance")</f>
        <v>hot-n-cold-finance</v>
      </c>
      <c r="B6199" s="2" t="str">
        <f ca="1">IFERROR(__xludf.DUMMYFUNCTION("""COMPUTED_VALUE"""),"hnc")</f>
        <v>hnc</v>
      </c>
      <c r="C6199" s="2" t="str">
        <f ca="1">IFERROR(__xludf.DUMMYFUNCTION("""COMPUTED_VALUE"""),"Hot'n Cold Finance")</f>
        <v>Hot'n Cold Finance</v>
      </c>
    </row>
    <row r="6200" spans="1:3" x14ac:dyDescent="0.25">
      <c r="A6200" s="2" t="str">
        <f ca="1">IFERROR(__xludf.DUMMYFUNCTION("""COMPUTED_VALUE"""),"hottie-froggie")</f>
        <v>hottie-froggie</v>
      </c>
      <c r="B6200" s="2" t="str">
        <f ca="1">IFERROR(__xludf.DUMMYFUNCTION("""COMPUTED_VALUE"""),"hottie")</f>
        <v>hottie</v>
      </c>
      <c r="C6200" s="2" t="str">
        <f ca="1">IFERROR(__xludf.DUMMYFUNCTION("""COMPUTED_VALUE"""),"Hottie Froggie")</f>
        <v>Hottie Froggie</v>
      </c>
    </row>
    <row r="6201" spans="1:3" x14ac:dyDescent="0.25">
      <c r="A6201" s="2" t="str">
        <f ca="1">IFERROR(__xludf.DUMMYFUNCTION("""COMPUTED_VALUE"""),"houdini-swap")</f>
        <v>houdini-swap</v>
      </c>
      <c r="B6201" s="2" t="str">
        <f ca="1">IFERROR(__xludf.DUMMYFUNCTION("""COMPUTED_VALUE"""),"lock")</f>
        <v>lock</v>
      </c>
      <c r="C6201" s="2" t="str">
        <f ca="1">IFERROR(__xludf.DUMMYFUNCTION("""COMPUTED_VALUE"""),"Houdini Swap")</f>
        <v>Houdini Swap</v>
      </c>
    </row>
    <row r="6202" spans="1:3" x14ac:dyDescent="0.25">
      <c r="A6202" s="2" t="str">
        <f ca="1">IFERROR(__xludf.DUMMYFUNCTION("""COMPUTED_VALUE"""),"hourglass")</f>
        <v>hourglass</v>
      </c>
      <c r="B6202" s="2" t="str">
        <f ca="1">IFERROR(__xludf.DUMMYFUNCTION("""COMPUTED_VALUE"""),"wait")</f>
        <v>wait</v>
      </c>
      <c r="C6202" s="2" t="str">
        <f ca="1">IFERROR(__xludf.DUMMYFUNCTION("""COMPUTED_VALUE"""),"Hourglass")</f>
        <v>Hourglass</v>
      </c>
    </row>
    <row r="6203" spans="1:3" x14ac:dyDescent="0.25">
      <c r="A6203" s="2" t="str">
        <f ca="1">IFERROR(__xludf.DUMMYFUNCTION("""COMPUTED_VALUE"""),"hourglass-protocol")</f>
        <v>hourglass-protocol</v>
      </c>
      <c r="B6203" s="2" t="str">
        <f ca="1">IFERROR(__xludf.DUMMYFUNCTION("""COMPUTED_VALUE"""),"hgp")</f>
        <v>hgp</v>
      </c>
      <c r="C6203" s="2" t="str">
        <f ca="1">IFERROR(__xludf.DUMMYFUNCTION("""COMPUTED_VALUE"""),"Hourglass Protocol")</f>
        <v>Hourglass Protocol</v>
      </c>
    </row>
    <row r="6204" spans="1:3" x14ac:dyDescent="0.25">
      <c r="A6204" s="2" t="str">
        <f ca="1">IFERROR(__xludf.DUMMYFUNCTION("""COMPUTED_VALUE"""),"house")</f>
        <v>house</v>
      </c>
      <c r="B6204" s="2" t="str">
        <f ca="1">IFERROR(__xludf.DUMMYFUNCTION("""COMPUTED_VALUE"""),"house")</f>
        <v>house</v>
      </c>
      <c r="C6204" s="2" t="str">
        <f ca="1">IFERROR(__xludf.DUMMYFUNCTION("""COMPUTED_VALUE"""),"House")</f>
        <v>House</v>
      </c>
    </row>
    <row r="6205" spans="1:3" x14ac:dyDescent="0.25">
      <c r="A6205" s="2" t="str">
        <f ca="1">IFERROR(__xludf.DUMMYFUNCTION("""COMPUTED_VALUE"""),"houston-token")</f>
        <v>houston-token</v>
      </c>
      <c r="B6205" s="2" t="str">
        <f ca="1">IFERROR(__xludf.DUMMYFUNCTION("""COMPUTED_VALUE"""),"hou")</f>
        <v>hou</v>
      </c>
      <c r="C6205" s="2" t="str">
        <f ca="1">IFERROR(__xludf.DUMMYFUNCTION("""COMPUTED_VALUE"""),"Houston Token")</f>
        <v>Houston Token</v>
      </c>
    </row>
    <row r="6206" spans="1:3" x14ac:dyDescent="0.25">
      <c r="A6206" s="2" t="str">
        <f ca="1">IFERROR(__xludf.DUMMYFUNCTION("""COMPUTED_VALUE"""),"hover")</f>
        <v>hover</v>
      </c>
      <c r="B6206" s="2" t="str">
        <f ca="1">IFERROR(__xludf.DUMMYFUNCTION("""COMPUTED_VALUE"""),"hov")</f>
        <v>hov</v>
      </c>
      <c r="C6206" s="2" t="str">
        <f ca="1">IFERROR(__xludf.DUMMYFUNCTION("""COMPUTED_VALUE"""),"Hover")</f>
        <v>Hover</v>
      </c>
    </row>
    <row r="6207" spans="1:3" x14ac:dyDescent="0.25">
      <c r="A6207" s="2" t="str">
        <f ca="1">IFERROR(__xludf.DUMMYFUNCTION("""COMPUTED_VALUE"""),"howdysol")</f>
        <v>howdysol</v>
      </c>
      <c r="B6207" s="2" t="str">
        <f ca="1">IFERROR(__xludf.DUMMYFUNCTION("""COMPUTED_VALUE"""),"howdy")</f>
        <v>howdy</v>
      </c>
      <c r="C6207" s="2" t="str">
        <f ca="1">IFERROR(__xludf.DUMMYFUNCTION("""COMPUTED_VALUE"""),"HowdySol")</f>
        <v>HowdySol</v>
      </c>
    </row>
    <row r="6208" spans="1:3" x14ac:dyDescent="0.25">
      <c r="A6208" s="2" t="str">
        <f ca="1">IFERROR(__xludf.DUMMYFUNCTION("""COMPUTED_VALUE"""),"howinu")</f>
        <v>howinu</v>
      </c>
      <c r="B6208" s="2" t="str">
        <f ca="1">IFERROR(__xludf.DUMMYFUNCTION("""COMPUTED_VALUE"""),"how")</f>
        <v>how</v>
      </c>
      <c r="C6208" s="2" t="str">
        <f ca="1">IFERROR(__xludf.DUMMYFUNCTION("""COMPUTED_VALUE"""),"HowInu")</f>
        <v>HowInu</v>
      </c>
    </row>
    <row r="6209" spans="1:3" x14ac:dyDescent="0.25">
      <c r="A6209" s="2" t="str">
        <f ca="1">IFERROR(__xludf.DUMMYFUNCTION("""COMPUTED_VALUE"""),"howl-city")</f>
        <v>howl-city</v>
      </c>
      <c r="B6209" s="2" t="str">
        <f ca="1">IFERROR(__xludf.DUMMYFUNCTION("""COMPUTED_VALUE"""),"hwl")</f>
        <v>hwl</v>
      </c>
      <c r="C6209" s="2" t="str">
        <f ca="1">IFERROR(__xludf.DUMMYFUNCTION("""COMPUTED_VALUE"""),"Howl City")</f>
        <v>Howl City</v>
      </c>
    </row>
    <row r="6210" spans="1:3" x14ac:dyDescent="0.25">
      <c r="A6210" s="2" t="str">
        <f ca="1">IFERROR(__xludf.DUMMYFUNCTION("""COMPUTED_VALUE"""),"how-to-fly")</f>
        <v>how-to-fly</v>
      </c>
      <c r="B6210" s="2" t="str">
        <f ca="1">IFERROR(__xludf.DUMMYFUNCTION("""COMPUTED_VALUE"""),"puff")</f>
        <v>puff</v>
      </c>
      <c r="C6210" s="2" t="str">
        <f ca="1">IFERROR(__xludf.DUMMYFUNCTION("""COMPUTED_VALUE"""),"HOW TO FLY")</f>
        <v>HOW TO FLY</v>
      </c>
    </row>
    <row r="6211" spans="1:3" x14ac:dyDescent="0.25">
      <c r="A6211" s="2" t="str">
        <f ca="1">IFERROR(__xludf.DUMMYFUNCTION("""COMPUTED_VALUE"""),"hpohs888inu")</f>
        <v>hpohs888inu</v>
      </c>
      <c r="B6211" s="2" t="str">
        <f ca="1">IFERROR(__xludf.DUMMYFUNCTION("""COMPUTED_VALUE"""),"tether")</f>
        <v>tether</v>
      </c>
      <c r="C6211" s="2" t="str">
        <f ca="1">IFERROR(__xludf.DUMMYFUNCTION("""COMPUTED_VALUE"""),"Hpohs888inu")</f>
        <v>Hpohs888inu</v>
      </c>
    </row>
    <row r="6212" spans="1:3" x14ac:dyDescent="0.25">
      <c r="A6212" s="2" t="str">
        <f ca="1">IFERROR(__xludf.DUMMYFUNCTION("""COMPUTED_VALUE"""),"hshare")</f>
        <v>hshare</v>
      </c>
      <c r="B6212" s="2" t="str">
        <f ca="1">IFERROR(__xludf.DUMMYFUNCTION("""COMPUTED_VALUE"""),"hc")</f>
        <v>hc</v>
      </c>
      <c r="C6212" s="2" t="str">
        <f ca="1">IFERROR(__xludf.DUMMYFUNCTION("""COMPUTED_VALUE"""),"HyperCash")</f>
        <v>HyperCash</v>
      </c>
    </row>
    <row r="6213" spans="1:3" x14ac:dyDescent="0.25">
      <c r="A6213" s="2" t="str">
        <f ca="1">IFERROR(__xludf.DUMMYFUNCTION("""COMPUTED_VALUE"""),"hsuite")</f>
        <v>hsuite</v>
      </c>
      <c r="B6213" s="2" t="str">
        <f ca="1">IFERROR(__xludf.DUMMYFUNCTION("""COMPUTED_VALUE"""),"hsuite")</f>
        <v>hsuite</v>
      </c>
      <c r="C6213" s="2" t="str">
        <f ca="1">IFERROR(__xludf.DUMMYFUNCTION("""COMPUTED_VALUE"""),"HbarSuite")</f>
        <v>HbarSuite</v>
      </c>
    </row>
    <row r="6214" spans="1:3" x14ac:dyDescent="0.25">
      <c r="A6214" s="2" t="str">
        <f ca="1">IFERROR(__xludf.DUMMYFUNCTION("""COMPUTED_VALUE"""),"htx-dao")</f>
        <v>htx-dao</v>
      </c>
      <c r="B6214" s="2" t="str">
        <f ca="1">IFERROR(__xludf.DUMMYFUNCTION("""COMPUTED_VALUE"""),"htx")</f>
        <v>htx</v>
      </c>
      <c r="C6214" s="2" t="str">
        <f ca="1">IFERROR(__xludf.DUMMYFUNCTION("""COMPUTED_VALUE"""),"HTX DAO")</f>
        <v>HTX DAO</v>
      </c>
    </row>
    <row r="6215" spans="1:3" x14ac:dyDescent="0.25">
      <c r="A6215" s="2" t="str">
        <f ca="1">IFERROR(__xludf.DUMMYFUNCTION("""COMPUTED_VALUE"""),"hubble")</f>
        <v>hubble</v>
      </c>
      <c r="B6215" s="2" t="str">
        <f ca="1">IFERROR(__xludf.DUMMYFUNCTION("""COMPUTED_VALUE"""),"hbb")</f>
        <v>hbb</v>
      </c>
      <c r="C6215" s="2" t="str">
        <f ca="1">IFERROR(__xludf.DUMMYFUNCTION("""COMPUTED_VALUE"""),"Hubble")</f>
        <v>Hubble</v>
      </c>
    </row>
    <row r="6216" spans="1:3" x14ac:dyDescent="0.25">
      <c r="A6216" s="2" t="str">
        <f ca="1">IFERROR(__xludf.DUMMYFUNCTION("""COMPUTED_VALUE"""),"hubswirl")</f>
        <v>hubswirl</v>
      </c>
      <c r="B6216" s="2" t="str">
        <f ca="1">IFERROR(__xludf.DUMMYFUNCTION("""COMPUTED_VALUE"""),"swirlx")</f>
        <v>swirlx</v>
      </c>
      <c r="C6216" s="2" t="str">
        <f ca="1">IFERROR(__xludf.DUMMYFUNCTION("""COMPUTED_VALUE"""),"SwirlTokenX")</f>
        <v>SwirlTokenX</v>
      </c>
    </row>
    <row r="6217" spans="1:3" x14ac:dyDescent="0.25">
      <c r="A6217" s="2" t="str">
        <f ca="1">IFERROR(__xludf.DUMMYFUNCTION("""COMPUTED_VALUE"""),"huckleberry")</f>
        <v>huckleberry</v>
      </c>
      <c r="B6217" s="2" t="str">
        <f ca="1">IFERROR(__xludf.DUMMYFUNCTION("""COMPUTED_VALUE"""),"finn")</f>
        <v>finn</v>
      </c>
      <c r="C6217" s="2" t="str">
        <f ca="1">IFERROR(__xludf.DUMMYFUNCTION("""COMPUTED_VALUE"""),"Huckleberry")</f>
        <v>Huckleberry</v>
      </c>
    </row>
    <row r="6218" spans="1:3" x14ac:dyDescent="0.25">
      <c r="A6218" s="2" t="str">
        <f ca="1">IFERROR(__xludf.DUMMYFUNCTION("""COMPUTED_VALUE"""),"hudi")</f>
        <v>hudi</v>
      </c>
      <c r="B6218" s="2" t="str">
        <f ca="1">IFERROR(__xludf.DUMMYFUNCTION("""COMPUTED_VALUE"""),"hudi")</f>
        <v>hudi</v>
      </c>
      <c r="C6218" s="2" t="str">
        <f ca="1">IFERROR(__xludf.DUMMYFUNCTION("""COMPUTED_VALUE"""),"Hudi")</f>
        <v>Hudi</v>
      </c>
    </row>
    <row r="6219" spans="1:3" x14ac:dyDescent="0.25">
      <c r="A6219" s="2" t="str">
        <f ca="1">IFERROR(__xludf.DUMMYFUNCTION("""COMPUTED_VALUE"""),"huebel-bolt")</f>
        <v>huebel-bolt</v>
      </c>
      <c r="B6219" s="2" t="str">
        <f ca="1">IFERROR(__xludf.DUMMYFUNCTION("""COMPUTED_VALUE"""),"bolt")</f>
        <v>bolt</v>
      </c>
      <c r="C6219" s="2" t="str">
        <f ca="1">IFERROR(__xludf.DUMMYFUNCTION("""COMPUTED_VALUE"""),"Huebel Bolt")</f>
        <v>Huebel Bolt</v>
      </c>
    </row>
    <row r="6220" spans="1:3" x14ac:dyDescent="0.25">
      <c r="A6220" s="2" t="str">
        <f ca="1">IFERROR(__xludf.DUMMYFUNCTION("""COMPUTED_VALUE"""),"hug")</f>
        <v>hug</v>
      </c>
      <c r="B6220" s="2" t="str">
        <f ca="1">IFERROR(__xludf.DUMMYFUNCTION("""COMPUTED_VALUE"""),"hug")</f>
        <v>hug</v>
      </c>
      <c r="C6220" s="2" t="str">
        <f ca="1">IFERROR(__xludf.DUMMYFUNCTION("""COMPUTED_VALUE"""),"HUG")</f>
        <v>HUG</v>
      </c>
    </row>
    <row r="6221" spans="1:3" x14ac:dyDescent="0.25">
      <c r="A6221" s="2" t="str">
        <f ca="1">IFERROR(__xludf.DUMMYFUNCTION("""COMPUTED_VALUE"""),"hugewin")</f>
        <v>hugewin</v>
      </c>
      <c r="B6221" s="2" t="str">
        <f ca="1">IFERROR(__xludf.DUMMYFUNCTION("""COMPUTED_VALUE"""),"huge")</f>
        <v>huge</v>
      </c>
      <c r="C6221" s="2" t="str">
        <f ca="1">IFERROR(__xludf.DUMMYFUNCTION("""COMPUTED_VALUE"""),"HugeWin")</f>
        <v>HugeWin</v>
      </c>
    </row>
    <row r="6222" spans="1:3" x14ac:dyDescent="0.25">
      <c r="A6222" s="2" t="str">
        <f ca="1">IFERROR(__xludf.DUMMYFUNCTION("""COMPUTED_VALUE"""),"hughug-coin")</f>
        <v>hughug-coin</v>
      </c>
      <c r="B6222" s="2" t="str">
        <f ca="1">IFERROR(__xludf.DUMMYFUNCTION("""COMPUTED_VALUE"""),"hghg")</f>
        <v>hghg</v>
      </c>
      <c r="C6222" s="2" t="str">
        <f ca="1">IFERROR(__xludf.DUMMYFUNCTION("""COMPUTED_VALUE"""),"HUGHUG")</f>
        <v>HUGHUG</v>
      </c>
    </row>
    <row r="6223" spans="1:3" x14ac:dyDescent="0.25">
      <c r="A6223" s="2" t="str">
        <f ca="1">IFERROR(__xludf.DUMMYFUNCTION("""COMPUTED_VALUE"""),"huh-cat")</f>
        <v>huh-cat</v>
      </c>
      <c r="B6223" s="2" t="str">
        <f ca="1">IFERROR(__xludf.DUMMYFUNCTION("""COMPUTED_VALUE"""),"huhcat")</f>
        <v>huhcat</v>
      </c>
      <c r="C6223" s="2" t="str">
        <f ca="1">IFERROR(__xludf.DUMMYFUNCTION("""COMPUTED_VALUE"""),"Huh cat")</f>
        <v>Huh cat</v>
      </c>
    </row>
    <row r="6224" spans="1:3" x14ac:dyDescent="0.25">
      <c r="A6224" s="2" t="str">
        <f ca="1">IFERROR(__xludf.DUMMYFUNCTION("""COMPUTED_VALUE"""),"huhu-cat")</f>
        <v>huhu-cat</v>
      </c>
      <c r="B6224" s="2" t="str">
        <f ca="1">IFERROR(__xludf.DUMMYFUNCTION("""COMPUTED_VALUE"""),"huhu")</f>
        <v>huhu</v>
      </c>
      <c r="C6224" s="2" t="str">
        <f ca="1">IFERROR(__xludf.DUMMYFUNCTION("""COMPUTED_VALUE"""),"Huhu Cat")</f>
        <v>Huhu Cat</v>
      </c>
    </row>
    <row r="6225" spans="1:3" x14ac:dyDescent="0.25">
      <c r="A6225" s="2" t="str">
        <f ca="1">IFERROR(__xludf.DUMMYFUNCTION("""COMPUTED_VALUE"""),"hulvin")</f>
        <v>hulvin</v>
      </c>
      <c r="B6225" s="2" t="str">
        <f ca="1">IFERROR(__xludf.DUMMYFUNCTION("""COMPUTED_VALUE"""),"hulvin")</f>
        <v>hulvin</v>
      </c>
      <c r="C6225" s="2" t="str">
        <f ca="1">IFERROR(__xludf.DUMMYFUNCTION("""COMPUTED_VALUE"""),"HULVIN")</f>
        <v>HULVIN</v>
      </c>
    </row>
    <row r="6226" spans="1:3" x14ac:dyDescent="0.25">
      <c r="A6226" s="2" t="str">
        <f ca="1">IFERROR(__xludf.DUMMYFUNCTION("""COMPUTED_VALUE"""),"huma-finance")</f>
        <v>huma-finance</v>
      </c>
      <c r="B6226" s="2" t="str">
        <f ca="1">IFERROR(__xludf.DUMMYFUNCTION("""COMPUTED_VALUE"""),"huma")</f>
        <v>huma</v>
      </c>
      <c r="C6226" s="2" t="str">
        <f ca="1">IFERROR(__xludf.DUMMYFUNCTION("""COMPUTED_VALUE"""),"Huma Finance")</f>
        <v>Huma Finance</v>
      </c>
    </row>
    <row r="6227" spans="1:3" x14ac:dyDescent="0.25">
      <c r="A6227" s="2" t="str">
        <f ca="1">IFERROR(__xludf.DUMMYFUNCTION("""COMPUTED_VALUE"""),"humandao")</f>
        <v>humandao</v>
      </c>
      <c r="B6227" s="2" t="str">
        <f ca="1">IFERROR(__xludf.DUMMYFUNCTION("""COMPUTED_VALUE"""),"hdao")</f>
        <v>hdao</v>
      </c>
      <c r="C6227" s="2" t="str">
        <f ca="1">IFERROR(__xludf.DUMMYFUNCTION("""COMPUTED_VALUE"""),"humanDAO")</f>
        <v>humanDAO</v>
      </c>
    </row>
    <row r="6228" spans="1:3" x14ac:dyDescent="0.25">
      <c r="A6228" s="2" t="str">
        <f ca="1">IFERROR(__xludf.DUMMYFUNCTION("""COMPUTED_VALUE"""),"human-intelligence-machin")</f>
        <v>human-intelligence-machin</v>
      </c>
      <c r="B6228" s="2" t="str">
        <f ca="1">IFERROR(__xludf.DUMMYFUNCTION("""COMPUTED_VALUE"""),"him")</f>
        <v>him</v>
      </c>
      <c r="C6228" s="2" t="str">
        <f ca="1">IFERROR(__xludf.DUMMYFUNCTION("""COMPUTED_VALUE"""),"Human Intelligence Machin")</f>
        <v>Human Intelligence Machin</v>
      </c>
    </row>
    <row r="6229" spans="1:3" x14ac:dyDescent="0.25">
      <c r="A6229" s="2" t="str">
        <f ca="1">IFERROR(__xludf.DUMMYFUNCTION("""COMPUTED_VALUE"""),"humaniq")</f>
        <v>humaniq</v>
      </c>
      <c r="B6229" s="2" t="str">
        <f ca="1">IFERROR(__xludf.DUMMYFUNCTION("""COMPUTED_VALUE"""),"hmq")</f>
        <v>hmq</v>
      </c>
      <c r="C6229" s="2" t="str">
        <f ca="1">IFERROR(__xludf.DUMMYFUNCTION("""COMPUTED_VALUE"""),"Humaniq")</f>
        <v>Humaniq</v>
      </c>
    </row>
    <row r="6230" spans="1:3" x14ac:dyDescent="0.25">
      <c r="A6230" s="2" t="str">
        <f ca="1">IFERROR(__xludf.DUMMYFUNCTION("""COMPUTED_VALUE"""),"humanity-protocol-dply")</f>
        <v>humanity-protocol-dply</v>
      </c>
      <c r="B6230" s="2" t="str">
        <f ca="1">IFERROR(__xludf.DUMMYFUNCTION("""COMPUTED_VALUE"""),"dply")</f>
        <v>dply</v>
      </c>
      <c r="C6230" s="2" t="str">
        <f ca="1">IFERROR(__xludf.DUMMYFUNCTION("""COMPUTED_VALUE"""),"Humanity Protocol DPLY")</f>
        <v>Humanity Protocol DPLY</v>
      </c>
    </row>
    <row r="6231" spans="1:3" x14ac:dyDescent="0.25">
      <c r="A6231" s="2" t="str">
        <f ca="1">IFERROR(__xludf.DUMMYFUNCTION("""COMPUTED_VALUE"""),"humanize")</f>
        <v>humanize</v>
      </c>
      <c r="B6231" s="2" t="str">
        <f ca="1">IFERROR(__xludf.DUMMYFUNCTION("""COMPUTED_VALUE"""),"$hmt")</f>
        <v>$hmt</v>
      </c>
      <c r="C6231" s="2" t="str">
        <f ca="1">IFERROR(__xludf.DUMMYFUNCTION("""COMPUTED_VALUE"""),"Humanize")</f>
        <v>Humanize</v>
      </c>
    </row>
    <row r="6232" spans="1:3" x14ac:dyDescent="0.25">
      <c r="A6232" s="2" t="str">
        <f ca="1">IFERROR(__xludf.DUMMYFUNCTION("""COMPUTED_VALUE"""),"humanode")</f>
        <v>humanode</v>
      </c>
      <c r="B6232" s="2" t="str">
        <f ca="1">IFERROR(__xludf.DUMMYFUNCTION("""COMPUTED_VALUE"""),"hmnd")</f>
        <v>hmnd</v>
      </c>
      <c r="C6232" s="2" t="str">
        <f ca="1">IFERROR(__xludf.DUMMYFUNCTION("""COMPUTED_VALUE"""),"Humanode")</f>
        <v>Humanode</v>
      </c>
    </row>
    <row r="6233" spans="1:3" x14ac:dyDescent="0.25">
      <c r="A6233" s="2" t="str">
        <f ca="1">IFERROR(__xludf.DUMMYFUNCTION("""COMPUTED_VALUE"""),"human-protocol")</f>
        <v>human-protocol</v>
      </c>
      <c r="B6233" s="2" t="str">
        <f ca="1">IFERROR(__xludf.DUMMYFUNCTION("""COMPUTED_VALUE"""),"hmt")</f>
        <v>hmt</v>
      </c>
      <c r="C6233" s="2" t="str">
        <f ca="1">IFERROR(__xludf.DUMMYFUNCTION("""COMPUTED_VALUE"""),"HUMAN Protocol")</f>
        <v>HUMAN Protocol</v>
      </c>
    </row>
    <row r="6234" spans="1:3" x14ac:dyDescent="0.25">
      <c r="A6234" s="2" t="str">
        <f ca="1">IFERROR(__xludf.DUMMYFUNCTION("""COMPUTED_VALUE"""),"humans-ai")</f>
        <v>humans-ai</v>
      </c>
      <c r="B6234" s="2" t="str">
        <f ca="1">IFERROR(__xludf.DUMMYFUNCTION("""COMPUTED_VALUE"""),"heart")</f>
        <v>heart</v>
      </c>
      <c r="C6234" s="3" t="str">
        <f ca="1">IFERROR(__xludf.DUMMYFUNCTION("""COMPUTED_VALUE"""),"Humans.ai")</f>
        <v>Humans.ai</v>
      </c>
    </row>
    <row r="6235" spans="1:3" x14ac:dyDescent="0.25">
      <c r="A6235" s="2" t="str">
        <f ca="1">IFERROR(__xludf.DUMMYFUNCTION("""COMPUTED_VALUE"""),"humanscape")</f>
        <v>humanscape</v>
      </c>
      <c r="B6235" s="2" t="str">
        <f ca="1">IFERROR(__xludf.DUMMYFUNCTION("""COMPUTED_VALUE"""),"hpo")</f>
        <v>hpo</v>
      </c>
      <c r="C6235" s="2" t="str">
        <f ca="1">IFERROR(__xludf.DUMMYFUNCTION("""COMPUTED_VALUE"""),"Hippocrat")</f>
        <v>Hippocrat</v>
      </c>
    </row>
    <row r="6236" spans="1:3" x14ac:dyDescent="0.25">
      <c r="A6236" s="2" t="str">
        <f ca="1">IFERROR(__xludf.DUMMYFUNCTION("""COMPUTED_VALUE"""),"humanscarefoundationwater")</f>
        <v>humanscarefoundationwater</v>
      </c>
      <c r="B6236" s="2" t="str">
        <f ca="1">IFERROR(__xludf.DUMMYFUNCTION("""COMPUTED_VALUE"""),"hcfw")</f>
        <v>hcfw</v>
      </c>
      <c r="C6236" s="2" t="str">
        <f ca="1">IFERROR(__xludf.DUMMYFUNCTION("""COMPUTED_VALUE"""),"HumansCareFoundationWater")</f>
        <v>HumansCareFoundationWater</v>
      </c>
    </row>
    <row r="6237" spans="1:3" x14ac:dyDescent="0.25">
      <c r="A6237" s="2" t="str">
        <f ca="1">IFERROR(__xludf.DUMMYFUNCTION("""COMPUTED_VALUE"""),"hummingbird-finance-2")</f>
        <v>hummingbird-finance-2</v>
      </c>
      <c r="B6237" s="2" t="str">
        <f ca="1">IFERROR(__xludf.DUMMYFUNCTION("""COMPUTED_VALUE"""),"hmng")</f>
        <v>hmng</v>
      </c>
      <c r="C6237" s="2" t="str">
        <f ca="1">IFERROR(__xludf.DUMMYFUNCTION("""COMPUTED_VALUE"""),"Hummingbird Finance")</f>
        <v>Hummingbird Finance</v>
      </c>
    </row>
    <row r="6238" spans="1:3" x14ac:dyDescent="0.25">
      <c r="A6238" s="2" t="str">
        <f ca="1">IFERROR(__xludf.DUMMYFUNCTION("""COMPUTED_VALUE"""),"hummingbot")</f>
        <v>hummingbot</v>
      </c>
      <c r="B6238" s="2" t="str">
        <f ca="1">IFERROR(__xludf.DUMMYFUNCTION("""COMPUTED_VALUE"""),"hbot")</f>
        <v>hbot</v>
      </c>
      <c r="C6238" s="2" t="str">
        <f ca="1">IFERROR(__xludf.DUMMYFUNCTION("""COMPUTED_VALUE"""),"Hummingbot")</f>
        <v>Hummingbot</v>
      </c>
    </row>
    <row r="6239" spans="1:3" x14ac:dyDescent="0.25">
      <c r="A6239" s="2" t="str">
        <f ca="1">IFERROR(__xludf.DUMMYFUNCTION("""COMPUTED_VALUE"""),"hummus")</f>
        <v>hummus</v>
      </c>
      <c r="B6239" s="2" t="str">
        <f ca="1">IFERROR(__xludf.DUMMYFUNCTION("""COMPUTED_VALUE"""),"hum")</f>
        <v>hum</v>
      </c>
      <c r="C6239" s="2" t="str">
        <f ca="1">IFERROR(__xludf.DUMMYFUNCTION("""COMPUTED_VALUE"""),"Hummus")</f>
        <v>Hummus</v>
      </c>
    </row>
    <row r="6240" spans="1:3" x14ac:dyDescent="0.25">
      <c r="A6240" s="2" t="str">
        <f ca="1">IFERROR(__xludf.DUMMYFUNCTION("""COMPUTED_VALUE"""),"hump")</f>
        <v>hump</v>
      </c>
      <c r="B6240" s="2" t="str">
        <f ca="1">IFERROR(__xludf.DUMMYFUNCTION("""COMPUTED_VALUE"""),"hump")</f>
        <v>hump</v>
      </c>
      <c r="C6240" s="2" t="str">
        <f ca="1">IFERROR(__xludf.DUMMYFUNCTION("""COMPUTED_VALUE"""),"Hump")</f>
        <v>Hump</v>
      </c>
    </row>
    <row r="6241" spans="1:3" x14ac:dyDescent="0.25">
      <c r="A6241" s="2" t="str">
        <f ca="1">IFERROR(__xludf.DUMMYFUNCTION("""COMPUTED_VALUE"""),"hund")</f>
        <v>hund</v>
      </c>
      <c r="B6241" s="2" t="str">
        <f ca="1">IFERROR(__xludf.DUMMYFUNCTION("""COMPUTED_VALUE"""),"hund")</f>
        <v>hund</v>
      </c>
      <c r="C6241" s="2" t="str">
        <f ca="1">IFERROR(__xludf.DUMMYFUNCTION("""COMPUTED_VALUE"""),"Hund")</f>
        <v>Hund</v>
      </c>
    </row>
    <row r="6242" spans="1:3" x14ac:dyDescent="0.25">
      <c r="A6242" s="2" t="str">
        <f ca="1">IFERROR(__xludf.DUMMYFUNCTION("""COMPUTED_VALUE"""),"hundred")</f>
        <v>hundred</v>
      </c>
      <c r="B6242" s="2" t="str">
        <f ca="1">IFERROR(__xludf.DUMMYFUNCTION("""COMPUTED_VALUE"""),"hundred")</f>
        <v>hundred</v>
      </c>
      <c r="C6242" s="2" t="str">
        <f ca="1">IFERROR(__xludf.DUMMYFUNCTION("""COMPUTED_VALUE"""),"HUNDRED")</f>
        <v>HUNDRED</v>
      </c>
    </row>
    <row r="6243" spans="1:3" x14ac:dyDescent="0.25">
      <c r="A6243" s="2" t="str">
        <f ca="1">IFERROR(__xludf.DUMMYFUNCTION("""COMPUTED_VALUE"""),"hundred-finance")</f>
        <v>hundred-finance</v>
      </c>
      <c r="B6243" s="2" t="str">
        <f ca="1">IFERROR(__xludf.DUMMYFUNCTION("""COMPUTED_VALUE"""),"hnd")</f>
        <v>hnd</v>
      </c>
      <c r="C6243" s="2" t="str">
        <f ca="1">IFERROR(__xludf.DUMMYFUNCTION("""COMPUTED_VALUE"""),"Hundred Finance")</f>
        <v>Hundred Finance</v>
      </c>
    </row>
    <row r="6244" spans="1:3" x14ac:dyDescent="0.25">
      <c r="A6244" s="2" t="str">
        <f ca="1">IFERROR(__xludf.DUMMYFUNCTION("""COMPUTED_VALUE"""),"hungarian-vizsla-inu")</f>
        <v>hungarian-vizsla-inu</v>
      </c>
      <c r="B6244" s="2" t="str">
        <f ca="1">IFERROR(__xludf.DUMMYFUNCTION("""COMPUTED_VALUE"""),"hvi")</f>
        <v>hvi</v>
      </c>
      <c r="C6244" s="2" t="str">
        <f ca="1">IFERROR(__xludf.DUMMYFUNCTION("""COMPUTED_VALUE"""),"Hungarian Vizsla Inu")</f>
        <v>Hungarian Vizsla Inu</v>
      </c>
    </row>
    <row r="6245" spans="1:3" x14ac:dyDescent="0.25">
      <c r="A6245" s="2" t="str">
        <f ca="1">IFERROR(__xludf.DUMMYFUNCTION("""COMPUTED_VALUE"""),"hunny-love-token")</f>
        <v>hunny-love-token</v>
      </c>
      <c r="B6245" s="2" t="str">
        <f ca="1">IFERROR(__xludf.DUMMYFUNCTION("""COMPUTED_VALUE"""),"love")</f>
        <v>love</v>
      </c>
      <c r="C6245" s="2" t="str">
        <f ca="1">IFERROR(__xludf.DUMMYFUNCTION("""COMPUTED_VALUE"""),"HunnyDAO")</f>
        <v>HunnyDAO</v>
      </c>
    </row>
    <row r="6246" spans="1:3" x14ac:dyDescent="0.25">
      <c r="A6246" s="2" t="str">
        <f ca="1">IFERROR(__xludf.DUMMYFUNCTION("""COMPUTED_VALUE"""),"hunter")</f>
        <v>hunter</v>
      </c>
      <c r="B6246" s="2" t="str">
        <f ca="1">IFERROR(__xludf.DUMMYFUNCTION("""COMPUTED_VALUE"""),"hntr")</f>
        <v>hntr</v>
      </c>
      <c r="C6246" s="2" t="str">
        <f ca="1">IFERROR(__xludf.DUMMYFUNCTION("""COMPUTED_VALUE"""),"Hunter Token")</f>
        <v>Hunter Token</v>
      </c>
    </row>
    <row r="6247" spans="1:3" x14ac:dyDescent="0.25">
      <c r="A6247" s="2" t="str">
        <f ca="1">IFERROR(__xludf.DUMMYFUNCTION("""COMPUTED_VALUE"""),"hunter-biden-s-laptop")</f>
        <v>hunter-biden-s-laptop</v>
      </c>
      <c r="B6247" s="2" t="str">
        <f ca="1">IFERROR(__xludf.DUMMYFUNCTION("""COMPUTED_VALUE"""),"laptop")</f>
        <v>laptop</v>
      </c>
      <c r="C6247" s="2" t="str">
        <f ca="1">IFERROR(__xludf.DUMMYFUNCTION("""COMPUTED_VALUE"""),"Hunter Biden's Laptop")</f>
        <v>Hunter Biden's Laptop</v>
      </c>
    </row>
    <row r="6248" spans="1:3" x14ac:dyDescent="0.25">
      <c r="A6248" s="2" t="str">
        <f ca="1">IFERROR(__xludf.DUMMYFUNCTION("""COMPUTED_VALUE"""),"hunter-boden")</f>
        <v>hunter-boden</v>
      </c>
      <c r="B6248" s="2" t="str">
        <f ca="1">IFERROR(__xludf.DUMMYFUNCTION("""COMPUTED_VALUE"""),"huntboden")</f>
        <v>huntboden</v>
      </c>
      <c r="C6248" s="2" t="str">
        <f ca="1">IFERROR(__xludf.DUMMYFUNCTION("""COMPUTED_VALUE"""),"Hunter Boden")</f>
        <v>Hunter Boden</v>
      </c>
    </row>
    <row r="6249" spans="1:3" x14ac:dyDescent="0.25">
      <c r="A6249" s="2" t="str">
        <f ca="1">IFERROR(__xludf.DUMMYFUNCTION("""COMPUTED_VALUE"""),"hunt-token")</f>
        <v>hunt-token</v>
      </c>
      <c r="B6249" s="2" t="str">
        <f ca="1">IFERROR(__xludf.DUMMYFUNCTION("""COMPUTED_VALUE"""),"hunt")</f>
        <v>hunt</v>
      </c>
      <c r="C6249" s="2" t="str">
        <f ca="1">IFERROR(__xludf.DUMMYFUNCTION("""COMPUTED_VALUE"""),"Hunt")</f>
        <v>Hunt</v>
      </c>
    </row>
    <row r="6250" spans="1:3" x14ac:dyDescent="0.25">
      <c r="A6250" s="2" t="str">
        <f ca="1">IFERROR(__xludf.DUMMYFUNCTION("""COMPUTED_VALUE"""),"huobi-btc")</f>
        <v>huobi-btc</v>
      </c>
      <c r="B6250" s="2" t="str">
        <f ca="1">IFERROR(__xludf.DUMMYFUNCTION("""COMPUTED_VALUE"""),"hbtc")</f>
        <v>hbtc</v>
      </c>
      <c r="C6250" s="2" t="str">
        <f ca="1">IFERROR(__xludf.DUMMYFUNCTION("""COMPUTED_VALUE"""),"Huobi BTC")</f>
        <v>Huobi BTC</v>
      </c>
    </row>
    <row r="6251" spans="1:3" x14ac:dyDescent="0.25">
      <c r="A6251" s="2" t="str">
        <f ca="1">IFERROR(__xludf.DUMMYFUNCTION("""COMPUTED_VALUE"""),"huobi-btc-wormhole")</f>
        <v>huobi-btc-wormhole</v>
      </c>
      <c r="B6251" s="2" t="str">
        <f ca="1">IFERROR(__xludf.DUMMYFUNCTION("""COMPUTED_VALUE"""),"hbtc")</f>
        <v>hbtc</v>
      </c>
      <c r="C6251" s="2" t="str">
        <f ca="1">IFERROR(__xludf.DUMMYFUNCTION("""COMPUTED_VALUE"""),"Huobi BTC (Wormhole)")</f>
        <v>Huobi BTC (Wormhole)</v>
      </c>
    </row>
    <row r="6252" spans="1:3" x14ac:dyDescent="0.25">
      <c r="A6252" s="2" t="str">
        <f ca="1">IFERROR(__xludf.DUMMYFUNCTION("""COMPUTED_VALUE"""),"huobi-token")</f>
        <v>huobi-token</v>
      </c>
      <c r="B6252" s="2" t="str">
        <f ca="1">IFERROR(__xludf.DUMMYFUNCTION("""COMPUTED_VALUE"""),"ht")</f>
        <v>ht</v>
      </c>
      <c r="C6252" s="2" t="str">
        <f ca="1">IFERROR(__xludf.DUMMYFUNCTION("""COMPUTED_VALUE"""),"Huobi")</f>
        <v>Huobi</v>
      </c>
    </row>
    <row r="6253" spans="1:3" x14ac:dyDescent="0.25">
      <c r="A6253" s="2" t="str">
        <f ca="1">IFERROR(__xludf.DUMMYFUNCTION("""COMPUTED_VALUE"""),"huralya")</f>
        <v>huralya</v>
      </c>
      <c r="B6253" s="2" t="str">
        <f ca="1">IFERROR(__xludf.DUMMYFUNCTION("""COMPUTED_VALUE"""),"lya")</f>
        <v>lya</v>
      </c>
      <c r="C6253" s="2" t="str">
        <f ca="1">IFERROR(__xludf.DUMMYFUNCTION("""COMPUTED_VALUE"""),"Huralya")</f>
        <v>Huralya</v>
      </c>
    </row>
    <row r="6254" spans="1:3" x14ac:dyDescent="0.25">
      <c r="A6254" s="2" t="str">
        <f ca="1">IFERROR(__xludf.DUMMYFUNCTION("""COMPUTED_VALUE"""),"hurricaneswap-token")</f>
        <v>hurricaneswap-token</v>
      </c>
      <c r="B6254" s="2" t="str">
        <f ca="1">IFERROR(__xludf.DUMMYFUNCTION("""COMPUTED_VALUE"""),"hct")</f>
        <v>hct</v>
      </c>
      <c r="C6254" s="2" t="str">
        <f ca="1">IFERROR(__xludf.DUMMYFUNCTION("""COMPUTED_VALUE"""),"HurricaneSwap")</f>
        <v>HurricaneSwap</v>
      </c>
    </row>
    <row r="6255" spans="1:3" x14ac:dyDescent="0.25">
      <c r="A6255" s="2" t="str">
        <f ca="1">IFERROR(__xludf.DUMMYFUNCTION("""COMPUTED_VALUE"""),"husby")</f>
        <v>husby</v>
      </c>
      <c r="B6255" s="2" t="str">
        <f ca="1">IFERROR(__xludf.DUMMYFUNCTION("""COMPUTED_VALUE"""),"husby")</f>
        <v>husby</v>
      </c>
      <c r="C6255" s="2" t="str">
        <f ca="1">IFERROR(__xludf.DUMMYFUNCTION("""COMPUTED_VALUE"""),"HUSBY")</f>
        <v>HUSBY</v>
      </c>
    </row>
    <row r="6256" spans="1:3" x14ac:dyDescent="0.25">
      <c r="A6256" s="2" t="str">
        <f ca="1">IFERROR(__xludf.DUMMYFUNCTION("""COMPUTED_VALUE"""),"husd")</f>
        <v>husd</v>
      </c>
      <c r="B6256" s="2" t="str">
        <f ca="1">IFERROR(__xludf.DUMMYFUNCTION("""COMPUTED_VALUE"""),"husd")</f>
        <v>husd</v>
      </c>
      <c r="C6256" s="2" t="str">
        <f ca="1">IFERROR(__xludf.DUMMYFUNCTION("""COMPUTED_VALUE"""),"HUSD")</f>
        <v>HUSD</v>
      </c>
    </row>
    <row r="6257" spans="1:3" x14ac:dyDescent="0.25">
      <c r="A6257" s="2" t="str">
        <f ca="1">IFERROR(__xludf.DUMMYFUNCTION("""COMPUTED_VALUE"""),"hush")</f>
        <v>hush</v>
      </c>
      <c r="B6257" s="2" t="str">
        <f ca="1">IFERROR(__xludf.DUMMYFUNCTION("""COMPUTED_VALUE"""),"hush")</f>
        <v>hush</v>
      </c>
      <c r="C6257" s="2" t="str">
        <f ca="1">IFERROR(__xludf.DUMMYFUNCTION("""COMPUTED_VALUE"""),"Hush")</f>
        <v>Hush</v>
      </c>
    </row>
    <row r="6258" spans="1:3" x14ac:dyDescent="0.25">
      <c r="A6258" s="2" t="str">
        <f ca="1">IFERROR(__xludf.DUMMYFUNCTION("""COMPUTED_VALUE"""),"husky-2")</f>
        <v>husky-2</v>
      </c>
      <c r="B6258" s="2" t="str">
        <f ca="1">IFERROR(__xludf.DUMMYFUNCTION("""COMPUTED_VALUE"""),"$husky")</f>
        <v>$husky</v>
      </c>
      <c r="C6258" s="2" t="str">
        <f ca="1">IFERROR(__xludf.DUMMYFUNCTION("""COMPUTED_VALUE"""),"Husky")</f>
        <v>Husky</v>
      </c>
    </row>
    <row r="6259" spans="1:3" x14ac:dyDescent="0.25">
      <c r="A6259" s="2" t="str">
        <f ca="1">IFERROR(__xludf.DUMMYFUNCTION("""COMPUTED_VALUE"""),"husky-ai")</f>
        <v>husky-ai</v>
      </c>
      <c r="B6259" s="2" t="str">
        <f ca="1">IFERROR(__xludf.DUMMYFUNCTION("""COMPUTED_VALUE"""),"hus")</f>
        <v>hus</v>
      </c>
      <c r="C6259" s="3" t="str">
        <f ca="1">IFERROR(__xludf.DUMMYFUNCTION("""COMPUTED_VALUE"""),"Husky.AI")</f>
        <v>Husky.AI</v>
      </c>
    </row>
    <row r="6260" spans="1:3" x14ac:dyDescent="0.25">
      <c r="A6260" s="2" t="str">
        <f ca="1">IFERROR(__xludf.DUMMYFUNCTION("""COMPUTED_VALUE"""),"husky-avax")</f>
        <v>husky-avax</v>
      </c>
      <c r="B6260" s="2" t="str">
        <f ca="1">IFERROR(__xludf.DUMMYFUNCTION("""COMPUTED_VALUE"""),"husky")</f>
        <v>husky</v>
      </c>
      <c r="C6260" s="2" t="str">
        <f ca="1">IFERROR(__xludf.DUMMYFUNCTION("""COMPUTED_VALUE"""),"Husky Avax")</f>
        <v>Husky Avax</v>
      </c>
    </row>
    <row r="6261" spans="1:3" x14ac:dyDescent="0.25">
      <c r="A6261" s="2" t="str">
        <f ca="1">IFERROR(__xludf.DUMMYFUNCTION("""COMPUTED_VALUE"""),"hxacoin")</f>
        <v>hxacoin</v>
      </c>
      <c r="B6261" s="2" t="str">
        <f ca="1">IFERROR(__xludf.DUMMYFUNCTION("""COMPUTED_VALUE"""),"hxa")</f>
        <v>hxa</v>
      </c>
      <c r="C6261" s="2" t="str">
        <f ca="1">IFERROR(__xludf.DUMMYFUNCTION("""COMPUTED_VALUE"""),"HXAcoin")</f>
        <v>HXAcoin</v>
      </c>
    </row>
    <row r="6262" spans="1:3" x14ac:dyDescent="0.25">
      <c r="A6262" s="2" t="str">
        <f ca="1">IFERROR(__xludf.DUMMYFUNCTION("""COMPUTED_VALUE"""),"hxro")</f>
        <v>hxro</v>
      </c>
      <c r="B6262" s="2" t="str">
        <f ca="1">IFERROR(__xludf.DUMMYFUNCTION("""COMPUTED_VALUE"""),"hxro")</f>
        <v>hxro</v>
      </c>
      <c r="C6262" s="2" t="str">
        <f ca="1">IFERROR(__xludf.DUMMYFUNCTION("""COMPUTED_VALUE"""),"HXRO")</f>
        <v>HXRO</v>
      </c>
    </row>
    <row r="6263" spans="1:3" x14ac:dyDescent="0.25">
      <c r="A6263" s="2" t="str">
        <f ca="1">IFERROR(__xludf.DUMMYFUNCTION("""COMPUTED_VALUE"""),"hydra")</f>
        <v>hydra</v>
      </c>
      <c r="B6263" s="2" t="str">
        <f ca="1">IFERROR(__xludf.DUMMYFUNCTION("""COMPUTED_VALUE"""),"hydra")</f>
        <v>hydra</v>
      </c>
      <c r="C6263" s="2" t="str">
        <f ca="1">IFERROR(__xludf.DUMMYFUNCTION("""COMPUTED_VALUE"""),"Hydra")</f>
        <v>Hydra</v>
      </c>
    </row>
    <row r="6264" spans="1:3" x14ac:dyDescent="0.25">
      <c r="A6264" s="2" t="str">
        <f ca="1">IFERROR(__xludf.DUMMYFUNCTION("""COMPUTED_VALUE"""),"hydra-2")</f>
        <v>hydra-2</v>
      </c>
      <c r="B6264" s="2" t="str">
        <f ca="1">IFERROR(__xludf.DUMMYFUNCTION("""COMPUTED_VALUE"""),"hydra")</f>
        <v>hydra</v>
      </c>
      <c r="C6264" s="2" t="str">
        <f ca="1">IFERROR(__xludf.DUMMYFUNCTION("""COMPUTED_VALUE"""),"Hydra")</f>
        <v>Hydra</v>
      </c>
    </row>
    <row r="6265" spans="1:3" x14ac:dyDescent="0.25">
      <c r="A6265" s="2" t="str">
        <f ca="1">IFERROR(__xludf.DUMMYFUNCTION("""COMPUTED_VALUE"""),"hydra-3")</f>
        <v>hydra-3</v>
      </c>
      <c r="B6265" s="2" t="str">
        <f ca="1">IFERROR(__xludf.DUMMYFUNCTION("""COMPUTED_VALUE"""),"hydra")</f>
        <v>hydra</v>
      </c>
      <c r="C6265" s="2" t="str">
        <f ca="1">IFERROR(__xludf.DUMMYFUNCTION("""COMPUTED_VALUE"""),"HYDRA")</f>
        <v>HYDRA</v>
      </c>
    </row>
    <row r="6266" spans="1:3" x14ac:dyDescent="0.25">
      <c r="A6266" s="2" t="str">
        <f ca="1">IFERROR(__xludf.DUMMYFUNCTION("""COMPUTED_VALUE"""),"hydra-bridged-dai-hydra")</f>
        <v>hydra-bridged-dai-hydra</v>
      </c>
      <c r="B6266" s="2" t="str">
        <f ca="1">IFERROR(__xludf.DUMMYFUNCTION("""COMPUTED_VALUE"""),"dai")</f>
        <v>dai</v>
      </c>
      <c r="C6266" s="2" t="str">
        <f ca="1">IFERROR(__xludf.DUMMYFUNCTION("""COMPUTED_VALUE"""),"Hydra Bridged DAI (Hydra)")</f>
        <v>Hydra Bridged DAI (Hydra)</v>
      </c>
    </row>
    <row r="6267" spans="1:3" x14ac:dyDescent="0.25">
      <c r="A6267" s="2" t="str">
        <f ca="1">IFERROR(__xludf.DUMMYFUNCTION("""COMPUTED_VALUE"""),"hydrachain-bridged-wbtc-hydra")</f>
        <v>hydrachain-bridged-wbtc-hydra</v>
      </c>
      <c r="B6267" s="2" t="str">
        <f ca="1">IFERROR(__xludf.DUMMYFUNCTION("""COMPUTED_VALUE"""),"wbtc")</f>
        <v>wbtc</v>
      </c>
      <c r="C6267" s="2" t="str">
        <f ca="1">IFERROR(__xludf.DUMMYFUNCTION("""COMPUTED_VALUE"""),"Hydrachain Bridged WBTC (Hydra)")</f>
        <v>Hydrachain Bridged WBTC (Hydra)</v>
      </c>
    </row>
    <row r="6268" spans="1:3" x14ac:dyDescent="0.25">
      <c r="A6268" s="2" t="str">
        <f ca="1">IFERROR(__xludf.DUMMYFUNCTION("""COMPUTED_VALUE"""),"hydradx")</f>
        <v>hydradx</v>
      </c>
      <c r="B6268" s="2" t="str">
        <f ca="1">IFERROR(__xludf.DUMMYFUNCTION("""COMPUTED_VALUE"""),"hdx")</f>
        <v>hdx</v>
      </c>
      <c r="C6268" s="2" t="str">
        <f ca="1">IFERROR(__xludf.DUMMYFUNCTION("""COMPUTED_VALUE"""),"Hydration")</f>
        <v>Hydration</v>
      </c>
    </row>
    <row r="6269" spans="1:3" x14ac:dyDescent="0.25">
      <c r="A6269" s="2" t="str">
        <f ca="1">IFERROR(__xludf.DUMMYFUNCTION("""COMPUTED_VALUE"""),"hydranet")</f>
        <v>hydranet</v>
      </c>
      <c r="B6269" s="2" t="str">
        <f ca="1">IFERROR(__xludf.DUMMYFUNCTION("""COMPUTED_VALUE"""),"hdn")</f>
        <v>hdn</v>
      </c>
      <c r="C6269" s="2" t="str">
        <f ca="1">IFERROR(__xludf.DUMMYFUNCTION("""COMPUTED_VALUE"""),"Hydranet")</f>
        <v>Hydranet</v>
      </c>
    </row>
    <row r="6270" spans="1:3" x14ac:dyDescent="0.25">
      <c r="A6270" s="2" t="str">
        <f ca="1">IFERROR(__xludf.DUMMYFUNCTION("""COMPUTED_VALUE"""),"hydraverse")</f>
        <v>hydraverse</v>
      </c>
      <c r="B6270" s="2" t="str">
        <f ca="1">IFERROR(__xludf.DUMMYFUNCTION("""COMPUTED_VALUE"""),"hdv")</f>
        <v>hdv</v>
      </c>
      <c r="C6270" s="2" t="str">
        <f ca="1">IFERROR(__xludf.DUMMYFUNCTION("""COMPUTED_VALUE"""),"Hydraverse")</f>
        <v>Hydraverse</v>
      </c>
    </row>
    <row r="6271" spans="1:3" x14ac:dyDescent="0.25">
      <c r="A6271" s="2" t="str">
        <f ca="1">IFERROR(__xludf.DUMMYFUNCTION("""COMPUTED_VALUE"""),"hydro-protocol-2")</f>
        <v>hydro-protocol-2</v>
      </c>
      <c r="B6271" s="2" t="str">
        <f ca="1">IFERROR(__xludf.DUMMYFUNCTION("""COMPUTED_VALUE"""),"hdro")</f>
        <v>hdro</v>
      </c>
      <c r="C6271" s="2" t="str">
        <f ca="1">IFERROR(__xludf.DUMMYFUNCTION("""COMPUTED_VALUE"""),"Hydro Protocol")</f>
        <v>Hydro Protocol</v>
      </c>
    </row>
    <row r="6272" spans="1:3" x14ac:dyDescent="0.25">
      <c r="A6272" s="2" t="str">
        <f ca="1">IFERROR(__xludf.DUMMYFUNCTION("""COMPUTED_VALUE"""),"hydro-staked-inj")</f>
        <v>hydro-staked-inj</v>
      </c>
      <c r="B6272" s="2" t="str">
        <f ca="1">IFERROR(__xludf.DUMMYFUNCTION("""COMPUTED_VALUE"""),"hinj")</f>
        <v>hinj</v>
      </c>
      <c r="C6272" s="2" t="str">
        <f ca="1">IFERROR(__xludf.DUMMYFUNCTION("""COMPUTED_VALUE"""),"Hydro Staked INJ")</f>
        <v>Hydro Staked INJ</v>
      </c>
    </row>
    <row r="6273" spans="1:3" x14ac:dyDescent="0.25">
      <c r="A6273" s="2" t="str">
        <f ca="1">IFERROR(__xludf.DUMMYFUNCTION("""COMPUTED_VALUE"""),"hydt-protocol-hydt")</f>
        <v>hydt-protocol-hydt</v>
      </c>
      <c r="B6273" s="2" t="str">
        <f ca="1">IFERROR(__xludf.DUMMYFUNCTION("""COMPUTED_VALUE"""),"hydt")</f>
        <v>hydt</v>
      </c>
      <c r="C6273" s="2" t="str">
        <f ca="1">IFERROR(__xludf.DUMMYFUNCTION("""COMPUTED_VALUE"""),"HYDT")</f>
        <v>HYDT</v>
      </c>
    </row>
    <row r="6274" spans="1:3" x14ac:dyDescent="0.25">
      <c r="A6274" s="2" t="str">
        <f ca="1">IFERROR(__xludf.DUMMYFUNCTION("""COMPUTED_VALUE"""),"hyena-coin")</f>
        <v>hyena-coin</v>
      </c>
      <c r="B6274" s="2" t="str">
        <f ca="1">IFERROR(__xludf.DUMMYFUNCTION("""COMPUTED_VALUE"""),"hyc")</f>
        <v>hyc</v>
      </c>
      <c r="C6274" s="2" t="str">
        <f ca="1">IFERROR(__xludf.DUMMYFUNCTION("""COMPUTED_VALUE"""),"Hyena Coin")</f>
        <v>Hyena Coin</v>
      </c>
    </row>
    <row r="6275" spans="1:3" x14ac:dyDescent="0.25">
      <c r="A6275" s="2" t="str">
        <f ca="1">IFERROR(__xludf.DUMMYFUNCTION("""COMPUTED_VALUE"""),"hygt")</f>
        <v>hygt</v>
      </c>
      <c r="B6275" s="2" t="str">
        <f ca="1">IFERROR(__xludf.DUMMYFUNCTION("""COMPUTED_VALUE"""),"hygt")</f>
        <v>hygt</v>
      </c>
      <c r="C6275" s="2" t="str">
        <f ca="1">IFERROR(__xludf.DUMMYFUNCTION("""COMPUTED_VALUE"""),"HYGT")</f>
        <v>HYGT</v>
      </c>
    </row>
    <row r="6276" spans="1:3" x14ac:dyDescent="0.25">
      <c r="A6276" s="2" t="str">
        <f ca="1">IFERROR(__xludf.DUMMYFUNCTION("""COMPUTED_VALUE"""),"hyme")</f>
        <v>hyme</v>
      </c>
      <c r="B6276" s="2" t="str">
        <f ca="1">IFERROR(__xludf.DUMMYFUNCTION("""COMPUTED_VALUE"""),"hyme")</f>
        <v>hyme</v>
      </c>
      <c r="C6276" s="2" t="str">
        <f ca="1">IFERROR(__xludf.DUMMYFUNCTION("""COMPUTED_VALUE"""),"HYME")</f>
        <v>HYME</v>
      </c>
    </row>
    <row r="6277" spans="1:3" x14ac:dyDescent="0.25">
      <c r="A6277" s="2" t="str">
        <f ca="1">IFERROR(__xludf.DUMMYFUNCTION("""COMPUTED_VALUE"""),"hype-meme-token")</f>
        <v>hype-meme-token</v>
      </c>
      <c r="B6277" s="2" t="str">
        <f ca="1">IFERROR(__xludf.DUMMYFUNCTION("""COMPUTED_VALUE"""),"hmtt")</f>
        <v>hmtt</v>
      </c>
      <c r="C6277" s="2" t="str">
        <f ca="1">IFERROR(__xludf.DUMMYFUNCTION("""COMPUTED_VALUE"""),"Hype Meme Token")</f>
        <v>Hype Meme Token</v>
      </c>
    </row>
    <row r="6278" spans="1:3" x14ac:dyDescent="0.25">
      <c r="A6278" s="2" t="str">
        <f ca="1">IFERROR(__xludf.DUMMYFUNCTION("""COMPUTED_VALUE"""),"hyper-3")</f>
        <v>hyper-3</v>
      </c>
      <c r="B6278" s="2" t="str">
        <f ca="1">IFERROR(__xludf.DUMMYFUNCTION("""COMPUTED_VALUE"""),"eon")</f>
        <v>eon</v>
      </c>
      <c r="C6278" s="2" t="str">
        <f ca="1">IFERROR(__xludf.DUMMYFUNCTION("""COMPUTED_VALUE"""),"Hyper")</f>
        <v>Hyper</v>
      </c>
    </row>
    <row r="6279" spans="1:3" x14ac:dyDescent="0.25">
      <c r="A6279" s="2" t="str">
        <f ca="1">IFERROR(__xludf.DUMMYFUNCTION("""COMPUTED_VALUE"""),"hyper-4")</f>
        <v>hyper-4</v>
      </c>
      <c r="B6279" s="2" t="str">
        <f ca="1">IFERROR(__xludf.DUMMYFUNCTION("""COMPUTED_VALUE"""),"hyper")</f>
        <v>hyper</v>
      </c>
      <c r="C6279" s="2" t="str">
        <f ca="1">IFERROR(__xludf.DUMMYFUNCTION("""COMPUTED_VALUE"""),"Hyper")</f>
        <v>Hyper</v>
      </c>
    </row>
    <row r="6280" spans="1:3" x14ac:dyDescent="0.25">
      <c r="A6280" s="2" t="str">
        <f ca="1">IFERROR(__xludf.DUMMYFUNCTION("""COMPUTED_VALUE"""),"hyper-5")</f>
        <v>hyper-5</v>
      </c>
      <c r="B6280" s="2" t="str">
        <f ca="1">IFERROR(__xludf.DUMMYFUNCTION("""COMPUTED_VALUE"""),"hyper")</f>
        <v>hyper</v>
      </c>
      <c r="C6280" s="2" t="str">
        <f ca="1">IFERROR(__xludf.DUMMYFUNCTION("""COMPUTED_VALUE"""),"Hyper")</f>
        <v>Hyper</v>
      </c>
    </row>
    <row r="6281" spans="1:3" x14ac:dyDescent="0.25">
      <c r="A6281" s="2" t="str">
        <f ca="1">IFERROR(__xludf.DUMMYFUNCTION("""COMPUTED_VALUE"""),"hyperbc")</f>
        <v>hyperbc</v>
      </c>
      <c r="B6281" s="2" t="str">
        <f ca="1">IFERROR(__xludf.DUMMYFUNCTION("""COMPUTED_VALUE"""),"hbt")</f>
        <v>hbt</v>
      </c>
      <c r="C6281" s="2" t="str">
        <f ca="1">IFERROR(__xludf.DUMMYFUNCTION("""COMPUTED_VALUE"""),"HyperBC")</f>
        <v>HyperBC</v>
      </c>
    </row>
    <row r="6282" spans="1:3" x14ac:dyDescent="0.25">
      <c r="A6282" s="2" t="str">
        <f ca="1">IFERROR(__xludf.DUMMYFUNCTION("""COMPUTED_VALUE"""),"hyperblast")</f>
        <v>hyperblast</v>
      </c>
      <c r="B6282" s="2" t="str">
        <f ca="1">IFERROR(__xludf.DUMMYFUNCTION("""COMPUTED_VALUE"""),"hype")</f>
        <v>hype</v>
      </c>
      <c r="C6282" s="2" t="str">
        <f ca="1">IFERROR(__xludf.DUMMYFUNCTION("""COMPUTED_VALUE"""),"HyperBlast")</f>
        <v>HyperBlast</v>
      </c>
    </row>
    <row r="6283" spans="1:3" x14ac:dyDescent="0.25">
      <c r="A6283" s="2" t="str">
        <f ca="1">IFERROR(__xludf.DUMMYFUNCTION("""COMPUTED_VALUE"""),"hyperbolic-protocol")</f>
        <v>hyperbolic-protocol</v>
      </c>
      <c r="B6283" s="2" t="str">
        <f ca="1">IFERROR(__xludf.DUMMYFUNCTION("""COMPUTED_VALUE"""),"hype")</f>
        <v>hype</v>
      </c>
      <c r="C6283" s="2" t="str">
        <f ca="1">IFERROR(__xludf.DUMMYFUNCTION("""COMPUTED_VALUE"""),"Hyperbolic Protocol")</f>
        <v>Hyperbolic Protocol</v>
      </c>
    </row>
    <row r="6284" spans="1:3" x14ac:dyDescent="0.25">
      <c r="A6284" s="2" t="str">
        <f ca="1">IFERROR(__xludf.DUMMYFUNCTION("""COMPUTED_VALUE"""),"hyperchainx")</f>
        <v>hyperchainx</v>
      </c>
      <c r="B6284" s="2" t="str">
        <f ca="1">IFERROR(__xludf.DUMMYFUNCTION("""COMPUTED_VALUE"""),"hyper")</f>
        <v>hyper</v>
      </c>
      <c r="C6284" s="2" t="str">
        <f ca="1">IFERROR(__xludf.DUMMYFUNCTION("""COMPUTED_VALUE"""),"HyperChainX")</f>
        <v>HyperChainX</v>
      </c>
    </row>
    <row r="6285" spans="1:3" x14ac:dyDescent="0.25">
      <c r="A6285" s="2" t="str">
        <f ca="1">IFERROR(__xludf.DUMMYFUNCTION("""COMPUTED_VALUE"""),"hypercomic")</f>
        <v>hypercomic</v>
      </c>
      <c r="B6285" s="2" t="str">
        <f ca="1">IFERROR(__xludf.DUMMYFUNCTION("""COMPUTED_VALUE"""),"hyco")</f>
        <v>hyco</v>
      </c>
      <c r="C6285" s="2" t="str">
        <f ca="1">IFERROR(__xludf.DUMMYFUNCTION("""COMPUTED_VALUE"""),"HYPERCOMIC")</f>
        <v>HYPERCOMIC</v>
      </c>
    </row>
    <row r="6286" spans="1:3" x14ac:dyDescent="0.25">
      <c r="A6286" s="2" t="str">
        <f ca="1">IFERROR(__xludf.DUMMYFUNCTION("""COMPUTED_VALUE"""),"hypercycle")</f>
        <v>hypercycle</v>
      </c>
      <c r="B6286" s="2" t="str">
        <f ca="1">IFERROR(__xludf.DUMMYFUNCTION("""COMPUTED_VALUE"""),"hypc")</f>
        <v>hypc</v>
      </c>
      <c r="C6286" s="2" t="str">
        <f ca="1">IFERROR(__xludf.DUMMYFUNCTION("""COMPUTED_VALUE"""),"HyperCycle")</f>
        <v>HyperCycle</v>
      </c>
    </row>
    <row r="6287" spans="1:3" x14ac:dyDescent="0.25">
      <c r="A6287" s="2" t="str">
        <f ca="1">IFERROR(__xludf.DUMMYFUNCTION("""COMPUTED_VALUE"""),"hyperdao")</f>
        <v>hyperdao</v>
      </c>
      <c r="B6287" s="2" t="str">
        <f ca="1">IFERROR(__xludf.DUMMYFUNCTION("""COMPUTED_VALUE"""),"hdao")</f>
        <v>hdao</v>
      </c>
      <c r="C6287" s="2" t="str">
        <f ca="1">IFERROR(__xludf.DUMMYFUNCTION("""COMPUTED_VALUE"""),"HyperDAO")</f>
        <v>HyperDAO</v>
      </c>
    </row>
    <row r="6288" spans="1:3" x14ac:dyDescent="0.25">
      <c r="A6288" s="2" t="str">
        <f ca="1">IFERROR(__xludf.DUMMYFUNCTION("""COMPUTED_VALUE"""),"hyperdust")</f>
        <v>hyperdust</v>
      </c>
      <c r="B6288" s="2" t="str">
        <f ca="1">IFERROR(__xludf.DUMMYFUNCTION("""COMPUTED_VALUE"""),"hypt")</f>
        <v>hypt</v>
      </c>
      <c r="C6288" s="2" t="str">
        <f ca="1">IFERROR(__xludf.DUMMYFUNCTION("""COMPUTED_VALUE"""),"HyperAGI")</f>
        <v>HyperAGI</v>
      </c>
    </row>
    <row r="6289" spans="1:3" x14ac:dyDescent="0.25">
      <c r="A6289" s="2" t="str">
        <f ca="1">IFERROR(__xludf.DUMMYFUNCTION("""COMPUTED_VALUE"""),"hyperfun")</f>
        <v>hyperfun</v>
      </c>
      <c r="B6289" s="2" t="str">
        <f ca="1">IFERROR(__xludf.DUMMYFUNCTION("""COMPUTED_VALUE"""),"fun")</f>
        <v>fun</v>
      </c>
      <c r="C6289" s="2" t="str">
        <f ca="1">IFERROR(__xludf.DUMMYFUNCTION("""COMPUTED_VALUE"""),"HyperFUN")</f>
        <v>HyperFUN</v>
      </c>
    </row>
    <row r="6290" spans="1:3" x14ac:dyDescent="0.25">
      <c r="A6290" s="2" t="str">
        <f ca="1">IFERROR(__xludf.DUMMYFUNCTION("""COMPUTED_VALUE"""),"hypergpt")</f>
        <v>hypergpt</v>
      </c>
      <c r="B6290" s="2" t="str">
        <f ca="1">IFERROR(__xludf.DUMMYFUNCTION("""COMPUTED_VALUE"""),"hgpt")</f>
        <v>hgpt</v>
      </c>
      <c r="C6290" s="2" t="str">
        <f ca="1">IFERROR(__xludf.DUMMYFUNCTION("""COMPUTED_VALUE"""),"HyperGPT")</f>
        <v>HyperGPT</v>
      </c>
    </row>
    <row r="6291" spans="1:3" x14ac:dyDescent="0.25">
      <c r="A6291" s="2" t="str">
        <f ca="1">IFERROR(__xludf.DUMMYFUNCTION("""COMPUTED_VALUE"""),"hyperhash-ai")</f>
        <v>hyperhash-ai</v>
      </c>
      <c r="B6291" s="2" t="str">
        <f ca="1">IFERROR(__xludf.DUMMYFUNCTION("""COMPUTED_VALUE"""),"hyperai")</f>
        <v>hyperai</v>
      </c>
      <c r="C6291" s="2" t="str">
        <f ca="1">IFERROR(__xludf.DUMMYFUNCTION("""COMPUTED_VALUE"""),"HyperHash AI")</f>
        <v>HyperHash AI</v>
      </c>
    </row>
    <row r="6292" spans="1:3" x14ac:dyDescent="0.25">
      <c r="A6292" s="2" t="str">
        <f ca="1">IFERROR(__xludf.DUMMYFUNCTION("""COMPUTED_VALUE"""),"hyper-pay")</f>
        <v>hyper-pay</v>
      </c>
      <c r="B6292" s="2" t="str">
        <f ca="1">IFERROR(__xludf.DUMMYFUNCTION("""COMPUTED_VALUE"""),"hpy")</f>
        <v>hpy</v>
      </c>
      <c r="C6292" s="2" t="str">
        <f ca="1">IFERROR(__xludf.DUMMYFUNCTION("""COMPUTED_VALUE"""),"Hyper Pay")</f>
        <v>Hyper Pay</v>
      </c>
    </row>
    <row r="6293" spans="1:3" x14ac:dyDescent="0.25">
      <c r="A6293" s="2" t="str">
        <f ca="1">IFERROR(__xludf.DUMMYFUNCTION("""COMPUTED_VALUE"""),"hyperpill")</f>
        <v>hyperpill</v>
      </c>
      <c r="B6293" s="2" t="str">
        <f ca="1">IFERROR(__xludf.DUMMYFUNCTION("""COMPUTED_VALUE"""),"pill")</f>
        <v>pill</v>
      </c>
      <c r="C6293" s="2" t="str">
        <f ca="1">IFERROR(__xludf.DUMMYFUNCTION("""COMPUTED_VALUE"""),"Hyperpill")</f>
        <v>Hyperpill</v>
      </c>
    </row>
    <row r="6294" spans="1:3" x14ac:dyDescent="0.25">
      <c r="A6294" s="2" t="str">
        <f ca="1">IFERROR(__xludf.DUMMYFUNCTION("""COMPUTED_VALUE"""),"hyperquant-2")</f>
        <v>hyperquant-2</v>
      </c>
      <c r="B6294" s="2" t="str">
        <f ca="1">IFERROR(__xludf.DUMMYFUNCTION("""COMPUTED_VALUE"""),"hq")</f>
        <v>hq</v>
      </c>
      <c r="C6294" s="2" t="str">
        <f ca="1">IFERROR(__xludf.DUMMYFUNCTION("""COMPUTED_VALUE"""),"HyperQuant")</f>
        <v>HyperQuant</v>
      </c>
    </row>
    <row r="6295" spans="1:3" x14ac:dyDescent="0.25">
      <c r="A6295" s="2" t="str">
        <f ca="1">IFERROR(__xludf.DUMMYFUNCTION("""COMPUTED_VALUE"""),"hypersign-identity-token")</f>
        <v>hypersign-identity-token</v>
      </c>
      <c r="B6295" s="2" t="str">
        <f ca="1">IFERROR(__xludf.DUMMYFUNCTION("""COMPUTED_VALUE"""),"hid")</f>
        <v>hid</v>
      </c>
      <c r="C6295" s="2" t="str">
        <f ca="1">IFERROR(__xludf.DUMMYFUNCTION("""COMPUTED_VALUE"""),"Hypersign Identity")</f>
        <v>Hypersign Identity</v>
      </c>
    </row>
    <row r="6296" spans="1:3" x14ac:dyDescent="0.25">
      <c r="A6296" s="2" t="str">
        <f ca="1">IFERROR(__xludf.DUMMYFUNCTION("""COMPUTED_VALUE"""),"hyperstake")</f>
        <v>hyperstake</v>
      </c>
      <c r="B6296" s="2" t="str">
        <f ca="1">IFERROR(__xludf.DUMMYFUNCTION("""COMPUTED_VALUE"""),"hyp")</f>
        <v>hyp</v>
      </c>
      <c r="C6296" s="2" t="str">
        <f ca="1">IFERROR(__xludf.DUMMYFUNCTION("""COMPUTED_VALUE"""),"Element")</f>
        <v>Element</v>
      </c>
    </row>
    <row r="6297" spans="1:3" x14ac:dyDescent="0.25">
      <c r="A6297" s="2" t="str">
        <f ca="1">IFERROR(__xludf.DUMMYFUNCTION("""COMPUTED_VALUE"""),"hypra")</f>
        <v>hypra</v>
      </c>
      <c r="B6297" s="2" t="str">
        <f ca="1">IFERROR(__xludf.DUMMYFUNCTION("""COMPUTED_VALUE"""),"hyp")</f>
        <v>hyp</v>
      </c>
      <c r="C6297" s="2" t="str">
        <f ca="1">IFERROR(__xludf.DUMMYFUNCTION("""COMPUTED_VALUE"""),"HYPRA")</f>
        <v>HYPRA</v>
      </c>
    </row>
    <row r="6298" spans="1:3" x14ac:dyDescent="0.25">
      <c r="A6298" s="2" t="str">
        <f ca="1">IFERROR(__xludf.DUMMYFUNCTION("""COMPUTED_VALUE"""),"hypurr-fun")</f>
        <v>hypurr-fun</v>
      </c>
      <c r="B6298" s="2" t="str">
        <f ca="1">IFERROR(__xludf.DUMMYFUNCTION("""COMPUTED_VALUE"""),"hfun")</f>
        <v>hfun</v>
      </c>
      <c r="C6298" s="2" t="str">
        <f ca="1">IFERROR(__xludf.DUMMYFUNCTION("""COMPUTED_VALUE"""),"Hypurr Fun")</f>
        <v>Hypurr Fun</v>
      </c>
    </row>
    <row r="6299" spans="1:3" x14ac:dyDescent="0.25">
      <c r="A6299" s="2" t="str">
        <f ca="1">IFERROR(__xludf.DUMMYFUNCTION("""COMPUTED_VALUE"""),"hyruleswap")</f>
        <v>hyruleswap</v>
      </c>
      <c r="B6299" s="2" t="str">
        <f ca="1">IFERROR(__xludf.DUMMYFUNCTION("""COMPUTED_VALUE"""),"rupee")</f>
        <v>rupee</v>
      </c>
      <c r="C6299" s="2" t="str">
        <f ca="1">IFERROR(__xludf.DUMMYFUNCTION("""COMPUTED_VALUE"""),"HyruleSwap")</f>
        <v>HyruleSwap</v>
      </c>
    </row>
    <row r="6300" spans="1:3" x14ac:dyDescent="0.25">
      <c r="A6300" s="2" t="str">
        <f ca="1">IFERROR(__xludf.DUMMYFUNCTION("""COMPUTED_VALUE"""),"hytopia")</f>
        <v>hytopia</v>
      </c>
      <c r="B6300" s="2" t="str">
        <f ca="1">IFERROR(__xludf.DUMMYFUNCTION("""COMPUTED_VALUE"""),"topia")</f>
        <v>topia</v>
      </c>
      <c r="C6300" s="2" t="str">
        <f ca="1">IFERROR(__xludf.DUMMYFUNCTION("""COMPUTED_VALUE"""),"HYCHAIN")</f>
        <v>HYCHAIN</v>
      </c>
    </row>
    <row r="6301" spans="1:3" x14ac:dyDescent="0.25">
      <c r="A6301" s="2" t="str">
        <f ca="1">IFERROR(__xludf.DUMMYFUNCTION("""COMPUTED_VALUE"""),"hyve")</f>
        <v>hyve</v>
      </c>
      <c r="B6301" s="2" t="str">
        <f ca="1">IFERROR(__xludf.DUMMYFUNCTION("""COMPUTED_VALUE"""),"hyve")</f>
        <v>hyve</v>
      </c>
      <c r="C6301" s="2" t="str">
        <f ca="1">IFERROR(__xludf.DUMMYFUNCTION("""COMPUTED_VALUE"""),"Hyve")</f>
        <v>Hyve</v>
      </c>
    </row>
    <row r="6302" spans="1:3" x14ac:dyDescent="0.25">
      <c r="A6302" s="2" t="str">
        <f ca="1">IFERROR(__xludf.DUMMYFUNCTION("""COMPUTED_VALUE"""),"hyzen-ai")</f>
        <v>hyzen-ai</v>
      </c>
      <c r="B6302" s="2" t="str">
        <f ca="1">IFERROR(__xludf.DUMMYFUNCTION("""COMPUTED_VALUE"""),"hai")</f>
        <v>hai</v>
      </c>
      <c r="C6302" s="3" t="str">
        <f ca="1">IFERROR(__xludf.DUMMYFUNCTION("""COMPUTED_VALUE"""),"Hyzen.AI")</f>
        <v>Hyzen.AI</v>
      </c>
    </row>
    <row r="6303" spans="1:3" x14ac:dyDescent="0.25">
      <c r="A6303" s="2" t="str">
        <f ca="1">IFERROR(__xludf.DUMMYFUNCTION("""COMPUTED_VALUE"""),"iagent-protocol")</f>
        <v>iagent-protocol</v>
      </c>
      <c r="B6303" s="2" t="str">
        <f ca="1">IFERROR(__xludf.DUMMYFUNCTION("""COMPUTED_VALUE"""),"$agnt")</f>
        <v>$agnt</v>
      </c>
      <c r="C6303" s="2" t="str">
        <f ca="1">IFERROR(__xludf.DUMMYFUNCTION("""COMPUTED_VALUE"""),"iAgent Protocol")</f>
        <v>iAgent Protocol</v>
      </c>
    </row>
    <row r="6304" spans="1:3" x14ac:dyDescent="0.25">
      <c r="A6304" s="2" t="str">
        <f ca="1">IFERROR(__xludf.DUMMYFUNCTION("""COMPUTED_VALUE"""),"iagon")</f>
        <v>iagon</v>
      </c>
      <c r="B6304" s="2" t="str">
        <f ca="1">IFERROR(__xludf.DUMMYFUNCTION("""COMPUTED_VALUE"""),"iag")</f>
        <v>iag</v>
      </c>
      <c r="C6304" s="2" t="str">
        <f ca="1">IFERROR(__xludf.DUMMYFUNCTION("""COMPUTED_VALUE"""),"Iagon")</f>
        <v>Iagon</v>
      </c>
    </row>
    <row r="6305" spans="1:3" x14ac:dyDescent="0.25">
      <c r="A6305" s="2" t="str">
        <f ca="1">IFERROR(__xludf.DUMMYFUNCTION("""COMPUTED_VALUE"""),"iamx")</f>
        <v>iamx</v>
      </c>
      <c r="B6305" s="2" t="str">
        <f ca="1">IFERROR(__xludf.DUMMYFUNCTION("""COMPUTED_VALUE"""),"iamx")</f>
        <v>iamx</v>
      </c>
      <c r="C6305" s="2" t="str">
        <f ca="1">IFERROR(__xludf.DUMMYFUNCTION("""COMPUTED_VALUE"""),"IAMX")</f>
        <v>IAMX</v>
      </c>
    </row>
    <row r="6306" spans="1:3" x14ac:dyDescent="0.25">
      <c r="A6306" s="2" t="str">
        <f ca="1">IFERROR(__xludf.DUMMYFUNCTION("""COMPUTED_VALUE"""),"iazuki")</f>
        <v>iazuki</v>
      </c>
      <c r="B6306" s="2" t="str">
        <f ca="1">IFERROR(__xludf.DUMMYFUNCTION("""COMPUTED_VALUE"""),"iazuki")</f>
        <v>iazuki</v>
      </c>
      <c r="C6306" s="2" t="str">
        <f ca="1">IFERROR(__xludf.DUMMYFUNCTION("""COMPUTED_VALUE"""),"IAzuki")</f>
        <v>IAzuki</v>
      </c>
    </row>
    <row r="6307" spans="1:3" x14ac:dyDescent="0.25">
      <c r="A6307" s="2" t="str">
        <f ca="1">IFERROR(__xludf.DUMMYFUNCTION("""COMPUTED_VALUE"""),"ibc-bridged-axlusdc-xpla")</f>
        <v>ibc-bridged-axlusdc-xpla</v>
      </c>
      <c r="B6307" s="2" t="str">
        <f ca="1">IFERROR(__xludf.DUMMYFUNCTION("""COMPUTED_VALUE"""),"axlusdc")</f>
        <v>axlusdc</v>
      </c>
      <c r="C6307" s="2" t="str">
        <f ca="1">IFERROR(__xludf.DUMMYFUNCTION("""COMPUTED_VALUE"""),"IBC Bridged axlUSDC (XPLA)")</f>
        <v>IBC Bridged axlUSDC (XPLA)</v>
      </c>
    </row>
    <row r="6308" spans="1:3" x14ac:dyDescent="0.25">
      <c r="A6308" s="2" t="str">
        <f ca="1">IFERROR(__xludf.DUMMYFUNCTION("""COMPUTED_VALUE"""),"ibc-bridged-usdc")</f>
        <v>ibc-bridged-usdc</v>
      </c>
      <c r="B6308" s="2" t="str">
        <f ca="1">IFERROR(__xludf.DUMMYFUNCTION("""COMPUTED_VALUE"""),"usdc")</f>
        <v>usdc</v>
      </c>
      <c r="C6308" s="2" t="str">
        <f ca="1">IFERROR(__xludf.DUMMYFUNCTION("""COMPUTED_VALUE"""),"IBC Bridged USDC")</f>
        <v>IBC Bridged USDC</v>
      </c>
    </row>
    <row r="6309" spans="1:3" x14ac:dyDescent="0.25">
      <c r="A6309" s="2" t="str">
        <f ca="1">IFERROR(__xludf.DUMMYFUNCTION("""COMPUTED_VALUE"""),"ibc-bridged-usdt")</f>
        <v>ibc-bridged-usdt</v>
      </c>
      <c r="B6309" s="2" t="str">
        <f ca="1">IFERROR(__xludf.DUMMYFUNCTION("""COMPUTED_VALUE"""),"usdt")</f>
        <v>usdt</v>
      </c>
      <c r="C6309" s="2" t="str">
        <f ca="1">IFERROR(__xludf.DUMMYFUNCTION("""COMPUTED_VALUE"""),"IBC Bridged USDT")</f>
        <v>IBC Bridged USDT</v>
      </c>
    </row>
    <row r="6310" spans="1:3" x14ac:dyDescent="0.25">
      <c r="A6310" s="2" t="str">
        <f ca="1">IFERROR(__xludf.DUMMYFUNCTION("""COMPUTED_VALUE"""),"ibc-index")</f>
        <v>ibc-index</v>
      </c>
      <c r="B6310" s="2" t="str">
        <f ca="1">IFERROR(__xludf.DUMMYFUNCTION("""COMPUTED_VALUE"""),"ibcx")</f>
        <v>ibcx</v>
      </c>
      <c r="C6310" s="2" t="str">
        <f ca="1">IFERROR(__xludf.DUMMYFUNCTION("""COMPUTED_VALUE"""),"IBC Index")</f>
        <v>IBC Index</v>
      </c>
    </row>
    <row r="6311" spans="1:3" x14ac:dyDescent="0.25">
      <c r="A6311" s="2" t="str">
        <f ca="1">IFERROR(__xludf.DUMMYFUNCTION("""COMPUTED_VALUE"""),"ibg-token")</f>
        <v>ibg-token</v>
      </c>
      <c r="B6311" s="2" t="str">
        <f ca="1">IFERROR(__xludf.DUMMYFUNCTION("""COMPUTED_VALUE"""),"ibg")</f>
        <v>ibg</v>
      </c>
      <c r="C6311" s="2" t="str">
        <f ca="1">IFERROR(__xludf.DUMMYFUNCTION("""COMPUTED_VALUE"""),"iBG Finance (BSC)")</f>
        <v>iBG Finance (BSC)</v>
      </c>
    </row>
    <row r="6312" spans="1:3" x14ac:dyDescent="0.25">
      <c r="A6312" s="2" t="str">
        <f ca="1">IFERROR(__xludf.DUMMYFUNCTION("""COMPUTED_VALUE"""),"ibithub")</f>
        <v>ibithub</v>
      </c>
      <c r="B6312" s="2" t="str">
        <f ca="1">IFERROR(__xludf.DUMMYFUNCTION("""COMPUTED_VALUE"""),"ibh")</f>
        <v>ibh</v>
      </c>
      <c r="C6312" s="2" t="str">
        <f ca="1">IFERROR(__xludf.DUMMYFUNCTION("""COMPUTED_VALUE"""),"iBitHub")</f>
        <v>iBitHub</v>
      </c>
    </row>
    <row r="6313" spans="1:3" x14ac:dyDescent="0.25">
      <c r="A6313" s="2" t="str">
        <f ca="1">IFERROR(__xludf.DUMMYFUNCTION("""COMPUTED_VALUE"""),"ibs")</f>
        <v>ibs</v>
      </c>
      <c r="B6313" s="2" t="str">
        <f ca="1">IFERROR(__xludf.DUMMYFUNCTION("""COMPUTED_VALUE"""),"ibs")</f>
        <v>ibs</v>
      </c>
      <c r="C6313" s="2" t="str">
        <f ca="1">IFERROR(__xludf.DUMMYFUNCTION("""COMPUTED_VALUE"""),"IBS")</f>
        <v>IBS</v>
      </c>
    </row>
    <row r="6314" spans="1:3" x14ac:dyDescent="0.25">
      <c r="A6314" s="2" t="str">
        <f ca="1">IFERROR(__xludf.DUMMYFUNCTION("""COMPUTED_VALUE"""),"ibtc-2")</f>
        <v>ibtc-2</v>
      </c>
      <c r="B6314" s="2" t="str">
        <f ca="1">IFERROR(__xludf.DUMMYFUNCTION("""COMPUTED_VALUE"""),"ibtc")</f>
        <v>ibtc</v>
      </c>
      <c r="C6314" s="2" t="str">
        <f ca="1">IFERROR(__xludf.DUMMYFUNCTION("""COMPUTED_VALUE"""),"Indigo Protocol iBTC")</f>
        <v>Indigo Protocol iBTC</v>
      </c>
    </row>
    <row r="6315" spans="1:3" x14ac:dyDescent="0.25">
      <c r="A6315" s="2" t="str">
        <f ca="1">IFERROR(__xludf.DUMMYFUNCTION("""COMPUTED_VALUE"""),"ibuffer-token")</f>
        <v>ibuffer-token</v>
      </c>
      <c r="B6315" s="2" t="str">
        <f ca="1">IFERROR(__xludf.DUMMYFUNCTION("""COMPUTED_VALUE"""),"bfr")</f>
        <v>bfr</v>
      </c>
      <c r="C6315" s="2" t="str">
        <f ca="1">IFERROR(__xludf.DUMMYFUNCTION("""COMPUTED_VALUE"""),"Buffer Token")</f>
        <v>Buffer Token</v>
      </c>
    </row>
    <row r="6316" spans="1:3" x14ac:dyDescent="0.25">
      <c r="A6316" s="2" t="str">
        <f ca="1">IFERROR(__xludf.DUMMYFUNCTION("""COMPUTED_VALUE"""),"icarus-m-guild-war-velzeroth")</f>
        <v>icarus-m-guild-war-velzeroth</v>
      </c>
      <c r="B6316" s="2" t="str">
        <f ca="1">IFERROR(__xludf.DUMMYFUNCTION("""COMPUTED_VALUE"""),"vel")</f>
        <v>vel</v>
      </c>
      <c r="C6316" s="2" t="str">
        <f ca="1">IFERROR(__xludf.DUMMYFUNCTION("""COMPUTED_VALUE"""),"Icarus M: Guild War VELZEROTH")</f>
        <v>Icarus M: Guild War VELZEROTH</v>
      </c>
    </row>
    <row r="6317" spans="1:3" x14ac:dyDescent="0.25">
      <c r="A6317" s="2" t="str">
        <f ca="1">IFERROR(__xludf.DUMMYFUNCTION("""COMPUTED_VALUE"""),"ice")</f>
        <v>ice</v>
      </c>
      <c r="B6317" s="2" t="str">
        <f ca="1">IFERROR(__xludf.DUMMYFUNCTION("""COMPUTED_VALUE"""),"ice")</f>
        <v>ice</v>
      </c>
      <c r="C6317" s="2" t="str">
        <f ca="1">IFERROR(__xludf.DUMMYFUNCTION("""COMPUTED_VALUE"""),"Ice Open Network")</f>
        <v>Ice Open Network</v>
      </c>
    </row>
    <row r="6318" spans="1:3" x14ac:dyDescent="0.25">
      <c r="A6318" s="2" t="str">
        <f ca="1">IFERROR(__xludf.DUMMYFUNCTION("""COMPUTED_VALUE"""),"ice-2")</f>
        <v>ice-2</v>
      </c>
      <c r="B6318" s="2" t="str">
        <f ca="1">IFERROR(__xludf.DUMMYFUNCTION("""COMPUTED_VALUE"""),"ice")</f>
        <v>ice</v>
      </c>
      <c r="C6318" s="2" t="str">
        <f ca="1">IFERROR(__xludf.DUMMYFUNCTION("""COMPUTED_VALUE"""),"Ice")</f>
        <v>Ice</v>
      </c>
    </row>
    <row r="6319" spans="1:3" x14ac:dyDescent="0.25">
      <c r="A6319" s="2" t="str">
        <f ca="1">IFERROR(__xludf.DUMMYFUNCTION("""COMPUTED_VALUE"""),"icecream")</f>
        <v>icecream</v>
      </c>
      <c r="B6319" s="2" t="str">
        <f ca="1">IFERROR(__xludf.DUMMYFUNCTION("""COMPUTED_VALUE"""),"ice")</f>
        <v>ice</v>
      </c>
      <c r="C6319" s="2" t="str">
        <f ca="1">IFERROR(__xludf.DUMMYFUNCTION("""COMPUTED_VALUE"""),"IceCreamSwap")</f>
        <v>IceCreamSwap</v>
      </c>
    </row>
    <row r="6320" spans="1:3" x14ac:dyDescent="0.25">
      <c r="A6320" s="2" t="str">
        <f ca="1">IFERROR(__xludf.DUMMYFUNCTION("""COMPUTED_VALUE"""),"icecreamswap-wcore")</f>
        <v>icecreamswap-wcore</v>
      </c>
      <c r="B6320" s="2" t="str">
        <f ca="1">IFERROR(__xludf.DUMMYFUNCTION("""COMPUTED_VALUE"""),"wcore")</f>
        <v>wcore</v>
      </c>
      <c r="C6320" s="2" t="str">
        <f ca="1">IFERROR(__xludf.DUMMYFUNCTION("""COMPUTED_VALUE"""),"IceCreamSwap WCORE")</f>
        <v>IceCreamSwap WCORE</v>
      </c>
    </row>
    <row r="6321" spans="1:3" x14ac:dyDescent="0.25">
      <c r="A6321" s="2" t="str">
        <f ca="1">IFERROR(__xludf.DUMMYFUNCTION("""COMPUTED_VALUE"""),"ice-land-on-eth")</f>
        <v>ice-land-on-eth</v>
      </c>
      <c r="B6321" s="2" t="str">
        <f ca="1">IFERROR(__xludf.DUMMYFUNCTION("""COMPUTED_VALUE"""),"iceland")</f>
        <v>iceland</v>
      </c>
      <c r="C6321" s="2" t="str">
        <f ca="1">IFERROR(__xludf.DUMMYFUNCTION("""COMPUTED_VALUE"""),"ICE LAND on ETH")</f>
        <v>ICE LAND on ETH</v>
      </c>
    </row>
    <row r="6322" spans="1:3" x14ac:dyDescent="0.25">
      <c r="A6322" s="2" t="str">
        <f ca="1">IFERROR(__xludf.DUMMYFUNCTION("""COMPUTED_VALUE"""),"iceleia")</f>
        <v>iceleia</v>
      </c>
      <c r="B6322" s="2" t="str">
        <f ca="1">IFERROR(__xludf.DUMMYFUNCTION("""COMPUTED_VALUE"""),"ice")</f>
        <v>ice</v>
      </c>
      <c r="C6322" s="2" t="str">
        <f ca="1">IFERROR(__xludf.DUMMYFUNCTION("""COMPUTED_VALUE"""),"Iceleia")</f>
        <v>Iceleia</v>
      </c>
    </row>
    <row r="6323" spans="1:3" x14ac:dyDescent="0.25">
      <c r="A6323" s="2" t="str">
        <f ca="1">IFERROR(__xludf.DUMMYFUNCTION("""COMPUTED_VALUE"""),"ice-token")</f>
        <v>ice-token</v>
      </c>
      <c r="B6323" s="2" t="str">
        <f ca="1">IFERROR(__xludf.DUMMYFUNCTION("""COMPUTED_VALUE"""),"ice")</f>
        <v>ice</v>
      </c>
      <c r="C6323" s="2" t="str">
        <f ca="1">IFERROR(__xludf.DUMMYFUNCTION("""COMPUTED_VALUE"""),"Popsicle Finance")</f>
        <v>Popsicle Finance</v>
      </c>
    </row>
    <row r="6324" spans="1:3" x14ac:dyDescent="0.25">
      <c r="A6324" s="2" t="str">
        <f ca="1">IFERROR(__xludf.DUMMYFUNCTION("""COMPUTED_VALUE"""),"ic-ghost")</f>
        <v>ic-ghost</v>
      </c>
      <c r="B6324" s="2" t="str">
        <f ca="1">IFERROR(__xludf.DUMMYFUNCTION("""COMPUTED_VALUE"""),"ghost")</f>
        <v>ghost</v>
      </c>
      <c r="C6324" s="2" t="str">
        <f ca="1">IFERROR(__xludf.DUMMYFUNCTION("""COMPUTED_VALUE"""),"IC Ghost")</f>
        <v>IC Ghost</v>
      </c>
    </row>
    <row r="6325" spans="1:3" x14ac:dyDescent="0.25">
      <c r="A6325" s="2" t="str">
        <f ca="1">IFERROR(__xludf.DUMMYFUNCTION("""COMPUTED_VALUE"""),"ichi-farm")</f>
        <v>ichi-farm</v>
      </c>
      <c r="B6325" s="2" t="str">
        <f ca="1">IFERROR(__xludf.DUMMYFUNCTION("""COMPUTED_VALUE"""),"ichi")</f>
        <v>ichi</v>
      </c>
      <c r="C6325" s="2" t="str">
        <f ca="1">IFERROR(__xludf.DUMMYFUNCTION("""COMPUTED_VALUE"""),"ICHI")</f>
        <v>ICHI</v>
      </c>
    </row>
    <row r="6326" spans="1:3" x14ac:dyDescent="0.25">
      <c r="A6326" s="2" t="str">
        <f ca="1">IFERROR(__xludf.DUMMYFUNCTION("""COMPUTED_VALUE"""),"i-choose-rich-everytime")</f>
        <v>i-choose-rich-everytime</v>
      </c>
      <c r="B6326" s="2" t="str">
        <f ca="1">IFERROR(__xludf.DUMMYFUNCTION("""COMPUTED_VALUE"""),"nick")</f>
        <v>nick</v>
      </c>
      <c r="C6326" s="2" t="str">
        <f ca="1">IFERROR(__xludf.DUMMYFUNCTION("""COMPUTED_VALUE"""),"I Choose Rich Everytime")</f>
        <v>I Choose Rich Everytime</v>
      </c>
    </row>
    <row r="6327" spans="1:3" x14ac:dyDescent="0.25">
      <c r="A6327" s="2" t="str">
        <f ca="1">IFERROR(__xludf.DUMMYFUNCTION("""COMPUTED_VALUE"""),"iclighthouse-dao")</f>
        <v>iclighthouse-dao</v>
      </c>
      <c r="B6327" s="2" t="str">
        <f ca="1">IFERROR(__xludf.DUMMYFUNCTION("""COMPUTED_VALUE"""),"icl")</f>
        <v>icl</v>
      </c>
      <c r="C6327" s="2" t="str">
        <f ca="1">IFERROR(__xludf.DUMMYFUNCTION("""COMPUTED_VALUE"""),"ICLighthouse DAO")</f>
        <v>ICLighthouse DAO</v>
      </c>
    </row>
    <row r="6328" spans="1:3" x14ac:dyDescent="0.25">
      <c r="A6328" s="2" t="str">
        <f ca="1">IFERROR(__xludf.DUMMYFUNCTION("""COMPUTED_VALUE"""),"icommunity")</f>
        <v>icommunity</v>
      </c>
      <c r="B6328" s="2" t="str">
        <f ca="1">IFERROR(__xludf.DUMMYFUNCTION("""COMPUTED_VALUE"""),"icom")</f>
        <v>icom</v>
      </c>
      <c r="C6328" s="2" t="str">
        <f ca="1">IFERROR(__xludf.DUMMYFUNCTION("""COMPUTED_VALUE"""),"iCommunity")</f>
        <v>iCommunity</v>
      </c>
    </row>
    <row r="6329" spans="1:3" x14ac:dyDescent="0.25">
      <c r="A6329" s="2" t="str">
        <f ca="1">IFERROR(__xludf.DUMMYFUNCTION("""COMPUTED_VALUE"""),"icon")</f>
        <v>icon</v>
      </c>
      <c r="B6329" s="2" t="str">
        <f ca="1">IFERROR(__xludf.DUMMYFUNCTION("""COMPUTED_VALUE"""),"icx")</f>
        <v>icx</v>
      </c>
      <c r="C6329" s="2" t="str">
        <f ca="1">IFERROR(__xludf.DUMMYFUNCTION("""COMPUTED_VALUE"""),"ICON")</f>
        <v>ICON</v>
      </c>
    </row>
    <row r="6330" spans="1:3" x14ac:dyDescent="0.25">
      <c r="A6330" s="2" t="str">
        <f ca="1">IFERROR(__xludf.DUMMYFUNCTION("""COMPUTED_VALUE"""),"icon-x-world")</f>
        <v>icon-x-world</v>
      </c>
      <c r="B6330" s="2" t="str">
        <f ca="1">IFERROR(__xludf.DUMMYFUNCTION("""COMPUTED_VALUE"""),"icnx")</f>
        <v>icnx</v>
      </c>
      <c r="C6330" s="2" t="str">
        <f ca="1">IFERROR(__xludf.DUMMYFUNCTION("""COMPUTED_VALUE"""),"Icon.X World")</f>
        <v>Icon.X World</v>
      </c>
    </row>
    <row r="6331" spans="1:3" x14ac:dyDescent="0.25">
      <c r="A6331" s="2" t="str">
        <f ca="1">IFERROR(__xludf.DUMMYFUNCTION("""COMPUTED_VALUE"""),"icosa")</f>
        <v>icosa</v>
      </c>
      <c r="B6331" s="2" t="str">
        <f ca="1">IFERROR(__xludf.DUMMYFUNCTION("""COMPUTED_VALUE"""),"icsa")</f>
        <v>icsa</v>
      </c>
      <c r="C6331" s="2" t="str">
        <f ca="1">IFERROR(__xludf.DUMMYFUNCTION("""COMPUTED_VALUE"""),"Icosa")</f>
        <v>Icosa</v>
      </c>
    </row>
    <row r="6332" spans="1:3" x14ac:dyDescent="0.25">
      <c r="A6332" s="2" t="str">
        <f ca="1">IFERROR(__xludf.DUMMYFUNCTION("""COMPUTED_VALUE"""),"icosa-eth")</f>
        <v>icosa-eth</v>
      </c>
      <c r="B6332" s="2" t="str">
        <f ca="1">IFERROR(__xludf.DUMMYFUNCTION("""COMPUTED_VALUE"""),"icsa")</f>
        <v>icsa</v>
      </c>
      <c r="C6332" s="2" t="str">
        <f ca="1">IFERROR(__xludf.DUMMYFUNCTION("""COMPUTED_VALUE"""),"Icosa (ETH)")</f>
        <v>Icosa (ETH)</v>
      </c>
    </row>
    <row r="6333" spans="1:3" x14ac:dyDescent="0.25">
      <c r="A6333" s="2" t="str">
        <f ca="1">IFERROR(__xludf.DUMMYFUNCTION("""COMPUTED_VALUE"""),"icpanda-dao")</f>
        <v>icpanda-dao</v>
      </c>
      <c r="B6333" s="2" t="str">
        <f ca="1">IFERROR(__xludf.DUMMYFUNCTION("""COMPUTED_VALUE"""),"panda")</f>
        <v>panda</v>
      </c>
      <c r="C6333" s="2" t="str">
        <f ca="1">IFERROR(__xludf.DUMMYFUNCTION("""COMPUTED_VALUE"""),"ICPanda DAO")</f>
        <v>ICPanda DAO</v>
      </c>
    </row>
    <row r="6334" spans="1:3" x14ac:dyDescent="0.25">
      <c r="A6334" s="2" t="str">
        <f ca="1">IFERROR(__xludf.DUMMYFUNCTION("""COMPUTED_VALUE"""),"icpi")</f>
        <v>icpi</v>
      </c>
      <c r="B6334" s="2" t="str">
        <f ca="1">IFERROR(__xludf.DUMMYFUNCTION("""COMPUTED_VALUE"""),"icpi")</f>
        <v>icpi</v>
      </c>
      <c r="C6334" s="2" t="str">
        <f ca="1">IFERROR(__xludf.DUMMYFUNCTION("""COMPUTED_VALUE"""),"ICPI")</f>
        <v>ICPI</v>
      </c>
    </row>
    <row r="6335" spans="1:3" x14ac:dyDescent="0.25">
      <c r="A6335" s="2" t="str">
        <f ca="1">IFERROR(__xludf.DUMMYFUNCTION("""COMPUTED_VALUE"""),"icpswap-token")</f>
        <v>icpswap-token</v>
      </c>
      <c r="B6335" s="2" t="str">
        <f ca="1">IFERROR(__xludf.DUMMYFUNCTION("""COMPUTED_VALUE"""),"ics")</f>
        <v>ics</v>
      </c>
      <c r="C6335" s="2" t="str">
        <f ca="1">IFERROR(__xludf.DUMMYFUNCTION("""COMPUTED_VALUE"""),"ICPSwap Token")</f>
        <v>ICPSwap Token</v>
      </c>
    </row>
    <row r="6336" spans="1:3" x14ac:dyDescent="0.25">
      <c r="A6336" s="2" t="str">
        <f ca="1">IFERROR(__xludf.DUMMYFUNCTION("""COMPUTED_VALUE"""),"icrypex-token")</f>
        <v>icrypex-token</v>
      </c>
      <c r="B6336" s="2" t="str">
        <f ca="1">IFERROR(__xludf.DUMMYFUNCTION("""COMPUTED_VALUE"""),"icpx")</f>
        <v>icpx</v>
      </c>
      <c r="C6336" s="2" t="str">
        <f ca="1">IFERROR(__xludf.DUMMYFUNCTION("""COMPUTED_VALUE"""),"Icrypex Token")</f>
        <v>Icrypex Token</v>
      </c>
    </row>
    <row r="6337" spans="1:3" x14ac:dyDescent="0.25">
      <c r="A6337" s="2" t="str">
        <f ca="1">IFERROR(__xludf.DUMMYFUNCTION("""COMPUTED_VALUE"""),"ictech")</f>
        <v>ictech</v>
      </c>
      <c r="B6337" s="2" t="str">
        <f ca="1">IFERROR(__xludf.DUMMYFUNCTION("""COMPUTED_VALUE"""),"ict")</f>
        <v>ict</v>
      </c>
      <c r="C6337" s="2" t="str">
        <f ca="1">IFERROR(__xludf.DUMMYFUNCTION("""COMPUTED_VALUE"""),"ICTech")</f>
        <v>ICTech</v>
      </c>
    </row>
    <row r="6338" spans="1:3" x14ac:dyDescent="0.25">
      <c r="A6338" s="2" t="str">
        <f ca="1">IFERROR(__xludf.DUMMYFUNCTION("""COMPUTED_VALUE"""),"ic-x")</f>
        <v>ic-x</v>
      </c>
      <c r="B6338" s="2" t="str">
        <f ca="1">IFERROR(__xludf.DUMMYFUNCTION("""COMPUTED_VALUE"""),"icx")</f>
        <v>icx</v>
      </c>
      <c r="C6338" s="2" t="str">
        <f ca="1">IFERROR(__xludf.DUMMYFUNCTION("""COMPUTED_VALUE"""),"IC-X")</f>
        <v>IC-X</v>
      </c>
    </row>
    <row r="6339" spans="1:3" x14ac:dyDescent="0.25">
      <c r="A6339" s="2" t="str">
        <f ca="1">IFERROR(__xludf.DUMMYFUNCTION("""COMPUTED_VALUE"""),"icy")</f>
        <v>icy</v>
      </c>
      <c r="B6339" s="2" t="str">
        <f ca="1">IFERROR(__xludf.DUMMYFUNCTION("""COMPUTED_VALUE"""),"ic")</f>
        <v>ic</v>
      </c>
      <c r="C6339" s="2" t="str">
        <f ca="1">IFERROR(__xludf.DUMMYFUNCTION("""COMPUTED_VALUE"""),"Icy")</f>
        <v>Icy</v>
      </c>
    </row>
    <row r="6340" spans="1:3" x14ac:dyDescent="0.25">
      <c r="A6340" s="2" t="str">
        <f ca="1">IFERROR(__xludf.DUMMYFUNCTION("""COMPUTED_VALUE"""),"icycro")</f>
        <v>icycro</v>
      </c>
      <c r="B6340" s="2" t="str">
        <f ca="1">IFERROR(__xludf.DUMMYFUNCTION("""COMPUTED_VALUE"""),"icy")</f>
        <v>icy</v>
      </c>
      <c r="C6340" s="2" t="str">
        <f ca="1">IFERROR(__xludf.DUMMYFUNCTION("""COMPUTED_VALUE"""),"IcyCRO")</f>
        <v>IcyCRO</v>
      </c>
    </row>
    <row r="6341" spans="1:3" x14ac:dyDescent="0.25">
      <c r="A6341" s="2" t="str">
        <f ca="1">IFERROR(__xludf.DUMMYFUNCTION("""COMPUTED_VALUE"""),"idavoll-network")</f>
        <v>idavoll-network</v>
      </c>
      <c r="B6341" s="2" t="str">
        <f ca="1">IFERROR(__xludf.DUMMYFUNCTION("""COMPUTED_VALUE"""),"idv")</f>
        <v>idv</v>
      </c>
      <c r="C6341" s="2" t="str">
        <f ca="1">IFERROR(__xludf.DUMMYFUNCTION("""COMPUTED_VALUE"""),"Idavoll DAO")</f>
        <v>Idavoll DAO</v>
      </c>
    </row>
    <row r="6342" spans="1:3" x14ac:dyDescent="0.25">
      <c r="A6342" s="2" t="str">
        <f ca="1">IFERROR(__xludf.DUMMYFUNCTION("""COMPUTED_VALUE"""),"ideal-opportunities")</f>
        <v>ideal-opportunities</v>
      </c>
      <c r="B6342" s="2" t="str">
        <f ca="1">IFERROR(__xludf.DUMMYFUNCTION("""COMPUTED_VALUE"""),"io")</f>
        <v>io</v>
      </c>
      <c r="C6342" s="2" t="str">
        <f ca="1">IFERROR(__xludf.DUMMYFUNCTION("""COMPUTED_VALUE"""),"Ideal Opportunities")</f>
        <v>Ideal Opportunities</v>
      </c>
    </row>
    <row r="6343" spans="1:3" x14ac:dyDescent="0.25">
      <c r="A6343" s="2" t="str">
        <f ca="1">IFERROR(__xludf.DUMMYFUNCTION("""COMPUTED_VALUE"""),"ideaology")</f>
        <v>ideaology</v>
      </c>
      <c r="B6343" s="2" t="str">
        <f ca="1">IFERROR(__xludf.DUMMYFUNCTION("""COMPUTED_VALUE"""),"idea")</f>
        <v>idea</v>
      </c>
      <c r="C6343" s="2" t="str">
        <f ca="1">IFERROR(__xludf.DUMMYFUNCTION("""COMPUTED_VALUE"""),"Ideaology")</f>
        <v>Ideaology</v>
      </c>
    </row>
    <row r="6344" spans="1:3" x14ac:dyDescent="0.25">
      <c r="A6344" s="2" t="str">
        <f ca="1">IFERROR(__xludf.DUMMYFUNCTION("""COMPUTED_VALUE"""),"idefiyieldprotocol")</f>
        <v>idefiyieldprotocol</v>
      </c>
      <c r="B6344" s="2" t="str">
        <f ca="1">IFERROR(__xludf.DUMMYFUNCTION("""COMPUTED_VALUE"""),"idyp")</f>
        <v>idyp</v>
      </c>
      <c r="C6344" s="2" t="str">
        <f ca="1">IFERROR(__xludf.DUMMYFUNCTION("""COMPUTED_VALUE"""),"iDypius")</f>
        <v>iDypius</v>
      </c>
    </row>
    <row r="6345" spans="1:3" x14ac:dyDescent="0.25">
      <c r="A6345" s="2" t="str">
        <f ca="1">IFERROR(__xludf.DUMMYFUNCTION("""COMPUTED_VALUE"""),"idena")</f>
        <v>idena</v>
      </c>
      <c r="B6345" s="2" t="str">
        <f ca="1">IFERROR(__xludf.DUMMYFUNCTION("""COMPUTED_VALUE"""),"idna")</f>
        <v>idna</v>
      </c>
      <c r="C6345" s="2" t="str">
        <f ca="1">IFERROR(__xludf.DUMMYFUNCTION("""COMPUTED_VALUE"""),"Idena")</f>
        <v>Idena</v>
      </c>
    </row>
    <row r="6346" spans="1:3" x14ac:dyDescent="0.25">
      <c r="A6346" s="2" t="str">
        <f ca="1">IFERROR(__xludf.DUMMYFUNCTION("""COMPUTED_VALUE"""),"ide-x-ai")</f>
        <v>ide-x-ai</v>
      </c>
      <c r="B6346" s="2" t="str">
        <f ca="1">IFERROR(__xludf.DUMMYFUNCTION("""COMPUTED_VALUE"""),"ide")</f>
        <v>ide</v>
      </c>
      <c r="C6346" s="3" t="str">
        <f ca="1">IFERROR(__xludf.DUMMYFUNCTION("""COMPUTED_VALUE"""),"Ide.x.ai")</f>
        <v>Ide.x.ai</v>
      </c>
    </row>
    <row r="6347" spans="1:3" x14ac:dyDescent="0.25">
      <c r="A6347" s="2" t="str">
        <f ca="1">IFERROR(__xludf.DUMMYFUNCTION("""COMPUTED_VALUE"""),"idexo-token")</f>
        <v>idexo-token</v>
      </c>
      <c r="B6347" s="2" t="str">
        <f ca="1">IFERROR(__xludf.DUMMYFUNCTION("""COMPUTED_VALUE"""),"ido")</f>
        <v>ido</v>
      </c>
      <c r="C6347" s="2" t="str">
        <f ca="1">IFERROR(__xludf.DUMMYFUNCTION("""COMPUTED_VALUE"""),"Idexo")</f>
        <v>Idexo</v>
      </c>
    </row>
    <row r="6348" spans="1:3" x14ac:dyDescent="0.25">
      <c r="A6348" s="2" t="str">
        <f ca="1">IFERROR(__xludf.DUMMYFUNCTION("""COMPUTED_VALUE"""),"idia")</f>
        <v>idia</v>
      </c>
      <c r="B6348" s="2" t="str">
        <f ca="1">IFERROR(__xludf.DUMMYFUNCTION("""COMPUTED_VALUE"""),"idia")</f>
        <v>idia</v>
      </c>
      <c r="C6348" s="2" t="str">
        <f ca="1">IFERROR(__xludf.DUMMYFUNCTION("""COMPUTED_VALUE"""),"Impossible Finance Launchpad")</f>
        <v>Impossible Finance Launchpad</v>
      </c>
    </row>
    <row r="6349" spans="1:3" x14ac:dyDescent="0.25">
      <c r="A6349" s="2" t="str">
        <f ca="1">IFERROR(__xludf.DUMMYFUNCTION("""COMPUTED_VALUE"""),"idle")</f>
        <v>idle</v>
      </c>
      <c r="B6349" s="2" t="str">
        <f ca="1">IFERROR(__xludf.DUMMYFUNCTION("""COMPUTED_VALUE"""),"idle")</f>
        <v>idle</v>
      </c>
      <c r="C6349" s="2" t="str">
        <f ca="1">IFERROR(__xludf.DUMMYFUNCTION("""COMPUTED_VALUE"""),"IDLE")</f>
        <v>IDLE</v>
      </c>
    </row>
    <row r="6350" spans="1:3" x14ac:dyDescent="0.25">
      <c r="A6350" s="2" t="str">
        <f ca="1">IFERROR(__xludf.DUMMYFUNCTION("""COMPUTED_VALUE"""),"idle-dai-risk-adjusted")</f>
        <v>idle-dai-risk-adjusted</v>
      </c>
      <c r="B6350" s="2" t="str">
        <f ca="1">IFERROR(__xludf.DUMMYFUNCTION("""COMPUTED_VALUE"""),"idledaisafe")</f>
        <v>idledaisafe</v>
      </c>
      <c r="C6350" s="2" t="str">
        <f ca="1">IFERROR(__xludf.DUMMYFUNCTION("""COMPUTED_VALUE"""),"IdleDAI (Risk Adjusted)")</f>
        <v>IdleDAI (Risk Adjusted)</v>
      </c>
    </row>
    <row r="6351" spans="1:3" x14ac:dyDescent="0.25">
      <c r="A6351" s="2" t="str">
        <f ca="1">IFERROR(__xludf.DUMMYFUNCTION("""COMPUTED_VALUE"""),"idle-dai-yield")</f>
        <v>idle-dai-yield</v>
      </c>
      <c r="B6351" s="2" t="str">
        <f ca="1">IFERROR(__xludf.DUMMYFUNCTION("""COMPUTED_VALUE"""),"idledaiyield")</f>
        <v>idledaiyield</v>
      </c>
      <c r="C6351" s="2" t="str">
        <f ca="1">IFERROR(__xludf.DUMMYFUNCTION("""COMPUTED_VALUE"""),"IdleDAI (Best Yield)")</f>
        <v>IdleDAI (Best Yield)</v>
      </c>
    </row>
    <row r="6352" spans="1:3" x14ac:dyDescent="0.25">
      <c r="A6352" s="2" t="str">
        <f ca="1">IFERROR(__xludf.DUMMYFUNCTION("""COMPUTED_VALUE"""),"idle-susd-yield")</f>
        <v>idle-susd-yield</v>
      </c>
      <c r="B6352" s="2" t="str">
        <f ca="1">IFERROR(__xludf.DUMMYFUNCTION("""COMPUTED_VALUE"""),"idlesusdyield")</f>
        <v>idlesusdyield</v>
      </c>
      <c r="C6352" s="2" t="str">
        <f ca="1">IFERROR(__xludf.DUMMYFUNCTION("""COMPUTED_VALUE"""),"IdleSUSD (Yield)")</f>
        <v>IdleSUSD (Yield)</v>
      </c>
    </row>
    <row r="6353" spans="1:3" x14ac:dyDescent="0.25">
      <c r="A6353" s="2" t="str">
        <f ca="1">IFERROR(__xludf.DUMMYFUNCTION("""COMPUTED_VALUE"""),"idle-tusd-yield")</f>
        <v>idle-tusd-yield</v>
      </c>
      <c r="B6353" s="2" t="str">
        <f ca="1">IFERROR(__xludf.DUMMYFUNCTION("""COMPUTED_VALUE"""),"idletusdyield")</f>
        <v>idletusdyield</v>
      </c>
      <c r="C6353" s="2" t="str">
        <f ca="1">IFERROR(__xludf.DUMMYFUNCTION("""COMPUTED_VALUE"""),"IdleTUSD (Best Yield)")</f>
        <v>IdleTUSD (Best Yield)</v>
      </c>
    </row>
    <row r="6354" spans="1:3" x14ac:dyDescent="0.25">
      <c r="A6354" s="2" t="str">
        <f ca="1">IFERROR(__xludf.DUMMYFUNCTION("""COMPUTED_VALUE"""),"idle-usdc-risk-adjusted")</f>
        <v>idle-usdc-risk-adjusted</v>
      </c>
      <c r="B6354" s="2" t="str">
        <f ca="1">IFERROR(__xludf.DUMMYFUNCTION("""COMPUTED_VALUE"""),"idleusdcsafe")</f>
        <v>idleusdcsafe</v>
      </c>
      <c r="C6354" s="2" t="str">
        <f ca="1">IFERROR(__xludf.DUMMYFUNCTION("""COMPUTED_VALUE"""),"IdleUSDC (Risk Adjusted)")</f>
        <v>IdleUSDC (Risk Adjusted)</v>
      </c>
    </row>
    <row r="6355" spans="1:3" x14ac:dyDescent="0.25">
      <c r="A6355" s="2" t="str">
        <f ca="1">IFERROR(__xludf.DUMMYFUNCTION("""COMPUTED_VALUE"""),"idle-usdc-yield")</f>
        <v>idle-usdc-yield</v>
      </c>
      <c r="B6355" s="2" t="str">
        <f ca="1">IFERROR(__xludf.DUMMYFUNCTION("""COMPUTED_VALUE"""),"idleusdcyield")</f>
        <v>idleusdcyield</v>
      </c>
      <c r="C6355" s="2" t="str">
        <f ca="1">IFERROR(__xludf.DUMMYFUNCTION("""COMPUTED_VALUE"""),"IdleUSDC (Yield)")</f>
        <v>IdleUSDC (Yield)</v>
      </c>
    </row>
    <row r="6356" spans="1:3" x14ac:dyDescent="0.25">
      <c r="A6356" s="2" t="str">
        <f ca="1">IFERROR(__xludf.DUMMYFUNCTION("""COMPUTED_VALUE"""),"idle-usdt-risk-adjusted")</f>
        <v>idle-usdt-risk-adjusted</v>
      </c>
      <c r="B6356" s="2" t="str">
        <f ca="1">IFERROR(__xludf.DUMMYFUNCTION("""COMPUTED_VALUE"""),"idleusdtsafe")</f>
        <v>idleusdtsafe</v>
      </c>
      <c r="C6356" s="2" t="str">
        <f ca="1">IFERROR(__xludf.DUMMYFUNCTION("""COMPUTED_VALUE"""),"IdleUSDT (Risk Adjusted)")</f>
        <v>IdleUSDT (Risk Adjusted)</v>
      </c>
    </row>
    <row r="6357" spans="1:3" x14ac:dyDescent="0.25">
      <c r="A6357" s="2" t="str">
        <f ca="1">IFERROR(__xludf.DUMMYFUNCTION("""COMPUTED_VALUE"""),"idle-usdt-yield")</f>
        <v>idle-usdt-yield</v>
      </c>
      <c r="B6357" s="2" t="str">
        <f ca="1">IFERROR(__xludf.DUMMYFUNCTION("""COMPUTED_VALUE"""),"idleusdtyield")</f>
        <v>idleusdtyield</v>
      </c>
      <c r="C6357" s="2" t="str">
        <f ca="1">IFERROR(__xludf.DUMMYFUNCTION("""COMPUTED_VALUE"""),"IdleUSDT (Yield)")</f>
        <v>IdleUSDT (Yield)</v>
      </c>
    </row>
    <row r="6358" spans="1:3" x14ac:dyDescent="0.25">
      <c r="A6358" s="2" t="str">
        <f ca="1">IFERROR(__xludf.DUMMYFUNCTION("""COMPUTED_VALUE"""),"idle-wbtc-yield")</f>
        <v>idle-wbtc-yield</v>
      </c>
      <c r="B6358" s="2" t="str">
        <f ca="1">IFERROR(__xludf.DUMMYFUNCTION("""COMPUTED_VALUE"""),"idlewbtcyield")</f>
        <v>idlewbtcyield</v>
      </c>
      <c r="C6358" s="2" t="str">
        <f ca="1">IFERROR(__xludf.DUMMYFUNCTION("""COMPUTED_VALUE"""),"IdleWBTC (Best Yield)")</f>
        <v>IdleWBTC (Best Yield)</v>
      </c>
    </row>
    <row r="6359" spans="1:3" x14ac:dyDescent="0.25">
      <c r="A6359" s="2" t="str">
        <f ca="1">IFERROR(__xludf.DUMMYFUNCTION("""COMPUTED_VALUE"""),"i-dont-know")</f>
        <v>i-dont-know</v>
      </c>
      <c r="B6359" s="2" t="str">
        <f ca="1">IFERROR(__xludf.DUMMYFUNCTION("""COMPUTED_VALUE"""),"idk")</f>
        <v>idk</v>
      </c>
      <c r="C6359" s="2" t="str">
        <f ca="1">IFERROR(__xludf.DUMMYFUNCTION("""COMPUTED_VALUE"""),"i dont know")</f>
        <v>i dont know</v>
      </c>
    </row>
    <row r="6360" spans="1:3" x14ac:dyDescent="0.25">
      <c r="A6360" s="2" t="str">
        <f ca="1">IFERROR(__xludf.DUMMYFUNCTION("""COMPUTED_VALUE"""),"idoodles")</f>
        <v>idoodles</v>
      </c>
      <c r="B6360" s="2" t="str">
        <f ca="1">IFERROR(__xludf.DUMMYFUNCTION("""COMPUTED_VALUE"""),"idoodles")</f>
        <v>idoodles</v>
      </c>
      <c r="C6360" s="2" t="str">
        <f ca="1">IFERROR(__xludf.DUMMYFUNCTION("""COMPUTED_VALUE"""),"IDOODLES")</f>
        <v>IDOODLES</v>
      </c>
    </row>
    <row r="6361" spans="1:3" x14ac:dyDescent="0.25">
      <c r="A6361" s="2" t="str">
        <f ca="1">IFERROR(__xludf.DUMMYFUNCTION("""COMPUTED_VALUE"""),"idrx")</f>
        <v>idrx</v>
      </c>
      <c r="B6361" s="2" t="str">
        <f ca="1">IFERROR(__xludf.DUMMYFUNCTION("""COMPUTED_VALUE"""),"idrx")</f>
        <v>idrx</v>
      </c>
      <c r="C6361" s="2" t="str">
        <f ca="1">IFERROR(__xludf.DUMMYFUNCTION("""COMPUTED_VALUE"""),"IDRX")</f>
        <v>IDRX</v>
      </c>
    </row>
    <row r="6362" spans="1:3" x14ac:dyDescent="0.25">
      <c r="A6362" s="2" t="str">
        <f ca="1">IFERROR(__xludf.DUMMYFUNCTION("""COMPUTED_VALUE"""),"ierc-20")</f>
        <v>ierc-20</v>
      </c>
      <c r="B6362" s="2" t="str">
        <f ca="1">IFERROR(__xludf.DUMMYFUNCTION("""COMPUTED_VALUE"""),"idrx")</f>
        <v>idrx</v>
      </c>
      <c r="C6362" s="2" t="str">
        <f ca="1">IFERROR(__xludf.DUMMYFUNCTION("""COMPUTED_VALUE"""),"IERC-20")</f>
        <v>IERC-20</v>
      </c>
    </row>
    <row r="6363" spans="1:3" x14ac:dyDescent="0.25">
      <c r="A6363" s="2" t="str">
        <f ca="1">IFERROR(__xludf.DUMMYFUNCTION("""COMPUTED_VALUE"""),"iexec-rlc")</f>
        <v>iexec-rlc</v>
      </c>
      <c r="B6363" s="2" t="str">
        <f ca="1">IFERROR(__xludf.DUMMYFUNCTION("""COMPUTED_VALUE"""),"rlc")</f>
        <v>rlc</v>
      </c>
      <c r="C6363" s="2" t="str">
        <f ca="1">IFERROR(__xludf.DUMMYFUNCTION("""COMPUTED_VALUE"""),"iExec RLC")</f>
        <v>iExec RLC</v>
      </c>
    </row>
    <row r="6364" spans="1:3" x14ac:dyDescent="0.25">
      <c r="A6364" s="2" t="str">
        <f ca="1">IFERROR(__xludf.DUMMYFUNCTION("""COMPUTED_VALUE"""),"ifarm")</f>
        <v>ifarm</v>
      </c>
      <c r="B6364" s="2" t="str">
        <f ca="1">IFERROR(__xludf.DUMMYFUNCTION("""COMPUTED_VALUE"""),"ifarm")</f>
        <v>ifarm</v>
      </c>
      <c r="C6364" s="2" t="str">
        <f ca="1">IFERROR(__xludf.DUMMYFUNCTION("""COMPUTED_VALUE"""),"iFARM")</f>
        <v>iFARM</v>
      </c>
    </row>
    <row r="6365" spans="1:3" x14ac:dyDescent="0.25">
      <c r="A6365" s="2" t="str">
        <f ca="1">IFERROR(__xludf.DUMMYFUNCTION("""COMPUTED_VALUE"""),"ifortune")</f>
        <v>ifortune</v>
      </c>
      <c r="B6365" s="2" t="str">
        <f ca="1">IFERROR(__xludf.DUMMYFUNCTION("""COMPUTED_VALUE"""),"ifc")</f>
        <v>ifc</v>
      </c>
      <c r="C6365" s="2" t="str">
        <f ca="1">IFERROR(__xludf.DUMMYFUNCTION("""COMPUTED_VALUE"""),"iFortune")</f>
        <v>iFortune</v>
      </c>
    </row>
    <row r="6366" spans="1:3" x14ac:dyDescent="0.25">
      <c r="A6366" s="2" t="str">
        <f ca="1">IFERROR(__xludf.DUMMYFUNCTION("""COMPUTED_VALUE"""),"ignis")</f>
        <v>ignis</v>
      </c>
      <c r="B6366" s="2" t="str">
        <f ca="1">IFERROR(__xludf.DUMMYFUNCTION("""COMPUTED_VALUE"""),"ignis")</f>
        <v>ignis</v>
      </c>
      <c r="C6366" s="2" t="str">
        <f ca="1">IFERROR(__xludf.DUMMYFUNCTION("""COMPUTED_VALUE"""),"Ignis")</f>
        <v>Ignis</v>
      </c>
    </row>
    <row r="6367" spans="1:3" x14ac:dyDescent="0.25">
      <c r="A6367" s="2" t="str">
        <f ca="1">IFERROR(__xludf.DUMMYFUNCTION("""COMPUTED_VALUE"""),"ignition-fbtc")</f>
        <v>ignition-fbtc</v>
      </c>
      <c r="B6367" s="2" t="str">
        <f ca="1">IFERROR(__xludf.DUMMYFUNCTION("""COMPUTED_VALUE"""),"fbtc")</f>
        <v>fbtc</v>
      </c>
      <c r="C6367" s="2" t="str">
        <f ca="1">IFERROR(__xludf.DUMMYFUNCTION("""COMPUTED_VALUE"""),"Ignition FBTC")</f>
        <v>Ignition FBTC</v>
      </c>
    </row>
    <row r="6368" spans="1:3" x14ac:dyDescent="0.25">
      <c r="A6368" s="2" t="str">
        <f ca="1">IFERROR(__xludf.DUMMYFUNCTION("""COMPUTED_VALUE"""),"ignore-fud")</f>
        <v>ignore-fud</v>
      </c>
      <c r="B6368" s="2" t="str">
        <f ca="1">IFERROR(__xludf.DUMMYFUNCTION("""COMPUTED_VALUE"""),"4token")</f>
        <v>4token</v>
      </c>
      <c r="C6368" s="2" t="str">
        <f ca="1">IFERROR(__xludf.DUMMYFUNCTION("""COMPUTED_VALUE"""),"Ignore Fud")</f>
        <v>Ignore Fud</v>
      </c>
    </row>
    <row r="6369" spans="1:3" x14ac:dyDescent="0.25">
      <c r="A6369" s="2" t="str">
        <f ca="1">IFERROR(__xludf.DUMMYFUNCTION("""COMPUTED_VALUE"""),"iguverse")</f>
        <v>iguverse</v>
      </c>
      <c r="B6369" s="2" t="str">
        <f ca="1">IFERROR(__xludf.DUMMYFUNCTION("""COMPUTED_VALUE"""),"igup")</f>
        <v>igup</v>
      </c>
      <c r="C6369" s="2" t="str">
        <f ca="1">IFERROR(__xludf.DUMMYFUNCTION("""COMPUTED_VALUE"""),"IguVerse IGUP")</f>
        <v>IguVerse IGUP</v>
      </c>
    </row>
    <row r="6370" spans="1:3" x14ac:dyDescent="0.25">
      <c r="A6370" s="2" t="str">
        <f ca="1">IFERROR(__xludf.DUMMYFUNCTION("""COMPUTED_VALUE"""),"iguverse-igu")</f>
        <v>iguverse-igu</v>
      </c>
      <c r="B6370" s="2" t="str">
        <f ca="1">IFERROR(__xludf.DUMMYFUNCTION("""COMPUTED_VALUE"""),"igu")</f>
        <v>igu</v>
      </c>
      <c r="C6370" s="2" t="str">
        <f ca="1">IFERROR(__xludf.DUMMYFUNCTION("""COMPUTED_VALUE"""),"IguVerse IGU")</f>
        <v>IguVerse IGU</v>
      </c>
    </row>
    <row r="6371" spans="1:3" x14ac:dyDescent="0.25">
      <c r="A6371" s="2" t="str">
        <f ca="1">IFERROR(__xludf.DUMMYFUNCTION("""COMPUTED_VALUE"""),"ihf-smart-debase-token")</f>
        <v>ihf-smart-debase-token</v>
      </c>
      <c r="B6371" s="2" t="str">
        <f ca="1">IFERROR(__xludf.DUMMYFUNCTION("""COMPUTED_VALUE"""),"ihf")</f>
        <v>ihf</v>
      </c>
      <c r="C6371" s="2" t="str">
        <f ca="1">IFERROR(__xludf.DUMMYFUNCTION("""COMPUTED_VALUE"""),"IHF Smart Debase Token")</f>
        <v>IHF Smart Debase Token</v>
      </c>
    </row>
    <row r="6372" spans="1:3" x14ac:dyDescent="0.25">
      <c r="A6372" s="2" t="str">
        <f ca="1">IFERROR(__xludf.DUMMYFUNCTION("""COMPUTED_VALUE"""),"iht-real-estate-protocol")</f>
        <v>iht-real-estate-protocol</v>
      </c>
      <c r="B6372" s="2" t="str">
        <f ca="1">IFERROR(__xludf.DUMMYFUNCTION("""COMPUTED_VALUE"""),"iht")</f>
        <v>iht</v>
      </c>
      <c r="C6372" s="2" t="str">
        <f ca="1">IFERROR(__xludf.DUMMYFUNCTION("""COMPUTED_VALUE"""),"IHT Real Estate Protocol")</f>
        <v>IHT Real Estate Protocol</v>
      </c>
    </row>
    <row r="6373" spans="1:3" x14ac:dyDescent="0.25">
      <c r="A6373" s="2" t="str">
        <f ca="1">IFERROR(__xludf.DUMMYFUNCTION("""COMPUTED_VALUE"""),"iiii-lovvv-youuuu")</f>
        <v>iiii-lovvv-youuuu</v>
      </c>
      <c r="B6373" s="2" t="str">
        <f ca="1">IFERROR(__xludf.DUMMYFUNCTION("""COMPUTED_VALUE"""),"ily")</f>
        <v>ily</v>
      </c>
      <c r="C6373" s="2" t="str">
        <f ca="1">IFERROR(__xludf.DUMMYFUNCTION("""COMPUTED_VALUE"""),"iiii lovvvv youuuu")</f>
        <v>iiii lovvvv youuuu</v>
      </c>
    </row>
    <row r="6374" spans="1:3" x14ac:dyDescent="0.25">
      <c r="A6374" s="2" t="str">
        <f ca="1">IFERROR(__xludf.DUMMYFUNCTION("""COMPUTED_VALUE"""),"ijascoin")</f>
        <v>ijascoin</v>
      </c>
      <c r="B6374" s="2" t="str">
        <f ca="1">IFERROR(__xludf.DUMMYFUNCTION("""COMPUTED_VALUE"""),"ijc")</f>
        <v>ijc</v>
      </c>
      <c r="C6374" s="2" t="str">
        <f ca="1">IFERROR(__xludf.DUMMYFUNCTION("""COMPUTED_VALUE"""),"IjasCoin")</f>
        <v>IjasCoin</v>
      </c>
    </row>
    <row r="6375" spans="1:3" x14ac:dyDescent="0.25">
      <c r="A6375" s="2" t="str">
        <f ca="1">IFERROR(__xludf.DUMMYFUNCTION("""COMPUTED_VALUE"""),"ikigai")</f>
        <v>ikigai</v>
      </c>
      <c r="B6375" s="2" t="str">
        <f ca="1">IFERROR(__xludf.DUMMYFUNCTION("""COMPUTED_VALUE"""),"ikigai")</f>
        <v>ikigai</v>
      </c>
      <c r="C6375" s="2" t="str">
        <f ca="1">IFERROR(__xludf.DUMMYFUNCTION("""COMPUTED_VALUE"""),"Ikigai")</f>
        <v>Ikigai</v>
      </c>
    </row>
    <row r="6376" spans="1:3" x14ac:dyDescent="0.25">
      <c r="A6376" s="2" t="str">
        <f ca="1">IFERROR(__xludf.DUMMYFUNCTION("""COMPUTED_VALUE"""),"ilcapo")</f>
        <v>ilcapo</v>
      </c>
      <c r="B6376" s="2" t="str">
        <f ca="1">IFERROR(__xludf.DUMMYFUNCTION("""COMPUTED_VALUE"""),"capo")</f>
        <v>capo</v>
      </c>
      <c r="C6376" s="2" t="str">
        <f ca="1">IFERROR(__xludf.DUMMYFUNCTION("""COMPUTED_VALUE"""),"ILCAPO")</f>
        <v>ILCAPO</v>
      </c>
    </row>
    <row r="6377" spans="1:3" x14ac:dyDescent="0.25">
      <c r="A6377" s="2" t="str">
        <f ca="1">IFERROR(__xludf.DUMMYFUNCTION("""COMPUTED_VALUE"""),"ilcoin")</f>
        <v>ilcoin</v>
      </c>
      <c r="B6377" s="2" t="str">
        <f ca="1">IFERROR(__xludf.DUMMYFUNCTION("""COMPUTED_VALUE"""),"ilc")</f>
        <v>ilc</v>
      </c>
      <c r="C6377" s="2" t="str">
        <f ca="1">IFERROR(__xludf.DUMMYFUNCTION("""COMPUTED_VALUE"""),"ILCOIN")</f>
        <v>ILCOIN</v>
      </c>
    </row>
    <row r="6378" spans="1:3" x14ac:dyDescent="0.25">
      <c r="A6378" s="2" t="str">
        <f ca="1">IFERROR(__xludf.DUMMYFUNCTION("""COMPUTED_VALUE"""),"illumicati")</f>
        <v>illumicati</v>
      </c>
      <c r="B6378" s="2" t="str">
        <f ca="1">IFERROR(__xludf.DUMMYFUNCTION("""COMPUTED_VALUE"""),"milk")</f>
        <v>milk</v>
      </c>
      <c r="C6378" s="2" t="str">
        <f ca="1">IFERROR(__xludf.DUMMYFUNCTION("""COMPUTED_VALUE"""),"Illumicati")</f>
        <v>Illumicati</v>
      </c>
    </row>
    <row r="6379" spans="1:3" x14ac:dyDescent="0.25">
      <c r="A6379" s="2" t="str">
        <f ca="1">IFERROR(__xludf.DUMMYFUNCTION("""COMPUTED_VALUE"""),"illuminati")</f>
        <v>illuminati</v>
      </c>
      <c r="B6379" s="2" t="str">
        <f ca="1">IFERROR(__xludf.DUMMYFUNCTION("""COMPUTED_VALUE"""),"ilum")</f>
        <v>ilum</v>
      </c>
      <c r="C6379" s="2" t="str">
        <f ca="1">IFERROR(__xludf.DUMMYFUNCTION("""COMPUTED_VALUE"""),"Illuminati")</f>
        <v>Illuminati</v>
      </c>
    </row>
    <row r="6380" spans="1:3" x14ac:dyDescent="0.25">
      <c r="A6380" s="2" t="str">
        <f ca="1">IFERROR(__xludf.DUMMYFUNCTION("""COMPUTED_VALUE"""),"illuminaticoin")</f>
        <v>illuminaticoin</v>
      </c>
      <c r="B6380" s="2" t="str">
        <f ca="1">IFERROR(__xludf.DUMMYFUNCTION("""COMPUTED_VALUE"""),"nati")</f>
        <v>nati</v>
      </c>
      <c r="C6380" s="2" t="str">
        <f ca="1">IFERROR(__xludf.DUMMYFUNCTION("""COMPUTED_VALUE"""),"IlluminatiCoin")</f>
        <v>IlluminatiCoin</v>
      </c>
    </row>
    <row r="6381" spans="1:3" x14ac:dyDescent="0.25">
      <c r="A6381" s="2" t="str">
        <f ca="1">IFERROR(__xludf.DUMMYFUNCTION("""COMPUTED_VALUE"""),"illuminex")</f>
        <v>illuminex</v>
      </c>
      <c r="B6381" s="2" t="str">
        <f ca="1">IFERROR(__xludf.DUMMYFUNCTION("""COMPUTED_VALUE"""),"ix")</f>
        <v>ix</v>
      </c>
      <c r="C6381" s="2" t="str">
        <f ca="1">IFERROR(__xludf.DUMMYFUNCTION("""COMPUTED_VALUE"""),"illumineX")</f>
        <v>illumineX</v>
      </c>
    </row>
    <row r="6382" spans="1:3" x14ac:dyDescent="0.25">
      <c r="A6382" s="2" t="str">
        <f ca="1">IFERROR(__xludf.DUMMYFUNCTION("""COMPUTED_VALUE"""),"illusion")</f>
        <v>illusion</v>
      </c>
      <c r="B6382" s="2" t="str">
        <f ca="1">IFERROR(__xludf.DUMMYFUNCTION("""COMPUTED_VALUE"""),"illusion")</f>
        <v>illusion</v>
      </c>
      <c r="C6382" s="2" t="str">
        <f ca="1">IFERROR(__xludf.DUMMYFUNCTION("""COMPUTED_VALUE"""),"illusion")</f>
        <v>illusion</v>
      </c>
    </row>
    <row r="6383" spans="1:3" x14ac:dyDescent="0.25">
      <c r="A6383" s="2" t="str">
        <f ca="1">IFERROR(__xludf.DUMMYFUNCTION("""COMPUTED_VALUE"""),"illuvium")</f>
        <v>illuvium</v>
      </c>
      <c r="B6383" s="2" t="str">
        <f ca="1">IFERROR(__xludf.DUMMYFUNCTION("""COMPUTED_VALUE"""),"ilv")</f>
        <v>ilv</v>
      </c>
      <c r="C6383" s="2" t="str">
        <f ca="1">IFERROR(__xludf.DUMMYFUNCTION("""COMPUTED_VALUE"""),"Illuvium")</f>
        <v>Illuvium</v>
      </c>
    </row>
    <row r="6384" spans="1:3" x14ac:dyDescent="0.25">
      <c r="A6384" s="2" t="str">
        <f ca="1">IFERROR(__xludf.DUMMYFUNCTION("""COMPUTED_VALUE"""),"i-love-puppies")</f>
        <v>i-love-puppies</v>
      </c>
      <c r="B6384" s="2" t="str">
        <f ca="1">IFERROR(__xludf.DUMMYFUNCTION("""COMPUTED_VALUE"""),"puppies")</f>
        <v>puppies</v>
      </c>
      <c r="C6384" s="2" t="str">
        <f ca="1">IFERROR(__xludf.DUMMYFUNCTION("""COMPUTED_VALUE"""),"I love puppies")</f>
        <v>I love puppies</v>
      </c>
    </row>
    <row r="6385" spans="1:3" x14ac:dyDescent="0.25">
      <c r="A6385" s="2" t="str">
        <f ca="1">IFERROR(__xludf.DUMMYFUNCTION("""COMPUTED_VALUE"""),"i-love-snoopy")</f>
        <v>i-love-snoopy</v>
      </c>
      <c r="B6385" s="2" t="str">
        <f ca="1">IFERROR(__xludf.DUMMYFUNCTION("""COMPUTED_VALUE"""),"lovesnoopy")</f>
        <v>lovesnoopy</v>
      </c>
      <c r="C6385" s="2" t="str">
        <f ca="1">IFERROR(__xludf.DUMMYFUNCTION("""COMPUTED_VALUE"""),"I LOVE SNOOPY")</f>
        <v>I LOVE SNOOPY</v>
      </c>
    </row>
    <row r="6386" spans="1:3" x14ac:dyDescent="0.25">
      <c r="A6386" s="2" t="str">
        <f ca="1">IFERROR(__xludf.DUMMYFUNCTION("""COMPUTED_VALUE"""),"ima-bridged-usdc-skale")</f>
        <v>ima-bridged-usdc-skale</v>
      </c>
      <c r="B6386" s="2" t="str">
        <f ca="1">IFERROR(__xludf.DUMMYFUNCTION("""COMPUTED_VALUE"""),"usdc")</f>
        <v>usdc</v>
      </c>
      <c r="C6386" s="2" t="str">
        <f ca="1">IFERROR(__xludf.DUMMYFUNCTION("""COMPUTED_VALUE"""),"Skale IMA Bridged USDC (Skale)")</f>
        <v>Skale IMA Bridged USDC (Skale)</v>
      </c>
    </row>
    <row r="6387" spans="1:3" x14ac:dyDescent="0.25">
      <c r="A6387" s="2" t="str">
        <f ca="1">IFERROR(__xludf.DUMMYFUNCTION("""COMPUTED_VALUE"""),"imaginary-ones")</f>
        <v>imaginary-ones</v>
      </c>
      <c r="B6387" s="2" t="str">
        <f ca="1">IFERROR(__xludf.DUMMYFUNCTION("""COMPUTED_VALUE"""),"bubble")</f>
        <v>bubble</v>
      </c>
      <c r="C6387" s="2" t="str">
        <f ca="1">IFERROR(__xludf.DUMMYFUNCTION("""COMPUTED_VALUE"""),"Imaginary Ones")</f>
        <v>Imaginary Ones</v>
      </c>
    </row>
    <row r="6388" spans="1:3" x14ac:dyDescent="0.25">
      <c r="A6388" s="2" t="str">
        <f ca="1">IFERROR(__xludf.DUMMYFUNCTION("""COMPUTED_VALUE"""),"imagine")</f>
        <v>imagine</v>
      </c>
      <c r="B6388" s="2" t="str">
        <f ca="1">IFERROR(__xludf.DUMMYFUNCTION("""COMPUTED_VALUE"""),"imagine")</f>
        <v>imagine</v>
      </c>
      <c r="C6388" s="2" t="str">
        <f ca="1">IFERROR(__xludf.DUMMYFUNCTION("""COMPUTED_VALUE"""),"Imagine")</f>
        <v>Imagine</v>
      </c>
    </row>
    <row r="6389" spans="1:3" x14ac:dyDescent="0.25">
      <c r="A6389" s="2" t="str">
        <f ca="1">IFERROR(__xludf.DUMMYFUNCTION("""COMPUTED_VALUE"""),"imaro")</f>
        <v>imaro</v>
      </c>
      <c r="B6389" s="2" t="str">
        <f ca="1">IFERROR(__xludf.DUMMYFUNCTION("""COMPUTED_VALUE"""),"imaro")</f>
        <v>imaro</v>
      </c>
      <c r="C6389" s="2" t="str">
        <f ca="1">IFERROR(__xludf.DUMMYFUNCTION("""COMPUTED_VALUE"""),"IMARO")</f>
        <v>IMARO</v>
      </c>
    </row>
    <row r="6390" spans="1:3" x14ac:dyDescent="0.25">
      <c r="A6390" s="2" t="str">
        <f ca="1">IFERROR(__xludf.DUMMYFUNCTION("""COMPUTED_VALUE"""),"imayc")</f>
        <v>imayc</v>
      </c>
      <c r="B6390" s="2" t="str">
        <f ca="1">IFERROR(__xludf.DUMMYFUNCTION("""COMPUTED_VALUE"""),"imayc")</f>
        <v>imayc</v>
      </c>
      <c r="C6390" s="2" t="str">
        <f ca="1">IFERROR(__xludf.DUMMYFUNCTION("""COMPUTED_VALUE"""),"IMAYC")</f>
        <v>IMAYC</v>
      </c>
    </row>
    <row r="6391" spans="1:3" x14ac:dyDescent="0.25">
      <c r="A6391" s="2" t="str">
        <f ca="1">IFERROR(__xludf.DUMMYFUNCTION("""COMPUTED_VALUE"""),"ime-lab")</f>
        <v>ime-lab</v>
      </c>
      <c r="B6391" s="2" t="str">
        <f ca="1">IFERROR(__xludf.DUMMYFUNCTION("""COMPUTED_VALUE"""),"lime")</f>
        <v>lime</v>
      </c>
      <c r="C6391" s="2" t="str">
        <f ca="1">IFERROR(__xludf.DUMMYFUNCTION("""COMPUTED_VALUE"""),"iMe Lab")</f>
        <v>iMe Lab</v>
      </c>
    </row>
    <row r="6392" spans="1:3" x14ac:dyDescent="0.25">
      <c r="A6392" s="2" t="str">
        <f ca="1">IFERROR(__xludf.DUMMYFUNCTION("""COMPUTED_VALUE"""),"imgnai")</f>
        <v>imgnai</v>
      </c>
      <c r="B6392" s="2" t="str">
        <f ca="1">IFERROR(__xludf.DUMMYFUNCTION("""COMPUTED_VALUE"""),"imgnai")</f>
        <v>imgnai</v>
      </c>
      <c r="C6392" s="2" t="str">
        <f ca="1">IFERROR(__xludf.DUMMYFUNCTION("""COMPUTED_VALUE"""),"imgnAI")</f>
        <v>imgnAI</v>
      </c>
    </row>
    <row r="6393" spans="1:3" x14ac:dyDescent="0.25">
      <c r="A6393" s="2" t="str">
        <f ca="1">IFERROR(__xludf.DUMMYFUNCTION("""COMPUTED_VALUE"""),"immortaldao")</f>
        <v>immortaldao</v>
      </c>
      <c r="B6393" s="2" t="str">
        <f ca="1">IFERROR(__xludf.DUMMYFUNCTION("""COMPUTED_VALUE"""),"immo")</f>
        <v>immo</v>
      </c>
      <c r="C6393" s="2" t="str">
        <f ca="1">IFERROR(__xludf.DUMMYFUNCTION("""COMPUTED_VALUE"""),"ImmortalDAO")</f>
        <v>ImmortalDAO</v>
      </c>
    </row>
    <row r="6394" spans="1:3" x14ac:dyDescent="0.25">
      <c r="A6394" s="2" t="str">
        <f ca="1">IFERROR(__xludf.DUMMYFUNCTION("""COMPUTED_VALUE"""),"immutable")</f>
        <v>immutable</v>
      </c>
      <c r="B6394" s="2" t="str">
        <f ca="1">IFERROR(__xludf.DUMMYFUNCTION("""COMPUTED_VALUE"""),"dara")</f>
        <v>dara</v>
      </c>
      <c r="C6394" s="2" t="str">
        <f ca="1">IFERROR(__xludf.DUMMYFUNCTION("""COMPUTED_VALUE"""),"Immutable")</f>
        <v>Immutable</v>
      </c>
    </row>
    <row r="6395" spans="1:3" x14ac:dyDescent="0.25">
      <c r="A6395" s="2" t="str">
        <f ca="1">IFERROR(__xludf.DUMMYFUNCTION("""COMPUTED_VALUE"""),"immutable-x")</f>
        <v>immutable-x</v>
      </c>
      <c r="B6395" s="2" t="str">
        <f ca="1">IFERROR(__xludf.DUMMYFUNCTION("""COMPUTED_VALUE"""),"imx")</f>
        <v>imx</v>
      </c>
      <c r="C6395" s="2" t="str">
        <f ca="1">IFERROR(__xludf.DUMMYFUNCTION("""COMPUTED_VALUE"""),"Immutable")</f>
        <v>Immutable</v>
      </c>
    </row>
    <row r="6396" spans="1:3" x14ac:dyDescent="0.25">
      <c r="A6396" s="2" t="str">
        <f ca="1">IFERROR(__xludf.DUMMYFUNCTION("""COMPUTED_VALUE"""),"immutable-zkevm-bridged-eth")</f>
        <v>immutable-zkevm-bridged-eth</v>
      </c>
      <c r="B6396" s="2" t="str">
        <f ca="1">IFERROR(__xludf.DUMMYFUNCTION("""COMPUTED_VALUE"""),"eth")</f>
        <v>eth</v>
      </c>
      <c r="C6396" s="2" t="str">
        <f ca="1">IFERROR(__xludf.DUMMYFUNCTION("""COMPUTED_VALUE"""),"Immutable zkEVM Bridged ETH")</f>
        <v>Immutable zkEVM Bridged ETH</v>
      </c>
    </row>
    <row r="6397" spans="1:3" x14ac:dyDescent="0.25">
      <c r="A6397" s="2" t="str">
        <f ca="1">IFERROR(__xludf.DUMMYFUNCTION("""COMPUTED_VALUE"""),"im-not-a-ket")</f>
        <v>im-not-a-ket</v>
      </c>
      <c r="B6397" s="2" t="str">
        <f ca="1">IFERROR(__xludf.DUMMYFUNCTION("""COMPUTED_VALUE"""),"notket")</f>
        <v>notket</v>
      </c>
      <c r="C6397" s="2" t="str">
        <f ca="1">IFERROR(__xludf.DUMMYFUNCTION("""COMPUTED_VALUE"""),"Im Not A Ket")</f>
        <v>Im Not A Ket</v>
      </c>
    </row>
    <row r="6398" spans="1:3" x14ac:dyDescent="0.25">
      <c r="A6398" s="2" t="str">
        <f ca="1">IFERROR(__xludf.DUMMYFUNCTION("""COMPUTED_VALUE"""),"imo")</f>
        <v>imo</v>
      </c>
      <c r="B6398" s="2" t="str">
        <f ca="1">IFERROR(__xludf.DUMMYFUNCTION("""COMPUTED_VALUE"""),"imo")</f>
        <v>imo</v>
      </c>
      <c r="C6398" s="2" t="str">
        <f ca="1">IFERROR(__xludf.DUMMYFUNCTION("""COMPUTED_VALUE"""),"IMO")</f>
        <v>IMO</v>
      </c>
    </row>
    <row r="6399" spans="1:3" x14ac:dyDescent="0.25">
      <c r="A6399" s="2" t="str">
        <f ca="1">IFERROR(__xludf.DUMMYFUNCTION("""COMPUTED_VALUE"""),"imonster")</f>
        <v>imonster</v>
      </c>
      <c r="B6399" s="2" t="str">
        <f ca="1">IFERROR(__xludf.DUMMYFUNCTION("""COMPUTED_VALUE"""),"imo")</f>
        <v>imo</v>
      </c>
      <c r="C6399" s="2" t="str">
        <f ca="1">IFERROR(__xludf.DUMMYFUNCTION("""COMPUTED_VALUE"""),"IMonster")</f>
        <v>IMonster</v>
      </c>
    </row>
    <row r="6400" spans="1:3" x14ac:dyDescent="0.25">
      <c r="A6400" s="2" t="str">
        <f ca="1">IFERROR(__xludf.DUMMYFUNCTION("""COMPUTED_VALUE"""),"imov")</f>
        <v>imov</v>
      </c>
      <c r="B6400" s="2" t="str">
        <f ca="1">IFERROR(__xludf.DUMMYFUNCTION("""COMPUTED_VALUE"""),"imt")</f>
        <v>imt</v>
      </c>
      <c r="C6400" s="2" t="str">
        <f ca="1">IFERROR(__xludf.DUMMYFUNCTION("""COMPUTED_VALUE"""),"IMOV")</f>
        <v>IMOV</v>
      </c>
    </row>
    <row r="6401" spans="1:3" x14ac:dyDescent="0.25">
      <c r="A6401" s="2" t="str">
        <f ca="1">IFERROR(__xludf.DUMMYFUNCTION("""COMPUTED_VALUE"""),"impactmarket")</f>
        <v>impactmarket</v>
      </c>
      <c r="B6401" s="2" t="str">
        <f ca="1">IFERROR(__xludf.DUMMYFUNCTION("""COMPUTED_VALUE"""),"pact")</f>
        <v>pact</v>
      </c>
      <c r="C6401" s="2" t="str">
        <f ca="1">IFERROR(__xludf.DUMMYFUNCTION("""COMPUTED_VALUE"""),"impactMarket [OLD]")</f>
        <v>impactMarket [OLD]</v>
      </c>
    </row>
    <row r="6402" spans="1:3" x14ac:dyDescent="0.25">
      <c r="A6402" s="2" t="str">
        <f ca="1">IFERROR(__xludf.DUMMYFUNCTION("""COMPUTED_VALUE"""),"impactmarket-2")</f>
        <v>impactmarket-2</v>
      </c>
      <c r="B6402" s="2" t="str">
        <f ca="1">IFERROR(__xludf.DUMMYFUNCTION("""COMPUTED_VALUE"""),"pact")</f>
        <v>pact</v>
      </c>
      <c r="C6402" s="2" t="str">
        <f ca="1">IFERROR(__xludf.DUMMYFUNCTION("""COMPUTED_VALUE"""),"impactMarket")</f>
        <v>impactMarket</v>
      </c>
    </row>
    <row r="6403" spans="1:3" x14ac:dyDescent="0.25">
      <c r="A6403" s="2" t="str">
        <f ca="1">IFERROR(__xludf.DUMMYFUNCTION("""COMPUTED_VALUE"""),"imperium-empires")</f>
        <v>imperium-empires</v>
      </c>
      <c r="B6403" s="2" t="str">
        <f ca="1">IFERROR(__xludf.DUMMYFUNCTION("""COMPUTED_VALUE"""),"ime")</f>
        <v>ime</v>
      </c>
      <c r="C6403" s="2" t="str">
        <f ca="1">IFERROR(__xludf.DUMMYFUNCTION("""COMPUTED_VALUE"""),"Imperium Empires")</f>
        <v>Imperium Empires</v>
      </c>
    </row>
    <row r="6404" spans="1:3" x14ac:dyDescent="0.25">
      <c r="A6404" s="2" t="str">
        <f ca="1">IFERROR(__xludf.DUMMYFUNCTION("""COMPUTED_VALUE"""),"impermax-2")</f>
        <v>impermax-2</v>
      </c>
      <c r="B6404" s="2" t="str">
        <f ca="1">IFERROR(__xludf.DUMMYFUNCTION("""COMPUTED_VALUE"""),"ibex")</f>
        <v>ibex</v>
      </c>
      <c r="C6404" s="2" t="str">
        <f ca="1">IFERROR(__xludf.DUMMYFUNCTION("""COMPUTED_VALUE"""),"Impermax")</f>
        <v>Impermax</v>
      </c>
    </row>
    <row r="6405" spans="1:3" x14ac:dyDescent="0.25">
      <c r="A6405" s="2" t="str">
        <f ca="1">IFERROR(__xludf.DUMMYFUNCTION("""COMPUTED_VALUE"""),"impls-finance")</f>
        <v>impls-finance</v>
      </c>
      <c r="B6405" s="2" t="str">
        <f ca="1">IFERROR(__xludf.DUMMYFUNCTION("""COMPUTED_VALUE"""),"impls")</f>
        <v>impls</v>
      </c>
      <c r="C6405" s="2" t="str">
        <f ca="1">IFERROR(__xludf.DUMMYFUNCTION("""COMPUTED_VALUE"""),"IMPLS Finance")</f>
        <v>IMPLS Finance</v>
      </c>
    </row>
    <row r="6406" spans="1:3" x14ac:dyDescent="0.25">
      <c r="A6406" s="2" t="str">
        <f ca="1">IFERROR(__xludf.DUMMYFUNCTION("""COMPUTED_VALUE"""),"impossible-finance")</f>
        <v>impossible-finance</v>
      </c>
      <c r="B6406" s="2" t="str">
        <f ca="1">IFERROR(__xludf.DUMMYFUNCTION("""COMPUTED_VALUE"""),"if")</f>
        <v>if</v>
      </c>
      <c r="C6406" s="2" t="str">
        <f ca="1">IFERROR(__xludf.DUMMYFUNCTION("""COMPUTED_VALUE"""),"Impossible Finance")</f>
        <v>Impossible Finance</v>
      </c>
    </row>
    <row r="6407" spans="1:3" x14ac:dyDescent="0.25">
      <c r="A6407" s="2" t="str">
        <f ca="1">IFERROR(__xludf.DUMMYFUNCTION("""COMPUTED_VALUE"""),"impostors-blood")</f>
        <v>impostors-blood</v>
      </c>
      <c r="B6407" s="2" t="str">
        <f ca="1">IFERROR(__xludf.DUMMYFUNCTION("""COMPUTED_VALUE"""),"blood")</f>
        <v>blood</v>
      </c>
      <c r="C6407" s="2" t="str">
        <f ca="1">IFERROR(__xludf.DUMMYFUNCTION("""COMPUTED_VALUE"""),"Impostors Blood")</f>
        <v>Impostors Blood</v>
      </c>
    </row>
    <row r="6408" spans="1:3" x14ac:dyDescent="0.25">
      <c r="A6408" s="2" t="str">
        <f ca="1">IFERROR(__xludf.DUMMYFUNCTION("""COMPUTED_VALUE"""),"impt")</f>
        <v>impt</v>
      </c>
      <c r="B6408" s="2" t="str">
        <f ca="1">IFERROR(__xludf.DUMMYFUNCTION("""COMPUTED_VALUE"""),"impt")</f>
        <v>impt</v>
      </c>
      <c r="C6408" s="2" t="str">
        <f ca="1">IFERROR(__xludf.DUMMYFUNCTION("""COMPUTED_VALUE"""),"IMPT")</f>
        <v>IMPT</v>
      </c>
    </row>
    <row r="6409" spans="1:3" x14ac:dyDescent="0.25">
      <c r="A6409" s="2" t="str">
        <f ca="1">IFERROR(__xludf.DUMMYFUNCTION("""COMPUTED_VALUE"""),"inbred-cat")</f>
        <v>inbred-cat</v>
      </c>
      <c r="B6409" s="2" t="str">
        <f ca="1">IFERROR(__xludf.DUMMYFUNCTION("""COMPUTED_VALUE"""),"inbred")</f>
        <v>inbred</v>
      </c>
      <c r="C6409" s="2" t="str">
        <f ca="1">IFERROR(__xludf.DUMMYFUNCTION("""COMPUTED_VALUE"""),"Inbred Cat")</f>
        <v>Inbred Cat</v>
      </c>
    </row>
    <row r="6410" spans="1:3" x14ac:dyDescent="0.25">
      <c r="A6410" s="2" t="str">
        <f ca="1">IFERROR(__xludf.DUMMYFUNCTION("""COMPUTED_VALUE"""),"incept")</f>
        <v>incept</v>
      </c>
      <c r="B6410" s="2" t="str">
        <f ca="1">IFERROR(__xludf.DUMMYFUNCTION("""COMPUTED_VALUE"""),"incept")</f>
        <v>incept</v>
      </c>
      <c r="C6410" s="2" t="str">
        <f ca="1">IFERROR(__xludf.DUMMYFUNCTION("""COMPUTED_VALUE"""),"Incept")</f>
        <v>Incept</v>
      </c>
    </row>
    <row r="6411" spans="1:3" x14ac:dyDescent="0.25">
      <c r="A6411" s="2" t="str">
        <f ca="1">IFERROR(__xludf.DUMMYFUNCTION("""COMPUTED_VALUE"""),"inceptionlrt-sfrxet")</f>
        <v>inceptionlrt-sfrxet</v>
      </c>
      <c r="B6411" s="2" t="str">
        <f ca="1">IFERROR(__xludf.DUMMYFUNCTION("""COMPUTED_VALUE"""),"insfrxeth")</f>
        <v>insfrxeth</v>
      </c>
      <c r="C6411" s="2" t="str">
        <f ca="1">IFERROR(__xludf.DUMMYFUNCTION("""COMPUTED_VALUE"""),"Inception sfrxETH")</f>
        <v>Inception sfrxETH</v>
      </c>
    </row>
    <row r="6412" spans="1:3" x14ac:dyDescent="0.25">
      <c r="A6412" s="2" t="str">
        <f ca="1">IFERROR(__xludf.DUMMYFUNCTION("""COMPUTED_VALUE"""),"inception-restaked-eigen")</f>
        <v>inception-restaked-eigen</v>
      </c>
      <c r="B6412" s="2" t="str">
        <f ca="1">IFERROR(__xludf.DUMMYFUNCTION("""COMPUTED_VALUE"""),"ineigen")</f>
        <v>ineigen</v>
      </c>
      <c r="C6412" s="2" t="str">
        <f ca="1">IFERROR(__xludf.DUMMYFUNCTION("""COMPUTED_VALUE"""),"Inception Restaked EIGEN")</f>
        <v>Inception Restaked EIGEN</v>
      </c>
    </row>
    <row r="6413" spans="1:3" x14ac:dyDescent="0.25">
      <c r="A6413" s="2" t="str">
        <f ca="1">IFERROR(__xludf.DUMMYFUNCTION("""COMPUTED_VALUE"""),"inception-restaked-lseth")</f>
        <v>inception-restaked-lseth</v>
      </c>
      <c r="B6413" s="2" t="str">
        <f ca="1">IFERROR(__xludf.DUMMYFUNCTION("""COMPUTED_VALUE"""),"inlseth")</f>
        <v>inlseth</v>
      </c>
      <c r="C6413" s="2" t="str">
        <f ca="1">IFERROR(__xludf.DUMMYFUNCTION("""COMPUTED_VALUE"""),"Inception lsETH")</f>
        <v>Inception lsETH</v>
      </c>
    </row>
    <row r="6414" spans="1:3" x14ac:dyDescent="0.25">
      <c r="A6414" s="2" t="str">
        <f ca="1">IFERROR(__xludf.DUMMYFUNCTION("""COMPUTED_VALUE"""),"inception-restaked-meth")</f>
        <v>inception-restaked-meth</v>
      </c>
      <c r="B6414" s="2" t="str">
        <f ca="1">IFERROR(__xludf.DUMMYFUNCTION("""COMPUTED_VALUE"""),"inmeth")</f>
        <v>inmeth</v>
      </c>
      <c r="C6414" s="2" t="str">
        <f ca="1">IFERROR(__xludf.DUMMYFUNCTION("""COMPUTED_VALUE"""),"Inception mETH")</f>
        <v>Inception mETH</v>
      </c>
    </row>
    <row r="6415" spans="1:3" x14ac:dyDescent="0.25">
      <c r="A6415" s="2" t="str">
        <f ca="1">IFERROR(__xludf.DUMMYFUNCTION("""COMPUTED_VALUE"""),"inception-restaked-oseth")</f>
        <v>inception-restaked-oseth</v>
      </c>
      <c r="B6415" s="2" t="str">
        <f ca="1">IFERROR(__xludf.DUMMYFUNCTION("""COMPUTED_VALUE"""),"inoseth")</f>
        <v>inoseth</v>
      </c>
      <c r="C6415" s="2" t="str">
        <f ca="1">IFERROR(__xludf.DUMMYFUNCTION("""COMPUTED_VALUE"""),"Inception osETH")</f>
        <v>Inception osETH</v>
      </c>
    </row>
    <row r="6416" spans="1:3" x14ac:dyDescent="0.25">
      <c r="A6416" s="2" t="str">
        <f ca="1">IFERROR(__xludf.DUMMYFUNCTION("""COMPUTED_VALUE"""),"inception-restaked-steth")</f>
        <v>inception-restaked-steth</v>
      </c>
      <c r="B6416" s="2" t="str">
        <f ca="1">IFERROR(__xludf.DUMMYFUNCTION("""COMPUTED_VALUE"""),"insteth")</f>
        <v>insteth</v>
      </c>
      <c r="C6416" s="2" t="str">
        <f ca="1">IFERROR(__xludf.DUMMYFUNCTION("""COMPUTED_VALUE"""),"Inception stETH")</f>
        <v>Inception stETH</v>
      </c>
    </row>
    <row r="6417" spans="1:3" x14ac:dyDescent="0.25">
      <c r="A6417" s="2" t="str">
        <f ca="1">IFERROR(__xludf.DUMMYFUNCTION("""COMPUTED_VALUE"""),"inception-restaked-sweth")</f>
        <v>inception-restaked-sweth</v>
      </c>
      <c r="B6417" s="2" t="str">
        <f ca="1">IFERROR(__xludf.DUMMYFUNCTION("""COMPUTED_VALUE"""),"insweth")</f>
        <v>insweth</v>
      </c>
      <c r="C6417" s="2" t="str">
        <f ca="1">IFERROR(__xludf.DUMMYFUNCTION("""COMPUTED_VALUE"""),"Inception swETH")</f>
        <v>Inception swETH</v>
      </c>
    </row>
    <row r="6418" spans="1:3" x14ac:dyDescent="0.25">
      <c r="A6418" s="2" t="str">
        <f ca="1">IFERROR(__xludf.DUMMYFUNCTION("""COMPUTED_VALUE"""),"inci-token")</f>
        <v>inci-token</v>
      </c>
      <c r="B6418" s="2" t="str">
        <f ca="1">IFERROR(__xludf.DUMMYFUNCTION("""COMPUTED_VALUE"""),"inci")</f>
        <v>inci</v>
      </c>
      <c r="C6418" s="2" t="str">
        <f ca="1">IFERROR(__xludf.DUMMYFUNCTION("""COMPUTED_VALUE"""),"Inci")</f>
        <v>Inci</v>
      </c>
    </row>
    <row r="6419" spans="1:3" x14ac:dyDescent="0.25">
      <c r="A6419" s="2" t="str">
        <f ca="1">IFERROR(__xludf.DUMMYFUNCTION("""COMPUTED_VALUE"""),"increment")</f>
        <v>increment</v>
      </c>
      <c r="B6419" s="2" t="str">
        <f ca="1">IFERROR(__xludf.DUMMYFUNCTION("""COMPUTED_VALUE"""),"incr")</f>
        <v>incr</v>
      </c>
      <c r="C6419" s="2" t="str">
        <f ca="1">IFERROR(__xludf.DUMMYFUNCTION("""COMPUTED_VALUE"""),"Increment")</f>
        <v>Increment</v>
      </c>
    </row>
    <row r="6420" spans="1:3" x14ac:dyDescent="0.25">
      <c r="A6420" s="2" t="str">
        <f ca="1">IFERROR(__xludf.DUMMYFUNCTION("""COMPUTED_VALUE"""),"independence-token")</f>
        <v>independence-token</v>
      </c>
      <c r="B6420" s="2" t="str">
        <f ca="1">IFERROR(__xludf.DUMMYFUNCTION("""COMPUTED_VALUE"""),"bobby")</f>
        <v>bobby</v>
      </c>
      <c r="C6420" s="2" t="str">
        <f ca="1">IFERROR(__xludf.DUMMYFUNCTION("""COMPUTED_VALUE"""),"Kennedy Memecoin")</f>
        <v>Kennedy Memecoin</v>
      </c>
    </row>
    <row r="6421" spans="1:3" x14ac:dyDescent="0.25">
      <c r="A6421" s="2" t="str">
        <f ca="1">IFERROR(__xludf.DUMMYFUNCTION("""COMPUTED_VALUE"""),"indexai")</f>
        <v>indexai</v>
      </c>
      <c r="B6421" s="2" t="str">
        <f ca="1">IFERROR(__xludf.DUMMYFUNCTION("""COMPUTED_VALUE"""),"iai")</f>
        <v>iai</v>
      </c>
      <c r="C6421" s="2" t="str">
        <f ca="1">IFERROR(__xludf.DUMMYFUNCTION("""COMPUTED_VALUE"""),"IndexAI")</f>
        <v>IndexAI</v>
      </c>
    </row>
    <row r="6422" spans="1:3" x14ac:dyDescent="0.25">
      <c r="A6422" s="2" t="str">
        <f ca="1">IFERROR(__xludf.DUMMYFUNCTION("""COMPUTED_VALUE"""),"index-avalanche-defi")</f>
        <v>index-avalanche-defi</v>
      </c>
      <c r="B6422" s="2" t="str">
        <f ca="1">IFERROR(__xludf.DUMMYFUNCTION("""COMPUTED_VALUE"""),"ixad")</f>
        <v>ixad</v>
      </c>
      <c r="C6422" s="2" t="str">
        <f ca="1">IFERROR(__xludf.DUMMYFUNCTION("""COMPUTED_VALUE"""),"Index Avalanche DeFi")</f>
        <v>Index Avalanche DeFi</v>
      </c>
    </row>
    <row r="6423" spans="1:3" x14ac:dyDescent="0.25">
      <c r="A6423" s="2" t="str">
        <f ca="1">IFERROR(__xludf.DUMMYFUNCTION("""COMPUTED_VALUE"""),"index-coop-bitcoin-2x-index")</f>
        <v>index-coop-bitcoin-2x-index</v>
      </c>
      <c r="B6423" s="2" t="str">
        <f ca="1">IFERROR(__xludf.DUMMYFUNCTION("""COMPUTED_VALUE"""),"btc2x")</f>
        <v>btc2x</v>
      </c>
      <c r="C6423" s="2" t="str">
        <f ca="1">IFERROR(__xludf.DUMMYFUNCTION("""COMPUTED_VALUE"""),"Index Coop Bitcoin 2x Index")</f>
        <v>Index Coop Bitcoin 2x Index</v>
      </c>
    </row>
    <row r="6424" spans="1:3" x14ac:dyDescent="0.25">
      <c r="A6424" s="2" t="str">
        <f ca="1">IFERROR(__xludf.DUMMYFUNCTION("""COMPUTED_VALUE"""),"index-coop-coindesk-eth-trend-index")</f>
        <v>index-coop-coindesk-eth-trend-index</v>
      </c>
      <c r="B6424" s="2" t="str">
        <f ca="1">IFERROR(__xludf.DUMMYFUNCTION("""COMPUTED_VALUE"""),"cdeti")</f>
        <v>cdeti</v>
      </c>
      <c r="C6424" s="2" t="str">
        <f ca="1">IFERROR(__xludf.DUMMYFUNCTION("""COMPUTED_VALUE"""),"Index Coop CoinDesk ETH Trend Index")</f>
        <v>Index Coop CoinDesk ETH Trend Index</v>
      </c>
    </row>
    <row r="6425" spans="1:3" x14ac:dyDescent="0.25">
      <c r="A6425" s="2" t="str">
        <f ca="1">IFERROR(__xludf.DUMMYFUNCTION("""COMPUTED_VALUE"""),"index-cooperative")</f>
        <v>index-cooperative</v>
      </c>
      <c r="B6425" s="2" t="str">
        <f ca="1">IFERROR(__xludf.DUMMYFUNCTION("""COMPUTED_VALUE"""),"index")</f>
        <v>index</v>
      </c>
      <c r="C6425" s="2" t="str">
        <f ca="1">IFERROR(__xludf.DUMMYFUNCTION("""COMPUTED_VALUE"""),"Index Cooperative")</f>
        <v>Index Cooperative</v>
      </c>
    </row>
    <row r="6426" spans="1:3" x14ac:dyDescent="0.25">
      <c r="A6426" s="2" t="str">
        <f ca="1">IFERROR(__xludf.DUMMYFUNCTION("""COMPUTED_VALUE"""),"index-coop-eth-2x-flexible-leverage-index")</f>
        <v>index-coop-eth-2x-flexible-leverage-index</v>
      </c>
      <c r="B6426" s="2" t="str">
        <f ca="1">IFERROR(__xludf.DUMMYFUNCTION("""COMPUTED_VALUE"""),"eth2x-fli-p")</f>
        <v>eth2x-fli-p</v>
      </c>
      <c r="C6426" s="2" t="str">
        <f ca="1">IFERROR(__xludf.DUMMYFUNCTION("""COMPUTED_VALUE"""),"Index Coop - ETH 2x Flexible Leverage Index (Polygon)")</f>
        <v>Index Coop - ETH 2x Flexible Leverage Index (Polygon)</v>
      </c>
    </row>
    <row r="6427" spans="1:3" x14ac:dyDescent="0.25">
      <c r="A6427" s="2" t="str">
        <f ca="1">IFERROR(__xludf.DUMMYFUNCTION("""COMPUTED_VALUE"""),"index-coop-ethereum-2x-index")</f>
        <v>index-coop-ethereum-2x-index</v>
      </c>
      <c r="B6427" s="2" t="str">
        <f ca="1">IFERROR(__xludf.DUMMYFUNCTION("""COMPUTED_VALUE"""),"eth2x")</f>
        <v>eth2x</v>
      </c>
      <c r="C6427" s="2" t="str">
        <f ca="1">IFERROR(__xludf.DUMMYFUNCTION("""COMPUTED_VALUE"""),"Index Coop Ethereum 2x Index")</f>
        <v>Index Coop Ethereum 2x Index</v>
      </c>
    </row>
    <row r="6428" spans="1:3" x14ac:dyDescent="0.25">
      <c r="A6428" s="2" t="str">
        <f ca="1">IFERROR(__xludf.DUMMYFUNCTION("""COMPUTED_VALUE"""),"index-coop-matic-2x-flexible-leverage-index")</f>
        <v>index-coop-matic-2x-flexible-leverage-index</v>
      </c>
      <c r="B6428" s="2" t="str">
        <f ca="1">IFERROR(__xludf.DUMMYFUNCTION("""COMPUTED_VALUE"""),"matic2x-fli-p")</f>
        <v>matic2x-fli-p</v>
      </c>
      <c r="C6428" s="2" t="str">
        <f ca="1">IFERROR(__xludf.DUMMYFUNCTION("""COMPUTED_VALUE"""),"Index Coop - MATIC 2x Flexible Leverage Index")</f>
        <v>Index Coop - MATIC 2x Flexible Leverage Index</v>
      </c>
    </row>
    <row r="6429" spans="1:3" x14ac:dyDescent="0.25">
      <c r="A6429" s="2" t="str">
        <f ca="1">IFERROR(__xludf.DUMMYFUNCTION("""COMPUTED_VALUE"""),"indexed-finance")</f>
        <v>indexed-finance</v>
      </c>
      <c r="B6429" s="2" t="str">
        <f ca="1">IFERROR(__xludf.DUMMYFUNCTION("""COMPUTED_VALUE"""),"ndx")</f>
        <v>ndx</v>
      </c>
      <c r="C6429" s="2" t="str">
        <f ca="1">IFERROR(__xludf.DUMMYFUNCTION("""COMPUTED_VALUE"""),"Indexed Finance")</f>
        <v>Indexed Finance</v>
      </c>
    </row>
    <row r="6430" spans="1:3" x14ac:dyDescent="0.25">
      <c r="A6430" s="2" t="str">
        <f ca="1">IFERROR(__xludf.DUMMYFUNCTION("""COMPUTED_VALUE"""),"indian-call-center")</f>
        <v>indian-call-center</v>
      </c>
      <c r="B6430" s="2" t="str">
        <f ca="1">IFERROR(__xludf.DUMMYFUNCTION("""COMPUTED_VALUE"""),"icc")</f>
        <v>icc</v>
      </c>
      <c r="C6430" s="2" t="str">
        <f ca="1">IFERROR(__xludf.DUMMYFUNCTION("""COMPUTED_VALUE"""),"Indian Call Center")</f>
        <v>Indian Call Center</v>
      </c>
    </row>
    <row r="6431" spans="1:3" x14ac:dyDescent="0.25">
      <c r="A6431" s="2" t="str">
        <f ca="1">IFERROR(__xludf.DUMMYFUNCTION("""COMPUTED_VALUE"""),"indian-shiba-inu")</f>
        <v>indian-shiba-inu</v>
      </c>
      <c r="B6431" s="2" t="str">
        <f ca="1">IFERROR(__xludf.DUMMYFUNCTION("""COMPUTED_VALUE"""),"indshib")</f>
        <v>indshib</v>
      </c>
      <c r="C6431" s="2" t="str">
        <f ca="1">IFERROR(__xludf.DUMMYFUNCTION("""COMPUTED_VALUE"""),"Indian Shiba Inu")</f>
        <v>Indian Shiba Inu</v>
      </c>
    </row>
    <row r="6432" spans="1:3" x14ac:dyDescent="0.25">
      <c r="A6432" s="2" t="str">
        <f ca="1">IFERROR(__xludf.DUMMYFUNCTION("""COMPUTED_VALUE"""),"indicaton")</f>
        <v>indicaton</v>
      </c>
      <c r="B6432" s="2" t="str">
        <f ca="1">IFERROR(__xludf.DUMMYFUNCTION("""COMPUTED_VALUE"""),"ictn")</f>
        <v>ictn</v>
      </c>
      <c r="C6432" s="2" t="str">
        <f ca="1">IFERROR(__xludf.DUMMYFUNCTION("""COMPUTED_VALUE"""),"indicaTon")</f>
        <v>indicaTon</v>
      </c>
    </row>
    <row r="6433" spans="1:3" x14ac:dyDescent="0.25">
      <c r="A6433" s="2" t="str">
        <f ca="1">IFERROR(__xludf.DUMMYFUNCTION("""COMPUTED_VALUE"""),"indigg")</f>
        <v>indigg</v>
      </c>
      <c r="B6433" s="2" t="str">
        <f ca="1">IFERROR(__xludf.DUMMYFUNCTION("""COMPUTED_VALUE"""),"indi")</f>
        <v>indi</v>
      </c>
      <c r="C6433" s="2" t="str">
        <f ca="1">IFERROR(__xludf.DUMMYFUNCTION("""COMPUTED_VALUE"""),"IndiGG")</f>
        <v>IndiGG</v>
      </c>
    </row>
    <row r="6434" spans="1:3" x14ac:dyDescent="0.25">
      <c r="A6434" s="2" t="str">
        <f ca="1">IFERROR(__xludf.DUMMYFUNCTION("""COMPUTED_VALUE"""),"indigg-kratos-cash")</f>
        <v>indigg-kratos-cash</v>
      </c>
      <c r="B6434" s="2" t="str">
        <f ca="1">IFERROR(__xludf.DUMMYFUNCTION("""COMPUTED_VALUE"""),"kcash")</f>
        <v>kcash</v>
      </c>
      <c r="C6434" s="2" t="str">
        <f ca="1">IFERROR(__xludf.DUMMYFUNCTION("""COMPUTED_VALUE"""),"IndiGG Kratos Cash")</f>
        <v>IndiGG Kratos Cash</v>
      </c>
    </row>
    <row r="6435" spans="1:3" x14ac:dyDescent="0.25">
      <c r="A6435" s="2" t="str">
        <f ca="1">IFERROR(__xludf.DUMMYFUNCTION("""COMPUTED_VALUE"""),"indigo-dao-governance-token")</f>
        <v>indigo-dao-governance-token</v>
      </c>
      <c r="B6435" s="2" t="str">
        <f ca="1">IFERROR(__xludf.DUMMYFUNCTION("""COMPUTED_VALUE"""),"indy")</f>
        <v>indy</v>
      </c>
      <c r="C6435" s="2" t="str">
        <f ca="1">IFERROR(__xludf.DUMMYFUNCTION("""COMPUTED_VALUE"""),"Indigo Protocol")</f>
        <v>Indigo Protocol</v>
      </c>
    </row>
    <row r="6436" spans="1:3" x14ac:dyDescent="0.25">
      <c r="A6436" s="2" t="str">
        <f ca="1">IFERROR(__xludf.DUMMYFUNCTION("""COMPUTED_VALUE"""),"indigo-protocol-ieth")</f>
        <v>indigo-protocol-ieth</v>
      </c>
      <c r="B6436" s="2" t="str">
        <f ca="1">IFERROR(__xludf.DUMMYFUNCTION("""COMPUTED_VALUE"""),"ieth")</f>
        <v>ieth</v>
      </c>
      <c r="C6436" s="2" t="str">
        <f ca="1">IFERROR(__xludf.DUMMYFUNCTION("""COMPUTED_VALUE"""),"Indigo Protocol iETH")</f>
        <v>Indigo Protocol iETH</v>
      </c>
    </row>
    <row r="6437" spans="1:3" x14ac:dyDescent="0.25">
      <c r="A6437" s="2" t="str">
        <f ca="1">IFERROR(__xludf.DUMMYFUNCTION("""COMPUTED_VALUE"""),"inery")</f>
        <v>inery</v>
      </c>
      <c r="B6437" s="2" t="str">
        <f ca="1">IFERROR(__xludf.DUMMYFUNCTION("""COMPUTED_VALUE"""),"$inr")</f>
        <v>$inr</v>
      </c>
      <c r="C6437" s="2" t="str">
        <f ca="1">IFERROR(__xludf.DUMMYFUNCTION("""COMPUTED_VALUE"""),"Inery")</f>
        <v>Inery</v>
      </c>
    </row>
    <row r="6438" spans="1:3" x14ac:dyDescent="0.25">
      <c r="A6438" s="2" t="str">
        <f ca="1">IFERROR(__xludf.DUMMYFUNCTION("""COMPUTED_VALUE"""),"inferno-2")</f>
        <v>inferno-2</v>
      </c>
      <c r="B6438" s="2" t="str">
        <f ca="1">IFERROR(__xludf.DUMMYFUNCTION("""COMPUTED_VALUE"""),"inf")</f>
        <v>inf</v>
      </c>
      <c r="C6438" s="2" t="str">
        <f ca="1">IFERROR(__xludf.DUMMYFUNCTION("""COMPUTED_VALUE"""),"INFERNO")</f>
        <v>INFERNO</v>
      </c>
    </row>
    <row r="6439" spans="1:3" x14ac:dyDescent="0.25">
      <c r="A6439" s="2" t="str">
        <f ca="1">IFERROR(__xludf.DUMMYFUNCTION("""COMPUTED_VALUE"""),"infiblue-world")</f>
        <v>infiblue-world</v>
      </c>
      <c r="B6439" s="2" t="str">
        <f ca="1">IFERROR(__xludf.DUMMYFUNCTION("""COMPUTED_VALUE"""),"monie")</f>
        <v>monie</v>
      </c>
      <c r="C6439" s="2" t="str">
        <f ca="1">IFERROR(__xludf.DUMMYFUNCTION("""COMPUTED_VALUE"""),"Infiblue World")</f>
        <v>Infiblue World</v>
      </c>
    </row>
    <row r="6440" spans="1:3" x14ac:dyDescent="0.25">
      <c r="A6440" s="2" t="str">
        <f ca="1">IFERROR(__xludf.DUMMYFUNCTION("""COMPUTED_VALUE"""),"infinect")</f>
        <v>infinect</v>
      </c>
      <c r="B6440" s="2" t="str">
        <f ca="1">IFERROR(__xludf.DUMMYFUNCTION("""COMPUTED_VALUE"""),"infc")</f>
        <v>infc</v>
      </c>
      <c r="C6440" s="2" t="str">
        <f ca="1">IFERROR(__xludf.DUMMYFUNCTION("""COMPUTED_VALUE"""),"Infinect")</f>
        <v>Infinect</v>
      </c>
    </row>
    <row r="6441" spans="1:3" x14ac:dyDescent="0.25">
      <c r="A6441" s="2" t="str">
        <f ca="1">IFERROR(__xludf.DUMMYFUNCTION("""COMPUTED_VALUE"""),"infinimos")</f>
        <v>infinimos</v>
      </c>
      <c r="B6441" s="2" t="str">
        <f ca="1">IFERROR(__xludf.DUMMYFUNCTION("""COMPUTED_VALUE"""),"infi")</f>
        <v>infi</v>
      </c>
      <c r="C6441" s="2" t="str">
        <f ca="1">IFERROR(__xludf.DUMMYFUNCTION("""COMPUTED_VALUE"""),"Infinimos")</f>
        <v>Infinimos</v>
      </c>
    </row>
    <row r="6442" spans="1:3" x14ac:dyDescent="0.25">
      <c r="A6442" s="2" t="str">
        <f ca="1">IFERROR(__xludf.DUMMYFUNCTION("""COMPUTED_VALUE"""),"infinite-2")</f>
        <v>infinite-2</v>
      </c>
      <c r="B6442" s="2" t="str">
        <f ca="1">IFERROR(__xludf.DUMMYFUNCTION("""COMPUTED_VALUE"""),"infi")</f>
        <v>infi</v>
      </c>
      <c r="C6442" s="2" t="str">
        <f ca="1">IFERROR(__xludf.DUMMYFUNCTION("""COMPUTED_VALUE"""),"Infinet")</f>
        <v>Infinet</v>
      </c>
    </row>
    <row r="6443" spans="1:3" x14ac:dyDescent="0.25">
      <c r="A6443" s="2" t="str">
        <f ca="1">IFERROR(__xludf.DUMMYFUNCTION("""COMPUTED_VALUE"""),"infinitecoin")</f>
        <v>infinitecoin</v>
      </c>
      <c r="B6443" s="2" t="str">
        <f ca="1">IFERROR(__xludf.DUMMYFUNCTION("""COMPUTED_VALUE"""),"ifc")</f>
        <v>ifc</v>
      </c>
      <c r="C6443" s="2" t="str">
        <f ca="1">IFERROR(__xludf.DUMMYFUNCTION("""COMPUTED_VALUE"""),"Infinitecoin")</f>
        <v>Infinitecoin</v>
      </c>
    </row>
    <row r="6444" spans="1:3" x14ac:dyDescent="0.25">
      <c r="A6444" s="2" t="str">
        <f ca="1">IFERROR(__xludf.DUMMYFUNCTION("""COMPUTED_VALUE"""),"infinitee")</f>
        <v>infinitee</v>
      </c>
      <c r="B6444" s="2" t="str">
        <f ca="1">IFERROR(__xludf.DUMMYFUNCTION("""COMPUTED_VALUE"""),"inftee")</f>
        <v>inftee</v>
      </c>
      <c r="C6444" s="2" t="str">
        <f ca="1">IFERROR(__xludf.DUMMYFUNCTION("""COMPUTED_VALUE"""),"Infinitee")</f>
        <v>Infinitee</v>
      </c>
    </row>
    <row r="6445" spans="1:3" x14ac:dyDescent="0.25">
      <c r="A6445" s="2" t="str">
        <f ca="1">IFERROR(__xludf.DUMMYFUNCTION("""COMPUTED_VALUE"""),"infinitorr")</f>
        <v>infinitorr</v>
      </c>
      <c r="B6445" s="2" t="str">
        <f ca="1">IFERROR(__xludf.DUMMYFUNCTION("""COMPUTED_VALUE"""),"torr")</f>
        <v>torr</v>
      </c>
      <c r="C6445" s="2" t="str">
        <f ca="1">IFERROR(__xludf.DUMMYFUNCTION("""COMPUTED_VALUE"""),"InfiniTORR")</f>
        <v>InfiniTORR</v>
      </c>
    </row>
    <row r="6446" spans="1:3" x14ac:dyDescent="0.25">
      <c r="A6446" s="2" t="str">
        <f ca="1">IFERROR(__xludf.DUMMYFUNCTION("""COMPUTED_VALUE"""),"infinity-angel")</f>
        <v>infinity-angel</v>
      </c>
      <c r="B6446" s="2" t="str">
        <f ca="1">IFERROR(__xludf.DUMMYFUNCTION("""COMPUTED_VALUE"""),"ing")</f>
        <v>ing</v>
      </c>
      <c r="C6446" s="2" t="str">
        <f ca="1">IFERROR(__xludf.DUMMYFUNCTION("""COMPUTED_VALUE"""),"Infinity Games")</f>
        <v>Infinity Games</v>
      </c>
    </row>
    <row r="6447" spans="1:3" x14ac:dyDescent="0.25">
      <c r="A6447" s="2" t="str">
        <f ca="1">IFERROR(__xludf.DUMMYFUNCTION("""COMPUTED_VALUE"""),"infinitybit-token")</f>
        <v>infinitybit-token</v>
      </c>
      <c r="B6447" s="2" t="str">
        <f ca="1">IFERROR(__xludf.DUMMYFUNCTION("""COMPUTED_VALUE"""),"ibit")</f>
        <v>ibit</v>
      </c>
      <c r="C6447" s="2" t="str">
        <f ca="1">IFERROR(__xludf.DUMMYFUNCTION("""COMPUTED_VALUE"""),"InfinityBit Token")</f>
        <v>InfinityBit Token</v>
      </c>
    </row>
    <row r="6448" spans="1:3" x14ac:dyDescent="0.25">
      <c r="A6448" s="2" t="str">
        <f ca="1">IFERROR(__xludf.DUMMYFUNCTION("""COMPUTED_VALUE"""),"infinity-exchange")</f>
        <v>infinity-exchange</v>
      </c>
      <c r="B6448" s="2" t="str">
        <f ca="1">IFERROR(__xludf.DUMMYFUNCTION("""COMPUTED_VALUE"""),"iex")</f>
        <v>iex</v>
      </c>
      <c r="C6448" s="2" t="str">
        <f ca="1">IFERROR(__xludf.DUMMYFUNCTION("""COMPUTED_VALUE"""),"Infinity Exchange")</f>
        <v>Infinity Exchange</v>
      </c>
    </row>
    <row r="6449" spans="1:3" x14ac:dyDescent="0.25">
      <c r="A6449" s="2" t="str">
        <f ca="1">IFERROR(__xludf.DUMMYFUNCTION("""COMPUTED_VALUE"""),"infinity-pad-2")</f>
        <v>infinity-pad-2</v>
      </c>
      <c r="B6449" s="2" t="str">
        <f ca="1">IFERROR(__xludf.DUMMYFUNCTION("""COMPUTED_VALUE"""),"ipad")</f>
        <v>ipad</v>
      </c>
      <c r="C6449" s="2" t="str">
        <f ca="1">IFERROR(__xludf.DUMMYFUNCTION("""COMPUTED_VALUE"""),"Infinity PAD")</f>
        <v>Infinity PAD</v>
      </c>
    </row>
    <row r="6450" spans="1:3" x14ac:dyDescent="0.25">
      <c r="A6450" s="2" t="str">
        <f ca="1">IFERROR(__xludf.DUMMYFUNCTION("""COMPUTED_VALUE"""),"infinity-rocket-token")</f>
        <v>infinity-rocket-token</v>
      </c>
      <c r="B6450" s="2" t="str">
        <f ca="1">IFERROR(__xludf.DUMMYFUNCTION("""COMPUTED_VALUE"""),"irt")</f>
        <v>irt</v>
      </c>
      <c r="C6450" s="2" t="str">
        <f ca="1">IFERROR(__xludf.DUMMYFUNCTION("""COMPUTED_VALUE"""),"Infinity Rocket")</f>
        <v>Infinity Rocket</v>
      </c>
    </row>
    <row r="6451" spans="1:3" x14ac:dyDescent="0.25">
      <c r="A6451" s="2" t="str">
        <f ca="1">IFERROR(__xludf.DUMMYFUNCTION("""COMPUTED_VALUE"""),"infinity-skies")</f>
        <v>infinity-skies</v>
      </c>
      <c r="B6451" s="2" t="str">
        <f ca="1">IFERROR(__xludf.DUMMYFUNCTION("""COMPUTED_VALUE"""),"isky")</f>
        <v>isky</v>
      </c>
      <c r="C6451" s="2" t="str">
        <f ca="1">IFERROR(__xludf.DUMMYFUNCTION("""COMPUTED_VALUE"""),"Infinity Skies")</f>
        <v>Infinity Skies</v>
      </c>
    </row>
    <row r="6452" spans="1:3" x14ac:dyDescent="0.25">
      <c r="A6452" s="2" t="str">
        <f ca="1">IFERROR(__xludf.DUMMYFUNCTION("""COMPUTED_VALUE"""),"inflation-hedging-coin")</f>
        <v>inflation-hedging-coin</v>
      </c>
      <c r="B6452" s="2" t="str">
        <f ca="1">IFERROR(__xludf.DUMMYFUNCTION("""COMPUTED_VALUE"""),"ihc")</f>
        <v>ihc</v>
      </c>
      <c r="C6452" s="2" t="str">
        <f ca="1">IFERROR(__xludf.DUMMYFUNCTION("""COMPUTED_VALUE"""),"Inflation Hedging Coin")</f>
        <v>Inflation Hedging Coin</v>
      </c>
    </row>
    <row r="6453" spans="1:3" x14ac:dyDescent="0.25">
      <c r="A6453" s="2" t="str">
        <f ca="1">IFERROR(__xludf.DUMMYFUNCTION("""COMPUTED_VALUE"""),"inflection-ai")</f>
        <v>inflection-ai</v>
      </c>
      <c r="B6453" s="2" t="str">
        <f ca="1">IFERROR(__xludf.DUMMYFUNCTION("""COMPUTED_VALUE"""),"inf")</f>
        <v>inf</v>
      </c>
      <c r="C6453" s="2" t="str">
        <f ca="1">IFERROR(__xludf.DUMMYFUNCTION("""COMPUTED_VALUE"""),"Inflection AI")</f>
        <v>Inflection AI</v>
      </c>
    </row>
    <row r="6454" spans="1:3" x14ac:dyDescent="0.25">
      <c r="A6454" s="2" t="str">
        <f ca="1">IFERROR(__xludf.DUMMYFUNCTION("""COMPUTED_VALUE"""),"influpia")</f>
        <v>influpia</v>
      </c>
      <c r="B6454" s="2" t="str">
        <f ca="1">IFERROR(__xludf.DUMMYFUNCTION("""COMPUTED_VALUE"""),"ing")</f>
        <v>ing</v>
      </c>
      <c r="C6454" s="2" t="str">
        <f ca="1">IFERROR(__xludf.DUMMYFUNCTION("""COMPUTED_VALUE"""),"Influpia")</f>
        <v>Influpia</v>
      </c>
    </row>
    <row r="6455" spans="1:3" x14ac:dyDescent="0.25">
      <c r="A6455" s="2" t="str">
        <f ca="1">IFERROR(__xludf.DUMMYFUNCTION("""COMPUTED_VALUE"""),"infrax")</f>
        <v>infrax</v>
      </c>
      <c r="B6455" s="2" t="str">
        <f ca="1">IFERROR(__xludf.DUMMYFUNCTION("""COMPUTED_VALUE"""),"infra")</f>
        <v>infra</v>
      </c>
      <c r="C6455" s="2" t="str">
        <f ca="1">IFERROR(__xludf.DUMMYFUNCTION("""COMPUTED_VALUE"""),"infraX")</f>
        <v>infraX</v>
      </c>
    </row>
    <row r="6456" spans="1:3" x14ac:dyDescent="0.25">
      <c r="A6456" s="2" t="str">
        <f ca="1">IFERROR(__xludf.DUMMYFUNCTION("""COMPUTED_VALUE"""),"inftspace")</f>
        <v>inftspace</v>
      </c>
      <c r="B6456" s="2" t="str">
        <f ca="1">IFERROR(__xludf.DUMMYFUNCTION("""COMPUTED_VALUE"""),"ins")</f>
        <v>ins</v>
      </c>
      <c r="C6456" s="2" t="str">
        <f ca="1">IFERROR(__xludf.DUMMYFUNCTION("""COMPUTED_VALUE"""),"iNFTspace")</f>
        <v>iNFTspace</v>
      </c>
    </row>
    <row r="6457" spans="1:3" x14ac:dyDescent="0.25">
      <c r="A6457" s="2" t="str">
        <f ca="1">IFERROR(__xludf.DUMMYFUNCTION("""COMPUTED_VALUE"""),"inheritance-art")</f>
        <v>inheritance-art</v>
      </c>
      <c r="B6457" s="2" t="str">
        <f ca="1">IFERROR(__xludf.DUMMYFUNCTION("""COMPUTED_VALUE"""),"iai")</f>
        <v>iai</v>
      </c>
      <c r="C6457" s="2" t="str">
        <f ca="1">IFERROR(__xludf.DUMMYFUNCTION("""COMPUTED_VALUE"""),"inheritance Art")</f>
        <v>inheritance Art</v>
      </c>
    </row>
    <row r="6458" spans="1:3" x14ac:dyDescent="0.25">
      <c r="A6458" s="2" t="str">
        <f ca="1">IFERROR(__xludf.DUMMYFUNCTION("""COMPUTED_VALUE"""),"init")</f>
        <v>init</v>
      </c>
      <c r="B6458" s="2" t="str">
        <f ca="1">IFERROR(__xludf.DUMMYFUNCTION("""COMPUTED_VALUE"""),"init")</f>
        <v>init</v>
      </c>
      <c r="C6458" s="2" t="str">
        <f ca="1">IFERROR(__xludf.DUMMYFUNCTION("""COMPUTED_VALUE"""),"Inite")</f>
        <v>Inite</v>
      </c>
    </row>
    <row r="6459" spans="1:3" x14ac:dyDescent="0.25">
      <c r="A6459" s="2" t="str">
        <f ca="1">IFERROR(__xludf.DUMMYFUNCTION("""COMPUTED_VALUE"""),"initia")</f>
        <v>initia</v>
      </c>
      <c r="B6459" s="2" t="str">
        <f ca="1">IFERROR(__xludf.DUMMYFUNCTION("""COMPUTED_VALUE"""),"init")</f>
        <v>init</v>
      </c>
      <c r="C6459" s="2" t="str">
        <f ca="1">IFERROR(__xludf.DUMMYFUNCTION("""COMPUTED_VALUE"""),"Initia")</f>
        <v>Initia</v>
      </c>
    </row>
    <row r="6460" spans="1:3" x14ac:dyDescent="0.25">
      <c r="A6460" s="2" t="str">
        <f ca="1">IFERROR(__xludf.DUMMYFUNCTION("""COMPUTED_VALUE"""),"injective-kings")</f>
        <v>injective-kings</v>
      </c>
      <c r="B6460" s="2" t="str">
        <f ca="1">IFERROR(__xludf.DUMMYFUNCTION("""COMPUTED_VALUE"""),"ikings")</f>
        <v>ikings</v>
      </c>
      <c r="C6460" s="2" t="str">
        <f ca="1">IFERROR(__xludf.DUMMYFUNCTION("""COMPUTED_VALUE"""),"Injective Kings")</f>
        <v>Injective Kings</v>
      </c>
    </row>
    <row r="6461" spans="1:3" x14ac:dyDescent="0.25">
      <c r="A6461" s="2" t="str">
        <f ca="1">IFERROR(__xludf.DUMMYFUNCTION("""COMPUTED_VALUE"""),"injective-pepes")</f>
        <v>injective-pepes</v>
      </c>
      <c r="B6461" s="2" t="str">
        <f ca="1">IFERROR(__xludf.DUMMYFUNCTION("""COMPUTED_VALUE"""),"$ipepe")</f>
        <v>$ipepe</v>
      </c>
      <c r="C6461" s="2" t="str">
        <f ca="1">IFERROR(__xludf.DUMMYFUNCTION("""COMPUTED_VALUE"""),"Injective Pepes")</f>
        <v>Injective Pepes</v>
      </c>
    </row>
    <row r="6462" spans="1:3" x14ac:dyDescent="0.25">
      <c r="A6462" s="2" t="str">
        <f ca="1">IFERROR(__xludf.DUMMYFUNCTION("""COMPUTED_VALUE"""),"injective-protocol")</f>
        <v>injective-protocol</v>
      </c>
      <c r="B6462" s="2" t="str">
        <f ca="1">IFERROR(__xludf.DUMMYFUNCTION("""COMPUTED_VALUE"""),"inj")</f>
        <v>inj</v>
      </c>
      <c r="C6462" s="2" t="str">
        <f ca="1">IFERROR(__xludf.DUMMYFUNCTION("""COMPUTED_VALUE"""),"Injective")</f>
        <v>Injective</v>
      </c>
    </row>
    <row r="6463" spans="1:3" x14ac:dyDescent="0.25">
      <c r="A6463" s="2" t="str">
        <f ca="1">IFERROR(__xludf.DUMMYFUNCTION("""COMPUTED_VALUE"""),"injective-quants")</f>
        <v>injective-quants</v>
      </c>
      <c r="B6463" s="2" t="str">
        <f ca="1">IFERROR(__xludf.DUMMYFUNCTION("""COMPUTED_VALUE"""),"qunt")</f>
        <v>qunt</v>
      </c>
      <c r="C6463" s="2" t="str">
        <f ca="1">IFERROR(__xludf.DUMMYFUNCTION("""COMPUTED_VALUE"""),"Injective Quants")</f>
        <v>Injective Quants</v>
      </c>
    </row>
    <row r="6464" spans="1:3" x14ac:dyDescent="0.25">
      <c r="A6464" s="2" t="str">
        <f ca="1">IFERROR(__xludf.DUMMYFUNCTION("""COMPUTED_VALUE"""),"injex-finance")</f>
        <v>injex-finance</v>
      </c>
      <c r="B6464" s="2" t="str">
        <f ca="1">IFERROR(__xludf.DUMMYFUNCTION("""COMPUTED_VALUE"""),"injx")</f>
        <v>injx</v>
      </c>
      <c r="C6464" s="2" t="str">
        <f ca="1">IFERROR(__xludf.DUMMYFUNCTION("""COMPUTED_VALUE"""),"Injex Finance")</f>
        <v>Injex Finance</v>
      </c>
    </row>
    <row r="6465" spans="1:3" x14ac:dyDescent="0.25">
      <c r="A6465" s="2" t="str">
        <f ca="1">IFERROR(__xludf.DUMMYFUNCTION("""COMPUTED_VALUE"""),"ink")</f>
        <v>ink</v>
      </c>
      <c r="B6465" s="2" t="str">
        <f ca="1">IFERROR(__xludf.DUMMYFUNCTION("""COMPUTED_VALUE"""),"ink")</f>
        <v>ink</v>
      </c>
      <c r="C6465" s="2" t="str">
        <f ca="1">IFERROR(__xludf.DUMMYFUNCTION("""COMPUTED_VALUE"""),"Ink")</f>
        <v>Ink</v>
      </c>
    </row>
    <row r="6466" spans="1:3" x14ac:dyDescent="0.25">
      <c r="A6466" s="2" t="str">
        <f ca="1">IFERROR(__xludf.DUMMYFUNCTION("""COMPUTED_VALUE"""),"ink-fantom")</f>
        <v>ink-fantom</v>
      </c>
      <c r="B6466" s="2" t="str">
        <f ca="1">IFERROR(__xludf.DUMMYFUNCTION("""COMPUTED_VALUE"""),"ink")</f>
        <v>ink</v>
      </c>
      <c r="C6466" s="2" t="str">
        <f ca="1">IFERROR(__xludf.DUMMYFUNCTION("""COMPUTED_VALUE"""),"Ink Fantom")</f>
        <v>Ink Fantom</v>
      </c>
    </row>
    <row r="6467" spans="1:3" x14ac:dyDescent="0.25">
      <c r="A6467" s="2" t="str">
        <f ca="1">IFERROR(__xludf.DUMMYFUNCTION("""COMPUTED_VALUE"""),"ink-finance")</f>
        <v>ink-finance</v>
      </c>
      <c r="B6467" s="2" t="str">
        <f ca="1">IFERROR(__xludf.DUMMYFUNCTION("""COMPUTED_VALUE"""),"quill")</f>
        <v>quill</v>
      </c>
      <c r="C6467" s="2" t="str">
        <f ca="1">IFERROR(__xludf.DUMMYFUNCTION("""COMPUTED_VALUE"""),"Ink Finance")</f>
        <v>Ink Finance</v>
      </c>
    </row>
    <row r="6468" spans="1:3" x14ac:dyDescent="0.25">
      <c r="A6468" s="2" t="str">
        <f ca="1">IFERROR(__xludf.DUMMYFUNCTION("""COMPUTED_VALUE"""),"in-memes-we-trust")</f>
        <v>in-memes-we-trust</v>
      </c>
      <c r="B6468" s="2" t="str">
        <f ca="1">IFERROR(__xludf.DUMMYFUNCTION("""COMPUTED_VALUE"""),"$trust")</f>
        <v>$trust</v>
      </c>
      <c r="C6468" s="2" t="str">
        <f ca="1">IFERROR(__xludf.DUMMYFUNCTION("""COMPUTED_VALUE"""),"IN MEMES WE TRUST")</f>
        <v>IN MEMES WE TRUST</v>
      </c>
    </row>
    <row r="6469" spans="1:3" x14ac:dyDescent="0.25">
      <c r="A6469" s="2" t="str">
        <f ca="1">IFERROR(__xludf.DUMMYFUNCTION("""COMPUTED_VALUE"""),"innova")</f>
        <v>innova</v>
      </c>
      <c r="B6469" s="2" t="str">
        <f ca="1">IFERROR(__xludf.DUMMYFUNCTION("""COMPUTED_VALUE"""),"inn")</f>
        <v>inn</v>
      </c>
      <c r="C6469" s="2" t="str">
        <f ca="1">IFERROR(__xludf.DUMMYFUNCTION("""COMPUTED_VALUE"""),"Innova")</f>
        <v>Innova</v>
      </c>
    </row>
    <row r="6470" spans="1:3" x14ac:dyDescent="0.25">
      <c r="A6470" s="2" t="str">
        <f ca="1">IFERROR(__xludf.DUMMYFUNCTION("""COMPUTED_VALUE"""),"innovai")</f>
        <v>innovai</v>
      </c>
      <c r="B6470" s="2" t="str">
        <f ca="1">IFERROR(__xludf.DUMMYFUNCTION("""COMPUTED_VALUE"""),"ino")</f>
        <v>ino</v>
      </c>
      <c r="C6470" s="2" t="str">
        <f ca="1">IFERROR(__xludf.DUMMYFUNCTION("""COMPUTED_VALUE"""),"Innovai")</f>
        <v>Innovai</v>
      </c>
    </row>
    <row r="6471" spans="1:3" x14ac:dyDescent="0.25">
      <c r="A6471" s="2" t="str">
        <f ca="1">IFERROR(__xludf.DUMMYFUNCTION("""COMPUTED_VALUE"""),"innovative-bioresearch")</f>
        <v>innovative-bioresearch</v>
      </c>
      <c r="B6471" s="2" t="str">
        <f ca="1">IFERROR(__xludf.DUMMYFUNCTION("""COMPUTED_VALUE"""),"innbc")</f>
        <v>innbc</v>
      </c>
      <c r="C6471" s="2" t="str">
        <f ca="1">IFERROR(__xludf.DUMMYFUNCTION("""COMPUTED_VALUE"""),"Innovative Bioresearch Coin")</f>
        <v>Innovative Bioresearch Coin</v>
      </c>
    </row>
    <row r="6472" spans="1:3" x14ac:dyDescent="0.25">
      <c r="A6472" s="2" t="str">
        <f ca="1">IFERROR(__xludf.DUMMYFUNCTION("""COMPUTED_VALUE"""),"innoviatrust")</f>
        <v>innoviatrust</v>
      </c>
      <c r="B6472" s="2" t="str">
        <f ca="1">IFERROR(__xludf.DUMMYFUNCTION("""COMPUTED_VALUE"""),"inva")</f>
        <v>inva</v>
      </c>
      <c r="C6472" s="2" t="str">
        <f ca="1">IFERROR(__xludf.DUMMYFUNCTION("""COMPUTED_VALUE"""),"InnoviaTrust")</f>
        <v>InnoviaTrust</v>
      </c>
    </row>
    <row r="6473" spans="1:3" x14ac:dyDescent="0.25">
      <c r="A6473" s="2" t="str">
        <f ca="1">IFERROR(__xludf.DUMMYFUNCTION("""COMPUTED_VALUE"""),"inofi")</f>
        <v>inofi</v>
      </c>
      <c r="B6473" s="2" t="str">
        <f ca="1">IFERROR(__xludf.DUMMYFUNCTION("""COMPUTED_VALUE"""),"fon")</f>
        <v>fon</v>
      </c>
      <c r="C6473" s="2" t="str">
        <f ca="1">IFERROR(__xludf.DUMMYFUNCTION("""COMPUTED_VALUE"""),"INOFi")</f>
        <v>INOFi</v>
      </c>
    </row>
    <row r="6474" spans="1:3" x14ac:dyDescent="0.25">
      <c r="A6474" s="2" t="str">
        <f ca="1">IFERROR(__xludf.DUMMYFUNCTION("""COMPUTED_VALUE"""),"inovai")</f>
        <v>inovai</v>
      </c>
      <c r="B6474" s="2" t="str">
        <f ca="1">IFERROR(__xludf.DUMMYFUNCTION("""COMPUTED_VALUE"""),"inovai")</f>
        <v>inovai</v>
      </c>
      <c r="C6474" s="2" t="str">
        <f ca="1">IFERROR(__xludf.DUMMYFUNCTION("""COMPUTED_VALUE"""),"INOVAI")</f>
        <v>INOVAI</v>
      </c>
    </row>
    <row r="6475" spans="1:3" x14ac:dyDescent="0.25">
      <c r="A6475" s="2" t="str">
        <f ca="1">IFERROR(__xludf.DUMMYFUNCTION("""COMPUTED_VALUE"""),"in-pepe-we-trust")</f>
        <v>in-pepe-we-trust</v>
      </c>
      <c r="B6475" s="2" t="str">
        <f ca="1">IFERROR(__xludf.DUMMYFUNCTION("""COMPUTED_VALUE"""),"ipwt")</f>
        <v>ipwt</v>
      </c>
      <c r="C6475" s="2" t="str">
        <f ca="1">IFERROR(__xludf.DUMMYFUNCTION("""COMPUTED_VALUE"""),"IN PEPE WE TRUST")</f>
        <v>IN PEPE WE TRUST</v>
      </c>
    </row>
    <row r="6476" spans="1:3" x14ac:dyDescent="0.25">
      <c r="A6476" s="2" t="str">
        <f ca="1">IFERROR(__xludf.DUMMYFUNCTION("""COMPUTED_VALUE"""),"inpulse-x-2")</f>
        <v>inpulse-x-2</v>
      </c>
      <c r="B6476" s="2" t="str">
        <f ca="1">IFERROR(__xludf.DUMMYFUNCTION("""COMPUTED_VALUE"""),"ipx")</f>
        <v>ipx</v>
      </c>
      <c r="C6476" s="2" t="str">
        <f ca="1">IFERROR(__xludf.DUMMYFUNCTION("""COMPUTED_VALUE"""),"InpulseX")</f>
        <v>InpulseX</v>
      </c>
    </row>
    <row r="6477" spans="1:3" x14ac:dyDescent="0.25">
      <c r="A6477" s="2" t="str">
        <f ca="1">IFERROR(__xludf.DUMMYFUNCTION("""COMPUTED_VALUE"""),"insane-labz")</f>
        <v>insane-labz</v>
      </c>
      <c r="B6477" s="2" t="str">
        <f ca="1">IFERROR(__xludf.DUMMYFUNCTION("""COMPUTED_VALUE"""),"labz")</f>
        <v>labz</v>
      </c>
      <c r="C6477" s="2" t="str">
        <f ca="1">IFERROR(__xludf.DUMMYFUNCTION("""COMPUTED_VALUE"""),"Insane Labz")</f>
        <v>Insane Labz</v>
      </c>
    </row>
    <row r="6478" spans="1:3" x14ac:dyDescent="0.25">
      <c r="A6478" s="2" t="str">
        <f ca="1">IFERROR(__xludf.DUMMYFUNCTION("""COMPUTED_VALUE"""),"insc")</f>
        <v>insc</v>
      </c>
      <c r="B6478" s="2" t="str">
        <f ca="1">IFERROR(__xludf.DUMMYFUNCTION("""COMPUTED_VALUE"""),"insc")</f>
        <v>insc</v>
      </c>
      <c r="C6478" s="2" t="str">
        <f ca="1">IFERROR(__xludf.DUMMYFUNCTION("""COMPUTED_VALUE"""),"INSC (Ordinals)")</f>
        <v>INSC (Ordinals)</v>
      </c>
    </row>
    <row r="6479" spans="1:3" x14ac:dyDescent="0.25">
      <c r="A6479" s="2" t="str">
        <f ca="1">IFERROR(__xludf.DUMMYFUNCTION("""COMPUTED_VALUE"""),"inscribe")</f>
        <v>inscribe</v>
      </c>
      <c r="B6479" s="2" t="str">
        <f ca="1">IFERROR(__xludf.DUMMYFUNCTION("""COMPUTED_VALUE"""),"ins")</f>
        <v>ins</v>
      </c>
      <c r="C6479" s="2" t="str">
        <f ca="1">IFERROR(__xludf.DUMMYFUNCTION("""COMPUTED_VALUE"""),"Inscribe")</f>
        <v>Inscribe</v>
      </c>
    </row>
    <row r="6480" spans="1:3" x14ac:dyDescent="0.25">
      <c r="A6480" s="2" t="str">
        <f ca="1">IFERROR(__xludf.DUMMYFUNCTION("""COMPUTED_VALUE"""),"inscription-dao")</f>
        <v>inscription-dao</v>
      </c>
      <c r="B6480" s="2" t="str">
        <f ca="1">IFERROR(__xludf.DUMMYFUNCTION("""COMPUTED_VALUE"""),"icda")</f>
        <v>icda</v>
      </c>
      <c r="C6480" s="2" t="str">
        <f ca="1">IFERROR(__xludf.DUMMYFUNCTION("""COMPUTED_VALUE"""),"Inscription DAO")</f>
        <v>Inscription DAO</v>
      </c>
    </row>
    <row r="6481" spans="1:3" x14ac:dyDescent="0.25">
      <c r="A6481" s="2" t="str">
        <f ca="1">IFERROR(__xludf.DUMMYFUNCTION("""COMPUTED_VALUE"""),"insect")</f>
        <v>insect</v>
      </c>
      <c r="B6481" s="2" t="str">
        <f ca="1">IFERROR(__xludf.DUMMYFUNCTION("""COMPUTED_VALUE"""),"ins")</f>
        <v>ins</v>
      </c>
      <c r="C6481" s="2" t="str">
        <f ca="1">IFERROR(__xludf.DUMMYFUNCTION("""COMPUTED_VALUE"""),"INSECT")</f>
        <v>INSECT</v>
      </c>
    </row>
    <row r="6482" spans="1:3" x14ac:dyDescent="0.25">
      <c r="A6482" s="2" t="str">
        <f ca="1">IFERROR(__xludf.DUMMYFUNCTION("""COMPUTED_VALUE"""),"insights-network")</f>
        <v>insights-network</v>
      </c>
      <c r="B6482" s="2" t="str">
        <f ca="1">IFERROR(__xludf.DUMMYFUNCTION("""COMPUTED_VALUE"""),"instar")</f>
        <v>instar</v>
      </c>
      <c r="C6482" s="2" t="str">
        <f ca="1">IFERROR(__xludf.DUMMYFUNCTION("""COMPUTED_VALUE"""),"INSTAR")</f>
        <v>INSTAR</v>
      </c>
    </row>
    <row r="6483" spans="1:3" x14ac:dyDescent="0.25">
      <c r="A6483" s="2" t="str">
        <f ca="1">IFERROR(__xludf.DUMMYFUNCTION("""COMPUTED_VALUE"""),"insightx")</f>
        <v>insightx</v>
      </c>
      <c r="B6483" s="2" t="str">
        <f ca="1">IFERROR(__xludf.DUMMYFUNCTION("""COMPUTED_VALUE"""),"inx")</f>
        <v>inx</v>
      </c>
      <c r="C6483" s="2" t="str">
        <f ca="1">IFERROR(__xludf.DUMMYFUNCTION("""COMPUTED_VALUE"""),"InsightX")</f>
        <v>InsightX</v>
      </c>
    </row>
    <row r="6484" spans="1:3" x14ac:dyDescent="0.25">
      <c r="A6484" s="2" t="str">
        <f ca="1">IFERROR(__xludf.DUMMYFUNCTION("""COMPUTED_VALUE"""),"insolvent")</f>
        <v>insolvent</v>
      </c>
      <c r="B6484" s="2" t="str">
        <f ca="1">IFERROR(__xludf.DUMMYFUNCTION("""COMPUTED_VALUE"""),"insolvent")</f>
        <v>insolvent</v>
      </c>
      <c r="C6484" s="2" t="str">
        <f ca="1">IFERROR(__xludf.DUMMYFUNCTION("""COMPUTED_VALUE"""),"inSOLvent")</f>
        <v>inSOLvent</v>
      </c>
    </row>
    <row r="6485" spans="1:3" x14ac:dyDescent="0.25">
      <c r="A6485" s="2" t="str">
        <f ca="1">IFERROR(__xludf.DUMMYFUNCTION("""COMPUTED_VALUE"""),"insora-ai")</f>
        <v>insora-ai</v>
      </c>
      <c r="B6485" s="2" t="str">
        <f ca="1">IFERROR(__xludf.DUMMYFUNCTION("""COMPUTED_VALUE"""),"$insora")</f>
        <v>$insora</v>
      </c>
      <c r="C6485" s="2" t="str">
        <f ca="1">IFERROR(__xludf.DUMMYFUNCTION("""COMPUTED_VALUE"""),"INSORA AI")</f>
        <v>INSORA AI</v>
      </c>
    </row>
    <row r="6486" spans="1:3" x14ac:dyDescent="0.25">
      <c r="A6486" s="2" t="str">
        <f ca="1">IFERROR(__xludf.DUMMYFUNCTION("""COMPUTED_VALUE"""),"inspect")</f>
        <v>inspect</v>
      </c>
      <c r="B6486" s="2" t="str">
        <f ca="1">IFERROR(__xludf.DUMMYFUNCTION("""COMPUTED_VALUE"""),"insp")</f>
        <v>insp</v>
      </c>
      <c r="C6486" s="2" t="str">
        <f ca="1">IFERROR(__xludf.DUMMYFUNCTION("""COMPUTED_VALUE"""),"Inspect")</f>
        <v>Inspect</v>
      </c>
    </row>
    <row r="6487" spans="1:3" x14ac:dyDescent="0.25">
      <c r="A6487" s="2" t="str">
        <f ca="1">IFERROR(__xludf.DUMMYFUNCTION("""COMPUTED_VALUE"""),"inspire-ai")</f>
        <v>inspire-ai</v>
      </c>
      <c r="B6487" s="2" t="str">
        <f ca="1">IFERROR(__xludf.DUMMYFUNCTION("""COMPUTED_VALUE"""),"insp")</f>
        <v>insp</v>
      </c>
      <c r="C6487" s="2" t="str">
        <f ca="1">IFERROR(__xludf.DUMMYFUNCTION("""COMPUTED_VALUE"""),"Inspire AI")</f>
        <v>Inspire AI</v>
      </c>
    </row>
    <row r="6488" spans="1:3" x14ac:dyDescent="0.25">
      <c r="A6488" s="2" t="str">
        <f ca="1">IFERROR(__xludf.DUMMYFUNCTION("""COMPUTED_VALUE"""),"insrt-finance")</f>
        <v>insrt-finance</v>
      </c>
      <c r="B6488" s="2" t="str">
        <f ca="1">IFERROR(__xludf.DUMMYFUNCTION("""COMPUTED_VALUE"""),"$insrt")</f>
        <v>$insrt</v>
      </c>
      <c r="C6488" s="2" t="str">
        <f ca="1">IFERROR(__xludf.DUMMYFUNCTION("""COMPUTED_VALUE"""),"Insrt Finance")</f>
        <v>Insrt Finance</v>
      </c>
    </row>
    <row r="6489" spans="1:3" x14ac:dyDescent="0.25">
      <c r="A6489" s="2" t="str">
        <f ca="1">IFERROR(__xludf.DUMMYFUNCTION("""COMPUTED_VALUE"""),"instabridge-wrapped-eth")</f>
        <v>instabridge-wrapped-eth</v>
      </c>
      <c r="B6489" s="2" t="str">
        <f ca="1">IFERROR(__xludf.DUMMYFUNCTION("""COMPUTED_VALUE"""),"xeth")</f>
        <v>xeth</v>
      </c>
      <c r="C6489" s="2" t="str">
        <f ca="1">IFERROR(__xludf.DUMMYFUNCTION("""COMPUTED_VALUE"""),"Instabridge Wrapped ETH (Radix)")</f>
        <v>Instabridge Wrapped ETH (Radix)</v>
      </c>
    </row>
    <row r="6490" spans="1:3" x14ac:dyDescent="0.25">
      <c r="A6490" s="2" t="str">
        <f ca="1">IFERROR(__xludf.DUMMYFUNCTION("""COMPUTED_VALUE"""),"instabridge-wrapped-usdt")</f>
        <v>instabridge-wrapped-usdt</v>
      </c>
      <c r="B6490" s="2" t="str">
        <f ca="1">IFERROR(__xludf.DUMMYFUNCTION("""COMPUTED_VALUE"""),"xusdt")</f>
        <v>xusdt</v>
      </c>
      <c r="C6490" s="2" t="str">
        <f ca="1">IFERROR(__xludf.DUMMYFUNCTION("""COMPUTED_VALUE"""),"Instabridge Wrapped USDT (Radix)")</f>
        <v>Instabridge Wrapped USDT (Radix)</v>
      </c>
    </row>
    <row r="6491" spans="1:3" x14ac:dyDescent="0.25">
      <c r="A6491" s="2" t="str">
        <f ca="1">IFERROR(__xludf.DUMMYFUNCTION("""COMPUTED_VALUE"""),"instadapp")</f>
        <v>instadapp</v>
      </c>
      <c r="B6491" s="2" t="str">
        <f ca="1">IFERROR(__xludf.DUMMYFUNCTION("""COMPUTED_VALUE"""),"inst")</f>
        <v>inst</v>
      </c>
      <c r="C6491" s="2" t="str">
        <f ca="1">IFERROR(__xludf.DUMMYFUNCTION("""COMPUTED_VALUE"""),"Instadapp")</f>
        <v>Instadapp</v>
      </c>
    </row>
    <row r="6492" spans="1:3" x14ac:dyDescent="0.25">
      <c r="A6492" s="2" t="str">
        <f ca="1">IFERROR(__xludf.DUMMYFUNCTION("""COMPUTED_VALUE"""),"instadapp-dai")</f>
        <v>instadapp-dai</v>
      </c>
      <c r="B6492" s="2" t="str">
        <f ca="1">IFERROR(__xludf.DUMMYFUNCTION("""COMPUTED_VALUE"""),"idai")</f>
        <v>idai</v>
      </c>
      <c r="C6492" s="2" t="str">
        <f ca="1">IFERROR(__xludf.DUMMYFUNCTION("""COMPUTED_VALUE"""),"Instadapp DAI")</f>
        <v>Instadapp DAI</v>
      </c>
    </row>
    <row r="6493" spans="1:3" x14ac:dyDescent="0.25">
      <c r="A6493" s="2" t="str">
        <f ca="1">IFERROR(__xludf.DUMMYFUNCTION("""COMPUTED_VALUE"""),"instadapp-eth")</f>
        <v>instadapp-eth</v>
      </c>
      <c r="B6493" s="2" t="str">
        <f ca="1">IFERROR(__xludf.DUMMYFUNCTION("""COMPUTED_VALUE"""),"ieth")</f>
        <v>ieth</v>
      </c>
      <c r="C6493" s="2" t="str">
        <f ca="1">IFERROR(__xludf.DUMMYFUNCTION("""COMPUTED_VALUE"""),"iETH v1")</f>
        <v>iETH v1</v>
      </c>
    </row>
    <row r="6494" spans="1:3" x14ac:dyDescent="0.25">
      <c r="A6494" s="2" t="str">
        <f ca="1">IFERROR(__xludf.DUMMYFUNCTION("""COMPUTED_VALUE"""),"instadapp-eth-v2")</f>
        <v>instadapp-eth-v2</v>
      </c>
      <c r="B6494" s="2" t="str">
        <f ca="1">IFERROR(__xludf.DUMMYFUNCTION("""COMPUTED_VALUE"""),"ieth v2")</f>
        <v>ieth v2</v>
      </c>
      <c r="C6494" s="2" t="str">
        <f ca="1">IFERROR(__xludf.DUMMYFUNCTION("""COMPUTED_VALUE"""),"Instadapp ETH v2")</f>
        <v>Instadapp ETH v2</v>
      </c>
    </row>
    <row r="6495" spans="1:3" x14ac:dyDescent="0.25">
      <c r="A6495" s="2" t="str">
        <f ca="1">IFERROR(__xludf.DUMMYFUNCTION("""COMPUTED_VALUE"""),"instadapp-usdc")</f>
        <v>instadapp-usdc</v>
      </c>
      <c r="B6495" s="2" t="str">
        <f ca="1">IFERROR(__xludf.DUMMYFUNCTION("""COMPUTED_VALUE"""),"iusdc")</f>
        <v>iusdc</v>
      </c>
      <c r="C6495" s="2" t="str">
        <f ca="1">IFERROR(__xludf.DUMMYFUNCTION("""COMPUTED_VALUE"""),"Instadapp USDC")</f>
        <v>Instadapp USDC</v>
      </c>
    </row>
    <row r="6496" spans="1:3" x14ac:dyDescent="0.25">
      <c r="A6496" s="2" t="str">
        <f ca="1">IFERROR(__xludf.DUMMYFUNCTION("""COMPUTED_VALUE"""),"instadapp-wbtc")</f>
        <v>instadapp-wbtc</v>
      </c>
      <c r="B6496" s="2" t="str">
        <f ca="1">IFERROR(__xludf.DUMMYFUNCTION("""COMPUTED_VALUE"""),"iwbtc")</f>
        <v>iwbtc</v>
      </c>
      <c r="C6496" s="2" t="str">
        <f ca="1">IFERROR(__xludf.DUMMYFUNCTION("""COMPUTED_VALUE"""),"Instadapp WBTC")</f>
        <v>Instadapp WBTC</v>
      </c>
    </row>
    <row r="6497" spans="1:3" x14ac:dyDescent="0.25">
      <c r="A6497" s="2" t="str">
        <f ca="1">IFERROR(__xludf.DUMMYFUNCTION("""COMPUTED_VALUE"""),"insula")</f>
        <v>insula</v>
      </c>
      <c r="B6497" s="2" t="str">
        <f ca="1">IFERROR(__xludf.DUMMYFUNCTION("""COMPUTED_VALUE"""),"isla")</f>
        <v>isla</v>
      </c>
      <c r="C6497" s="2" t="str">
        <f ca="1">IFERROR(__xludf.DUMMYFUNCTION("""COMPUTED_VALUE"""),"Insula")</f>
        <v>Insula</v>
      </c>
    </row>
    <row r="6498" spans="1:3" x14ac:dyDescent="0.25">
      <c r="A6498" s="2" t="str">
        <f ca="1">IFERROR(__xludf.DUMMYFUNCTION("""COMPUTED_VALUE"""),"insurace")</f>
        <v>insurace</v>
      </c>
      <c r="B6498" s="2" t="str">
        <f ca="1">IFERROR(__xludf.DUMMYFUNCTION("""COMPUTED_VALUE"""),"insur")</f>
        <v>insur</v>
      </c>
      <c r="C6498" s="2" t="str">
        <f ca="1">IFERROR(__xludf.DUMMYFUNCTION("""COMPUTED_VALUE"""),"InsurAce")</f>
        <v>InsurAce</v>
      </c>
    </row>
    <row r="6499" spans="1:3" x14ac:dyDescent="0.25">
      <c r="A6499" s="2" t="str">
        <f ca="1">IFERROR(__xludf.DUMMYFUNCTION("""COMPUTED_VALUE"""),"insure")</f>
        <v>insure</v>
      </c>
      <c r="B6499" s="2" t="str">
        <f ca="1">IFERROR(__xludf.DUMMYFUNCTION("""COMPUTED_VALUE"""),"sure")</f>
        <v>sure</v>
      </c>
      <c r="C6499" s="2" t="str">
        <f ca="1">IFERROR(__xludf.DUMMYFUNCTION("""COMPUTED_VALUE"""),"inSure DeFi")</f>
        <v>inSure DeFi</v>
      </c>
    </row>
    <row r="6500" spans="1:3" x14ac:dyDescent="0.25">
      <c r="A6500" s="2" t="str">
        <f ca="1">IFERROR(__xludf.DUMMYFUNCTION("""COMPUTED_VALUE"""),"insurex")</f>
        <v>insurex</v>
      </c>
      <c r="B6500" s="2" t="str">
        <f ca="1">IFERROR(__xludf.DUMMYFUNCTION("""COMPUTED_VALUE"""),"ixt")</f>
        <v>ixt</v>
      </c>
      <c r="C6500" s="2" t="str">
        <f ca="1">IFERROR(__xludf.DUMMYFUNCTION("""COMPUTED_VALUE"""),"iXledger")</f>
        <v>iXledger</v>
      </c>
    </row>
    <row r="6501" spans="1:3" x14ac:dyDescent="0.25">
      <c r="A6501" s="2" t="str">
        <f ca="1">IFERROR(__xludf.DUMMYFUNCTION("""COMPUTED_VALUE"""),"integral")</f>
        <v>integral</v>
      </c>
      <c r="B6501" s="2" t="str">
        <f ca="1">IFERROR(__xludf.DUMMYFUNCTION("""COMPUTED_VALUE"""),"itgr")</f>
        <v>itgr</v>
      </c>
      <c r="C6501" s="2" t="str">
        <f ca="1">IFERROR(__xludf.DUMMYFUNCTION("""COMPUTED_VALUE"""),"Integral")</f>
        <v>Integral</v>
      </c>
    </row>
    <row r="6502" spans="1:3" x14ac:dyDescent="0.25">
      <c r="A6502" s="2" t="str">
        <f ca="1">IFERROR(__xludf.DUMMYFUNCTION("""COMPUTED_VALUE"""),"integritee")</f>
        <v>integritee</v>
      </c>
      <c r="B6502" s="2" t="str">
        <f ca="1">IFERROR(__xludf.DUMMYFUNCTION("""COMPUTED_VALUE"""),"teer")</f>
        <v>teer</v>
      </c>
      <c r="C6502" s="2" t="str">
        <f ca="1">IFERROR(__xludf.DUMMYFUNCTION("""COMPUTED_VALUE"""),"Integritee")</f>
        <v>Integritee</v>
      </c>
    </row>
    <row r="6503" spans="1:3" x14ac:dyDescent="0.25">
      <c r="A6503" s="2" t="str">
        <f ca="1">IFERROR(__xludf.DUMMYFUNCTION("""COMPUTED_VALUE"""),"intelligence-on-chain")</f>
        <v>intelligence-on-chain</v>
      </c>
      <c r="B6503" s="2" t="str">
        <f ca="1">IFERROR(__xludf.DUMMYFUNCTION("""COMPUTED_VALUE"""),"ioc")</f>
        <v>ioc</v>
      </c>
      <c r="C6503" s="2" t="str">
        <f ca="1">IFERROR(__xludf.DUMMYFUNCTION("""COMPUTED_VALUE"""),"Intelligence On Chain")</f>
        <v>Intelligence On Chain</v>
      </c>
    </row>
    <row r="6504" spans="1:3" x14ac:dyDescent="0.25">
      <c r="A6504" s="2" t="str">
        <f ca="1">IFERROR(__xludf.DUMMYFUNCTION("""COMPUTED_VALUE"""),"intellisecure-systems")</f>
        <v>intellisecure-systems</v>
      </c>
      <c r="B6504" s="2" t="str">
        <f ca="1">IFERROR(__xludf.DUMMYFUNCTION("""COMPUTED_VALUE"""),"isec")</f>
        <v>isec</v>
      </c>
      <c r="C6504" s="2" t="str">
        <f ca="1">IFERROR(__xludf.DUMMYFUNCTION("""COMPUTED_VALUE"""),"IntelliSecure Systems")</f>
        <v>IntelliSecure Systems</v>
      </c>
    </row>
    <row r="6505" spans="1:3" x14ac:dyDescent="0.25">
      <c r="A6505" s="2" t="str">
        <f ca="1">IFERROR(__xludf.DUMMYFUNCTION("""COMPUTED_VALUE"""),"intellix")</f>
        <v>intellix</v>
      </c>
      <c r="B6505" s="2" t="str">
        <f ca="1">IFERROR(__xludf.DUMMYFUNCTION("""COMPUTED_VALUE"""),"itx")</f>
        <v>itx</v>
      </c>
      <c r="C6505" s="2" t="str">
        <f ca="1">IFERROR(__xludf.DUMMYFUNCTION("""COMPUTED_VALUE"""),"Intellix")</f>
        <v>Intellix</v>
      </c>
    </row>
    <row r="6506" spans="1:3" x14ac:dyDescent="0.25">
      <c r="A6506" s="2" t="str">
        <f ca="1">IFERROR(__xludf.DUMMYFUNCTION("""COMPUTED_VALUE"""),"intelly")</f>
        <v>intelly</v>
      </c>
      <c r="B6506" s="2" t="str">
        <f ca="1">IFERROR(__xludf.DUMMYFUNCTION("""COMPUTED_VALUE"""),"intl")</f>
        <v>intl</v>
      </c>
      <c r="C6506" s="2" t="str">
        <f ca="1">IFERROR(__xludf.DUMMYFUNCTION("""COMPUTED_VALUE"""),"Intelly")</f>
        <v>Intelly</v>
      </c>
    </row>
    <row r="6507" spans="1:3" x14ac:dyDescent="0.25">
      <c r="A6507" s="2" t="str">
        <f ca="1">IFERROR(__xludf.DUMMYFUNCTION("""COMPUTED_VALUE"""),"intel-x")</f>
        <v>intel-x</v>
      </c>
      <c r="B6507" s="2" t="str">
        <f ca="1">IFERROR(__xludf.DUMMYFUNCTION("""COMPUTED_VALUE"""),"intx")</f>
        <v>intx</v>
      </c>
      <c r="C6507" s="2" t="str">
        <f ca="1">IFERROR(__xludf.DUMMYFUNCTION("""COMPUTED_VALUE"""),"Intel X")</f>
        <v>Intel X</v>
      </c>
    </row>
    <row r="6508" spans="1:3" x14ac:dyDescent="0.25">
      <c r="A6508" s="2" t="str">
        <f ca="1">IFERROR(__xludf.DUMMYFUNCTION("""COMPUTED_VALUE"""),"intentx")</f>
        <v>intentx</v>
      </c>
      <c r="B6508" s="2" t="str">
        <f ca="1">IFERROR(__xludf.DUMMYFUNCTION("""COMPUTED_VALUE"""),"intx")</f>
        <v>intx</v>
      </c>
      <c r="C6508" s="2" t="str">
        <f ca="1">IFERROR(__xludf.DUMMYFUNCTION("""COMPUTED_VALUE"""),"IntentX")</f>
        <v>IntentX</v>
      </c>
    </row>
    <row r="6509" spans="1:3" x14ac:dyDescent="0.25">
      <c r="A6509" s="2" t="str">
        <f ca="1">IFERROR(__xludf.DUMMYFUNCTION("""COMPUTED_VALUE"""),"interbtc")</f>
        <v>interbtc</v>
      </c>
      <c r="B6509" s="2" t="str">
        <f ca="1">IFERROR(__xludf.DUMMYFUNCTION("""COMPUTED_VALUE"""),"ibtc")</f>
        <v>ibtc</v>
      </c>
      <c r="C6509" s="2" t="str">
        <f ca="1">IFERROR(__xludf.DUMMYFUNCTION("""COMPUTED_VALUE"""),"interBTC")</f>
        <v>interBTC</v>
      </c>
    </row>
    <row r="6510" spans="1:3" x14ac:dyDescent="0.25">
      <c r="A6510" s="2" t="str">
        <f ca="1">IFERROR(__xludf.DUMMYFUNCTION("""COMPUTED_VALUE"""),"interest-bearing-eth")</f>
        <v>interest-bearing-eth</v>
      </c>
      <c r="B6510" s="2" t="str">
        <f ca="1">IFERROR(__xludf.DUMMYFUNCTION("""COMPUTED_VALUE"""),"ibeth")</f>
        <v>ibeth</v>
      </c>
      <c r="C6510" s="2" t="str">
        <f ca="1">IFERROR(__xludf.DUMMYFUNCTION("""COMPUTED_VALUE"""),"Interest Bearing ETH")</f>
        <v>Interest Bearing ETH</v>
      </c>
    </row>
    <row r="6511" spans="1:3" x14ac:dyDescent="0.25">
      <c r="A6511" s="2" t="str">
        <f ca="1">IFERROR(__xludf.DUMMYFUNCTION("""COMPUTED_VALUE"""),"interest-compounding-eth-index")</f>
        <v>interest-compounding-eth-index</v>
      </c>
      <c r="B6511" s="2" t="str">
        <f ca="1">IFERROR(__xludf.DUMMYFUNCTION("""COMPUTED_VALUE"""),"iceth")</f>
        <v>iceth</v>
      </c>
      <c r="C6511" s="2" t="str">
        <f ca="1">IFERROR(__xludf.DUMMYFUNCTION("""COMPUTED_VALUE"""),"Interest Compounding ETH Index")</f>
        <v>Interest Compounding ETH Index</v>
      </c>
    </row>
    <row r="6512" spans="1:3" x14ac:dyDescent="0.25">
      <c r="A6512" s="2" t="str">
        <f ca="1">IFERROR(__xludf.DUMMYFUNCTION("""COMPUTED_VALUE"""),"intergalactic")</f>
        <v>intergalactic</v>
      </c>
      <c r="B6512" s="2" t="str">
        <f ca="1">IFERROR(__xludf.DUMMYFUNCTION("""COMPUTED_VALUE"""),"🐒")</f>
        <v>🐒</v>
      </c>
      <c r="C6512" s="2" t="str">
        <f ca="1">IFERROR(__xludf.DUMMYFUNCTION("""COMPUTED_VALUE"""),"INTERGALACTIC")</f>
        <v>INTERGALACTIC</v>
      </c>
    </row>
    <row r="6513" spans="1:3" x14ac:dyDescent="0.25">
      <c r="A6513" s="2" t="str">
        <f ca="1">IFERROR(__xludf.DUMMYFUNCTION("""COMPUTED_VALUE"""),"interlay")</f>
        <v>interlay</v>
      </c>
      <c r="B6513" s="2" t="str">
        <f ca="1">IFERROR(__xludf.DUMMYFUNCTION("""COMPUTED_VALUE"""),"intr")</f>
        <v>intr</v>
      </c>
      <c r="C6513" s="2" t="str">
        <f ca="1">IFERROR(__xludf.DUMMYFUNCTION("""COMPUTED_VALUE"""),"Interlay")</f>
        <v>Interlay</v>
      </c>
    </row>
    <row r="6514" spans="1:3" x14ac:dyDescent="0.25">
      <c r="A6514" s="2" t="str">
        <f ca="1">IFERROR(__xludf.DUMMYFUNCTION("""COMPUTED_VALUE"""),"interlock")</f>
        <v>interlock</v>
      </c>
      <c r="B6514" s="2" t="str">
        <f ca="1">IFERROR(__xludf.DUMMYFUNCTION("""COMPUTED_VALUE"""),"ilock")</f>
        <v>ilock</v>
      </c>
      <c r="C6514" s="2" t="str">
        <f ca="1">IFERROR(__xludf.DUMMYFUNCTION("""COMPUTED_VALUE"""),"Interlock")</f>
        <v>Interlock</v>
      </c>
    </row>
    <row r="6515" spans="1:3" x14ac:dyDescent="0.25">
      <c r="A6515" s="2" t="str">
        <f ca="1">IFERROR(__xludf.DUMMYFUNCTION("""COMPUTED_VALUE"""),"inter-milan-fan-token")</f>
        <v>inter-milan-fan-token</v>
      </c>
      <c r="B6515" s="2" t="str">
        <f ca="1">IFERROR(__xludf.DUMMYFUNCTION("""COMPUTED_VALUE"""),"inter")</f>
        <v>inter</v>
      </c>
      <c r="C6515" s="2" t="str">
        <f ca="1">IFERROR(__xludf.DUMMYFUNCTION("""COMPUTED_VALUE"""),"Inter Milan Fan Token")</f>
        <v>Inter Milan Fan Token</v>
      </c>
    </row>
    <row r="6516" spans="1:3" x14ac:dyDescent="0.25">
      <c r="A6516" s="2" t="str">
        <f ca="1">IFERROR(__xludf.DUMMYFUNCTION("""COMPUTED_VALUE"""),"international-stable-currency")</f>
        <v>international-stable-currency</v>
      </c>
      <c r="B6516" s="2" t="str">
        <f ca="1">IFERROR(__xludf.DUMMYFUNCTION("""COMPUTED_VALUE"""),"isc")</f>
        <v>isc</v>
      </c>
      <c r="C6516" s="2" t="str">
        <f ca="1">IFERROR(__xludf.DUMMYFUNCTION("""COMPUTED_VALUE"""),"International Stable Currency")</f>
        <v>International Stable Currency</v>
      </c>
    </row>
    <row r="6517" spans="1:3" x14ac:dyDescent="0.25">
      <c r="A6517" s="2" t="str">
        <f ca="1">IFERROR(__xludf.DUMMYFUNCTION("""COMPUTED_VALUE"""),"internet")</f>
        <v>internet</v>
      </c>
      <c r="B6517" s="2" t="str">
        <f ca="1">IFERROR(__xludf.DUMMYFUNCTION("""COMPUTED_VALUE"""),"net")</f>
        <v>net</v>
      </c>
      <c r="C6517" s="2" t="str">
        <f ca="1">IFERROR(__xludf.DUMMYFUNCTION("""COMPUTED_VALUE"""),"Internet")</f>
        <v>Internet</v>
      </c>
    </row>
    <row r="6518" spans="1:3" x14ac:dyDescent="0.25">
      <c r="A6518" s="2" t="str">
        <f ca="1">IFERROR(__xludf.DUMMYFUNCTION("""COMPUTED_VALUE"""),"internet-computer")</f>
        <v>internet-computer</v>
      </c>
      <c r="B6518" s="2" t="str">
        <f ca="1">IFERROR(__xludf.DUMMYFUNCTION("""COMPUTED_VALUE"""),"icp")</f>
        <v>icp</v>
      </c>
      <c r="C6518" s="2" t="str">
        <f ca="1">IFERROR(__xludf.DUMMYFUNCTION("""COMPUTED_VALUE"""),"Internet Computer")</f>
        <v>Internet Computer</v>
      </c>
    </row>
    <row r="6519" spans="1:3" x14ac:dyDescent="0.25">
      <c r="A6519" s="2" t="str">
        <f ca="1">IFERROR(__xludf.DUMMYFUNCTION("""COMPUTED_VALUE"""),"internet-doge")</f>
        <v>internet-doge</v>
      </c>
      <c r="B6519" s="2" t="str">
        <f ca="1">IFERROR(__xludf.DUMMYFUNCTION("""COMPUTED_VALUE"""),"idoge")</f>
        <v>idoge</v>
      </c>
      <c r="C6519" s="2" t="str">
        <f ca="1">IFERROR(__xludf.DUMMYFUNCTION("""COMPUTED_VALUE"""),"Internet Doge")</f>
        <v>Internet Doge</v>
      </c>
    </row>
    <row r="6520" spans="1:3" x14ac:dyDescent="0.25">
      <c r="A6520" s="2" t="str">
        <f ca="1">IFERROR(__xludf.DUMMYFUNCTION("""COMPUTED_VALUE"""),"internet-money")</f>
        <v>internet-money</v>
      </c>
      <c r="B6520" s="2" t="str">
        <f ca="1">IFERROR(__xludf.DUMMYFUNCTION("""COMPUTED_VALUE"""),"im")</f>
        <v>im</v>
      </c>
      <c r="C6520" s="2" t="str">
        <f ca="1">IFERROR(__xludf.DUMMYFUNCTION("""COMPUTED_VALUE"""),"Internet Money (ETH)")</f>
        <v>Internet Money (ETH)</v>
      </c>
    </row>
    <row r="6521" spans="1:3" x14ac:dyDescent="0.25">
      <c r="A6521" s="2" t="str">
        <f ca="1">IFERROR(__xludf.DUMMYFUNCTION("""COMPUTED_VALUE"""),"internet-money-bsc")</f>
        <v>internet-money-bsc</v>
      </c>
      <c r="B6521" s="2" t="str">
        <f ca="1">IFERROR(__xludf.DUMMYFUNCTION("""COMPUTED_VALUE"""),"im")</f>
        <v>im</v>
      </c>
      <c r="C6521" s="2" t="str">
        <f ca="1">IFERROR(__xludf.DUMMYFUNCTION("""COMPUTED_VALUE"""),"Internet Money (BSC)")</f>
        <v>Internet Money (BSC)</v>
      </c>
    </row>
    <row r="6522" spans="1:3" x14ac:dyDescent="0.25">
      <c r="A6522" s="2" t="str">
        <f ca="1">IFERROR(__xludf.DUMMYFUNCTION("""COMPUTED_VALUE"""),"internet-of-energy-network")</f>
        <v>internet-of-energy-network</v>
      </c>
      <c r="B6522" s="2" t="str">
        <f ca="1">IFERROR(__xludf.DUMMYFUNCTION("""COMPUTED_VALUE"""),"ioen")</f>
        <v>ioen</v>
      </c>
      <c r="C6522" s="2" t="str">
        <f ca="1">IFERROR(__xludf.DUMMYFUNCTION("""COMPUTED_VALUE"""),"Internet of Energy Network")</f>
        <v>Internet of Energy Network</v>
      </c>
    </row>
    <row r="6523" spans="1:3" x14ac:dyDescent="0.25">
      <c r="A6523" s="2" t="str">
        <f ca="1">IFERROR(__xludf.DUMMYFUNCTION("""COMPUTED_VALUE"""),"internet-token-2")</f>
        <v>internet-token-2</v>
      </c>
      <c r="B6523" s="2" t="str">
        <f ca="1">IFERROR(__xludf.DUMMYFUNCTION("""COMPUTED_VALUE"""),"int")</f>
        <v>int</v>
      </c>
      <c r="C6523" s="2" t="str">
        <f ca="1">IFERROR(__xludf.DUMMYFUNCTION("""COMPUTED_VALUE"""),"Internet Token")</f>
        <v>Internet Token</v>
      </c>
    </row>
    <row r="6524" spans="1:3" x14ac:dyDescent="0.25">
      <c r="A6524" s="2" t="str">
        <f ca="1">IFERROR(__xludf.DUMMYFUNCTION("""COMPUTED_VALUE"""),"interns")</f>
        <v>interns</v>
      </c>
      <c r="B6524" s="2" t="str">
        <f ca="1">IFERROR(__xludf.DUMMYFUNCTION("""COMPUTED_VALUE"""),"intern")</f>
        <v>intern</v>
      </c>
      <c r="C6524" s="2" t="str">
        <f ca="1">IFERROR(__xludf.DUMMYFUNCTION("""COMPUTED_VALUE"""),"Interns")</f>
        <v>Interns</v>
      </c>
    </row>
    <row r="6525" spans="1:3" x14ac:dyDescent="0.25">
      <c r="A6525" s="2" t="str">
        <f ca="1">IFERROR(__xludf.DUMMYFUNCTION("""COMPUTED_VALUE"""),"internxt")</f>
        <v>internxt</v>
      </c>
      <c r="B6525" s="2" t="str">
        <f ca="1">IFERROR(__xludf.DUMMYFUNCTION("""COMPUTED_VALUE"""),"inxt")</f>
        <v>inxt</v>
      </c>
      <c r="C6525" s="2" t="str">
        <f ca="1">IFERROR(__xludf.DUMMYFUNCTION("""COMPUTED_VALUE"""),"Internxt")</f>
        <v>Internxt</v>
      </c>
    </row>
    <row r="6526" spans="1:3" x14ac:dyDescent="0.25">
      <c r="A6526" s="2" t="str">
        <f ca="1">IFERROR(__xludf.DUMMYFUNCTION("""COMPUTED_VALUE"""),"interport-token")</f>
        <v>interport-token</v>
      </c>
      <c r="B6526" s="2" t="str">
        <f ca="1">IFERROR(__xludf.DUMMYFUNCTION("""COMPUTED_VALUE"""),"itp")</f>
        <v>itp</v>
      </c>
      <c r="C6526" s="2" t="str">
        <f ca="1">IFERROR(__xludf.DUMMYFUNCTION("""COMPUTED_VALUE"""),"Interport Token")</f>
        <v>Interport Token</v>
      </c>
    </row>
    <row r="6527" spans="1:3" x14ac:dyDescent="0.25">
      <c r="A6527" s="2" t="str">
        <f ca="1">IFERROR(__xludf.DUMMYFUNCTION("""COMPUTED_VALUE"""),"inter-stable-token")</f>
        <v>inter-stable-token</v>
      </c>
      <c r="B6527" s="2" t="str">
        <f ca="1">IFERROR(__xludf.DUMMYFUNCTION("""COMPUTED_VALUE"""),"ist")</f>
        <v>ist</v>
      </c>
      <c r="C6527" s="2" t="str">
        <f ca="1">IFERROR(__xludf.DUMMYFUNCTION("""COMPUTED_VALUE"""),"Inter Stable Token")</f>
        <v>Inter Stable Token</v>
      </c>
    </row>
    <row r="6528" spans="1:3" x14ac:dyDescent="0.25">
      <c r="A6528" s="2" t="str">
        <f ca="1">IFERROR(__xludf.DUMMYFUNCTION("""COMPUTED_VALUE"""),"interstellar-domain-order")</f>
        <v>interstellar-domain-order</v>
      </c>
      <c r="B6528" s="2" t="str">
        <f ca="1">IFERROR(__xludf.DUMMYFUNCTION("""COMPUTED_VALUE"""),"ido")</f>
        <v>ido</v>
      </c>
      <c r="C6528" s="2" t="str">
        <f ca="1">IFERROR(__xludf.DUMMYFUNCTION("""COMPUTED_VALUE"""),"Interstellar Domain Order")</f>
        <v>Interstellar Domain Order</v>
      </c>
    </row>
    <row r="6529" spans="1:3" x14ac:dyDescent="0.25">
      <c r="A6529" s="2" t="str">
        <f ca="1">IFERROR(__xludf.DUMMYFUNCTION("""COMPUTED_VALUE"""),"intexcoin")</f>
        <v>intexcoin</v>
      </c>
      <c r="B6529" s="2" t="str">
        <f ca="1">IFERROR(__xludf.DUMMYFUNCTION("""COMPUTED_VALUE"""),"intx")</f>
        <v>intx</v>
      </c>
      <c r="C6529" s="2" t="str">
        <f ca="1">IFERROR(__xludf.DUMMYFUNCTION("""COMPUTED_VALUE"""),"INTEXCOIN")</f>
        <v>INTEXCOIN</v>
      </c>
    </row>
    <row r="6530" spans="1:3" x14ac:dyDescent="0.25">
      <c r="A6530" s="2" t="str">
        <f ca="1">IFERROR(__xludf.DUMMYFUNCTION("""COMPUTED_VALUE"""),"intoverse")</f>
        <v>intoverse</v>
      </c>
      <c r="B6530" s="2" t="str">
        <f ca="1">IFERROR(__xludf.DUMMYFUNCTION("""COMPUTED_VALUE"""),"tox")</f>
        <v>tox</v>
      </c>
      <c r="C6530" s="2" t="str">
        <f ca="1">IFERROR(__xludf.DUMMYFUNCTION("""COMPUTED_VALUE"""),"INTOverse")</f>
        <v>INTOverse</v>
      </c>
    </row>
    <row r="6531" spans="1:3" x14ac:dyDescent="0.25">
      <c r="A6531" s="2" t="str">
        <f ca="1">IFERROR(__xludf.DUMMYFUNCTION("""COMPUTED_VALUE"""),"intrepid-token")</f>
        <v>intrepid-token</v>
      </c>
      <c r="B6531" s="2" t="str">
        <f ca="1">IFERROR(__xludf.DUMMYFUNCTION("""COMPUTED_VALUE"""),"int")</f>
        <v>int</v>
      </c>
      <c r="C6531" s="2" t="str">
        <f ca="1">IFERROR(__xludf.DUMMYFUNCTION("""COMPUTED_VALUE"""),"Intrepid Token")</f>
        <v>Intrepid Token</v>
      </c>
    </row>
    <row r="6532" spans="1:3" x14ac:dyDescent="0.25">
      <c r="A6532" s="2" t="str">
        <f ca="1">IFERROR(__xludf.DUMMYFUNCTION("""COMPUTED_VALUE"""),"intrinsic-number-up")</f>
        <v>intrinsic-number-up</v>
      </c>
      <c r="B6532" s="2" t="str">
        <f ca="1">IFERROR(__xludf.DUMMYFUNCTION("""COMPUTED_VALUE"""),"inu")</f>
        <v>inu</v>
      </c>
      <c r="C6532" s="2" t="str">
        <f ca="1">IFERROR(__xludf.DUMMYFUNCTION("""COMPUTED_VALUE"""),"Intrinsic Number Up")</f>
        <v>Intrinsic Number Up</v>
      </c>
    </row>
    <row r="6533" spans="1:3" x14ac:dyDescent="0.25">
      <c r="A6533" s="2" t="str">
        <f ca="1">IFERROR(__xludf.DUMMYFUNCTION("""COMPUTED_VALUE"""),"inu")</f>
        <v>inu</v>
      </c>
      <c r="B6533" s="2" t="str">
        <f ca="1">IFERROR(__xludf.DUMMYFUNCTION("""COMPUTED_VALUE"""),"inu")</f>
        <v>inu</v>
      </c>
      <c r="C6533" s="2" t="str">
        <f ca="1">IFERROR(__xludf.DUMMYFUNCTION("""COMPUTED_VALUE"""),"Inu.")</f>
        <v>Inu.</v>
      </c>
    </row>
    <row r="6534" spans="1:3" x14ac:dyDescent="0.25">
      <c r="A6534" s="2" t="str">
        <f ca="1">IFERROR(__xludf.DUMMYFUNCTION("""COMPUTED_VALUE"""),"inu-inu")</f>
        <v>inu-inu</v>
      </c>
      <c r="B6534" s="2" t="str">
        <f ca="1">IFERROR(__xludf.DUMMYFUNCTION("""COMPUTED_VALUE"""),"inuinu")</f>
        <v>inuinu</v>
      </c>
      <c r="C6534" s="2" t="str">
        <f ca="1">IFERROR(__xludf.DUMMYFUNCTION("""COMPUTED_VALUE"""),"Inu Inu")</f>
        <v>Inu Inu</v>
      </c>
    </row>
    <row r="6535" spans="1:3" x14ac:dyDescent="0.25">
      <c r="A6535" s="2" t="str">
        <f ca="1">IFERROR(__xludf.DUMMYFUNCTION("""COMPUTED_VALUE"""),"inuko-finance")</f>
        <v>inuko-finance</v>
      </c>
      <c r="B6535" s="2" t="str">
        <f ca="1">IFERROR(__xludf.DUMMYFUNCTION("""COMPUTED_VALUE"""),"inuko")</f>
        <v>inuko</v>
      </c>
      <c r="C6535" s="2" t="str">
        <f ca="1">IFERROR(__xludf.DUMMYFUNCTION("""COMPUTED_VALUE"""),"Inuko Finance")</f>
        <v>Inuko Finance</v>
      </c>
    </row>
    <row r="6536" spans="1:3" x14ac:dyDescent="0.25">
      <c r="A6536" s="2" t="str">
        <f ca="1">IFERROR(__xludf.DUMMYFUNCTION("""COMPUTED_VALUE"""),"inu-on-eth")</f>
        <v>inu-on-eth</v>
      </c>
      <c r="B6536" s="2" t="str">
        <f ca="1">IFERROR(__xludf.DUMMYFUNCTION("""COMPUTED_VALUE"""),"inu")</f>
        <v>inu</v>
      </c>
      <c r="C6536" s="2" t="str">
        <f ca="1">IFERROR(__xludf.DUMMYFUNCTION("""COMPUTED_VALUE"""),"Inu on ETH")</f>
        <v>Inu on ETH</v>
      </c>
    </row>
    <row r="6537" spans="1:3" x14ac:dyDescent="0.25">
      <c r="A6537" s="2" t="str">
        <f ca="1">IFERROR(__xludf.DUMMYFUNCTION("""COMPUTED_VALUE"""),"inusol")</f>
        <v>inusol</v>
      </c>
      <c r="B6537" s="2" t="str">
        <f ca="1">IFERROR(__xludf.DUMMYFUNCTION("""COMPUTED_VALUE"""),"inu")</f>
        <v>inu</v>
      </c>
      <c r="C6537" s="2" t="str">
        <f ca="1">IFERROR(__xludf.DUMMYFUNCTION("""COMPUTED_VALUE"""),"INU")</f>
        <v>INU</v>
      </c>
    </row>
    <row r="6538" spans="1:3" x14ac:dyDescent="0.25">
      <c r="A6538" s="2" t="str">
        <f ca="1">IFERROR(__xludf.DUMMYFUNCTION("""COMPUTED_VALUE"""),"inu-token-63736428-0d5c-4281-8038-3e62c35ac278")</f>
        <v>inu-token-63736428-0d5c-4281-8038-3e62c35ac278</v>
      </c>
      <c r="B6538" s="2" t="str">
        <f ca="1">IFERROR(__xludf.DUMMYFUNCTION("""COMPUTED_VALUE"""),"inu")</f>
        <v>inu</v>
      </c>
      <c r="C6538" s="2" t="str">
        <f ca="1">IFERROR(__xludf.DUMMYFUNCTION("""COMPUTED_VALUE"""),"Inu Token")</f>
        <v>Inu Token</v>
      </c>
    </row>
    <row r="6539" spans="1:3" x14ac:dyDescent="0.25">
      <c r="A6539" s="2" t="str">
        <f ca="1">IFERROR(__xludf.DUMMYFUNCTION("""COMPUTED_VALUE"""),"inverse-ethereum-volatility-index-token")</f>
        <v>inverse-ethereum-volatility-index-token</v>
      </c>
      <c r="B6539" s="2" t="str">
        <f ca="1">IFERROR(__xludf.DUMMYFUNCTION("""COMPUTED_VALUE"""),"iethv")</f>
        <v>iethv</v>
      </c>
      <c r="C6539" s="2" t="str">
        <f ca="1">IFERROR(__xludf.DUMMYFUNCTION("""COMPUTED_VALUE"""),"Inverse Ethereum Volatility Index Token")</f>
        <v>Inverse Ethereum Volatility Index Token</v>
      </c>
    </row>
    <row r="6540" spans="1:3" x14ac:dyDescent="0.25">
      <c r="A6540" s="2" t="str">
        <f ca="1">IFERROR(__xludf.DUMMYFUNCTION("""COMPUTED_VALUE"""),"inverse-finance")</f>
        <v>inverse-finance</v>
      </c>
      <c r="B6540" s="2" t="str">
        <f ca="1">IFERROR(__xludf.DUMMYFUNCTION("""COMPUTED_VALUE"""),"inv")</f>
        <v>inv</v>
      </c>
      <c r="C6540" s="2" t="str">
        <f ca="1">IFERROR(__xludf.DUMMYFUNCTION("""COMPUTED_VALUE"""),"Inverse Finance")</f>
        <v>Inverse Finance</v>
      </c>
    </row>
    <row r="6541" spans="1:3" x14ac:dyDescent="0.25">
      <c r="A6541" s="2" t="str">
        <f ca="1">IFERROR(__xludf.DUMMYFUNCTION("""COMPUTED_VALUE"""),"investin")</f>
        <v>investin</v>
      </c>
      <c r="B6541" s="2" t="str">
        <f ca="1">IFERROR(__xludf.DUMMYFUNCTION("""COMPUTED_VALUE"""),"ivn")</f>
        <v>ivn</v>
      </c>
      <c r="C6541" s="2" t="str">
        <f ca="1">IFERROR(__xludf.DUMMYFUNCTION("""COMPUTED_VALUE"""),"Investin")</f>
        <v>Investin</v>
      </c>
    </row>
    <row r="6542" spans="1:3" x14ac:dyDescent="0.25">
      <c r="A6542" s="2" t="str">
        <f ca="1">IFERROR(__xludf.DUMMYFUNCTION("""COMPUTED_VALUE"""),"investive")</f>
        <v>investive</v>
      </c>
      <c r="B6542" s="2" t="str">
        <f ca="1">IFERROR(__xludf.DUMMYFUNCTION("""COMPUTED_VALUE"""),"in")</f>
        <v>in</v>
      </c>
      <c r="C6542" s="2" t="str">
        <f ca="1">IFERROR(__xludf.DUMMYFUNCTION("""COMPUTED_VALUE"""),"INVESTIVE")</f>
        <v>INVESTIVE</v>
      </c>
    </row>
    <row r="6543" spans="1:3" x14ac:dyDescent="0.25">
      <c r="A6543" s="2" t="str">
        <f ca="1">IFERROR(__xludf.DUMMYFUNCTION("""COMPUTED_VALUE"""),"invest-zone")</f>
        <v>invest-zone</v>
      </c>
      <c r="B6543" s="2" t="str">
        <f ca="1">IFERROR(__xludf.DUMMYFUNCTION("""COMPUTED_VALUE"""),"ivfun")</f>
        <v>ivfun</v>
      </c>
      <c r="C6543" s="2" t="str">
        <f ca="1">IFERROR(__xludf.DUMMYFUNCTION("""COMPUTED_VALUE"""),"Invest Zone")</f>
        <v>Invest Zone</v>
      </c>
    </row>
    <row r="6544" spans="1:3" x14ac:dyDescent="0.25">
      <c r="A6544" s="2" t="str">
        <f ca="1">IFERROR(__xludf.DUMMYFUNCTION("""COMPUTED_VALUE"""),"invisible-cat")</f>
        <v>invisible-cat</v>
      </c>
      <c r="B6544" s="2" t="str">
        <f ca="1">IFERROR(__xludf.DUMMYFUNCTION("""COMPUTED_VALUE"""),"kieth")</f>
        <v>kieth</v>
      </c>
      <c r="C6544" s="2" t="str">
        <f ca="1">IFERROR(__xludf.DUMMYFUNCTION("""COMPUTED_VALUE"""),"Invisible Cat")</f>
        <v>Invisible Cat</v>
      </c>
    </row>
    <row r="6545" spans="1:3" x14ac:dyDescent="0.25">
      <c r="A6545" s="2" t="str">
        <f ca="1">IFERROR(__xludf.DUMMYFUNCTION("""COMPUTED_VALUE"""),"invite-token")</f>
        <v>invite-token</v>
      </c>
      <c r="B6545" s="2" t="str">
        <f ca="1">IFERROR(__xludf.DUMMYFUNCTION("""COMPUTED_VALUE"""),"invite")</f>
        <v>invite</v>
      </c>
      <c r="C6545" s="2" t="str">
        <f ca="1">IFERROR(__xludf.DUMMYFUNCTION("""COMPUTED_VALUE"""),"INVITE Token")</f>
        <v>INVITE Token</v>
      </c>
    </row>
    <row r="6546" spans="1:3" x14ac:dyDescent="0.25">
      <c r="A6546" s="2" t="str">
        <f ca="1">IFERROR(__xludf.DUMMYFUNCTION("""COMPUTED_VALUE"""),"inx-token-2")</f>
        <v>inx-token-2</v>
      </c>
      <c r="B6546" s="2" t="str">
        <f ca="1">IFERROR(__xludf.DUMMYFUNCTION("""COMPUTED_VALUE"""),"inx")</f>
        <v>inx</v>
      </c>
      <c r="C6546" s="2" t="str">
        <f ca="1">IFERROR(__xludf.DUMMYFUNCTION("""COMPUTED_VALUE"""),"INX Token")</f>
        <v>INX Token</v>
      </c>
    </row>
    <row r="6547" spans="1:3" x14ac:dyDescent="0.25">
      <c r="A6547" s="2" t="str">
        <f ca="1">IFERROR(__xludf.DUMMYFUNCTION("""COMPUTED_VALUE"""),"io")</f>
        <v>io</v>
      </c>
      <c r="B6547" s="2" t="str">
        <f ca="1">IFERROR(__xludf.DUMMYFUNCTION("""COMPUTED_VALUE"""),"io")</f>
        <v>io</v>
      </c>
      <c r="C6547" s="3" t="str">
        <f ca="1">IFERROR(__xludf.DUMMYFUNCTION("""COMPUTED_VALUE"""),"io.net")</f>
        <v>io.net</v>
      </c>
    </row>
    <row r="6548" spans="1:3" x14ac:dyDescent="0.25">
      <c r="A6548" s="2" t="str">
        <f ca="1">IFERROR(__xludf.DUMMYFUNCTION("""COMPUTED_VALUE"""),"iobusd")</f>
        <v>iobusd</v>
      </c>
      <c r="B6548" s="2" t="str">
        <f ca="1">IFERROR(__xludf.DUMMYFUNCTION("""COMPUTED_VALUE"""),"iobusd")</f>
        <v>iobusd</v>
      </c>
      <c r="C6548" s="2" t="str">
        <f ca="1">IFERROR(__xludf.DUMMYFUNCTION("""COMPUTED_VALUE"""),"ioBUSD")</f>
        <v>ioBUSD</v>
      </c>
    </row>
    <row r="6549" spans="1:3" x14ac:dyDescent="0.25">
      <c r="A6549" s="2" t="str">
        <f ca="1">IFERROR(__xludf.DUMMYFUNCTION("""COMPUTED_VALUE"""),"ioeth")</f>
        <v>ioeth</v>
      </c>
      <c r="B6549" s="2" t="str">
        <f ca="1">IFERROR(__xludf.DUMMYFUNCTION("""COMPUTED_VALUE"""),"ioeth")</f>
        <v>ioeth</v>
      </c>
      <c r="C6549" s="2" t="str">
        <f ca="1">IFERROR(__xludf.DUMMYFUNCTION("""COMPUTED_VALUE"""),"ioETH")</f>
        <v>ioETH</v>
      </c>
    </row>
    <row r="6550" spans="1:3" x14ac:dyDescent="0.25">
      <c r="A6550" s="2" t="str">
        <f ca="1">IFERROR(__xludf.DUMMYFUNCTION("""COMPUTED_VALUE"""),"ioi-token")</f>
        <v>ioi-token</v>
      </c>
      <c r="B6550" s="2" t="str">
        <f ca="1">IFERROR(__xludf.DUMMYFUNCTION("""COMPUTED_VALUE"""),"ioi")</f>
        <v>ioi</v>
      </c>
      <c r="C6550" s="2" t="str">
        <f ca="1">IFERROR(__xludf.DUMMYFUNCTION("""COMPUTED_VALUE"""),"IOI Token")</f>
        <v>IOI Token</v>
      </c>
    </row>
    <row r="6551" spans="1:3" x14ac:dyDescent="0.25">
      <c r="A6551" s="2" t="str">
        <f ca="1">IFERROR(__xludf.DUMMYFUNCTION("""COMPUTED_VALUE"""),"iolend")</f>
        <v>iolend</v>
      </c>
      <c r="B6551" s="2" t="str">
        <f ca="1">IFERROR(__xludf.DUMMYFUNCTION("""COMPUTED_VALUE"""),"iol")</f>
        <v>iol</v>
      </c>
      <c r="C6551" s="2" t="str">
        <f ca="1">IFERROR(__xludf.DUMMYFUNCTION("""COMPUTED_VALUE"""),"Iolend")</f>
        <v>Iolend</v>
      </c>
    </row>
    <row r="6552" spans="1:3" x14ac:dyDescent="0.25">
      <c r="A6552" s="2" t="str">
        <f ca="1">IFERROR(__xludf.DUMMYFUNCTION("""COMPUTED_VALUE"""),"ion")</f>
        <v>ion</v>
      </c>
      <c r="B6552" s="2" t="str">
        <f ca="1">IFERROR(__xludf.DUMMYFUNCTION("""COMPUTED_VALUE"""),"ion")</f>
        <v>ion</v>
      </c>
      <c r="C6552" s="2" t="str">
        <f ca="1">IFERROR(__xludf.DUMMYFUNCTION("""COMPUTED_VALUE"""),"Ion")</f>
        <v>Ion</v>
      </c>
    </row>
    <row r="6553" spans="1:3" x14ac:dyDescent="0.25">
      <c r="A6553" s="2" t="str">
        <f ca="1">IFERROR(__xludf.DUMMYFUNCTION("""COMPUTED_VALUE"""),"ionic-pocket-token")</f>
        <v>ionic-pocket-token</v>
      </c>
      <c r="B6553" s="2" t="str">
        <f ca="1">IFERROR(__xludf.DUMMYFUNCTION("""COMPUTED_VALUE"""),"inp")</f>
        <v>inp</v>
      </c>
      <c r="C6553" s="2" t="str">
        <f ca="1">IFERROR(__xludf.DUMMYFUNCTION("""COMPUTED_VALUE"""),"Ionic Pocket Token")</f>
        <v>Ionic Pocket Token</v>
      </c>
    </row>
    <row r="6554" spans="1:3" x14ac:dyDescent="0.25">
      <c r="A6554" s="2" t="str">
        <f ca="1">IFERROR(__xludf.DUMMYFUNCTION("""COMPUTED_VALUE"""),"ionic-protocol")</f>
        <v>ionic-protocol</v>
      </c>
      <c r="B6554" s="2" t="str">
        <f ca="1">IFERROR(__xludf.DUMMYFUNCTION("""COMPUTED_VALUE"""),"ion")</f>
        <v>ion</v>
      </c>
      <c r="C6554" s="2" t="str">
        <f ca="1">IFERROR(__xludf.DUMMYFUNCTION("""COMPUTED_VALUE"""),"Ionic Protocol")</f>
        <v>Ionic Protocol</v>
      </c>
    </row>
    <row r="6555" spans="1:3" x14ac:dyDescent="0.25">
      <c r="A6555" s="2" t="str">
        <f ca="1">IFERROR(__xludf.DUMMYFUNCTION("""COMPUTED_VALUE"""),"ionic-tether-usd")</f>
        <v>ionic-tether-usd</v>
      </c>
      <c r="B6555" s="2" t="str">
        <f ca="1">IFERROR(__xludf.DUMMYFUNCTION("""COMPUTED_VALUE"""),"ionusdt")</f>
        <v>ionusdt</v>
      </c>
      <c r="C6555" s="2" t="str">
        <f ca="1">IFERROR(__xludf.DUMMYFUNCTION("""COMPUTED_VALUE"""),"Ionic Tether USD")</f>
        <v>Ionic Tether USD</v>
      </c>
    </row>
    <row r="6556" spans="1:3" x14ac:dyDescent="0.25">
      <c r="A6556" s="2" t="str">
        <f ca="1">IFERROR(__xludf.DUMMYFUNCTION("""COMPUTED_VALUE"""),"ionic-usd-coin")</f>
        <v>ionic-usd-coin</v>
      </c>
      <c r="B6556" s="2" t="str">
        <f ca="1">IFERROR(__xludf.DUMMYFUNCTION("""COMPUTED_VALUE"""),"ionusdc")</f>
        <v>ionusdc</v>
      </c>
      <c r="C6556" s="2" t="str">
        <f ca="1">IFERROR(__xludf.DUMMYFUNCTION("""COMPUTED_VALUE"""),"Ionic USD Coin")</f>
        <v>Ionic USD Coin</v>
      </c>
    </row>
    <row r="6557" spans="1:3" x14ac:dyDescent="0.25">
      <c r="A6557" s="2" t="str">
        <f ca="1">IFERROR(__xludf.DUMMYFUNCTION("""COMPUTED_VALUE"""),"iostoken")</f>
        <v>iostoken</v>
      </c>
      <c r="B6557" s="2" t="str">
        <f ca="1">IFERROR(__xludf.DUMMYFUNCTION("""COMPUTED_VALUE"""),"iost")</f>
        <v>iost</v>
      </c>
      <c r="C6557" s="2" t="str">
        <f ca="1">IFERROR(__xludf.DUMMYFUNCTION("""COMPUTED_VALUE"""),"IOST")</f>
        <v>IOST</v>
      </c>
    </row>
    <row r="6558" spans="1:3" x14ac:dyDescent="0.25">
      <c r="A6558" s="2" t="str">
        <f ca="1">IFERROR(__xludf.DUMMYFUNCTION("""COMPUTED_VALUE"""),"iota")</f>
        <v>iota</v>
      </c>
      <c r="B6558" s="2" t="str">
        <f ca="1">IFERROR(__xludf.DUMMYFUNCTION("""COMPUTED_VALUE"""),"iota")</f>
        <v>iota</v>
      </c>
      <c r="C6558" s="2" t="str">
        <f ca="1">IFERROR(__xludf.DUMMYFUNCTION("""COMPUTED_VALUE"""),"IOTA")</f>
        <v>IOTA</v>
      </c>
    </row>
    <row r="6559" spans="1:3" x14ac:dyDescent="0.25">
      <c r="A6559" s="2" t="str">
        <f ca="1">IFERROR(__xludf.DUMMYFUNCTION("""COMPUTED_VALUE"""),"iotec-finance")</f>
        <v>iotec-finance</v>
      </c>
      <c r="B6559" s="2" t="str">
        <f ca="1">IFERROR(__xludf.DUMMYFUNCTION("""COMPUTED_VALUE"""),"iot")</f>
        <v>iot</v>
      </c>
      <c r="C6559" s="2" t="str">
        <f ca="1">IFERROR(__xludf.DUMMYFUNCTION("""COMPUTED_VALUE"""),"Iotec Finance")</f>
        <v>Iotec Finance</v>
      </c>
    </row>
    <row r="6560" spans="1:3" x14ac:dyDescent="0.25">
      <c r="A6560" s="2" t="str">
        <f ca="1">IFERROR(__xludf.DUMMYFUNCTION("""COMPUTED_VALUE"""),"iotex")</f>
        <v>iotex</v>
      </c>
      <c r="B6560" s="2" t="str">
        <f ca="1">IFERROR(__xludf.DUMMYFUNCTION("""COMPUTED_VALUE"""),"iotx")</f>
        <v>iotx</v>
      </c>
      <c r="C6560" s="2" t="str">
        <f ca="1">IFERROR(__xludf.DUMMYFUNCTION("""COMPUTED_VALUE"""),"IoTeX")</f>
        <v>IoTeX</v>
      </c>
    </row>
    <row r="6561" spans="1:3" x14ac:dyDescent="0.25">
      <c r="A6561" s="2" t="str">
        <f ca="1">IFERROR(__xludf.DUMMYFUNCTION("""COMPUTED_VALUE"""),"iotex-bridged-busd-iotex")</f>
        <v>iotex-bridged-busd-iotex</v>
      </c>
      <c r="B6561" s="2" t="str">
        <f ca="1">IFERROR(__xludf.DUMMYFUNCTION("""COMPUTED_VALUE"""),"busd")</f>
        <v>busd</v>
      </c>
      <c r="C6561" s="2" t="str">
        <f ca="1">IFERROR(__xludf.DUMMYFUNCTION("""COMPUTED_VALUE"""),"IoTeX Bridged BUSD (IoTeX)")</f>
        <v>IoTeX Bridged BUSD (IoTeX)</v>
      </c>
    </row>
    <row r="6562" spans="1:3" x14ac:dyDescent="0.25">
      <c r="A6562" s="2" t="str">
        <f ca="1">IFERROR(__xludf.DUMMYFUNCTION("""COMPUTED_VALUE"""),"iotexpad")</f>
        <v>iotexpad</v>
      </c>
      <c r="B6562" s="2" t="str">
        <f ca="1">IFERROR(__xludf.DUMMYFUNCTION("""COMPUTED_VALUE"""),"tex")</f>
        <v>tex</v>
      </c>
      <c r="C6562" s="2" t="str">
        <f ca="1">IFERROR(__xludf.DUMMYFUNCTION("""COMPUTED_VALUE"""),"IoTeXPad")</f>
        <v>IoTeXPad</v>
      </c>
    </row>
    <row r="6563" spans="1:3" x14ac:dyDescent="0.25">
      <c r="A6563" s="2" t="str">
        <f ca="1">IFERROR(__xludf.DUMMYFUNCTION("""COMPUTED_VALUE"""),"iotexshiba")</f>
        <v>iotexshiba</v>
      </c>
      <c r="B6563" s="2" t="str">
        <f ca="1">IFERROR(__xludf.DUMMYFUNCTION("""COMPUTED_VALUE"""),"ioshib")</f>
        <v>ioshib</v>
      </c>
      <c r="C6563" s="2" t="str">
        <f ca="1">IFERROR(__xludf.DUMMYFUNCTION("""COMPUTED_VALUE"""),"IoTexShiba")</f>
        <v>IoTexShiba</v>
      </c>
    </row>
    <row r="6564" spans="1:3" x14ac:dyDescent="0.25">
      <c r="A6564" s="2" t="str">
        <f ca="1">IFERROR(__xludf.DUMMYFUNCTION("""COMPUTED_VALUE"""),"iotube-bridged-geod-iotex")</f>
        <v>iotube-bridged-geod-iotex</v>
      </c>
      <c r="B6564" s="2" t="str">
        <f ca="1">IFERROR(__xludf.DUMMYFUNCTION("""COMPUTED_VALUE"""),"geod")</f>
        <v>geod</v>
      </c>
      <c r="C6564" s="2" t="str">
        <f ca="1">IFERROR(__xludf.DUMMYFUNCTION("""COMPUTED_VALUE"""),"ioTube Bridged GEOD (IoTeX)")</f>
        <v>ioTube Bridged GEOD (IoTeX)</v>
      </c>
    </row>
    <row r="6565" spans="1:3" x14ac:dyDescent="0.25">
      <c r="A6565" s="2" t="str">
        <f ca="1">IFERROR(__xludf.DUMMYFUNCTION("""COMPUTED_VALUE"""),"iotube-bridged-wifi-iotex")</f>
        <v>iotube-bridged-wifi-iotex</v>
      </c>
      <c r="B6565" s="2" t="str">
        <f ca="1">IFERROR(__xludf.DUMMYFUNCTION("""COMPUTED_VALUE"""),"wifi")</f>
        <v>wifi</v>
      </c>
      <c r="C6565" s="2" t="str">
        <f ca="1">IFERROR(__xludf.DUMMYFUNCTION("""COMPUTED_VALUE"""),"ioTube Bridged WIFI (IoTeX)")</f>
        <v>ioTube Bridged WIFI (IoTeX)</v>
      </c>
    </row>
    <row r="6566" spans="1:3" x14ac:dyDescent="0.25">
      <c r="A6566" s="2" t="str">
        <f ca="1">IFERROR(__xludf.DUMMYFUNCTION("""COMPUTED_VALUE"""),"iotube-bridged-wnt-iotex")</f>
        <v>iotube-bridged-wnt-iotex</v>
      </c>
      <c r="B6566" s="2" t="str">
        <f ca="1">IFERROR(__xludf.DUMMYFUNCTION("""COMPUTED_VALUE"""),"wnt")</f>
        <v>wnt</v>
      </c>
      <c r="C6566" s="2" t="str">
        <f ca="1">IFERROR(__xludf.DUMMYFUNCTION("""COMPUTED_VALUE"""),"ioTube Bridged WNT (IoTeX)")</f>
        <v>ioTube Bridged WNT (IoTeX)</v>
      </c>
    </row>
    <row r="6567" spans="1:3" x14ac:dyDescent="0.25">
      <c r="A6567" s="2" t="str">
        <f ca="1">IFERROR(__xludf.DUMMYFUNCTION("""COMPUTED_VALUE"""),"iotube-bridged-xnet-iotex")</f>
        <v>iotube-bridged-xnet-iotex</v>
      </c>
      <c r="B6567" s="2" t="str">
        <f ca="1">IFERROR(__xludf.DUMMYFUNCTION("""COMPUTED_VALUE"""),"xnet")</f>
        <v>xnet</v>
      </c>
      <c r="C6567" s="2" t="str">
        <f ca="1">IFERROR(__xludf.DUMMYFUNCTION("""COMPUTED_VALUE"""),"ioTube Bridged XNET (IoTeX)")</f>
        <v>ioTube Bridged XNET (IoTeX)</v>
      </c>
    </row>
    <row r="6568" spans="1:3" x14ac:dyDescent="0.25">
      <c r="A6568" s="2" t="str">
        <f ca="1">IFERROR(__xludf.DUMMYFUNCTION("""COMPUTED_VALUE"""),"iousdc")</f>
        <v>iousdc</v>
      </c>
      <c r="B6568" s="2" t="str">
        <f ca="1">IFERROR(__xludf.DUMMYFUNCTION("""COMPUTED_VALUE"""),"iousdc")</f>
        <v>iousdc</v>
      </c>
      <c r="C6568" s="2" t="str">
        <f ca="1">IFERROR(__xludf.DUMMYFUNCTION("""COMPUTED_VALUE"""),"Bridged USD Coin (IoTeX)")</f>
        <v>Bridged USD Coin (IoTeX)</v>
      </c>
    </row>
    <row r="6569" spans="1:3" x14ac:dyDescent="0.25">
      <c r="A6569" s="2" t="str">
        <f ca="1">IFERROR(__xludf.DUMMYFUNCTION("""COMPUTED_VALUE"""),"iousdt")</f>
        <v>iousdt</v>
      </c>
      <c r="B6569" s="2" t="str">
        <f ca="1">IFERROR(__xludf.DUMMYFUNCTION("""COMPUTED_VALUE"""),"iousdt")</f>
        <v>iousdt</v>
      </c>
      <c r="C6569" s="2" t="str">
        <f ca="1">IFERROR(__xludf.DUMMYFUNCTION("""COMPUTED_VALUE"""),"Bridged Tether (IoTeX)")</f>
        <v>Bridged Tether (IoTeX)</v>
      </c>
    </row>
    <row r="6570" spans="1:3" x14ac:dyDescent="0.25">
      <c r="A6570" s="2" t="str">
        <f ca="1">IFERROR(__xludf.DUMMYFUNCTION("""COMPUTED_VALUE"""),"iowbtc")</f>
        <v>iowbtc</v>
      </c>
      <c r="B6570" s="2" t="str">
        <f ca="1">IFERROR(__xludf.DUMMYFUNCTION("""COMPUTED_VALUE"""),"iowbtc")</f>
        <v>iowbtc</v>
      </c>
      <c r="C6570" s="2" t="str">
        <f ca="1">IFERROR(__xludf.DUMMYFUNCTION("""COMPUTED_VALUE"""),"ioWBTC")</f>
        <v>ioWBTC</v>
      </c>
    </row>
    <row r="6571" spans="1:3" x14ac:dyDescent="0.25">
      <c r="A6571" s="2" t="str">
        <f ca="1">IFERROR(__xludf.DUMMYFUNCTION("""COMPUTED_VALUE"""),"iown")</f>
        <v>iown</v>
      </c>
      <c r="B6571" s="2" t="str">
        <f ca="1">IFERROR(__xludf.DUMMYFUNCTION("""COMPUTED_VALUE"""),"iown")</f>
        <v>iown</v>
      </c>
      <c r="C6571" s="2" t="str">
        <f ca="1">IFERROR(__xludf.DUMMYFUNCTION("""COMPUTED_VALUE"""),"iOWN")</f>
        <v>iOWN</v>
      </c>
    </row>
    <row r="6572" spans="1:3" x14ac:dyDescent="0.25">
      <c r="A6572" s="2" t="str">
        <f ca="1">IFERROR(__xludf.DUMMYFUNCTION("""COMPUTED_VALUE"""),"ipmb")</f>
        <v>ipmb</v>
      </c>
      <c r="B6572" s="2" t="str">
        <f ca="1">IFERROR(__xludf.DUMMYFUNCTION("""COMPUTED_VALUE"""),"ipmb")</f>
        <v>ipmb</v>
      </c>
      <c r="C6572" s="2" t="str">
        <f ca="1">IFERROR(__xludf.DUMMYFUNCTION("""COMPUTED_VALUE"""),"IPMB")</f>
        <v>IPMB</v>
      </c>
    </row>
    <row r="6573" spans="1:3" x14ac:dyDescent="0.25">
      <c r="A6573" s="2" t="str">
        <f ca="1">IFERROR(__xludf.DUMMYFUNCTION("""COMPUTED_VALUE"""),"ipor")</f>
        <v>ipor</v>
      </c>
      <c r="B6573" s="2" t="str">
        <f ca="1">IFERROR(__xludf.DUMMYFUNCTION("""COMPUTED_VALUE"""),"ipor")</f>
        <v>ipor</v>
      </c>
      <c r="C6573" s="2" t="str">
        <f ca="1">IFERROR(__xludf.DUMMYFUNCTION("""COMPUTED_VALUE"""),"IPOR")</f>
        <v>IPOR</v>
      </c>
    </row>
    <row r="6574" spans="1:3" x14ac:dyDescent="0.25">
      <c r="A6574" s="2" t="str">
        <f ca="1">IFERROR(__xludf.DUMMYFUNCTION("""COMPUTED_VALUE"""),"ipverse")</f>
        <v>ipverse</v>
      </c>
      <c r="B6574" s="2" t="str">
        <f ca="1">IFERROR(__xludf.DUMMYFUNCTION("""COMPUTED_VALUE"""),"ipv")</f>
        <v>ipv</v>
      </c>
      <c r="C6574" s="2" t="str">
        <f ca="1">IFERROR(__xludf.DUMMYFUNCTION("""COMPUTED_VALUE"""),"IPVERSE")</f>
        <v>IPVERSE</v>
      </c>
    </row>
    <row r="6575" spans="1:3" x14ac:dyDescent="0.25">
      <c r="A6575" s="2" t="str">
        <f ca="1">IFERROR(__xludf.DUMMYFUNCTION("""COMPUTED_VALUE"""),"ipx-token")</f>
        <v>ipx-token</v>
      </c>
      <c r="B6575" s="2" t="str">
        <f ca="1">IFERROR(__xludf.DUMMYFUNCTION("""COMPUTED_VALUE"""),"ipx")</f>
        <v>ipx</v>
      </c>
      <c r="C6575" s="2" t="str">
        <f ca="1">IFERROR(__xludf.DUMMYFUNCTION("""COMPUTED_VALUE"""),"Tachyon Protocol")</f>
        <v>Tachyon Protocol</v>
      </c>
    </row>
    <row r="6576" spans="1:3" x14ac:dyDescent="0.25">
      <c r="A6576" s="2" t="str">
        <f ca="1">IFERROR(__xludf.DUMMYFUNCTION("""COMPUTED_VALUE"""),"iq50")</f>
        <v>iq50</v>
      </c>
      <c r="B6576" s="2" t="str">
        <f ca="1">IFERROR(__xludf.DUMMYFUNCTION("""COMPUTED_VALUE"""),"iq50")</f>
        <v>iq50</v>
      </c>
      <c r="C6576" s="2" t="str">
        <f ca="1">IFERROR(__xludf.DUMMYFUNCTION("""COMPUTED_VALUE"""),"IQ50")</f>
        <v>IQ50</v>
      </c>
    </row>
    <row r="6577" spans="1:3" x14ac:dyDescent="0.25">
      <c r="A6577" s="2" t="str">
        <f ca="1">IFERROR(__xludf.DUMMYFUNCTION("""COMPUTED_VALUE"""),"iq-protocol")</f>
        <v>iq-protocol</v>
      </c>
      <c r="B6577" s="2" t="str">
        <f ca="1">IFERROR(__xludf.DUMMYFUNCTION("""COMPUTED_VALUE"""),"iqt")</f>
        <v>iqt</v>
      </c>
      <c r="C6577" s="2" t="str">
        <f ca="1">IFERROR(__xludf.DUMMYFUNCTION("""COMPUTED_VALUE"""),"IQ Protocol")</f>
        <v>IQ Protocol</v>
      </c>
    </row>
    <row r="6578" spans="1:3" x14ac:dyDescent="0.25">
      <c r="A6578" s="2" t="str">
        <f ca="1">IFERROR(__xludf.DUMMYFUNCTION("""COMPUTED_VALUE"""),"iqt-token")</f>
        <v>iqt-token</v>
      </c>
      <c r="B6578" s="2" t="str">
        <f ca="1">IFERROR(__xludf.DUMMYFUNCTION("""COMPUTED_VALUE"""),"iqt")</f>
        <v>iqt</v>
      </c>
      <c r="C6578" s="2" t="str">
        <f ca="1">IFERROR(__xludf.DUMMYFUNCTION("""COMPUTED_VALUE"""),"IQT TOKEN")</f>
        <v>IQT TOKEN</v>
      </c>
    </row>
    <row r="6579" spans="1:3" x14ac:dyDescent="0.25">
      <c r="A6579" s="2" t="str">
        <f ca="1">IFERROR(__xludf.DUMMYFUNCTION("""COMPUTED_VALUE"""),"irena-green-energy")</f>
        <v>irena-green-energy</v>
      </c>
      <c r="B6579" s="2" t="str">
        <f ca="1">IFERROR(__xludf.DUMMYFUNCTION("""COMPUTED_VALUE"""),"irena")</f>
        <v>irena</v>
      </c>
      <c r="C6579" s="2" t="str">
        <f ca="1">IFERROR(__xludf.DUMMYFUNCTION("""COMPUTED_VALUE"""),"Irena Coin Apps")</f>
        <v>Irena Coin Apps</v>
      </c>
    </row>
    <row r="6580" spans="1:3" x14ac:dyDescent="0.25">
      <c r="A6580" s="2" t="str">
        <f ca="1">IFERROR(__xludf.DUMMYFUNCTION("""COMPUTED_VALUE"""),"iridium")</f>
        <v>iridium</v>
      </c>
      <c r="B6580" s="2" t="str">
        <f ca="1">IFERROR(__xludf.DUMMYFUNCTION("""COMPUTED_VALUE"""),"ird")</f>
        <v>ird</v>
      </c>
      <c r="C6580" s="2" t="str">
        <f ca="1">IFERROR(__xludf.DUMMYFUNCTION("""COMPUTED_VALUE"""),"Iridium")</f>
        <v>Iridium</v>
      </c>
    </row>
    <row r="6581" spans="1:3" x14ac:dyDescent="0.25">
      <c r="A6581" s="2" t="str">
        <f ca="1">IFERROR(__xludf.DUMMYFUNCTION("""COMPUTED_VALUE"""),"iris-ecosystem")</f>
        <v>iris-ecosystem</v>
      </c>
      <c r="B6581" s="2" t="str">
        <f ca="1">IFERROR(__xludf.DUMMYFUNCTION("""COMPUTED_VALUE"""),"iristoken")</f>
        <v>iristoken</v>
      </c>
      <c r="C6581" s="2" t="str">
        <f ca="1">IFERROR(__xludf.DUMMYFUNCTION("""COMPUTED_VALUE"""),"Iris Ecosystem")</f>
        <v>Iris Ecosystem</v>
      </c>
    </row>
    <row r="6582" spans="1:3" x14ac:dyDescent="0.25">
      <c r="A6582" s="2" t="str">
        <f ca="1">IFERROR(__xludf.DUMMYFUNCTION("""COMPUTED_VALUE"""),"iris-network")</f>
        <v>iris-network</v>
      </c>
      <c r="B6582" s="2" t="str">
        <f ca="1">IFERROR(__xludf.DUMMYFUNCTION("""COMPUTED_VALUE"""),"iris")</f>
        <v>iris</v>
      </c>
      <c r="C6582" s="2" t="str">
        <f ca="1">IFERROR(__xludf.DUMMYFUNCTION("""COMPUTED_VALUE"""),"IRISnet")</f>
        <v>IRISnet</v>
      </c>
    </row>
    <row r="6583" spans="1:3" x14ac:dyDescent="0.25">
      <c r="A6583" s="2" t="str">
        <f ca="1">IFERROR(__xludf.DUMMYFUNCTION("""COMPUTED_VALUE"""),"iris-token-2")</f>
        <v>iris-token-2</v>
      </c>
      <c r="B6583" s="2" t="str">
        <f ca="1">IFERROR(__xludf.DUMMYFUNCTION("""COMPUTED_VALUE"""),"iris")</f>
        <v>iris</v>
      </c>
      <c r="C6583" s="2" t="str">
        <f ca="1">IFERROR(__xludf.DUMMYFUNCTION("""COMPUTED_VALUE"""),"Iris")</f>
        <v>Iris</v>
      </c>
    </row>
    <row r="6584" spans="1:3" x14ac:dyDescent="0.25">
      <c r="A6584" s="2" t="str">
        <f ca="1">IFERROR(__xludf.DUMMYFUNCTION("""COMPUTED_VALUE"""),"iro-chan")</f>
        <v>iro-chan</v>
      </c>
      <c r="B6584" s="2" t="str">
        <f ca="1">IFERROR(__xludf.DUMMYFUNCTION("""COMPUTED_VALUE"""),"iro")</f>
        <v>iro</v>
      </c>
      <c r="C6584" s="2" t="str">
        <f ca="1">IFERROR(__xludf.DUMMYFUNCTION("""COMPUTED_VALUE"""),"Iro-Chan")</f>
        <v>Iro-Chan</v>
      </c>
    </row>
    <row r="6585" spans="1:3" x14ac:dyDescent="0.25">
      <c r="A6585" s="2" t="str">
        <f ca="1">IFERROR(__xludf.DUMMYFUNCTION("""COMPUTED_VALUE"""),"iron-bank")</f>
        <v>iron-bank</v>
      </c>
      <c r="B6585" s="2" t="str">
        <f ca="1">IFERROR(__xludf.DUMMYFUNCTION("""COMPUTED_VALUE"""),"ib")</f>
        <v>ib</v>
      </c>
      <c r="C6585" s="2" t="str">
        <f ca="1">IFERROR(__xludf.DUMMYFUNCTION("""COMPUTED_VALUE"""),"Iron Bank")</f>
        <v>Iron Bank</v>
      </c>
    </row>
    <row r="6586" spans="1:3" x14ac:dyDescent="0.25">
      <c r="A6586" s="2" t="str">
        <f ca="1">IFERROR(__xludf.DUMMYFUNCTION("""COMPUTED_VALUE"""),"iron-bank-euro")</f>
        <v>iron-bank-euro</v>
      </c>
      <c r="B6586" s="2" t="str">
        <f ca="1">IFERROR(__xludf.DUMMYFUNCTION("""COMPUTED_VALUE"""),"ibeur")</f>
        <v>ibeur</v>
      </c>
      <c r="C6586" s="2" t="str">
        <f ca="1">IFERROR(__xludf.DUMMYFUNCTION("""COMPUTED_VALUE"""),"Iron Bank EUR")</f>
        <v>Iron Bank EUR</v>
      </c>
    </row>
    <row r="6587" spans="1:3" x14ac:dyDescent="0.25">
      <c r="A6587" s="2" t="str">
        <f ca="1">IFERROR(__xludf.DUMMYFUNCTION("""COMPUTED_VALUE"""),"ironclad-token")</f>
        <v>ironclad-token</v>
      </c>
      <c r="B6587" s="2" t="str">
        <f ca="1">IFERROR(__xludf.DUMMYFUNCTION("""COMPUTED_VALUE"""),"icl")</f>
        <v>icl</v>
      </c>
      <c r="C6587" s="2" t="str">
        <f ca="1">IFERROR(__xludf.DUMMYFUNCTION("""COMPUTED_VALUE"""),"Ironclad Token")</f>
        <v>Ironclad Token</v>
      </c>
    </row>
    <row r="6588" spans="1:3" x14ac:dyDescent="0.25">
      <c r="A6588" s="2" t="str">
        <f ca="1">IFERROR(__xludf.DUMMYFUNCTION("""COMPUTED_VALUE"""),"iron-finance")</f>
        <v>iron-finance</v>
      </c>
      <c r="B6588" s="2" t="str">
        <f ca="1">IFERROR(__xludf.DUMMYFUNCTION("""COMPUTED_VALUE"""),"ice")</f>
        <v>ice</v>
      </c>
      <c r="C6588" s="2" t="str">
        <f ca="1">IFERROR(__xludf.DUMMYFUNCTION("""COMPUTED_VALUE"""),"Iron Finance")</f>
        <v>Iron Finance</v>
      </c>
    </row>
    <row r="6589" spans="1:3" x14ac:dyDescent="0.25">
      <c r="A6589" s="2" t="str">
        <f ca="1">IFERROR(__xludf.DUMMYFUNCTION("""COMPUTED_VALUE"""),"iron-fish")</f>
        <v>iron-fish</v>
      </c>
      <c r="B6589" s="2" t="str">
        <f ca="1">IFERROR(__xludf.DUMMYFUNCTION("""COMPUTED_VALUE"""),"iron")</f>
        <v>iron</v>
      </c>
      <c r="C6589" s="2" t="str">
        <f ca="1">IFERROR(__xludf.DUMMYFUNCTION("""COMPUTED_VALUE"""),"Iron Fish")</f>
        <v>Iron Fish</v>
      </c>
    </row>
    <row r="6590" spans="1:3" x14ac:dyDescent="0.25">
      <c r="A6590" s="2" t="str">
        <f ca="1">IFERROR(__xludf.DUMMYFUNCTION("""COMPUTED_VALUE"""),"iron-stablecoin")</f>
        <v>iron-stablecoin</v>
      </c>
      <c r="B6590" s="2" t="str">
        <f ca="1">IFERROR(__xludf.DUMMYFUNCTION("""COMPUTED_VALUE"""),"iron")</f>
        <v>iron</v>
      </c>
      <c r="C6590" s="2" t="str">
        <f ca="1">IFERROR(__xludf.DUMMYFUNCTION("""COMPUTED_VALUE"""),"Iron")</f>
        <v>Iron</v>
      </c>
    </row>
    <row r="6591" spans="1:3" x14ac:dyDescent="0.25">
      <c r="A6591" s="2" t="str">
        <f ca="1">IFERROR(__xludf.DUMMYFUNCTION("""COMPUTED_VALUE"""),"iron-titanium-token")</f>
        <v>iron-titanium-token</v>
      </c>
      <c r="B6591" s="2" t="str">
        <f ca="1">IFERROR(__xludf.DUMMYFUNCTION("""COMPUTED_VALUE"""),"titan")</f>
        <v>titan</v>
      </c>
      <c r="C6591" s="2" t="str">
        <f ca="1">IFERROR(__xludf.DUMMYFUNCTION("""COMPUTED_VALUE"""),"IRON Titanium")</f>
        <v>IRON Titanium</v>
      </c>
    </row>
    <row r="6592" spans="1:3" x14ac:dyDescent="0.25">
      <c r="A6592" s="2" t="str">
        <f ca="1">IFERROR(__xludf.DUMMYFUNCTION("""COMPUTED_VALUE"""),"iryde")</f>
        <v>iryde</v>
      </c>
      <c r="B6592" s="2" t="str">
        <f ca="1">IFERROR(__xludf.DUMMYFUNCTION("""COMPUTED_VALUE"""),"iryde")</f>
        <v>iryde</v>
      </c>
      <c r="C6592" s="2" t="str">
        <f ca="1">IFERROR(__xludf.DUMMYFUNCTION("""COMPUTED_VALUE"""),"iRYDE")</f>
        <v>iRYDE</v>
      </c>
    </row>
    <row r="6593" spans="1:3" x14ac:dyDescent="0.25">
      <c r="A6593" s="2" t="str">
        <f ca="1">IFERROR(__xludf.DUMMYFUNCTION("""COMPUTED_VALUE"""),"isengard-nft-marketplace")</f>
        <v>isengard-nft-marketplace</v>
      </c>
      <c r="B6593" s="2" t="str">
        <f ca="1">IFERROR(__xludf.DUMMYFUNCTION("""COMPUTED_VALUE"""),"iset-84e55e")</f>
        <v>iset-84e55e</v>
      </c>
      <c r="C6593" s="2" t="str">
        <f ca="1">IFERROR(__xludf.DUMMYFUNCTION("""COMPUTED_VALUE"""),"Isengard NFT Marketplace")</f>
        <v>Isengard NFT Marketplace</v>
      </c>
    </row>
    <row r="6594" spans="1:3" x14ac:dyDescent="0.25">
      <c r="A6594" s="2" t="str">
        <f ca="1">IFERROR(__xludf.DUMMYFUNCTION("""COMPUTED_VALUE"""),"ishares-msci-world-etf-tokenized-stock-defichain")</f>
        <v>ishares-msci-world-etf-tokenized-stock-defichain</v>
      </c>
      <c r="B6594" s="2" t="str">
        <f ca="1">IFERROR(__xludf.DUMMYFUNCTION("""COMPUTED_VALUE"""),"durth")</f>
        <v>durth</v>
      </c>
      <c r="C6594" s="2" t="str">
        <f ca="1">IFERROR(__xludf.DUMMYFUNCTION("""COMPUTED_VALUE"""),"iShares MSCI World ETF Tokenized Stock Defichain")</f>
        <v>iShares MSCI World ETF Tokenized Stock Defichain</v>
      </c>
    </row>
    <row r="6595" spans="1:3" x14ac:dyDescent="0.25">
      <c r="A6595" s="2" t="str">
        <f ca="1">IFERROR(__xludf.DUMMYFUNCTION("""COMPUTED_VALUE"""),"ishi")</f>
        <v>ishi</v>
      </c>
      <c r="B6595" s="2" t="str">
        <f ca="1">IFERROR(__xludf.DUMMYFUNCTION("""COMPUTED_VALUE"""),"ishi")</f>
        <v>ishi</v>
      </c>
      <c r="C6595" s="2" t="str">
        <f ca="1">IFERROR(__xludf.DUMMYFUNCTION("""COMPUTED_VALUE"""),"Ishi")</f>
        <v>Ishi</v>
      </c>
    </row>
    <row r="6596" spans="1:3" x14ac:dyDescent="0.25">
      <c r="A6596" s="2" t="str">
        <f ca="1">IFERROR(__xludf.DUMMYFUNCTION("""COMPUTED_VALUE"""),"ishib")</f>
        <v>ishib</v>
      </c>
      <c r="B6596" s="2" t="str">
        <f ca="1">IFERROR(__xludf.DUMMYFUNCTION("""COMPUTED_VALUE"""),"ishib")</f>
        <v>ishib</v>
      </c>
      <c r="C6596" s="2" t="str">
        <f ca="1">IFERROR(__xludf.DUMMYFUNCTION("""COMPUTED_VALUE"""),"iSHIB")</f>
        <v>iSHIB</v>
      </c>
    </row>
    <row r="6597" spans="1:3" x14ac:dyDescent="0.25">
      <c r="A6597" s="2" t="str">
        <f ca="1">IFERROR(__xludf.DUMMYFUNCTION("""COMPUTED_VALUE"""),"ishook")</f>
        <v>ishook</v>
      </c>
      <c r="B6597" s="2" t="str">
        <f ca="1">IFERROR(__xludf.DUMMYFUNCTION("""COMPUTED_VALUE"""),"shk")</f>
        <v>shk</v>
      </c>
      <c r="C6597" s="2" t="str">
        <f ca="1">IFERROR(__xludf.DUMMYFUNCTION("""COMPUTED_VALUE"""),"iShook")</f>
        <v>iShook</v>
      </c>
    </row>
    <row r="6598" spans="1:3" x14ac:dyDescent="0.25">
      <c r="A6598" s="2" t="str">
        <f ca="1">IFERROR(__xludf.DUMMYFUNCTION("""COMPUTED_VALUE"""),"isiklar-coin")</f>
        <v>isiklar-coin</v>
      </c>
      <c r="B6598" s="2" t="str">
        <f ca="1">IFERROR(__xludf.DUMMYFUNCTION("""COMPUTED_VALUE"""),"isikc")</f>
        <v>isikc</v>
      </c>
      <c r="C6598" s="2" t="str">
        <f ca="1">IFERROR(__xludf.DUMMYFUNCTION("""COMPUTED_VALUE"""),"Isiklar Coin")</f>
        <v>Isiklar Coin</v>
      </c>
    </row>
    <row r="6599" spans="1:3" x14ac:dyDescent="0.25">
      <c r="A6599" s="2" t="str">
        <f ca="1">IFERROR(__xludf.DUMMYFUNCTION("""COMPUTED_VALUE"""),"iskra-token")</f>
        <v>iskra-token</v>
      </c>
      <c r="B6599" s="2" t="str">
        <f ca="1">IFERROR(__xludf.DUMMYFUNCTION("""COMPUTED_VALUE"""),"isk")</f>
        <v>isk</v>
      </c>
      <c r="C6599" s="2" t="str">
        <f ca="1">IFERROR(__xludf.DUMMYFUNCTION("""COMPUTED_VALUE"""),"ISKRA Token")</f>
        <v>ISKRA Token</v>
      </c>
    </row>
    <row r="6600" spans="1:3" x14ac:dyDescent="0.25">
      <c r="A6600" s="2" t="str">
        <f ca="1">IFERROR(__xludf.DUMMYFUNCTION("""COMPUTED_VALUE"""),"islamic-coin")</f>
        <v>islamic-coin</v>
      </c>
      <c r="B6600" s="2" t="str">
        <f ca="1">IFERROR(__xludf.DUMMYFUNCTION("""COMPUTED_VALUE"""),"islm")</f>
        <v>islm</v>
      </c>
      <c r="C6600" s="2" t="str">
        <f ca="1">IFERROR(__xludf.DUMMYFUNCTION("""COMPUTED_VALUE"""),"Islamic Coin")</f>
        <v>Islamic Coin</v>
      </c>
    </row>
    <row r="6601" spans="1:3" x14ac:dyDescent="0.25">
      <c r="A6601" s="2" t="str">
        <f ca="1">IFERROR(__xludf.DUMMYFUNCTION("""COMPUTED_VALUE"""),"islamicoin")</f>
        <v>islamicoin</v>
      </c>
      <c r="B6601" s="2" t="str">
        <f ca="1">IFERROR(__xludf.DUMMYFUNCTION("""COMPUTED_VALUE"""),"islami")</f>
        <v>islami</v>
      </c>
      <c r="C6601" s="2" t="str">
        <f ca="1">IFERROR(__xludf.DUMMYFUNCTION("""COMPUTED_VALUE"""),"ISLAMICOIN")</f>
        <v>ISLAMICOIN</v>
      </c>
    </row>
    <row r="6602" spans="1:3" x14ac:dyDescent="0.25">
      <c r="A6602" s="2" t="str">
        <f ca="1">IFERROR(__xludf.DUMMYFUNCTION("""COMPUTED_VALUE"""),"islander")</f>
        <v>islander</v>
      </c>
      <c r="B6602" s="2" t="str">
        <f ca="1">IFERROR(__xludf.DUMMYFUNCTION("""COMPUTED_VALUE"""),"isa")</f>
        <v>isa</v>
      </c>
      <c r="C6602" s="2" t="str">
        <f ca="1">IFERROR(__xludf.DUMMYFUNCTION("""COMPUTED_VALUE"""),"Islander")</f>
        <v>Islander</v>
      </c>
    </row>
    <row r="6603" spans="1:3" x14ac:dyDescent="0.25">
      <c r="A6603" s="2" t="str">
        <f ca="1">IFERROR(__xludf.DUMMYFUNCTION("""COMPUTED_VALUE"""),"ispolink")</f>
        <v>ispolink</v>
      </c>
      <c r="B6603" s="2" t="str">
        <f ca="1">IFERROR(__xludf.DUMMYFUNCTION("""COMPUTED_VALUE"""),"isp")</f>
        <v>isp</v>
      </c>
      <c r="C6603" s="2" t="str">
        <f ca="1">IFERROR(__xludf.DUMMYFUNCTION("""COMPUTED_VALUE"""),"Ispolink")</f>
        <v>Ispolink</v>
      </c>
    </row>
    <row r="6604" spans="1:3" x14ac:dyDescent="0.25">
      <c r="A6604" s="2" t="str">
        <f ca="1">IFERROR(__xludf.DUMMYFUNCTION("""COMPUTED_VALUE"""),"issp")</f>
        <v>issp</v>
      </c>
      <c r="B6604" s="2" t="str">
        <f ca="1">IFERROR(__xludf.DUMMYFUNCTION("""COMPUTED_VALUE"""),"issp")</f>
        <v>issp</v>
      </c>
      <c r="C6604" s="2" t="str">
        <f ca="1">IFERROR(__xludf.DUMMYFUNCTION("""COMPUTED_VALUE"""),"ISSP")</f>
        <v>ISSP</v>
      </c>
    </row>
    <row r="6605" spans="1:3" x14ac:dyDescent="0.25">
      <c r="A6605" s="2" t="str">
        <f ca="1">IFERROR(__xludf.DUMMYFUNCTION("""COMPUTED_VALUE"""),"istanbul-basaksehir-fan-token")</f>
        <v>istanbul-basaksehir-fan-token</v>
      </c>
      <c r="B6605" s="2" t="str">
        <f ca="1">IFERROR(__xludf.DUMMYFUNCTION("""COMPUTED_VALUE"""),"ibfk")</f>
        <v>ibfk</v>
      </c>
      <c r="C6605" s="2" t="str">
        <f ca="1">IFERROR(__xludf.DUMMYFUNCTION("""COMPUTED_VALUE"""),"İstanbul Başakşehir Fan Token")</f>
        <v>İstanbul Başakşehir Fan Token</v>
      </c>
    </row>
    <row r="6606" spans="1:3" x14ac:dyDescent="0.25">
      <c r="A6606" s="2" t="str">
        <f ca="1">IFERROR(__xludf.DUMMYFUNCTION("""COMPUTED_VALUE"""),"istanbul-wild-cats-fan-token")</f>
        <v>istanbul-wild-cats-fan-token</v>
      </c>
      <c r="B6606" s="2" t="str">
        <f ca="1">IFERROR(__xludf.DUMMYFUNCTION("""COMPUTED_VALUE"""),"iwft")</f>
        <v>iwft</v>
      </c>
      <c r="C6606" s="2" t="str">
        <f ca="1">IFERROR(__xludf.DUMMYFUNCTION("""COMPUTED_VALUE"""),"İstanbul Wild Cats Fan Token")</f>
        <v>İstanbul Wild Cats Fan Token</v>
      </c>
    </row>
    <row r="6607" spans="1:3" x14ac:dyDescent="0.25">
      <c r="A6607" s="2" t="str">
        <f ca="1">IFERROR(__xludf.DUMMYFUNCTION("""COMPUTED_VALUE"""),"istep")</f>
        <v>istep</v>
      </c>
      <c r="B6607" s="2" t="str">
        <f ca="1">IFERROR(__xludf.DUMMYFUNCTION("""COMPUTED_VALUE"""),"istep")</f>
        <v>istep</v>
      </c>
      <c r="C6607" s="2" t="str">
        <f ca="1">IFERROR(__xludf.DUMMYFUNCTION("""COMPUTED_VALUE"""),"iSTEP")</f>
        <v>iSTEP</v>
      </c>
    </row>
    <row r="6608" spans="1:3" x14ac:dyDescent="0.25">
      <c r="A6608" s="2" t="str">
        <f ca="1">IFERROR(__xludf.DUMMYFUNCTION("""COMPUTED_VALUE"""),"italian-coin")</f>
        <v>italian-coin</v>
      </c>
      <c r="B6608" s="2" t="str">
        <f ca="1">IFERROR(__xludf.DUMMYFUNCTION("""COMPUTED_VALUE"""),"ita")</f>
        <v>ita</v>
      </c>
      <c r="C6608" s="2" t="str">
        <f ca="1">IFERROR(__xludf.DUMMYFUNCTION("""COMPUTED_VALUE"""),"Italian Coin")</f>
        <v>Italian Coin</v>
      </c>
    </row>
    <row r="6609" spans="1:3" x14ac:dyDescent="0.25">
      <c r="A6609" s="2" t="str">
        <f ca="1">IFERROR(__xludf.DUMMYFUNCTION("""COMPUTED_VALUE"""),"italian-national-football-team-fan-token")</f>
        <v>italian-national-football-team-fan-token</v>
      </c>
      <c r="B6609" s="2" t="str">
        <f ca="1">IFERROR(__xludf.DUMMYFUNCTION("""COMPUTED_VALUE"""),"ita")</f>
        <v>ita</v>
      </c>
      <c r="C6609" s="2" t="str">
        <f ca="1">IFERROR(__xludf.DUMMYFUNCTION("""COMPUTED_VALUE"""),"Italian National Football Team Fan Token")</f>
        <v>Italian National Football Team Fan Token</v>
      </c>
    </row>
    <row r="6610" spans="1:3" x14ac:dyDescent="0.25">
      <c r="A6610" s="2" t="str">
        <f ca="1">IFERROR(__xludf.DUMMYFUNCTION("""COMPUTED_VALUE"""),"itam-games")</f>
        <v>itam-games</v>
      </c>
      <c r="B6610" s="2" t="str">
        <f ca="1">IFERROR(__xludf.DUMMYFUNCTION("""COMPUTED_VALUE"""),"itam")</f>
        <v>itam</v>
      </c>
      <c r="C6610" s="2" t="str">
        <f ca="1">IFERROR(__xludf.DUMMYFUNCTION("""COMPUTED_VALUE"""),"ITAM Games")</f>
        <v>ITAM Games</v>
      </c>
    </row>
    <row r="6611" spans="1:3" x14ac:dyDescent="0.25">
      <c r="A6611" s="2" t="str">
        <f ca="1">IFERROR(__xludf.DUMMYFUNCTION("""COMPUTED_VALUE"""),"itc")</f>
        <v>itc</v>
      </c>
      <c r="B6611" s="2" t="str">
        <f ca="1">IFERROR(__xludf.DUMMYFUNCTION("""COMPUTED_VALUE"""),"itc")</f>
        <v>itc</v>
      </c>
      <c r="C6611" s="2" t="str">
        <f ca="1">IFERROR(__xludf.DUMMYFUNCTION("""COMPUTED_VALUE"""),"ITC")</f>
        <v>ITC</v>
      </c>
    </row>
    <row r="6612" spans="1:3" x14ac:dyDescent="0.25">
      <c r="A6612" s="2" t="str">
        <f ca="1">IFERROR(__xludf.DUMMYFUNCTION("""COMPUTED_VALUE"""),"itemverse")</f>
        <v>itemverse</v>
      </c>
      <c r="B6612" s="2" t="str">
        <f ca="1">IFERROR(__xludf.DUMMYFUNCTION("""COMPUTED_VALUE"""),"item")</f>
        <v>item</v>
      </c>
      <c r="C6612" s="2" t="str">
        <f ca="1">IFERROR(__xludf.DUMMYFUNCTION("""COMPUTED_VALUE"""),"ITEMVERSE")</f>
        <v>ITEMVERSE</v>
      </c>
    </row>
    <row r="6613" spans="1:3" x14ac:dyDescent="0.25">
      <c r="A6613" s="2" t="str">
        <f ca="1">IFERROR(__xludf.DUMMYFUNCTION("""COMPUTED_VALUE"""),"itheum")</f>
        <v>itheum</v>
      </c>
      <c r="B6613" s="2" t="str">
        <f ca="1">IFERROR(__xludf.DUMMYFUNCTION("""COMPUTED_VALUE"""),"itheum")</f>
        <v>itheum</v>
      </c>
      <c r="C6613" s="2" t="str">
        <f ca="1">IFERROR(__xludf.DUMMYFUNCTION("""COMPUTED_VALUE"""),"Itheum")</f>
        <v>Itheum</v>
      </c>
    </row>
    <row r="6614" spans="1:3" x14ac:dyDescent="0.25">
      <c r="A6614" s="2" t="str">
        <f ca="1">IFERROR(__xludf.DUMMYFUNCTION("""COMPUTED_VALUE"""),"ito")</f>
        <v>ito</v>
      </c>
      <c r="B6614" s="2" t="str">
        <f ca="1">IFERROR(__xludf.DUMMYFUNCTION("""COMPUTED_VALUE"""),"$ito")</f>
        <v>$ito</v>
      </c>
      <c r="C6614" s="2" t="str">
        <f ca="1">IFERROR(__xludf.DUMMYFUNCTION("""COMPUTED_VALUE"""),"ITO")</f>
        <v>ITO</v>
      </c>
    </row>
    <row r="6615" spans="1:3" x14ac:dyDescent="0.25">
      <c r="A6615" s="2" t="str">
        <f ca="1">IFERROR(__xludf.DUMMYFUNCTION("""COMPUTED_VALUE"""),"itronix")</f>
        <v>itronix</v>
      </c>
      <c r="B6615" s="2" t="str">
        <f ca="1">IFERROR(__xludf.DUMMYFUNCTION("""COMPUTED_VALUE"""),"itx")</f>
        <v>itx</v>
      </c>
      <c r="C6615" s="2" t="str">
        <f ca="1">IFERROR(__xludf.DUMMYFUNCTION("""COMPUTED_VALUE"""),"ITRONIX")</f>
        <v>ITRONIX</v>
      </c>
    </row>
    <row r="6616" spans="1:3" x14ac:dyDescent="0.25">
      <c r="A6616" s="2" t="str">
        <f ca="1">IFERROR(__xludf.DUMMYFUNCTION("""COMPUTED_VALUE"""),"its-as-shrimple-as-that")</f>
        <v>its-as-shrimple-as-that</v>
      </c>
      <c r="B6616" s="2" t="str">
        <f ca="1">IFERROR(__xludf.DUMMYFUNCTION("""COMPUTED_VALUE"""),"shrimple")</f>
        <v>shrimple</v>
      </c>
      <c r="C6616" s="2" t="str">
        <f ca="1">IFERROR(__xludf.DUMMYFUNCTION("""COMPUTED_VALUE"""),"its as shrimple as that")</f>
        <v>its as shrimple as that</v>
      </c>
    </row>
    <row r="6617" spans="1:3" x14ac:dyDescent="0.25">
      <c r="A6617" s="2" t="str">
        <f ca="1">IFERROR(__xludf.DUMMYFUNCTION("""COMPUTED_VALUE"""),"itsbloc")</f>
        <v>itsbloc</v>
      </c>
      <c r="B6617" s="2" t="str">
        <f ca="1">IFERROR(__xludf.DUMMYFUNCTION("""COMPUTED_VALUE"""),"itsb")</f>
        <v>itsb</v>
      </c>
      <c r="C6617" s="2" t="str">
        <f ca="1">IFERROR(__xludf.DUMMYFUNCTION("""COMPUTED_VALUE"""),"ITSBLOC")</f>
        <v>ITSBLOC</v>
      </c>
    </row>
    <row r="6618" spans="1:3" x14ac:dyDescent="0.25">
      <c r="A6618" s="2" t="str">
        <f ca="1">IFERROR(__xludf.DUMMYFUNCTION("""COMPUTED_VALUE"""),"it-s-just-a-rock")</f>
        <v>it-s-just-a-rock</v>
      </c>
      <c r="B6618" s="2" t="str">
        <f ca="1">IFERROR(__xludf.DUMMYFUNCTION("""COMPUTED_VALUE"""),"rock")</f>
        <v>rock</v>
      </c>
      <c r="C6618" s="2" t="str">
        <f ca="1">IFERROR(__xludf.DUMMYFUNCTION("""COMPUTED_VALUE"""),"Rock")</f>
        <v>Rock</v>
      </c>
    </row>
    <row r="6619" spans="1:3" x14ac:dyDescent="0.25">
      <c r="A6619" s="2" t="str">
        <f ca="1">IFERROR(__xludf.DUMMYFUNCTION("""COMPUTED_VALUE"""),"it-s-so-over")</f>
        <v>it-s-so-over</v>
      </c>
      <c r="B6619" s="2" t="str">
        <f ca="1">IFERROR(__xludf.DUMMYFUNCTION("""COMPUTED_VALUE"""),"over")</f>
        <v>over</v>
      </c>
      <c r="C6619" s="2" t="str">
        <f ca="1">IFERROR(__xludf.DUMMYFUNCTION("""COMPUTED_VALUE"""),"It's so over")</f>
        <v>It's so over</v>
      </c>
    </row>
    <row r="6620" spans="1:3" x14ac:dyDescent="0.25">
      <c r="A6620" s="2" t="str">
        <f ca="1">IFERROR(__xludf.DUMMYFUNCTION("""COMPUTED_VALUE"""),"iucn-coin")</f>
        <v>iucn-coin</v>
      </c>
      <c r="B6620" s="2" t="str">
        <f ca="1">IFERROR(__xludf.DUMMYFUNCTION("""COMPUTED_VALUE"""),"iucn")</f>
        <v>iucn</v>
      </c>
      <c r="C6620" s="2" t="str">
        <f ca="1">IFERROR(__xludf.DUMMYFUNCTION("""COMPUTED_VALUE"""),"IUCN Coin")</f>
        <v>IUCN Coin</v>
      </c>
    </row>
    <row r="6621" spans="1:3" x14ac:dyDescent="0.25">
      <c r="A6621" s="2" t="str">
        <f ca="1">IFERROR(__xludf.DUMMYFUNCTION("""COMPUTED_VALUE"""),"iusd")</f>
        <v>iusd</v>
      </c>
      <c r="B6621" s="2" t="str">
        <f ca="1">IFERROR(__xludf.DUMMYFUNCTION("""COMPUTED_VALUE"""),"iusd")</f>
        <v>iusd</v>
      </c>
      <c r="C6621" s="2" t="str">
        <f ca="1">IFERROR(__xludf.DUMMYFUNCTION("""COMPUTED_VALUE"""),"Indigo Protocol iUSD")</f>
        <v>Indigo Protocol iUSD</v>
      </c>
    </row>
    <row r="6622" spans="1:3" x14ac:dyDescent="0.25">
      <c r="A6622" s="2" t="str">
        <f ca="1">IFERROR(__xludf.DUMMYFUNCTION("""COMPUTED_VALUE"""),"iustitia-coin")</f>
        <v>iustitia-coin</v>
      </c>
      <c r="B6622" s="2" t="str">
        <f ca="1">IFERROR(__xludf.DUMMYFUNCTION("""COMPUTED_VALUE"""),"ius")</f>
        <v>ius</v>
      </c>
      <c r="C6622" s="2" t="str">
        <f ca="1">IFERROR(__xludf.DUMMYFUNCTION("""COMPUTED_VALUE"""),"Iustitia Coin")</f>
        <v>Iustitia Coin</v>
      </c>
    </row>
    <row r="6623" spans="1:3" x14ac:dyDescent="0.25">
      <c r="A6623" s="2" t="str">
        <f ca="1">IFERROR(__xludf.DUMMYFUNCTION("""COMPUTED_VALUE"""),"ivendpay")</f>
        <v>ivendpay</v>
      </c>
      <c r="B6623" s="2" t="str">
        <f ca="1">IFERROR(__xludf.DUMMYFUNCTION("""COMPUTED_VALUE"""),"ivpay")</f>
        <v>ivpay</v>
      </c>
      <c r="C6623" s="2" t="str">
        <f ca="1">IFERROR(__xludf.DUMMYFUNCTION("""COMPUTED_VALUE"""),"ivendPay")</f>
        <v>ivendPay</v>
      </c>
    </row>
    <row r="6624" spans="1:3" x14ac:dyDescent="0.25">
      <c r="A6624" s="2" t="str">
        <f ca="1">IFERROR(__xludf.DUMMYFUNCTION("""COMPUTED_VALUE"""),"ivex")</f>
        <v>ivex</v>
      </c>
      <c r="B6624" s="2" t="str">
        <f ca="1">IFERROR(__xludf.DUMMYFUNCTION("""COMPUTED_VALUE"""),"ivex")</f>
        <v>ivex</v>
      </c>
      <c r="C6624" s="2" t="str">
        <f ca="1">IFERROR(__xludf.DUMMYFUNCTION("""COMPUTED_VALUE"""),"IVEX")</f>
        <v>IVEX</v>
      </c>
    </row>
    <row r="6625" spans="1:3" x14ac:dyDescent="0.25">
      <c r="A6625" s="2" t="str">
        <f ca="1">IFERROR(__xludf.DUMMYFUNCTION("""COMPUTED_VALUE"""),"ivipcoin")</f>
        <v>ivipcoin</v>
      </c>
      <c r="B6625" s="2" t="str">
        <f ca="1">IFERROR(__xludf.DUMMYFUNCTION("""COMPUTED_VALUE"""),"ivip")</f>
        <v>ivip</v>
      </c>
      <c r="C6625" s="2" t="str">
        <f ca="1">IFERROR(__xludf.DUMMYFUNCTION("""COMPUTED_VALUE"""),"iVipCoin")</f>
        <v>iVipCoin</v>
      </c>
    </row>
    <row r="6626" spans="1:3" x14ac:dyDescent="0.25">
      <c r="A6626" s="2" t="str">
        <f ca="1">IFERROR(__xludf.DUMMYFUNCTION("""COMPUTED_VALUE"""),"ivy-live")</f>
        <v>ivy-live</v>
      </c>
      <c r="B6626" s="2" t="str">
        <f ca="1">IFERROR(__xludf.DUMMYFUNCTION("""COMPUTED_VALUE"""),"ivy")</f>
        <v>ivy</v>
      </c>
      <c r="C6626" s="2" t="str">
        <f ca="1">IFERROR(__xludf.DUMMYFUNCTION("""COMPUTED_VALUE"""),"Ivy Live")</f>
        <v>Ivy Live</v>
      </c>
    </row>
    <row r="6627" spans="1:3" x14ac:dyDescent="0.25">
      <c r="A6627" s="2" t="str">
        <f ca="1">IFERROR(__xludf.DUMMYFUNCTION("""COMPUTED_VALUE"""),"ivy-trading-system")</f>
        <v>ivy-trading-system</v>
      </c>
      <c r="B6627" s="2" t="str">
        <f ca="1">IFERROR(__xludf.DUMMYFUNCTION("""COMPUTED_VALUE"""),"ivy")</f>
        <v>ivy</v>
      </c>
      <c r="C6627" s="2" t="str">
        <f ca="1">IFERROR(__xludf.DUMMYFUNCTION("""COMPUTED_VALUE"""),"IVY Trading System")</f>
        <v>IVY Trading System</v>
      </c>
    </row>
    <row r="6628" spans="1:3" x14ac:dyDescent="0.25">
      <c r="A6628" s="2" t="str">
        <f ca="1">IFERROR(__xludf.DUMMYFUNCTION("""COMPUTED_VALUE"""),"i-will-poop-it-nft")</f>
        <v>i-will-poop-it-nft</v>
      </c>
      <c r="B6628" s="2" t="str">
        <f ca="1">IFERROR(__xludf.DUMMYFUNCTION("""COMPUTED_VALUE"""),"shit")</f>
        <v>shit</v>
      </c>
      <c r="C6628" s="2" t="str">
        <f ca="1">IFERROR(__xludf.DUMMYFUNCTION("""COMPUTED_VALUE"""),"I will poop it NFT")</f>
        <v>I will poop it NFT</v>
      </c>
    </row>
    <row r="6629" spans="1:3" x14ac:dyDescent="0.25">
      <c r="A6629" s="2" t="str">
        <f ca="1">IFERROR(__xludf.DUMMYFUNCTION("""COMPUTED_VALUE"""),"ixcoin")</f>
        <v>ixcoin</v>
      </c>
      <c r="B6629" s="2" t="str">
        <f ca="1">IFERROR(__xludf.DUMMYFUNCTION("""COMPUTED_VALUE"""),"ixc")</f>
        <v>ixc</v>
      </c>
      <c r="C6629" s="2" t="str">
        <f ca="1">IFERROR(__xludf.DUMMYFUNCTION("""COMPUTED_VALUE"""),"Ixcoin")</f>
        <v>Ixcoin</v>
      </c>
    </row>
    <row r="6630" spans="1:3" x14ac:dyDescent="0.25">
      <c r="A6630" s="2" t="str">
        <f ca="1">IFERROR(__xludf.DUMMYFUNCTION("""COMPUTED_VALUE"""),"ixicash")</f>
        <v>ixicash</v>
      </c>
      <c r="B6630" s="2" t="str">
        <f ca="1">IFERROR(__xludf.DUMMYFUNCTION("""COMPUTED_VALUE"""),"ixi")</f>
        <v>ixi</v>
      </c>
      <c r="C6630" s="2" t="str">
        <f ca="1">IFERROR(__xludf.DUMMYFUNCTION("""COMPUTED_VALUE"""),"IXI")</f>
        <v>IXI</v>
      </c>
    </row>
    <row r="6631" spans="1:3" x14ac:dyDescent="0.25">
      <c r="A6631" s="2" t="str">
        <f ca="1">IFERROR(__xludf.DUMMYFUNCTION("""COMPUTED_VALUE"""),"ixirswap")</f>
        <v>ixirswap</v>
      </c>
      <c r="B6631" s="2" t="str">
        <f ca="1">IFERROR(__xludf.DUMMYFUNCTION("""COMPUTED_VALUE"""),"ixir")</f>
        <v>ixir</v>
      </c>
      <c r="C6631" s="2" t="str">
        <f ca="1">IFERROR(__xludf.DUMMYFUNCTION("""COMPUTED_VALUE"""),"IXIR")</f>
        <v>IXIR</v>
      </c>
    </row>
    <row r="6632" spans="1:3" x14ac:dyDescent="0.25">
      <c r="A6632" s="2" t="str">
        <f ca="1">IFERROR(__xludf.DUMMYFUNCTION("""COMPUTED_VALUE"""),"ixo")</f>
        <v>ixo</v>
      </c>
      <c r="B6632" s="2" t="str">
        <f ca="1">IFERROR(__xludf.DUMMYFUNCTION("""COMPUTED_VALUE"""),"ixo")</f>
        <v>ixo</v>
      </c>
      <c r="C6632" s="2" t="str">
        <f ca="1">IFERROR(__xludf.DUMMYFUNCTION("""COMPUTED_VALUE"""),"IXO")</f>
        <v>IXO</v>
      </c>
    </row>
    <row r="6633" spans="1:3" x14ac:dyDescent="0.25">
      <c r="A6633" s="2" t="str">
        <f ca="1">IFERROR(__xludf.DUMMYFUNCTION("""COMPUTED_VALUE"""),"ix-swap")</f>
        <v>ix-swap</v>
      </c>
      <c r="B6633" s="2" t="str">
        <f ca="1">IFERROR(__xludf.DUMMYFUNCTION("""COMPUTED_VALUE"""),"ixs")</f>
        <v>ixs</v>
      </c>
      <c r="C6633" s="2" t="str">
        <f ca="1">IFERROR(__xludf.DUMMYFUNCTION("""COMPUTED_VALUE"""),"IX Swap")</f>
        <v>IX Swap</v>
      </c>
    </row>
    <row r="6634" spans="1:3" x14ac:dyDescent="0.25">
      <c r="A6634" s="2" t="str">
        <f ca="1">IFERROR(__xludf.DUMMYFUNCTION("""COMPUTED_VALUE"""),"ix-token")</f>
        <v>ix-token</v>
      </c>
      <c r="B6634" s="2" t="str">
        <f ca="1">IFERROR(__xludf.DUMMYFUNCTION("""COMPUTED_VALUE"""),"ixt")</f>
        <v>ixt</v>
      </c>
      <c r="C6634" s="2" t="str">
        <f ca="1">IFERROR(__xludf.DUMMYFUNCTION("""COMPUTED_VALUE"""),"Planet IX")</f>
        <v>Planet IX</v>
      </c>
    </row>
    <row r="6635" spans="1:3" x14ac:dyDescent="0.25">
      <c r="A6635" s="2" t="str">
        <f ca="1">IFERROR(__xludf.DUMMYFUNCTION("""COMPUTED_VALUE"""),"iykyk")</f>
        <v>iykyk</v>
      </c>
      <c r="B6635" s="2" t="str">
        <f ca="1">IFERROR(__xludf.DUMMYFUNCTION("""COMPUTED_VALUE"""),"iykyk")</f>
        <v>iykyk</v>
      </c>
      <c r="C6635" s="2" t="str">
        <f ca="1">IFERROR(__xludf.DUMMYFUNCTION("""COMPUTED_VALUE"""),"IYKYK")</f>
        <v>IYKYK</v>
      </c>
    </row>
    <row r="6636" spans="1:3" x14ac:dyDescent="0.25">
      <c r="A6636" s="2" t="str">
        <f ca="1">IFERROR(__xludf.DUMMYFUNCTION("""COMPUTED_VALUE"""),"izumi-bond-usd")</f>
        <v>izumi-bond-usd</v>
      </c>
      <c r="B6636" s="2" t="str">
        <f ca="1">IFERROR(__xludf.DUMMYFUNCTION("""COMPUTED_VALUE"""),"iusd")</f>
        <v>iusd</v>
      </c>
      <c r="C6636" s="2" t="str">
        <f ca="1">IFERROR(__xludf.DUMMYFUNCTION("""COMPUTED_VALUE"""),"iZUMi Bond USD")</f>
        <v>iZUMi Bond USD</v>
      </c>
    </row>
    <row r="6637" spans="1:3" x14ac:dyDescent="0.25">
      <c r="A6637" s="2" t="str">
        <f ca="1">IFERROR(__xludf.DUMMYFUNCTION("""COMPUTED_VALUE"""),"izumi-finance")</f>
        <v>izumi-finance</v>
      </c>
      <c r="B6637" s="2" t="str">
        <f ca="1">IFERROR(__xludf.DUMMYFUNCTION("""COMPUTED_VALUE"""),"izi")</f>
        <v>izi</v>
      </c>
      <c r="C6637" s="2" t="str">
        <f ca="1">IFERROR(__xludf.DUMMYFUNCTION("""COMPUTED_VALUE"""),"iZUMi Finance")</f>
        <v>iZUMi Finance</v>
      </c>
    </row>
    <row r="6638" spans="1:3" x14ac:dyDescent="0.25">
      <c r="A6638" s="2" t="str">
        <f ca="1">IFERROR(__xludf.DUMMYFUNCTION("""COMPUTED_VALUE"""),"izzy")</f>
        <v>izzy</v>
      </c>
      <c r="B6638" s="2" t="str">
        <f ca="1">IFERROR(__xludf.DUMMYFUNCTION("""COMPUTED_VALUE"""),"izzy")</f>
        <v>izzy</v>
      </c>
      <c r="C6638" s="2" t="str">
        <f ca="1">IFERROR(__xludf.DUMMYFUNCTION("""COMPUTED_VALUE"""),"Izzy")</f>
        <v>Izzy</v>
      </c>
    </row>
    <row r="6639" spans="1:3" x14ac:dyDescent="0.25">
      <c r="A6639" s="2" t="str">
        <f ca="1">IFERROR(__xludf.DUMMYFUNCTION("""COMPUTED_VALUE"""),"jable")</f>
        <v>jable</v>
      </c>
      <c r="B6639" s="2" t="str">
        <f ca="1">IFERROR(__xludf.DUMMYFUNCTION("""COMPUTED_VALUE"""),"jab")</f>
        <v>jab</v>
      </c>
      <c r="C6639" s="2" t="str">
        <f ca="1">IFERROR(__xludf.DUMMYFUNCTION("""COMPUTED_VALUE"""),"Jable")</f>
        <v>Jable</v>
      </c>
    </row>
    <row r="6640" spans="1:3" x14ac:dyDescent="0.25">
      <c r="A6640" s="2" t="str">
        <f ca="1">IFERROR(__xludf.DUMMYFUNCTION("""COMPUTED_VALUE"""),"jace")</f>
        <v>jace</v>
      </c>
      <c r="B6640" s="2" t="str">
        <f ca="1">IFERROR(__xludf.DUMMYFUNCTION("""COMPUTED_VALUE"""),"jace")</f>
        <v>jace</v>
      </c>
      <c r="C6640" s="2" t="str">
        <f ca="1">IFERROR(__xludf.DUMMYFUNCTION("""COMPUTED_VALUE"""),"Jace")</f>
        <v>Jace</v>
      </c>
    </row>
    <row r="6641" spans="1:3" x14ac:dyDescent="0.25">
      <c r="A6641" s="2" t="str">
        <f ca="1">IFERROR(__xludf.DUMMYFUNCTION("""COMPUTED_VALUE"""),"jack")</f>
        <v>jack</v>
      </c>
      <c r="B6641" s="2" t="str">
        <f ca="1">IFERROR(__xludf.DUMMYFUNCTION("""COMPUTED_VALUE"""),"jack")</f>
        <v>jack</v>
      </c>
      <c r="C6641" s="2" t="str">
        <f ca="1">IFERROR(__xludf.DUMMYFUNCTION("""COMPUTED_VALUE"""),"JACK")</f>
        <v>JACK</v>
      </c>
    </row>
    <row r="6642" spans="1:3" x14ac:dyDescent="0.25">
      <c r="A6642" s="2" t="str">
        <f ca="1">IFERROR(__xludf.DUMMYFUNCTION("""COMPUTED_VALUE"""),"jackal-protocol")</f>
        <v>jackal-protocol</v>
      </c>
      <c r="B6642" s="2" t="str">
        <f ca="1">IFERROR(__xludf.DUMMYFUNCTION("""COMPUTED_VALUE"""),"jkl")</f>
        <v>jkl</v>
      </c>
      <c r="C6642" s="2" t="str">
        <f ca="1">IFERROR(__xludf.DUMMYFUNCTION("""COMPUTED_VALUE"""),"Jackal Protocol")</f>
        <v>Jackal Protocol</v>
      </c>
    </row>
    <row r="6643" spans="1:3" x14ac:dyDescent="0.25">
      <c r="A6643" s="2" t="str">
        <f ca="1">IFERROR(__xludf.DUMMYFUNCTION("""COMPUTED_VALUE"""),"jackbot")</f>
        <v>jackbot</v>
      </c>
      <c r="B6643" s="2" t="str">
        <f ca="1">IFERROR(__xludf.DUMMYFUNCTION("""COMPUTED_VALUE"""),"jbot")</f>
        <v>jbot</v>
      </c>
      <c r="C6643" s="2" t="str">
        <f ca="1">IFERROR(__xludf.DUMMYFUNCTION("""COMPUTED_VALUE"""),"JACKBOT")</f>
        <v>JACKBOT</v>
      </c>
    </row>
    <row r="6644" spans="1:3" x14ac:dyDescent="0.25">
      <c r="A6644" s="2" t="str">
        <f ca="1">IFERROR(__xludf.DUMMYFUNCTION("""COMPUTED_VALUE"""),"jackpool-finance")</f>
        <v>jackpool-finance</v>
      </c>
      <c r="B6644" s="2" t="str">
        <f ca="1">IFERROR(__xludf.DUMMYFUNCTION("""COMPUTED_VALUE"""),"jfi")</f>
        <v>jfi</v>
      </c>
      <c r="C6644" s="2" t="str">
        <f ca="1">IFERROR(__xludf.DUMMYFUNCTION("""COMPUTED_VALUE"""),"JackPool.finance")</f>
        <v>JackPool.finance</v>
      </c>
    </row>
    <row r="6645" spans="1:3" x14ac:dyDescent="0.25">
      <c r="A6645" s="2" t="str">
        <f ca="1">IFERROR(__xludf.DUMMYFUNCTION("""COMPUTED_VALUE"""),"jackpot")</f>
        <v>jackpot</v>
      </c>
      <c r="B6645" s="2" t="str">
        <f ca="1">IFERROR(__xludf.DUMMYFUNCTION("""COMPUTED_VALUE"""),"777")</f>
        <v>777</v>
      </c>
      <c r="C6645" s="2" t="str">
        <f ca="1">IFERROR(__xludf.DUMMYFUNCTION("""COMPUTED_VALUE"""),"Jackpot")</f>
        <v>Jackpot</v>
      </c>
    </row>
    <row r="6646" spans="1:3" x14ac:dyDescent="0.25">
      <c r="A6646" s="2" t="str">
        <f ca="1">IFERROR(__xludf.DUMMYFUNCTION("""COMPUTED_VALUE"""),"jackpot-on-solana")</f>
        <v>jackpot-on-solana</v>
      </c>
      <c r="B6646" s="2" t="str">
        <f ca="1">IFERROR(__xludf.DUMMYFUNCTION("""COMPUTED_VALUE"""),"jackpot")</f>
        <v>jackpot</v>
      </c>
      <c r="C6646" s="2" t="str">
        <f ca="1">IFERROR(__xludf.DUMMYFUNCTION("""COMPUTED_VALUE"""),"Jackpot on Solana")</f>
        <v>Jackpot on Solana</v>
      </c>
    </row>
    <row r="6647" spans="1:3" x14ac:dyDescent="0.25">
      <c r="A6647" s="2" t="str">
        <f ca="1">IFERROR(__xludf.DUMMYFUNCTION("""COMPUTED_VALUE"""),"jack-the-goat")</f>
        <v>jack-the-goat</v>
      </c>
      <c r="B6647" s="2" t="str">
        <f ca="1">IFERROR(__xludf.DUMMYFUNCTION("""COMPUTED_VALUE"""),"jack")</f>
        <v>jack</v>
      </c>
      <c r="C6647" s="2" t="str">
        <f ca="1">IFERROR(__xludf.DUMMYFUNCTION("""COMPUTED_VALUE"""),"Jack The Goat")</f>
        <v>Jack The Goat</v>
      </c>
    </row>
    <row r="6648" spans="1:3" x14ac:dyDescent="0.25">
      <c r="A6648" s="2" t="str">
        <f ca="1">IFERROR(__xludf.DUMMYFUNCTION("""COMPUTED_VALUE"""),"jacky")</f>
        <v>jacky</v>
      </c>
      <c r="B6648" s="2" t="str">
        <f ca="1">IFERROR(__xludf.DUMMYFUNCTION("""COMPUTED_VALUE"""),"$jacky")</f>
        <v>$jacky</v>
      </c>
      <c r="C6648" s="2" t="str">
        <f ca="1">IFERROR(__xludf.DUMMYFUNCTION("""COMPUTED_VALUE"""),"jacky")</f>
        <v>jacky</v>
      </c>
    </row>
    <row r="6649" spans="1:3" x14ac:dyDescent="0.25">
      <c r="A6649" s="2" t="str">
        <f ca="1">IFERROR(__xludf.DUMMYFUNCTION("""COMPUTED_VALUE"""),"jacy")</f>
        <v>jacy</v>
      </c>
      <c r="B6649" s="2" t="str">
        <f ca="1">IFERROR(__xludf.DUMMYFUNCTION("""COMPUTED_VALUE"""),"jacy")</f>
        <v>jacy</v>
      </c>
      <c r="C6649" s="2" t="str">
        <f ca="1">IFERROR(__xludf.DUMMYFUNCTION("""COMPUTED_VALUE"""),"JACY")</f>
        <v>JACY</v>
      </c>
    </row>
    <row r="6650" spans="1:3" x14ac:dyDescent="0.25">
      <c r="A6650" s="2" t="str">
        <f ca="1">IFERROR(__xludf.DUMMYFUNCTION("""COMPUTED_VALUE"""),"jade")</f>
        <v>jade</v>
      </c>
      <c r="B6650" s="2" t="str">
        <f ca="1">IFERROR(__xludf.DUMMYFUNCTION("""COMPUTED_VALUE"""),"jade")</f>
        <v>jade</v>
      </c>
      <c r="C6650" s="2" t="str">
        <f ca="1">IFERROR(__xludf.DUMMYFUNCTION("""COMPUTED_VALUE"""),"DeFi Kingdoms Jade")</f>
        <v>DeFi Kingdoms Jade</v>
      </c>
    </row>
    <row r="6651" spans="1:3" x14ac:dyDescent="0.25">
      <c r="A6651" s="2" t="str">
        <f ca="1">IFERROR(__xludf.DUMMYFUNCTION("""COMPUTED_VALUE"""),"jade-currency")</f>
        <v>jade-currency</v>
      </c>
      <c r="B6651" s="2" t="str">
        <f ca="1">IFERROR(__xludf.DUMMYFUNCTION("""COMPUTED_VALUE"""),"jade")</f>
        <v>jade</v>
      </c>
      <c r="C6651" s="2" t="str">
        <f ca="1">IFERROR(__xludf.DUMMYFUNCTION("""COMPUTED_VALUE"""),"Jade Currency")</f>
        <v>Jade Currency</v>
      </c>
    </row>
    <row r="6652" spans="1:3" x14ac:dyDescent="0.25">
      <c r="A6652" s="2" t="str">
        <f ca="1">IFERROR(__xludf.DUMMYFUNCTION("""COMPUTED_VALUE"""),"jaderoll")</f>
        <v>jaderoll</v>
      </c>
      <c r="B6652" s="2" t="str">
        <f ca="1">IFERROR(__xludf.DUMMYFUNCTION("""COMPUTED_VALUE"""),"jade")</f>
        <v>jade</v>
      </c>
      <c r="C6652" s="2" t="str">
        <f ca="1">IFERROR(__xludf.DUMMYFUNCTION("""COMPUTED_VALUE"""),"Jaderoll")</f>
        <v>Jaderoll</v>
      </c>
    </row>
    <row r="6653" spans="1:3" x14ac:dyDescent="0.25">
      <c r="A6653" s="2" t="str">
        <f ca="1">IFERROR(__xludf.DUMMYFUNCTION("""COMPUTED_VALUE"""),"jaiho-crypto")</f>
        <v>jaiho-crypto</v>
      </c>
      <c r="B6653" s="2" t="str">
        <f ca="1">IFERROR(__xludf.DUMMYFUNCTION("""COMPUTED_VALUE"""),"jaiho")</f>
        <v>jaiho</v>
      </c>
      <c r="C6653" s="2" t="str">
        <f ca="1">IFERROR(__xludf.DUMMYFUNCTION("""COMPUTED_VALUE"""),"Jaiho Crypto")</f>
        <v>Jaiho Crypto</v>
      </c>
    </row>
    <row r="6654" spans="1:3" x14ac:dyDescent="0.25">
      <c r="A6654" s="2" t="str">
        <f ca="1">IFERROR(__xludf.DUMMYFUNCTION("""COMPUTED_VALUE"""),"jail")</f>
        <v>jail</v>
      </c>
      <c r="B6654" s="2" t="str">
        <f ca="1">IFERROR(__xludf.DUMMYFUNCTION("""COMPUTED_VALUE"""),"jail")</f>
        <v>jail</v>
      </c>
      <c r="C6654" s="2" t="str">
        <f ca="1">IFERROR(__xludf.DUMMYFUNCTION("""COMPUTED_VALUE"""),"JAIL")</f>
        <v>JAIL</v>
      </c>
    </row>
    <row r="6655" spans="1:3" x14ac:dyDescent="0.25">
      <c r="A6655" s="2" t="str">
        <f ca="1">IFERROR(__xludf.DUMMYFUNCTION("""COMPUTED_VALUE"""),"jail-cat")</f>
        <v>jail-cat</v>
      </c>
      <c r="B6655" s="2" t="str">
        <f ca="1">IFERROR(__xludf.DUMMYFUNCTION("""COMPUTED_VALUE"""),"cuff")</f>
        <v>cuff</v>
      </c>
      <c r="C6655" s="2" t="str">
        <f ca="1">IFERROR(__xludf.DUMMYFUNCTION("""COMPUTED_VALUE"""),"Jail Cat")</f>
        <v>Jail Cat</v>
      </c>
    </row>
    <row r="6656" spans="1:3" x14ac:dyDescent="0.25">
      <c r="A6656" s="2" t="str">
        <f ca="1">IFERROR(__xludf.DUMMYFUNCTION("""COMPUTED_VALUE"""),"jake-newman-enterprises")</f>
        <v>jake-newman-enterprises</v>
      </c>
      <c r="B6656" s="2" t="str">
        <f ca="1">IFERROR(__xludf.DUMMYFUNCTION("""COMPUTED_VALUE"""),"jne")</f>
        <v>jne</v>
      </c>
      <c r="C6656" s="2" t="str">
        <f ca="1">IFERROR(__xludf.DUMMYFUNCTION("""COMPUTED_VALUE"""),"Jake Newman Enterprises")</f>
        <v>Jake Newman Enterprises</v>
      </c>
    </row>
    <row r="6657" spans="1:3" x14ac:dyDescent="0.25">
      <c r="A6657" s="2" t="str">
        <f ca="1">IFERROR(__xludf.DUMMYFUNCTION("""COMPUTED_VALUE"""),"jalapeno-finance")</f>
        <v>jalapeno-finance</v>
      </c>
      <c r="B6657" s="2" t="str">
        <f ca="1">IFERROR(__xludf.DUMMYFUNCTION("""COMPUTED_VALUE"""),"jala")</f>
        <v>jala</v>
      </c>
      <c r="C6657" s="2" t="str">
        <f ca="1">IFERROR(__xludf.DUMMYFUNCTION("""COMPUTED_VALUE"""),"Jalapeno Finance")</f>
        <v>Jalapeno Finance</v>
      </c>
    </row>
    <row r="6658" spans="1:3" x14ac:dyDescent="0.25">
      <c r="A6658" s="2" t="str">
        <f ca="1">IFERROR(__xludf.DUMMYFUNCTION("""COMPUTED_VALUE"""),"jani")</f>
        <v>jani</v>
      </c>
      <c r="B6658" s="2" t="str">
        <f ca="1">IFERROR(__xludf.DUMMYFUNCTION("""COMPUTED_VALUE"""),"jani")</f>
        <v>jani</v>
      </c>
      <c r="C6658" s="2" t="str">
        <f ca="1">IFERROR(__xludf.DUMMYFUNCTION("""COMPUTED_VALUE"""),"JANI")</f>
        <v>JANI</v>
      </c>
    </row>
    <row r="6659" spans="1:3" x14ac:dyDescent="0.25">
      <c r="A6659" s="2" t="str">
        <f ca="1">IFERROR(__xludf.DUMMYFUNCTION("""COMPUTED_VALUE"""),"janny")</f>
        <v>janny</v>
      </c>
      <c r="B6659" s="2" t="str">
        <f ca="1">IFERROR(__xludf.DUMMYFUNCTION("""COMPUTED_VALUE"""),"janny")</f>
        <v>janny</v>
      </c>
      <c r="C6659" s="2" t="str">
        <f ca="1">IFERROR(__xludf.DUMMYFUNCTION("""COMPUTED_VALUE"""),"Janny")</f>
        <v>Janny</v>
      </c>
    </row>
    <row r="6660" spans="1:3" x14ac:dyDescent="0.25">
      <c r="A6660" s="1" t="str">
        <f ca="1">IFERROR(__xludf.DUMMYFUNCTION("""COMPUTED_VALUE"""),"japan-coin")</f>
        <v>japan-coin</v>
      </c>
      <c r="B6660" s="2" t="str">
        <f ca="1">IFERROR(__xludf.DUMMYFUNCTION("""COMPUTED_VALUE"""),"japan")</f>
        <v>japan</v>
      </c>
      <c r="C6660" s="2" t="str">
        <f ca="1">IFERROR(__xludf.DUMMYFUNCTION("""COMPUTED_VALUE"""),"Japan Coin")</f>
        <v>Japan Coin</v>
      </c>
    </row>
    <row r="6661" spans="1:3" x14ac:dyDescent="0.25">
      <c r="A6661" s="2" t="str">
        <f ca="1">IFERROR(__xludf.DUMMYFUNCTION("""COMPUTED_VALUE"""),"jarvis-2")</f>
        <v>jarvis-2</v>
      </c>
      <c r="B6661" s="2" t="str">
        <f ca="1">IFERROR(__xludf.DUMMYFUNCTION("""COMPUTED_VALUE"""),"jarvis")</f>
        <v>jarvis</v>
      </c>
      <c r="C6661" s="2" t="str">
        <f ca="1">IFERROR(__xludf.DUMMYFUNCTION("""COMPUTED_VALUE"""),"Jarvis")</f>
        <v>Jarvis</v>
      </c>
    </row>
    <row r="6662" spans="1:3" x14ac:dyDescent="0.25">
      <c r="A6662" s="2" t="str">
        <f ca="1">IFERROR(__xludf.DUMMYFUNCTION("""COMPUTED_VALUE"""),"jarvis-reward-token")</f>
        <v>jarvis-reward-token</v>
      </c>
      <c r="B6662" s="2" t="str">
        <f ca="1">IFERROR(__xludf.DUMMYFUNCTION("""COMPUTED_VALUE"""),"jrt")</f>
        <v>jrt</v>
      </c>
      <c r="C6662" s="2" t="str">
        <f ca="1">IFERROR(__xludf.DUMMYFUNCTION("""COMPUTED_VALUE"""),"Jarvis Reward")</f>
        <v>Jarvis Reward</v>
      </c>
    </row>
    <row r="6663" spans="1:3" x14ac:dyDescent="0.25">
      <c r="A6663" s="2" t="str">
        <f ca="1">IFERROR(__xludf.DUMMYFUNCTION("""COMPUTED_VALUE"""),"jarvis-synthetic-euro")</f>
        <v>jarvis-synthetic-euro</v>
      </c>
      <c r="B6663" s="2" t="str">
        <f ca="1">IFERROR(__xludf.DUMMYFUNCTION("""COMPUTED_VALUE"""),"jeur")</f>
        <v>jeur</v>
      </c>
      <c r="C6663" s="2" t="str">
        <f ca="1">IFERROR(__xludf.DUMMYFUNCTION("""COMPUTED_VALUE"""),"Jarvis Synthetic Euro")</f>
        <v>Jarvis Synthetic Euro</v>
      </c>
    </row>
    <row r="6664" spans="1:3" x14ac:dyDescent="0.25">
      <c r="A6664" s="2" t="str">
        <f ca="1">IFERROR(__xludf.DUMMYFUNCTION("""COMPUTED_VALUE"""),"jarvis-synthetic-swiss-franc")</f>
        <v>jarvis-synthetic-swiss-franc</v>
      </c>
      <c r="B6664" s="2" t="str">
        <f ca="1">IFERROR(__xludf.DUMMYFUNCTION("""COMPUTED_VALUE"""),"jchf")</f>
        <v>jchf</v>
      </c>
      <c r="C6664" s="2" t="str">
        <f ca="1">IFERROR(__xludf.DUMMYFUNCTION("""COMPUTED_VALUE"""),"Jarvis Synthetic Swiss Franc")</f>
        <v>Jarvis Synthetic Swiss Franc</v>
      </c>
    </row>
    <row r="6665" spans="1:3" x14ac:dyDescent="0.25">
      <c r="A6665" s="2" t="str">
        <f ca="1">IFERROR(__xludf.DUMMYFUNCTION("""COMPUTED_VALUE"""),"jaseonmun")</f>
        <v>jaseonmun</v>
      </c>
      <c r="B6665" s="2" t="str">
        <f ca="1">IFERROR(__xludf.DUMMYFUNCTION("""COMPUTED_VALUE"""),"jsm")</f>
        <v>jsm</v>
      </c>
      <c r="C6665" s="2" t="str">
        <f ca="1">IFERROR(__xludf.DUMMYFUNCTION("""COMPUTED_VALUE"""),"Joseon-Mun")</f>
        <v>Joseon-Mun</v>
      </c>
    </row>
    <row r="6666" spans="1:3" x14ac:dyDescent="0.25">
      <c r="A6666" s="2" t="str">
        <f ca="1">IFERROR(__xludf.DUMMYFUNCTION("""COMPUTED_VALUE"""),"jasmine-forwards-voluntary-rec-front-half-2024-liquidity-token")</f>
        <v>jasmine-forwards-voluntary-rec-front-half-2024-liquidity-token</v>
      </c>
      <c r="B6666" s="2" t="str">
        <f ca="1">IFERROR(__xludf.DUMMYFUNCTION("""COMPUTED_VALUE"""),"fjlt-f24")</f>
        <v>fjlt-f24</v>
      </c>
      <c r="C6666" s="2" t="str">
        <f ca="1">IFERROR(__xludf.DUMMYFUNCTION("""COMPUTED_VALUE"""),"Jasmine Forwards Voluntary REC Front-Half 2024 Liquidity Token")</f>
        <v>Jasmine Forwards Voluntary REC Front-Half 2024 Liquidity Token</v>
      </c>
    </row>
    <row r="6667" spans="1:3" x14ac:dyDescent="0.25">
      <c r="A6667" s="2" t="str">
        <f ca="1">IFERROR(__xludf.DUMMYFUNCTION("""COMPUTED_VALUE"""),"jasmycoin")</f>
        <v>jasmycoin</v>
      </c>
      <c r="B6667" s="2" t="str">
        <f ca="1">IFERROR(__xludf.DUMMYFUNCTION("""COMPUTED_VALUE"""),"jasmy")</f>
        <v>jasmy</v>
      </c>
      <c r="C6667" s="2" t="str">
        <f ca="1">IFERROR(__xludf.DUMMYFUNCTION("""COMPUTED_VALUE"""),"JasmyCoin")</f>
        <v>JasmyCoin</v>
      </c>
    </row>
    <row r="6668" spans="1:3" x14ac:dyDescent="0.25">
      <c r="A6668" s="2" t="str">
        <f ca="1">IFERROR(__xludf.DUMMYFUNCTION("""COMPUTED_VALUE"""),"jason-derulo")</f>
        <v>jason-derulo</v>
      </c>
      <c r="B6668" s="2" t="str">
        <f ca="1">IFERROR(__xludf.DUMMYFUNCTION("""COMPUTED_VALUE"""),"jason")</f>
        <v>jason</v>
      </c>
      <c r="C6668" s="2" t="str">
        <f ca="1">IFERROR(__xludf.DUMMYFUNCTION("""COMPUTED_VALUE"""),"Jason Derulo")</f>
        <v>Jason Derulo</v>
      </c>
    </row>
    <row r="6669" spans="1:3" x14ac:dyDescent="0.25">
      <c r="A6669" s="2" t="str">
        <f ca="1">IFERROR(__xludf.DUMMYFUNCTION("""COMPUTED_VALUE"""),"jason-eth")</f>
        <v>jason-eth</v>
      </c>
      <c r="B6669" s="2" t="str">
        <f ca="1">IFERROR(__xludf.DUMMYFUNCTION("""COMPUTED_VALUE"""),"jason")</f>
        <v>jason</v>
      </c>
      <c r="C6669" s="2" t="str">
        <f ca="1">IFERROR(__xludf.DUMMYFUNCTION("""COMPUTED_VALUE"""),"Jason (Eth)")</f>
        <v>Jason (Eth)</v>
      </c>
    </row>
    <row r="6670" spans="1:3" x14ac:dyDescent="0.25">
      <c r="A6670" s="2" t="str">
        <f ca="1">IFERROR(__xludf.DUMMYFUNCTION("""COMPUTED_VALUE"""),"jason-sol")</f>
        <v>jason-sol</v>
      </c>
      <c r="B6670" s="2" t="str">
        <f ca="1">IFERROR(__xludf.DUMMYFUNCTION("""COMPUTED_VALUE"""),"jason")</f>
        <v>jason</v>
      </c>
      <c r="C6670" s="2" t="str">
        <f ca="1">IFERROR(__xludf.DUMMYFUNCTION("""COMPUTED_VALUE"""),"Jason (Sol)")</f>
        <v>Jason (Sol)</v>
      </c>
    </row>
    <row r="6671" spans="1:3" x14ac:dyDescent="0.25">
      <c r="A6671" s="2" t="str">
        <f ca="1">IFERROR(__xludf.DUMMYFUNCTION("""COMPUTED_VALUE"""),"jasse-polluk")</f>
        <v>jasse-polluk</v>
      </c>
      <c r="B6671" s="2" t="str">
        <f ca="1">IFERROR(__xludf.DUMMYFUNCTION("""COMPUTED_VALUE"""),"polluk")</f>
        <v>polluk</v>
      </c>
      <c r="C6671" s="2" t="str">
        <f ca="1">IFERROR(__xludf.DUMMYFUNCTION("""COMPUTED_VALUE"""),"Jasse Polluk")</f>
        <v>Jasse Polluk</v>
      </c>
    </row>
    <row r="6672" spans="1:3" x14ac:dyDescent="0.25">
      <c r="A6672" s="2" t="str">
        <f ca="1">IFERROR(__xludf.DUMMYFUNCTION("""COMPUTED_VALUE"""),"javor-meelay")</f>
        <v>javor-meelay</v>
      </c>
      <c r="B6672" s="2" t="str">
        <f ca="1">IFERROR(__xludf.DUMMYFUNCTION("""COMPUTED_VALUE"""),"meelay")</f>
        <v>meelay</v>
      </c>
      <c r="C6672" s="2" t="str">
        <f ca="1">IFERROR(__xludf.DUMMYFUNCTION("""COMPUTED_VALUE"""),"Javor Meelay")</f>
        <v>Javor Meelay</v>
      </c>
    </row>
    <row r="6673" spans="1:3" x14ac:dyDescent="0.25">
      <c r="A6673" s="2" t="str">
        <f ca="1">IFERROR(__xludf.DUMMYFUNCTION("""COMPUTED_VALUE"""),"javsphere")</f>
        <v>javsphere</v>
      </c>
      <c r="B6673" s="2" t="str">
        <f ca="1">IFERROR(__xludf.DUMMYFUNCTION("""COMPUTED_VALUE"""),"jav")</f>
        <v>jav</v>
      </c>
      <c r="C6673" s="2" t="str">
        <f ca="1">IFERROR(__xludf.DUMMYFUNCTION("""COMPUTED_VALUE"""),"Javsphere")</f>
        <v>Javsphere</v>
      </c>
    </row>
    <row r="6674" spans="1:3" x14ac:dyDescent="0.25">
      <c r="A6674" s="2" t="str">
        <f ca="1">IFERROR(__xludf.DUMMYFUNCTION("""COMPUTED_VALUE"""),"jax-network")</f>
        <v>jax-network</v>
      </c>
      <c r="B6674" s="2" t="str">
        <f ca="1">IFERROR(__xludf.DUMMYFUNCTION("""COMPUTED_VALUE"""),"wjxn")</f>
        <v>wjxn</v>
      </c>
      <c r="C6674" s="2" t="str">
        <f ca="1">IFERROR(__xludf.DUMMYFUNCTION("""COMPUTED_VALUE"""),"Jax.Network")</f>
        <v>Jax.Network</v>
      </c>
    </row>
    <row r="6675" spans="1:3" x14ac:dyDescent="0.25">
      <c r="A6675" s="2" t="str">
        <f ca="1">IFERROR(__xludf.DUMMYFUNCTION("""COMPUTED_VALUE"""),"jaypegggers")</f>
        <v>jaypegggers</v>
      </c>
      <c r="B6675" s="2" t="str">
        <f ca="1">IFERROR(__xludf.DUMMYFUNCTION("""COMPUTED_VALUE"""),"jay")</f>
        <v>jay</v>
      </c>
      <c r="C6675" s="2" t="str">
        <f ca="1">IFERROR(__xludf.DUMMYFUNCTION("""COMPUTED_VALUE"""),"Jaypeggers")</f>
        <v>Jaypeggers</v>
      </c>
    </row>
    <row r="6676" spans="1:3" x14ac:dyDescent="0.25">
      <c r="A6676" s="2" t="str">
        <f ca="1">IFERROR(__xludf.DUMMYFUNCTION("""COMPUTED_VALUE"""),"jc-coin")</f>
        <v>jc-coin</v>
      </c>
      <c r="B6676" s="2" t="str">
        <f ca="1">IFERROR(__xludf.DUMMYFUNCTION("""COMPUTED_VALUE"""),"jcc")</f>
        <v>jcc</v>
      </c>
      <c r="C6676" s="2" t="str">
        <f ca="1">IFERROR(__xludf.DUMMYFUNCTION("""COMPUTED_VALUE"""),"JC Coin")</f>
        <v>JC Coin</v>
      </c>
    </row>
    <row r="6677" spans="1:3" x14ac:dyDescent="0.25">
      <c r="A6677" s="2" t="str">
        <f ca="1">IFERROR(__xludf.DUMMYFUNCTION("""COMPUTED_VALUE"""),"jd-coin")</f>
        <v>jd-coin</v>
      </c>
      <c r="B6677" s="2" t="str">
        <f ca="1">IFERROR(__xludf.DUMMYFUNCTION("""COMPUTED_VALUE"""),"jdc")</f>
        <v>jdc</v>
      </c>
      <c r="C6677" s="2" t="str">
        <f ca="1">IFERROR(__xludf.DUMMYFUNCTION("""COMPUTED_VALUE"""),"JD Coin")</f>
        <v>JD Coin</v>
      </c>
    </row>
    <row r="6678" spans="1:3" x14ac:dyDescent="0.25">
      <c r="A6678" s="2" t="str">
        <f ca="1">IFERROR(__xludf.DUMMYFUNCTION("""COMPUTED_VALUE"""),"jeeter-on-solana")</f>
        <v>jeeter-on-solana</v>
      </c>
      <c r="B6678" s="2" t="str">
        <f ca="1">IFERROR(__xludf.DUMMYFUNCTION("""COMPUTED_VALUE"""),"$jeet")</f>
        <v>$jeet</v>
      </c>
      <c r="C6678" s="2" t="str">
        <f ca="1">IFERROR(__xludf.DUMMYFUNCTION("""COMPUTED_VALUE"""),"Jeeter on solana")</f>
        <v>Jeeter on solana</v>
      </c>
    </row>
    <row r="6679" spans="1:3" x14ac:dyDescent="0.25">
      <c r="A6679" s="2" t="str">
        <f ca="1">IFERROR(__xludf.DUMMYFUNCTION("""COMPUTED_VALUE"""),"jefe")</f>
        <v>jefe</v>
      </c>
      <c r="B6679" s="2" t="str">
        <f ca="1">IFERROR(__xludf.DUMMYFUNCTION("""COMPUTED_VALUE"""),"jefe")</f>
        <v>jefe</v>
      </c>
      <c r="C6679" s="2" t="str">
        <f ca="1">IFERROR(__xludf.DUMMYFUNCTION("""COMPUTED_VALUE"""),"Jefe")</f>
        <v>Jefe</v>
      </c>
    </row>
    <row r="6680" spans="1:3" x14ac:dyDescent="0.25">
      <c r="A6680" s="2" t="str">
        <f ca="1">IFERROR(__xludf.DUMMYFUNCTION("""COMPUTED_VALUE"""),"jefe-2")</f>
        <v>jefe-2</v>
      </c>
      <c r="B6680" s="2" t="str">
        <f ca="1">IFERROR(__xludf.DUMMYFUNCTION("""COMPUTED_VALUE"""),"jefe")</f>
        <v>jefe</v>
      </c>
      <c r="C6680" s="2" t="str">
        <f ca="1">IFERROR(__xludf.DUMMYFUNCTION("""COMPUTED_VALUE"""),"Jefe")</f>
        <v>Jefe</v>
      </c>
    </row>
    <row r="6681" spans="1:3" x14ac:dyDescent="0.25">
      <c r="A6681" s="2" t="str">
        <f ca="1">IFERROR(__xludf.DUMMYFUNCTION("""COMPUTED_VALUE"""),"jeff")</f>
        <v>jeff</v>
      </c>
      <c r="B6681" s="2" t="str">
        <f ca="1">IFERROR(__xludf.DUMMYFUNCTION("""COMPUTED_VALUE"""),"jeff")</f>
        <v>jeff</v>
      </c>
      <c r="C6681" s="2" t="str">
        <f ca="1">IFERROR(__xludf.DUMMYFUNCTION("""COMPUTED_VALUE"""),"Jeff")</f>
        <v>Jeff</v>
      </c>
    </row>
    <row r="6682" spans="1:3" x14ac:dyDescent="0.25">
      <c r="A6682" s="2" t="str">
        <f ca="1">IFERROR(__xludf.DUMMYFUNCTION("""COMPUTED_VALUE"""),"jeff-2")</f>
        <v>jeff-2</v>
      </c>
      <c r="B6682" s="2" t="str">
        <f ca="1">IFERROR(__xludf.DUMMYFUNCTION("""COMPUTED_VALUE"""),"jeff")</f>
        <v>jeff</v>
      </c>
      <c r="C6682" s="2" t="str">
        <f ca="1">IFERROR(__xludf.DUMMYFUNCTION("""COMPUTED_VALUE"""),"JEFF")</f>
        <v>JEFF</v>
      </c>
    </row>
    <row r="6683" spans="1:3" x14ac:dyDescent="0.25">
      <c r="A6683" s="2" t="str">
        <f ca="1">IFERROR(__xludf.DUMMYFUNCTION("""COMPUTED_VALUE"""),"jeff-3")</f>
        <v>jeff-3</v>
      </c>
      <c r="B6683" s="2" t="str">
        <f ca="1">IFERROR(__xludf.DUMMYFUNCTION("""COMPUTED_VALUE"""),"jeff")</f>
        <v>jeff</v>
      </c>
      <c r="C6683" s="2" t="str">
        <f ca="1">IFERROR(__xludf.DUMMYFUNCTION("""COMPUTED_VALUE"""),"Jeff")</f>
        <v>Jeff</v>
      </c>
    </row>
    <row r="6684" spans="1:3" x14ac:dyDescent="0.25">
      <c r="A6684" s="2" t="str">
        <f ca="1">IFERROR(__xludf.DUMMYFUNCTION("""COMPUTED_VALUE"""),"jeffworld-token")</f>
        <v>jeffworld-token</v>
      </c>
      <c r="B6684" s="2" t="str">
        <f ca="1">IFERROR(__xludf.DUMMYFUNCTION("""COMPUTED_VALUE"""),"jeff")</f>
        <v>jeff</v>
      </c>
      <c r="C6684" s="2" t="str">
        <f ca="1">IFERROR(__xludf.DUMMYFUNCTION("""COMPUTED_VALUE"""),"JEFFWorld Token")</f>
        <v>JEFFWorld Token</v>
      </c>
    </row>
    <row r="6685" spans="1:3" x14ac:dyDescent="0.25">
      <c r="A6685" s="2" t="str">
        <f ca="1">IFERROR(__xludf.DUMMYFUNCTION("""COMPUTED_VALUE"""),"jeje")</f>
        <v>jeje</v>
      </c>
      <c r="B6685" s="2" t="str">
        <f ca="1">IFERROR(__xludf.DUMMYFUNCTION("""COMPUTED_VALUE"""),"jj")</f>
        <v>jj</v>
      </c>
      <c r="C6685" s="2" t="str">
        <f ca="1">IFERROR(__xludf.DUMMYFUNCTION("""COMPUTED_VALUE"""),"JEJE")</f>
        <v>JEJE</v>
      </c>
    </row>
    <row r="6686" spans="1:3" x14ac:dyDescent="0.25">
      <c r="A6686" s="2" t="str">
        <f ca="1">IFERROR(__xludf.DUMMYFUNCTION("""COMPUTED_VALUE"""),"jelli")</f>
        <v>jelli</v>
      </c>
      <c r="B6686" s="2" t="str">
        <f ca="1">IFERROR(__xludf.DUMMYFUNCTION("""COMPUTED_VALUE"""),"jelli")</f>
        <v>jelli</v>
      </c>
      <c r="C6686" s="2" t="str">
        <f ca="1">IFERROR(__xludf.DUMMYFUNCTION("""COMPUTED_VALUE"""),"Jelli")</f>
        <v>Jelli</v>
      </c>
    </row>
    <row r="6687" spans="1:3" x14ac:dyDescent="0.25">
      <c r="A6687" s="2" t="str">
        <f ca="1">IFERROR(__xludf.DUMMYFUNCTION("""COMPUTED_VALUE"""),"jellyfish-mobile")</f>
        <v>jellyfish-mobile</v>
      </c>
      <c r="B6687" s="2" t="str">
        <f ca="1">IFERROR(__xludf.DUMMYFUNCTION("""COMPUTED_VALUE"""),"jfish")</f>
        <v>jfish</v>
      </c>
      <c r="C6687" s="2" t="str">
        <f ca="1">IFERROR(__xludf.DUMMYFUNCTION("""COMPUTED_VALUE"""),"Jellyfish Mobile")</f>
        <v>Jellyfish Mobile</v>
      </c>
    </row>
    <row r="6688" spans="1:3" x14ac:dyDescent="0.25">
      <c r="A6688" s="2" t="str">
        <f ca="1">IFERROR(__xludf.DUMMYFUNCTION("""COMPUTED_VALUE"""),"jellyverse")</f>
        <v>jellyverse</v>
      </c>
      <c r="B6688" s="2" t="str">
        <f ca="1">IFERROR(__xludf.DUMMYFUNCTION("""COMPUTED_VALUE"""),"jly")</f>
        <v>jly</v>
      </c>
      <c r="C6688" s="2" t="str">
        <f ca="1">IFERROR(__xludf.DUMMYFUNCTION("""COMPUTED_VALUE"""),"Jellyverse")</f>
        <v>Jellyverse</v>
      </c>
    </row>
    <row r="6689" spans="1:3" x14ac:dyDescent="0.25">
      <c r="A6689" s="2" t="str">
        <f ca="1">IFERROR(__xludf.DUMMYFUNCTION("""COMPUTED_VALUE"""),"jen-coin")</f>
        <v>jen-coin</v>
      </c>
      <c r="B6689" s="2" t="str">
        <f ca="1">IFERROR(__xludf.DUMMYFUNCTION("""COMPUTED_VALUE"""),"jen")</f>
        <v>jen</v>
      </c>
      <c r="C6689" s="2" t="str">
        <f ca="1">IFERROR(__xludf.DUMMYFUNCTION("""COMPUTED_VALUE"""),"JEN COIN")</f>
        <v>JEN COIN</v>
      </c>
    </row>
    <row r="6690" spans="1:3" x14ac:dyDescent="0.25">
      <c r="A6690" s="2" t="str">
        <f ca="1">IFERROR(__xludf.DUMMYFUNCTION("""COMPUTED_VALUE"""),"jen-hsun-huang")</f>
        <v>jen-hsun-huang</v>
      </c>
      <c r="B6690" s="2" t="str">
        <f ca="1">IFERROR(__xludf.DUMMYFUNCTION("""COMPUTED_VALUE"""),"jhh")</f>
        <v>jhh</v>
      </c>
      <c r="C6690" s="2" t="str">
        <f ca="1">IFERROR(__xludf.DUMMYFUNCTION("""COMPUTED_VALUE"""),"JHH")</f>
        <v>JHH</v>
      </c>
    </row>
    <row r="6691" spans="1:3" x14ac:dyDescent="0.25">
      <c r="A6691" s="2" t="str">
        <f ca="1">IFERROR(__xludf.DUMMYFUNCTION("""COMPUTED_VALUE"""),"jennyco")</f>
        <v>jennyco</v>
      </c>
      <c r="B6691" s="2" t="str">
        <f ca="1">IFERROR(__xludf.DUMMYFUNCTION("""COMPUTED_VALUE"""),"jco")</f>
        <v>jco</v>
      </c>
      <c r="C6691" s="2" t="str">
        <f ca="1">IFERROR(__xludf.DUMMYFUNCTION("""COMPUTED_VALUE"""),"JennyCo")</f>
        <v>JennyCo</v>
      </c>
    </row>
    <row r="6692" spans="1:3" x14ac:dyDescent="0.25">
      <c r="A6692" s="2" t="str">
        <f ca="1">IFERROR(__xludf.DUMMYFUNCTION("""COMPUTED_VALUE"""),"jeo-boden")</f>
        <v>jeo-boden</v>
      </c>
      <c r="B6692" s="2" t="str">
        <f ca="1">IFERROR(__xludf.DUMMYFUNCTION("""COMPUTED_VALUE"""),"boden")</f>
        <v>boden</v>
      </c>
      <c r="C6692" s="2" t="str">
        <f ca="1">IFERROR(__xludf.DUMMYFUNCTION("""COMPUTED_VALUE"""),"Jeo Boden")</f>
        <v>Jeo Boden</v>
      </c>
    </row>
    <row r="6693" spans="1:3" x14ac:dyDescent="0.25">
      <c r="A6693" s="2" t="str">
        <f ca="1">IFERROR(__xludf.DUMMYFUNCTION("""COMPUTED_VALUE"""),"jerry-inu")</f>
        <v>jerry-inu</v>
      </c>
      <c r="B6693" s="2" t="str">
        <f ca="1">IFERROR(__xludf.DUMMYFUNCTION("""COMPUTED_VALUE"""),"jerry")</f>
        <v>jerry</v>
      </c>
      <c r="C6693" s="2" t="str">
        <f ca="1">IFERROR(__xludf.DUMMYFUNCTION("""COMPUTED_VALUE"""),"Jerry Inu")</f>
        <v>Jerry Inu</v>
      </c>
    </row>
    <row r="6694" spans="1:3" x14ac:dyDescent="0.25">
      <c r="A6694" s="2" t="str">
        <f ca="1">IFERROR(__xludf.DUMMYFUNCTION("""COMPUTED_VALUE"""),"jerrywifhat")</f>
        <v>jerrywifhat</v>
      </c>
      <c r="B6694" s="2" t="str">
        <f ca="1">IFERROR(__xludf.DUMMYFUNCTION("""COMPUTED_VALUE"""),"jwif")</f>
        <v>jwif</v>
      </c>
      <c r="C6694" s="2" t="str">
        <f ca="1">IFERROR(__xludf.DUMMYFUNCTION("""COMPUTED_VALUE"""),"Jerrywifhat")</f>
        <v>Jerrywifhat</v>
      </c>
    </row>
    <row r="6695" spans="1:3" x14ac:dyDescent="0.25">
      <c r="A6695" s="2" t="str">
        <f ca="1">IFERROR(__xludf.DUMMYFUNCTION("""COMPUTED_VALUE"""),"jester")</f>
        <v>jester</v>
      </c>
      <c r="B6695" s="2" t="str">
        <f ca="1">IFERROR(__xludf.DUMMYFUNCTION("""COMPUTED_VALUE"""),"jest")</f>
        <v>jest</v>
      </c>
      <c r="C6695" s="2" t="str">
        <f ca="1">IFERROR(__xludf.DUMMYFUNCTION("""COMPUTED_VALUE"""),"Jester")</f>
        <v>Jester</v>
      </c>
    </row>
    <row r="6696" spans="1:3" x14ac:dyDescent="0.25">
      <c r="A6696" s="2" t="str">
        <f ca="1">IFERROR(__xludf.DUMMYFUNCTION("""COMPUTED_VALUE"""),"jesus-coin")</f>
        <v>jesus-coin</v>
      </c>
      <c r="B6696" s="2" t="str">
        <f ca="1">IFERROR(__xludf.DUMMYFUNCTION("""COMPUTED_VALUE"""),"jesus")</f>
        <v>jesus</v>
      </c>
      <c r="C6696" s="2" t="str">
        <f ca="1">IFERROR(__xludf.DUMMYFUNCTION("""COMPUTED_VALUE"""),"Jesus Coin")</f>
        <v>Jesus Coin</v>
      </c>
    </row>
    <row r="6697" spans="1:3" x14ac:dyDescent="0.25">
      <c r="A6697" s="2" t="str">
        <f ca="1">IFERROR(__xludf.DUMMYFUNCTION("""COMPUTED_VALUE"""),"jesus-on-sol")</f>
        <v>jesus-on-sol</v>
      </c>
      <c r="B6697" s="2" t="str">
        <f ca="1">IFERROR(__xludf.DUMMYFUNCTION("""COMPUTED_VALUE"""),"jesus")</f>
        <v>jesus</v>
      </c>
      <c r="C6697" s="2" t="str">
        <f ca="1">IFERROR(__xludf.DUMMYFUNCTION("""COMPUTED_VALUE"""),"JESUS ON SOL")</f>
        <v>JESUS ON SOL</v>
      </c>
    </row>
    <row r="6698" spans="1:3" x14ac:dyDescent="0.25">
      <c r="A6698" s="2" t="str">
        <f ca="1">IFERROR(__xludf.DUMMYFUNCTION("""COMPUTED_VALUE"""),"jet")</f>
        <v>jet</v>
      </c>
      <c r="B6698" s="2" t="str">
        <f ca="1">IFERROR(__xludf.DUMMYFUNCTION("""COMPUTED_VALUE"""),"jet")</f>
        <v>jet</v>
      </c>
      <c r="C6698" s="2" t="str">
        <f ca="1">IFERROR(__xludf.DUMMYFUNCTION("""COMPUTED_VALUE"""),"JET")</f>
        <v>JET</v>
      </c>
    </row>
    <row r="6699" spans="1:3" x14ac:dyDescent="0.25">
      <c r="A6699" s="2" t="str">
        <f ca="1">IFERROR(__xludf.DUMMYFUNCTION("""COMPUTED_VALUE"""),"jetcat")</f>
        <v>jetcat</v>
      </c>
      <c r="B6699" s="2" t="str">
        <f ca="1">IFERROR(__xludf.DUMMYFUNCTION("""COMPUTED_VALUE"""),"jetcat")</f>
        <v>jetcat</v>
      </c>
      <c r="C6699" s="2" t="str">
        <f ca="1">IFERROR(__xludf.DUMMYFUNCTION("""COMPUTED_VALUE"""),"Jetcat")</f>
        <v>Jetcat</v>
      </c>
    </row>
    <row r="6700" spans="1:3" x14ac:dyDescent="0.25">
      <c r="A6700" s="2" t="str">
        <f ca="1">IFERROR(__xludf.DUMMYFUNCTION("""COMPUTED_VALUE"""),"jetcoin")</f>
        <v>jetcoin</v>
      </c>
      <c r="B6700" s="2" t="str">
        <f ca="1">IFERROR(__xludf.DUMMYFUNCTION("""COMPUTED_VALUE"""),"jet")</f>
        <v>jet</v>
      </c>
      <c r="C6700" s="2" t="str">
        <f ca="1">IFERROR(__xludf.DUMMYFUNCTION("""COMPUTED_VALUE"""),"Jetcoin")</f>
        <v>Jetcoin</v>
      </c>
    </row>
    <row r="6701" spans="1:3" x14ac:dyDescent="0.25">
      <c r="A6701" s="2" t="str">
        <f ca="1">IFERROR(__xludf.DUMMYFUNCTION("""COMPUTED_VALUE"""),"jetset")</f>
        <v>jetset</v>
      </c>
      <c r="B6701" s="2" t="str">
        <f ca="1">IFERROR(__xludf.DUMMYFUNCTION("""COMPUTED_VALUE"""),"jts")</f>
        <v>jts</v>
      </c>
      <c r="C6701" s="2" t="str">
        <f ca="1">IFERROR(__xludf.DUMMYFUNCTION("""COMPUTED_VALUE"""),"Jetset")</f>
        <v>Jetset</v>
      </c>
    </row>
    <row r="6702" spans="1:3" x14ac:dyDescent="0.25">
      <c r="A6702" s="2" t="str">
        <f ca="1">IFERROR(__xludf.DUMMYFUNCTION("""COMPUTED_VALUE"""),"jetton")</f>
        <v>jetton</v>
      </c>
      <c r="B6702" s="2" t="str">
        <f ca="1">IFERROR(__xludf.DUMMYFUNCTION("""COMPUTED_VALUE"""),"jetton")</f>
        <v>jetton</v>
      </c>
      <c r="C6702" s="2" t="str">
        <f ca="1">IFERROR(__xludf.DUMMYFUNCTION("""COMPUTED_VALUE"""),"JetTon Games")</f>
        <v>JetTon Games</v>
      </c>
    </row>
    <row r="6703" spans="1:3" x14ac:dyDescent="0.25">
      <c r="A6703" s="2" t="str">
        <f ca="1">IFERROR(__xludf.DUMMYFUNCTION("""COMPUTED_VALUE"""),"jexchange")</f>
        <v>jexchange</v>
      </c>
      <c r="B6703" s="2" t="str">
        <f ca="1">IFERROR(__xludf.DUMMYFUNCTION("""COMPUTED_VALUE"""),"jex")</f>
        <v>jex</v>
      </c>
      <c r="C6703" s="2" t="str">
        <f ca="1">IFERROR(__xludf.DUMMYFUNCTION("""COMPUTED_VALUE"""),"JEXchange")</f>
        <v>JEXchange</v>
      </c>
    </row>
    <row r="6704" spans="1:3" x14ac:dyDescent="0.25">
      <c r="A6704" s="2" t="str">
        <f ca="1">IFERROR(__xludf.DUMMYFUNCTION("""COMPUTED_VALUE"""),"jfin-coin")</f>
        <v>jfin-coin</v>
      </c>
      <c r="B6704" s="2" t="str">
        <f ca="1">IFERROR(__xludf.DUMMYFUNCTION("""COMPUTED_VALUE"""),"jfin")</f>
        <v>jfin</v>
      </c>
      <c r="C6704" s="2" t="str">
        <f ca="1">IFERROR(__xludf.DUMMYFUNCTION("""COMPUTED_VALUE"""),"JFIN Coin")</f>
        <v>JFIN Coin</v>
      </c>
    </row>
    <row r="6705" spans="1:3" x14ac:dyDescent="0.25">
      <c r="A6705" s="2" t="str">
        <f ca="1">IFERROR(__xludf.DUMMYFUNCTION("""COMPUTED_VALUE"""),"jigen-2")</f>
        <v>jigen-2</v>
      </c>
      <c r="B6705" s="2" t="str">
        <f ca="1">IFERROR(__xludf.DUMMYFUNCTION("""COMPUTED_VALUE"""),"jigen")</f>
        <v>jigen</v>
      </c>
      <c r="C6705" s="2" t="str">
        <f ca="1">IFERROR(__xludf.DUMMYFUNCTION("""COMPUTED_VALUE"""),"Jigen")</f>
        <v>Jigen</v>
      </c>
    </row>
    <row r="6706" spans="1:3" x14ac:dyDescent="0.25">
      <c r="A6706" s="2" t="str">
        <f ca="1">IFERROR(__xludf.DUMMYFUNCTION("""COMPUTED_VALUE"""),"jigstack")</f>
        <v>jigstack</v>
      </c>
      <c r="B6706" s="2" t="str">
        <f ca="1">IFERROR(__xludf.DUMMYFUNCTION("""COMPUTED_VALUE"""),"stak")</f>
        <v>stak</v>
      </c>
      <c r="C6706" s="2" t="str">
        <f ca="1">IFERROR(__xludf.DUMMYFUNCTION("""COMPUTED_VALUE"""),"Jigstack")</f>
        <v>Jigstack</v>
      </c>
    </row>
    <row r="6707" spans="1:3" x14ac:dyDescent="0.25">
      <c r="A6707" s="2" t="str">
        <f ca="1">IFERROR(__xludf.DUMMYFUNCTION("""COMPUTED_VALUE"""),"jill-boden")</f>
        <v>jill-boden</v>
      </c>
      <c r="B6707" s="2" t="str">
        <f ca="1">IFERROR(__xludf.DUMMYFUNCTION("""COMPUTED_VALUE"""),"jillboden")</f>
        <v>jillboden</v>
      </c>
      <c r="C6707" s="2" t="str">
        <f ca="1">IFERROR(__xludf.DUMMYFUNCTION("""COMPUTED_VALUE"""),"Jill Boden")</f>
        <v>Jill Boden</v>
      </c>
    </row>
    <row r="6708" spans="1:3" x14ac:dyDescent="0.25">
      <c r="A6708" s="2" t="str">
        <f ca="1">IFERROR(__xludf.DUMMYFUNCTION("""COMPUTED_VALUE"""),"jimmy-on-solana")</f>
        <v>jimmy-on-solana</v>
      </c>
      <c r="B6708" s="2" t="str">
        <f ca="1">IFERROR(__xludf.DUMMYFUNCTION("""COMPUTED_VALUE"""),"jimmy")</f>
        <v>jimmy</v>
      </c>
      <c r="C6708" s="2" t="str">
        <f ca="1">IFERROR(__xludf.DUMMYFUNCTION("""COMPUTED_VALUE"""),"Jimmy on Solana")</f>
        <v>Jimmy on Solana</v>
      </c>
    </row>
    <row r="6709" spans="1:3" x14ac:dyDescent="0.25">
      <c r="A6709" s="2" t="str">
        <f ca="1">IFERROR(__xludf.DUMMYFUNCTION("""COMPUTED_VALUE"""),"jindo-inu")</f>
        <v>jindo-inu</v>
      </c>
      <c r="B6709" s="2" t="str">
        <f ca="1">IFERROR(__xludf.DUMMYFUNCTION("""COMPUTED_VALUE"""),"jind")</f>
        <v>jind</v>
      </c>
      <c r="C6709" s="2" t="str">
        <f ca="1">IFERROR(__xludf.DUMMYFUNCTION("""COMPUTED_VALUE"""),"Jindo Inu")</f>
        <v>Jindo Inu</v>
      </c>
    </row>
    <row r="6710" spans="1:3" x14ac:dyDescent="0.25">
      <c r="A6710" s="2" t="str">
        <f ca="1">IFERROR(__xludf.DUMMYFUNCTION("""COMPUTED_VALUE"""),"jinko-ai")</f>
        <v>jinko-ai</v>
      </c>
      <c r="B6710" s="2" t="str">
        <f ca="1">IFERROR(__xludf.DUMMYFUNCTION("""COMPUTED_VALUE"""),"jinko")</f>
        <v>jinko</v>
      </c>
      <c r="C6710" s="2" t="str">
        <f ca="1">IFERROR(__xludf.DUMMYFUNCTION("""COMPUTED_VALUE"""),"Jinko AI")</f>
        <v>Jinko AI</v>
      </c>
    </row>
    <row r="6711" spans="1:3" x14ac:dyDescent="0.25">
      <c r="A6711" s="2" t="str">
        <f ca="1">IFERROR(__xludf.DUMMYFUNCTION("""COMPUTED_VALUE"""),"jito-governance-token")</f>
        <v>jito-governance-token</v>
      </c>
      <c r="B6711" s="2" t="str">
        <f ca="1">IFERROR(__xludf.DUMMYFUNCTION("""COMPUTED_VALUE"""),"jto")</f>
        <v>jto</v>
      </c>
      <c r="C6711" s="2" t="str">
        <f ca="1">IFERROR(__xludf.DUMMYFUNCTION("""COMPUTED_VALUE"""),"Jito")</f>
        <v>Jito</v>
      </c>
    </row>
    <row r="6712" spans="1:3" x14ac:dyDescent="0.25">
      <c r="A6712" s="2" t="str">
        <f ca="1">IFERROR(__xludf.DUMMYFUNCTION("""COMPUTED_VALUE"""),"jito-staked-sol")</f>
        <v>jito-staked-sol</v>
      </c>
      <c r="B6712" s="2" t="str">
        <f ca="1">IFERROR(__xludf.DUMMYFUNCTION("""COMPUTED_VALUE"""),"jitosol")</f>
        <v>jitosol</v>
      </c>
      <c r="C6712" s="2" t="str">
        <f ca="1">IFERROR(__xludf.DUMMYFUNCTION("""COMPUTED_VALUE"""),"Jito Staked SOL")</f>
        <v>Jito Staked SOL</v>
      </c>
    </row>
    <row r="6713" spans="1:3" x14ac:dyDescent="0.25">
      <c r="A6713" s="2" t="str">
        <f ca="1">IFERROR(__xludf.DUMMYFUNCTION("""COMPUTED_VALUE"""),"jizzrocket")</f>
        <v>jizzrocket</v>
      </c>
      <c r="B6713" s="2" t="str">
        <f ca="1">IFERROR(__xludf.DUMMYFUNCTION("""COMPUTED_VALUE"""),"jizz")</f>
        <v>jizz</v>
      </c>
      <c r="C6713" s="2" t="str">
        <f ca="1">IFERROR(__xludf.DUMMYFUNCTION("""COMPUTED_VALUE"""),"JizzRocket")</f>
        <v>JizzRocket</v>
      </c>
    </row>
    <row r="6714" spans="1:3" x14ac:dyDescent="0.25">
      <c r="A6714" s="2" t="str">
        <f ca="1">IFERROR(__xludf.DUMMYFUNCTION("""COMPUTED_VALUE"""),"jjmoji")</f>
        <v>jjmoji</v>
      </c>
      <c r="B6714" s="2" t="str">
        <f ca="1">IFERROR(__xludf.DUMMYFUNCTION("""COMPUTED_VALUE"""),"jj")</f>
        <v>jj</v>
      </c>
      <c r="C6714" s="2" t="str">
        <f ca="1">IFERROR(__xludf.DUMMYFUNCTION("""COMPUTED_VALUE"""),"Jjmoji")</f>
        <v>Jjmoji</v>
      </c>
    </row>
    <row r="6715" spans="1:3" x14ac:dyDescent="0.25">
      <c r="A6715" s="2" t="str">
        <f ca="1">IFERROR(__xludf.DUMMYFUNCTION("""COMPUTED_VALUE"""),"jjmoji-2")</f>
        <v>jjmoji-2</v>
      </c>
      <c r="B6715" s="2" t="str">
        <f ca="1">IFERROR(__xludf.DUMMYFUNCTION("""COMPUTED_VALUE"""),"jj")</f>
        <v>jj</v>
      </c>
      <c r="C6715" s="2" t="str">
        <f ca="1">IFERROR(__xludf.DUMMYFUNCTION("""COMPUTED_VALUE"""),"JJmoji (Sol)")</f>
        <v>JJmoji (Sol)</v>
      </c>
    </row>
    <row r="6716" spans="1:3" x14ac:dyDescent="0.25">
      <c r="A6716" s="2" t="str">
        <f ca="1">IFERROR(__xludf.DUMMYFUNCTION("""COMPUTED_VALUE"""),"jk-coin")</f>
        <v>jk-coin</v>
      </c>
      <c r="B6716" s="2" t="str">
        <f ca="1">IFERROR(__xludf.DUMMYFUNCTION("""COMPUTED_VALUE"""),"jk")</f>
        <v>jk</v>
      </c>
      <c r="C6716" s="2" t="str">
        <f ca="1">IFERROR(__xludf.DUMMYFUNCTION("""COMPUTED_VALUE"""),"JK Coin")</f>
        <v>JK Coin</v>
      </c>
    </row>
    <row r="6717" spans="1:3" x14ac:dyDescent="0.25">
      <c r="A6717" s="2" t="str">
        <f ca="1">IFERROR(__xludf.DUMMYFUNCTION("""COMPUTED_VALUE"""),"jobchain")</f>
        <v>jobchain</v>
      </c>
      <c r="B6717" s="2" t="str">
        <f ca="1">IFERROR(__xludf.DUMMYFUNCTION("""COMPUTED_VALUE"""),"job")</f>
        <v>job</v>
      </c>
      <c r="C6717" s="2" t="str">
        <f ca="1">IFERROR(__xludf.DUMMYFUNCTION("""COMPUTED_VALUE"""),"Jobchain")</f>
        <v>Jobchain</v>
      </c>
    </row>
    <row r="6718" spans="1:3" x14ac:dyDescent="0.25">
      <c r="A6718" s="2" t="str">
        <f ca="1">IFERROR(__xludf.DUMMYFUNCTION("""COMPUTED_VALUE"""),"joe")</f>
        <v>joe</v>
      </c>
      <c r="B6718" s="2" t="str">
        <f ca="1">IFERROR(__xludf.DUMMYFUNCTION("""COMPUTED_VALUE"""),"joe")</f>
        <v>joe</v>
      </c>
      <c r="C6718" s="2" t="str">
        <f ca="1">IFERROR(__xludf.DUMMYFUNCTION("""COMPUTED_VALUE"""),"JOE")</f>
        <v>JOE</v>
      </c>
    </row>
    <row r="6719" spans="1:3" x14ac:dyDescent="0.25">
      <c r="A6719" s="2" t="str">
        <f ca="1">IFERROR(__xludf.DUMMYFUNCTION("""COMPUTED_VALUE"""),"joe-coin")</f>
        <v>joe-coin</v>
      </c>
      <c r="B6719" s="2" t="str">
        <f ca="1">IFERROR(__xludf.DUMMYFUNCTION("""COMPUTED_VALUE"""),"joe")</f>
        <v>joe</v>
      </c>
      <c r="C6719" s="2" t="str">
        <f ca="1">IFERROR(__xludf.DUMMYFUNCTION("""COMPUTED_VALUE"""),"Joe Coin")</f>
        <v>Joe Coin</v>
      </c>
    </row>
    <row r="6720" spans="1:3" x14ac:dyDescent="0.25">
      <c r="A6720" s="2" t="str">
        <f ca="1">IFERROR(__xludf.DUMMYFUNCTION("""COMPUTED_VALUE"""),"joe-hat-token")</f>
        <v>joe-hat-token</v>
      </c>
      <c r="B6720" s="2" t="str">
        <f ca="1">IFERROR(__xludf.DUMMYFUNCTION("""COMPUTED_VALUE"""),"hat")</f>
        <v>hat</v>
      </c>
      <c r="C6720" s="2" t="str">
        <f ca="1">IFERROR(__xludf.DUMMYFUNCTION("""COMPUTED_VALUE"""),"Joe Hat")</f>
        <v>Joe Hat</v>
      </c>
    </row>
    <row r="6721" spans="1:3" x14ac:dyDescent="0.25">
      <c r="A6721" s="2" t="str">
        <f ca="1">IFERROR(__xludf.DUMMYFUNCTION("""COMPUTED_VALUE"""),"joeing737")</f>
        <v>joeing737</v>
      </c>
      <c r="B6721" s="2" t="str">
        <f ca="1">IFERROR(__xludf.DUMMYFUNCTION("""COMPUTED_VALUE"""),"jeoing737")</f>
        <v>jeoing737</v>
      </c>
      <c r="C6721" s="2" t="str">
        <f ca="1">IFERROR(__xludf.DUMMYFUNCTION("""COMPUTED_VALUE"""),"Joeing737")</f>
        <v>Joeing737</v>
      </c>
    </row>
    <row r="6722" spans="1:3" x14ac:dyDescent="0.25">
      <c r="A6722" s="2" t="str">
        <f ca="1">IFERROR(__xludf.DUMMYFUNCTION("""COMPUTED_VALUE"""),"joel")</f>
        <v>joel</v>
      </c>
      <c r="B6722" s="2" t="str">
        <f ca="1">IFERROR(__xludf.DUMMYFUNCTION("""COMPUTED_VALUE"""),"joel")</f>
        <v>joel</v>
      </c>
      <c r="C6722" s="2" t="str">
        <f ca="1">IFERROR(__xludf.DUMMYFUNCTION("""COMPUTED_VALUE"""),"Joel")</f>
        <v>Joel</v>
      </c>
    </row>
    <row r="6723" spans="1:3" x14ac:dyDescent="0.25">
      <c r="A6723" s="2" t="str">
        <f ca="1">IFERROR(__xludf.DUMMYFUNCTION("""COMPUTED_VALUE"""),"joe-yo-coin")</f>
        <v>joe-yo-coin</v>
      </c>
      <c r="B6723" s="2" t="str">
        <f ca="1">IFERROR(__xludf.DUMMYFUNCTION("""COMPUTED_VALUE"""),"jyc")</f>
        <v>jyc</v>
      </c>
      <c r="C6723" s="2" t="str">
        <f ca="1">IFERROR(__xludf.DUMMYFUNCTION("""COMPUTED_VALUE"""),"Joe-Yo Coin")</f>
        <v>Joe-Yo Coin</v>
      </c>
    </row>
    <row r="6724" spans="1:3" x14ac:dyDescent="0.25">
      <c r="A6724" s="2" t="str">
        <f ca="1">IFERROR(__xludf.DUMMYFUNCTION("""COMPUTED_VALUE"""),"jogeco-dog")</f>
        <v>jogeco-dog</v>
      </c>
      <c r="B6724" s="2" t="str">
        <f ca="1">IFERROR(__xludf.DUMMYFUNCTION("""COMPUTED_VALUE"""),"jogeco")</f>
        <v>jogeco</v>
      </c>
      <c r="C6724" s="2" t="str">
        <f ca="1">IFERROR(__xludf.DUMMYFUNCTION("""COMPUTED_VALUE"""),"Jogeco Dog")</f>
        <v>Jogeco Dog</v>
      </c>
    </row>
    <row r="6725" spans="1:3" x14ac:dyDescent="0.25">
      <c r="A6725" s="2" t="str">
        <f ca="1">IFERROR(__xludf.DUMMYFUNCTION("""COMPUTED_VALUE"""),"john-doge")</f>
        <v>john-doge</v>
      </c>
      <c r="B6725" s="2" t="str">
        <f ca="1">IFERROR(__xludf.DUMMYFUNCTION("""COMPUTED_VALUE"""),"jdoge")</f>
        <v>jdoge</v>
      </c>
      <c r="C6725" s="2" t="str">
        <f ca="1">IFERROR(__xludf.DUMMYFUNCTION("""COMPUTED_VALUE"""),"John Doge")</f>
        <v>John Doge</v>
      </c>
    </row>
    <row r="6726" spans="1:3" x14ac:dyDescent="0.25">
      <c r="A6726" s="2" t="str">
        <f ca="1">IFERROR(__xludf.DUMMYFUNCTION("""COMPUTED_VALUE"""),"john-pork")</f>
        <v>john-pork</v>
      </c>
      <c r="B6726" s="2" t="str">
        <f ca="1">IFERROR(__xludf.DUMMYFUNCTION("""COMPUTED_VALUE"""),"pork")</f>
        <v>pork</v>
      </c>
      <c r="C6726" s="2" t="str">
        <f ca="1">IFERROR(__xludf.DUMMYFUNCTION("""COMPUTED_VALUE"""),"john pork")</f>
        <v>john pork</v>
      </c>
    </row>
    <row r="6727" spans="1:3" x14ac:dyDescent="0.25">
      <c r="A6727" s="2" t="str">
        <f ca="1">IFERROR(__xludf.DUMMYFUNCTION("""COMPUTED_VALUE"""),"john-the-coin")</f>
        <v>john-the-coin</v>
      </c>
      <c r="B6727" s="2" t="str">
        <f ca="1">IFERROR(__xludf.DUMMYFUNCTION("""COMPUTED_VALUE"""),"john")</f>
        <v>john</v>
      </c>
      <c r="C6727" s="2" t="str">
        <f ca="1">IFERROR(__xludf.DUMMYFUNCTION("""COMPUTED_VALUE"""),"John the Coin")</f>
        <v>John the Coin</v>
      </c>
    </row>
    <row r="6728" spans="1:3" x14ac:dyDescent="0.25">
      <c r="A6728" s="2" t="str">
        <f ca="1">IFERROR(__xludf.DUMMYFUNCTION("""COMPUTED_VALUE"""),"johor-darul-ta-zim-fc")</f>
        <v>johor-darul-ta-zim-fc</v>
      </c>
      <c r="B6728" s="2" t="str">
        <f ca="1">IFERROR(__xludf.DUMMYFUNCTION("""COMPUTED_VALUE"""),"jdt")</f>
        <v>jdt</v>
      </c>
      <c r="C6728" s="2" t="str">
        <f ca="1">IFERROR(__xludf.DUMMYFUNCTION("""COMPUTED_VALUE"""),"Johor Darul Ta’zim FC Fan Token")</f>
        <v>Johor Darul Ta’zim FC Fan Token</v>
      </c>
    </row>
    <row r="6729" spans="1:3" x14ac:dyDescent="0.25">
      <c r="A6729" s="2" t="str">
        <f ca="1">IFERROR(__xludf.DUMMYFUNCTION("""COMPUTED_VALUE"""),"join-learn-and-thrive-token")</f>
        <v>join-learn-and-thrive-token</v>
      </c>
      <c r="B6729" s="2" t="str">
        <f ca="1">IFERROR(__xludf.DUMMYFUNCTION("""COMPUTED_VALUE"""),"jlt")</f>
        <v>jlt</v>
      </c>
      <c r="C6729" s="2" t="str">
        <f ca="1">IFERROR(__xludf.DUMMYFUNCTION("""COMPUTED_VALUE"""),"JLT Token")</f>
        <v>JLT Token</v>
      </c>
    </row>
    <row r="6730" spans="1:3" x14ac:dyDescent="0.25">
      <c r="A6730" s="2" t="str">
        <f ca="1">IFERROR(__xludf.DUMMYFUNCTION("""COMPUTED_VALUE"""),"jojo")</f>
        <v>jojo</v>
      </c>
      <c r="B6730" s="2" t="str">
        <f ca="1">IFERROR(__xludf.DUMMYFUNCTION("""COMPUTED_VALUE"""),"jojo")</f>
        <v>jojo</v>
      </c>
      <c r="C6730" s="2" t="str">
        <f ca="1">IFERROR(__xludf.DUMMYFUNCTION("""COMPUTED_VALUE"""),"JOJO")</f>
        <v>JOJO</v>
      </c>
    </row>
    <row r="6731" spans="1:3" x14ac:dyDescent="0.25">
      <c r="A6731" s="2" t="str">
        <f ca="1">IFERROR(__xludf.DUMMYFUNCTION("""COMPUTED_VALUE"""),"jojo-2")</f>
        <v>jojo-2</v>
      </c>
      <c r="B6731" s="2" t="str">
        <f ca="1">IFERROR(__xludf.DUMMYFUNCTION("""COMPUTED_VALUE"""),"jojo")</f>
        <v>jojo</v>
      </c>
      <c r="C6731" s="2" t="str">
        <f ca="1">IFERROR(__xludf.DUMMYFUNCTION("""COMPUTED_VALUE"""),"JOJO")</f>
        <v>JOJO</v>
      </c>
    </row>
    <row r="6732" spans="1:3" x14ac:dyDescent="0.25">
      <c r="A6732" s="2" t="str">
        <f ca="1">IFERROR(__xludf.DUMMYFUNCTION("""COMPUTED_VALUE"""),"joker")</f>
        <v>joker</v>
      </c>
      <c r="B6732" s="2" t="str">
        <f ca="1">IFERROR(__xludf.DUMMYFUNCTION("""COMPUTED_VALUE"""),"joker")</f>
        <v>joker</v>
      </c>
      <c r="C6732" s="2" t="str">
        <f ca="1">IFERROR(__xludf.DUMMYFUNCTION("""COMPUTED_VALUE"""),"Joker")</f>
        <v>Joker</v>
      </c>
    </row>
    <row r="6733" spans="1:3" x14ac:dyDescent="0.25">
      <c r="A6733" s="2" t="str">
        <f ca="1">IFERROR(__xludf.DUMMYFUNCTION("""COMPUTED_VALUE"""),"joker-2")</f>
        <v>joker-2</v>
      </c>
      <c r="B6733" s="2" t="str">
        <f ca="1">IFERROR(__xludf.DUMMYFUNCTION("""COMPUTED_VALUE"""),"joker")</f>
        <v>joker</v>
      </c>
      <c r="C6733" s="2" t="str">
        <f ca="1">IFERROR(__xludf.DUMMYFUNCTION("""COMPUTED_VALUE"""),"Joker")</f>
        <v>Joker</v>
      </c>
    </row>
    <row r="6734" spans="1:3" x14ac:dyDescent="0.25">
      <c r="A6734" s="2" t="str">
        <f ca="1">IFERROR(__xludf.DUMMYFUNCTION("""COMPUTED_VALUE"""),"jokinthebox")</f>
        <v>jokinthebox</v>
      </c>
      <c r="B6734" s="2" t="str">
        <f ca="1">IFERROR(__xludf.DUMMYFUNCTION("""COMPUTED_VALUE"""),"jok")</f>
        <v>jok</v>
      </c>
      <c r="C6734" s="2" t="str">
        <f ca="1">IFERROR(__xludf.DUMMYFUNCTION("""COMPUTED_VALUE"""),"JokInTheBox")</f>
        <v>JokInTheBox</v>
      </c>
    </row>
    <row r="6735" spans="1:3" x14ac:dyDescent="0.25">
      <c r="A6735" s="2" t="str">
        <f ca="1">IFERROR(__xludf.DUMMYFUNCTION("""COMPUTED_VALUE"""),"joltify")</f>
        <v>joltify</v>
      </c>
      <c r="B6735" s="2" t="str">
        <f ca="1">IFERROR(__xludf.DUMMYFUNCTION("""COMPUTED_VALUE"""),"jolt")</f>
        <v>jolt</v>
      </c>
      <c r="C6735" s="2" t="str">
        <f ca="1">IFERROR(__xludf.DUMMYFUNCTION("""COMPUTED_VALUE"""),"Joltify")</f>
        <v>Joltify</v>
      </c>
    </row>
    <row r="6736" spans="1:3" x14ac:dyDescent="0.25">
      <c r="A6736" s="2" t="str">
        <f ca="1">IFERROR(__xludf.DUMMYFUNCTION("""COMPUTED_VALUE"""),"jonah")</f>
        <v>jonah</v>
      </c>
      <c r="B6736" s="2" t="str">
        <f ca="1">IFERROR(__xludf.DUMMYFUNCTION("""COMPUTED_VALUE"""),"jonah")</f>
        <v>jonah</v>
      </c>
      <c r="C6736" s="2" t="str">
        <f ca="1">IFERROR(__xludf.DUMMYFUNCTION("""COMPUTED_VALUE"""),"Jonah")</f>
        <v>Jonah</v>
      </c>
    </row>
    <row r="6737" spans="1:3" x14ac:dyDescent="0.25">
      <c r="A6737" s="2" t="str">
        <f ca="1">IFERROR(__xludf.DUMMYFUNCTION("""COMPUTED_VALUE"""),"jones")</f>
        <v>jones</v>
      </c>
      <c r="B6737" s="2" t="str">
        <f ca="1">IFERROR(__xludf.DUMMYFUNCTION("""COMPUTED_VALUE"""),"$jones")</f>
        <v>$jones</v>
      </c>
      <c r="C6737" s="2" t="str">
        <f ca="1">IFERROR(__xludf.DUMMYFUNCTION("""COMPUTED_VALUE"""),"$JONES")</f>
        <v>$JONES</v>
      </c>
    </row>
    <row r="6738" spans="1:3" x14ac:dyDescent="0.25">
      <c r="A6738" s="2" t="str">
        <f ca="1">IFERROR(__xludf.DUMMYFUNCTION("""COMPUTED_VALUE"""),"jones-dao")</f>
        <v>jones-dao</v>
      </c>
      <c r="B6738" s="2" t="str">
        <f ca="1">IFERROR(__xludf.DUMMYFUNCTION("""COMPUTED_VALUE"""),"jones")</f>
        <v>jones</v>
      </c>
      <c r="C6738" s="2" t="str">
        <f ca="1">IFERROR(__xludf.DUMMYFUNCTION("""COMPUTED_VALUE"""),"Jones DAO")</f>
        <v>Jones DAO</v>
      </c>
    </row>
    <row r="6739" spans="1:3" x14ac:dyDescent="0.25">
      <c r="A6739" s="2" t="str">
        <f ca="1">IFERROR(__xludf.DUMMYFUNCTION("""COMPUTED_VALUE"""),"jones-glp")</f>
        <v>jones-glp</v>
      </c>
      <c r="B6739" s="2" t="str">
        <f ca="1">IFERROR(__xludf.DUMMYFUNCTION("""COMPUTED_VALUE"""),"jglp")</f>
        <v>jglp</v>
      </c>
      <c r="C6739" s="2" t="str">
        <f ca="1">IFERROR(__xludf.DUMMYFUNCTION("""COMPUTED_VALUE"""),"Jones GLP")</f>
        <v>Jones GLP</v>
      </c>
    </row>
    <row r="6740" spans="1:3" x14ac:dyDescent="0.25">
      <c r="A6740" s="2" t="str">
        <f ca="1">IFERROR(__xludf.DUMMYFUNCTION("""COMPUTED_VALUE"""),"jones-usdc")</f>
        <v>jones-usdc</v>
      </c>
      <c r="B6740" s="2" t="str">
        <f ca="1">IFERROR(__xludf.DUMMYFUNCTION("""COMPUTED_VALUE"""),"jusdc")</f>
        <v>jusdc</v>
      </c>
      <c r="C6740" s="2" t="str">
        <f ca="1">IFERROR(__xludf.DUMMYFUNCTION("""COMPUTED_VALUE"""),"Jones USDC")</f>
        <v>Jones USDC</v>
      </c>
    </row>
    <row r="6741" spans="1:3" x14ac:dyDescent="0.25">
      <c r="A6741" s="2" t="str">
        <f ca="1">IFERROR(__xludf.DUMMYFUNCTION("""COMPUTED_VALUE"""),"jonny-five")</f>
        <v>jonny-five</v>
      </c>
      <c r="B6741" s="2" t="str">
        <f ca="1">IFERROR(__xludf.DUMMYFUNCTION("""COMPUTED_VALUE"""),"jfive")</f>
        <v>jfive</v>
      </c>
      <c r="C6741" s="2" t="str">
        <f ca="1">IFERROR(__xludf.DUMMYFUNCTION("""COMPUTED_VALUE"""),"Jonny Five")</f>
        <v>Jonny Five</v>
      </c>
    </row>
    <row r="6742" spans="1:3" x14ac:dyDescent="0.25">
      <c r="A6742" s="2" t="str">
        <f ca="1">IFERROR(__xludf.DUMMYFUNCTION("""COMPUTED_VALUE"""),"joops")</f>
        <v>joops</v>
      </c>
      <c r="B6742" s="2" t="str">
        <f ca="1">IFERROR(__xludf.DUMMYFUNCTION("""COMPUTED_VALUE"""),"joops")</f>
        <v>joops</v>
      </c>
      <c r="C6742" s="2" t="str">
        <f ca="1">IFERROR(__xludf.DUMMYFUNCTION("""COMPUTED_VALUE"""),"JOOPS")</f>
        <v>JOOPS</v>
      </c>
    </row>
    <row r="6743" spans="1:3" x14ac:dyDescent="0.25">
      <c r="A6743" s="2" t="str">
        <f ca="1">IFERROR(__xludf.DUMMYFUNCTION("""COMPUTED_VALUE"""),"joram-poowel")</f>
        <v>joram-poowel</v>
      </c>
      <c r="B6743" s="2" t="str">
        <f ca="1">IFERROR(__xludf.DUMMYFUNCTION("""COMPUTED_VALUE"""),"poowel")</f>
        <v>poowel</v>
      </c>
      <c r="C6743" s="2" t="str">
        <f ca="1">IFERROR(__xludf.DUMMYFUNCTION("""COMPUTED_VALUE"""),"JORAM POOWEL")</f>
        <v>JORAM POOWEL</v>
      </c>
    </row>
    <row r="6744" spans="1:3" x14ac:dyDescent="0.25">
      <c r="A6744" s="2" t="str">
        <f ca="1">IFERROR(__xludf.DUMMYFUNCTION("""COMPUTED_VALUE"""),"jose")</f>
        <v>jose</v>
      </c>
      <c r="B6744" s="2" t="str">
        <f ca="1">IFERROR(__xludf.DUMMYFUNCTION("""COMPUTED_VALUE"""),"jose")</f>
        <v>jose</v>
      </c>
      <c r="C6744" s="2" t="str">
        <f ca="1">IFERROR(__xludf.DUMMYFUNCTION("""COMPUTED_VALUE"""),"Jose")</f>
        <v>Jose</v>
      </c>
    </row>
    <row r="6745" spans="1:3" x14ac:dyDescent="0.25">
      <c r="A6745" s="2" t="str">
        <f ca="1">IFERROR(__xludf.DUMMYFUNCTION("""COMPUTED_VALUE"""),"josh")</f>
        <v>josh</v>
      </c>
      <c r="B6745" s="2" t="str">
        <f ca="1">IFERROR(__xludf.DUMMYFUNCTION("""COMPUTED_VALUE"""),"josh")</f>
        <v>josh</v>
      </c>
      <c r="C6745" s="2" t="str">
        <f ca="1">IFERROR(__xludf.DUMMYFUNCTION("""COMPUTED_VALUE"""),"JOSH")</f>
        <v>JOSH</v>
      </c>
    </row>
    <row r="6746" spans="1:3" x14ac:dyDescent="0.25">
      <c r="A6746" s="2" t="str">
        <f ca="1">IFERROR(__xludf.DUMMYFUNCTION("""COMPUTED_VALUE"""),"joule-2")</f>
        <v>joule-2</v>
      </c>
      <c r="B6746" s="2" t="str">
        <f ca="1">IFERROR(__xludf.DUMMYFUNCTION("""COMPUTED_VALUE"""),"joule")</f>
        <v>joule</v>
      </c>
      <c r="C6746" s="2" t="str">
        <f ca="1">IFERROR(__xludf.DUMMYFUNCTION("""COMPUTED_VALUE"""),"Joule")</f>
        <v>Joule</v>
      </c>
    </row>
    <row r="6747" spans="1:3" x14ac:dyDescent="0.25">
      <c r="A6747" s="2" t="str">
        <f ca="1">IFERROR(__xludf.DUMMYFUNCTION("""COMPUTED_VALUE"""),"journart")</f>
        <v>journart</v>
      </c>
      <c r="B6747" s="2" t="str">
        <f ca="1">IFERROR(__xludf.DUMMYFUNCTION("""COMPUTED_VALUE"""),"jart")</f>
        <v>jart</v>
      </c>
      <c r="C6747" s="2" t="str">
        <f ca="1">IFERROR(__xludf.DUMMYFUNCTION("""COMPUTED_VALUE"""),"JournArt")</f>
        <v>JournArt</v>
      </c>
    </row>
    <row r="6748" spans="1:3" x14ac:dyDescent="0.25">
      <c r="A6748" s="2" t="str">
        <f ca="1">IFERROR(__xludf.DUMMYFUNCTION("""COMPUTED_VALUE"""),"jovjou")</f>
        <v>jovjou</v>
      </c>
      <c r="B6748" s="2" t="str">
        <f ca="1">IFERROR(__xludf.DUMMYFUNCTION("""COMPUTED_VALUE"""),"jovjou")</f>
        <v>jovjou</v>
      </c>
      <c r="C6748" s="2" t="str">
        <f ca="1">IFERROR(__xludf.DUMMYFUNCTION("""COMPUTED_VALUE"""),"JovJou")</f>
        <v>JovJou</v>
      </c>
    </row>
    <row r="6749" spans="1:3" x14ac:dyDescent="0.25">
      <c r="A6749" s="2" t="str">
        <f ca="1">IFERROR(__xludf.DUMMYFUNCTION("""COMPUTED_VALUE"""),"joystream")</f>
        <v>joystream</v>
      </c>
      <c r="B6749" s="2" t="str">
        <f ca="1">IFERROR(__xludf.DUMMYFUNCTION("""COMPUTED_VALUE"""),"joy")</f>
        <v>joy</v>
      </c>
      <c r="C6749" s="2" t="str">
        <f ca="1">IFERROR(__xludf.DUMMYFUNCTION("""COMPUTED_VALUE"""),"Joystream")</f>
        <v>Joystream</v>
      </c>
    </row>
    <row r="6750" spans="1:3" x14ac:dyDescent="0.25">
      <c r="A6750" s="2" t="str">
        <f ca="1">IFERROR(__xludf.DUMMYFUNCTION("""COMPUTED_VALUE"""),"jp")</f>
        <v>jp</v>
      </c>
      <c r="B6750" s="2" t="str">
        <f ca="1">IFERROR(__xludf.DUMMYFUNCTION("""COMPUTED_VALUE"""),"jp")</f>
        <v>jp</v>
      </c>
      <c r="C6750" s="2" t="str">
        <f ca="1">IFERROR(__xludf.DUMMYFUNCTION("""COMPUTED_VALUE"""),"JP")</f>
        <v>JP</v>
      </c>
    </row>
    <row r="6751" spans="1:3" x14ac:dyDescent="0.25">
      <c r="A6751" s="2" t="str">
        <f ca="1">IFERROR(__xludf.DUMMYFUNCTION("""COMPUTED_VALUE"""),"jpeg-d")</f>
        <v>jpeg-d</v>
      </c>
      <c r="B6751" s="2" t="str">
        <f ca="1">IFERROR(__xludf.DUMMYFUNCTION("""COMPUTED_VALUE"""),"jpeg")</f>
        <v>jpeg</v>
      </c>
      <c r="C6751" s="2" t="str">
        <f ca="1">IFERROR(__xludf.DUMMYFUNCTION("""COMPUTED_VALUE"""),"JPEG'd (OLD)")</f>
        <v>JPEG'd (OLD)</v>
      </c>
    </row>
    <row r="6752" spans="1:3" x14ac:dyDescent="0.25">
      <c r="A6752" s="2" t="str">
        <f ca="1">IFERROR(__xludf.DUMMYFUNCTION("""COMPUTED_VALUE"""),"jpeg-d-2")</f>
        <v>jpeg-d-2</v>
      </c>
      <c r="B6752" s="2" t="str">
        <f ca="1">IFERROR(__xludf.DUMMYFUNCTION("""COMPUTED_VALUE"""),"jpgd")</f>
        <v>jpgd</v>
      </c>
      <c r="C6752" s="2" t="str">
        <f ca="1">IFERROR(__xludf.DUMMYFUNCTION("""COMPUTED_VALUE"""),"JPEG'd")</f>
        <v>JPEG'd</v>
      </c>
    </row>
    <row r="6753" spans="1:3" x14ac:dyDescent="0.25">
      <c r="A6753" s="2" t="str">
        <f ca="1">IFERROR(__xludf.DUMMYFUNCTION("""COMPUTED_VALUE"""),"jpgoldcoin")</f>
        <v>jpgoldcoin</v>
      </c>
      <c r="B6753" s="2" t="str">
        <f ca="1">IFERROR(__xludf.DUMMYFUNCTION("""COMPUTED_VALUE"""),"jpgc")</f>
        <v>jpgc</v>
      </c>
      <c r="C6753" s="2" t="str">
        <f ca="1">IFERROR(__xludf.DUMMYFUNCTION("""COMPUTED_VALUE"""),"JPGoldCoin")</f>
        <v>JPGoldCoin</v>
      </c>
    </row>
    <row r="6754" spans="1:3" x14ac:dyDescent="0.25">
      <c r="A6754" s="2" t="str">
        <f ca="1">IFERROR(__xludf.DUMMYFUNCTION("""COMPUTED_VALUE"""),"jpg-store")</f>
        <v>jpg-store</v>
      </c>
      <c r="B6754" s="2" t="str">
        <f ca="1">IFERROR(__xludf.DUMMYFUNCTION("""COMPUTED_VALUE"""),"jpg")</f>
        <v>jpg</v>
      </c>
      <c r="C6754" s="2" t="str">
        <f ca="1">IFERROR(__xludf.DUMMYFUNCTION("""COMPUTED_VALUE"""),"JPG")</f>
        <v>JPG</v>
      </c>
    </row>
    <row r="6755" spans="1:3" x14ac:dyDescent="0.25">
      <c r="A6755" s="2" t="str">
        <f ca="1">IFERROR(__xludf.DUMMYFUNCTION("""COMPUTED_VALUE"""),"jpool")</f>
        <v>jpool</v>
      </c>
      <c r="B6755" s="2" t="str">
        <f ca="1">IFERROR(__xludf.DUMMYFUNCTION("""COMPUTED_VALUE"""),"jsol")</f>
        <v>jsol</v>
      </c>
      <c r="C6755" s="2" t="str">
        <f ca="1">IFERROR(__xludf.DUMMYFUNCTION("""COMPUTED_VALUE"""),"JPool Staked SOL")</f>
        <v>JPool Staked SOL</v>
      </c>
    </row>
    <row r="6756" spans="1:3" x14ac:dyDescent="0.25">
      <c r="A6756" s="2" t="str">
        <f ca="1">IFERROR(__xludf.DUMMYFUNCTION("""COMPUTED_VALUE"""),"jpyc")</f>
        <v>jpyc</v>
      </c>
      <c r="B6756" s="2" t="str">
        <f ca="1">IFERROR(__xludf.DUMMYFUNCTION("""COMPUTED_VALUE"""),"jpyc")</f>
        <v>jpyc</v>
      </c>
      <c r="C6756" s="2" t="str">
        <f ca="1">IFERROR(__xludf.DUMMYFUNCTION("""COMPUTED_VALUE"""),"JPY Coin v1")</f>
        <v>JPY Coin v1</v>
      </c>
    </row>
    <row r="6757" spans="1:3" x14ac:dyDescent="0.25">
      <c r="A6757" s="2" t="str">
        <f ca="1">IFERROR(__xludf.DUMMYFUNCTION("""COMPUTED_VALUE"""),"jpy-coin")</f>
        <v>jpy-coin</v>
      </c>
      <c r="B6757" s="2" t="str">
        <f ca="1">IFERROR(__xludf.DUMMYFUNCTION("""COMPUTED_VALUE"""),"jpyc")</f>
        <v>jpyc</v>
      </c>
      <c r="C6757" s="2" t="str">
        <f ca="1">IFERROR(__xludf.DUMMYFUNCTION("""COMPUTED_VALUE"""),"JPY Coin")</f>
        <v>JPY Coin</v>
      </c>
    </row>
    <row r="6758" spans="1:3" x14ac:dyDescent="0.25">
      <c r="A6758" s="2" t="str">
        <f ca="1">IFERROR(__xludf.DUMMYFUNCTION("""COMPUTED_VALUE"""),"jtc-network")</f>
        <v>jtc-network</v>
      </c>
      <c r="B6758" s="2" t="str">
        <f ca="1">IFERROR(__xludf.DUMMYFUNCTION("""COMPUTED_VALUE"""),"jtc")</f>
        <v>jtc</v>
      </c>
      <c r="C6758" s="2" t="str">
        <f ca="1">IFERROR(__xludf.DUMMYFUNCTION("""COMPUTED_VALUE"""),"JTC Network")</f>
        <v>JTC Network</v>
      </c>
    </row>
    <row r="6759" spans="1:3" x14ac:dyDescent="0.25">
      <c r="A6759" s="2" t="str">
        <f ca="1">IFERROR(__xludf.DUMMYFUNCTION("""COMPUTED_VALUE"""),"judge-ai")</f>
        <v>judge-ai</v>
      </c>
      <c r="B6759" s="2" t="str">
        <f ca="1">IFERROR(__xludf.DUMMYFUNCTION("""COMPUTED_VALUE"""),"judge")</f>
        <v>judge</v>
      </c>
      <c r="C6759" s="2" t="str">
        <f ca="1">IFERROR(__xludf.DUMMYFUNCTION("""COMPUTED_VALUE"""),"Judge AI")</f>
        <v>Judge AI</v>
      </c>
    </row>
    <row r="6760" spans="1:3" x14ac:dyDescent="0.25">
      <c r="A6760" s="2" t="str">
        <f ca="1">IFERROR(__xludf.DUMMYFUNCTION("""COMPUTED_VALUE"""),"judgment-ai")</f>
        <v>judgment-ai</v>
      </c>
      <c r="B6760" s="2" t="str">
        <f ca="1">IFERROR(__xludf.DUMMYFUNCTION("""COMPUTED_VALUE"""),"jmtai")</f>
        <v>jmtai</v>
      </c>
      <c r="C6760" s="2" t="str">
        <f ca="1">IFERROR(__xludf.DUMMYFUNCTION("""COMPUTED_VALUE"""),"Judgment AI")</f>
        <v>Judgment AI</v>
      </c>
    </row>
    <row r="6761" spans="1:3" x14ac:dyDescent="0.25">
      <c r="A6761" s="2" t="str">
        <f ca="1">IFERROR(__xludf.DUMMYFUNCTION("""COMPUTED_VALUE"""),"juggernaut")</f>
        <v>juggernaut</v>
      </c>
      <c r="B6761" s="2" t="str">
        <f ca="1">IFERROR(__xludf.DUMMYFUNCTION("""COMPUTED_VALUE"""),"jgn")</f>
        <v>jgn</v>
      </c>
      <c r="C6761" s="2" t="str">
        <f ca="1">IFERROR(__xludf.DUMMYFUNCTION("""COMPUTED_VALUE"""),"Juggernaut")</f>
        <v>Juggernaut</v>
      </c>
    </row>
    <row r="6762" spans="1:3" x14ac:dyDescent="0.25">
      <c r="A6762" s="2" t="str">
        <f ca="1">IFERROR(__xludf.DUMMYFUNCTION("""COMPUTED_VALUE"""),"jugni")</f>
        <v>jugni</v>
      </c>
      <c r="B6762" s="2" t="str">
        <f ca="1">IFERROR(__xludf.DUMMYFUNCTION("""COMPUTED_VALUE"""),"jugni")</f>
        <v>jugni</v>
      </c>
      <c r="C6762" s="2" t="str">
        <f ca="1">IFERROR(__xludf.DUMMYFUNCTION("""COMPUTED_VALUE"""),"JUGNI")</f>
        <v>JUGNI</v>
      </c>
    </row>
    <row r="6763" spans="1:3" x14ac:dyDescent="0.25">
      <c r="A6763" s="2" t="str">
        <f ca="1">IFERROR(__xludf.DUMMYFUNCTION("""COMPUTED_VALUE"""),"juice")</f>
        <v>juice</v>
      </c>
      <c r="B6763" s="2" t="str">
        <f ca="1">IFERROR(__xludf.DUMMYFUNCTION("""COMPUTED_VALUE"""),"$juice")</f>
        <v>$juice</v>
      </c>
      <c r="C6763" s="2" t="str">
        <f ca="1">IFERROR(__xludf.DUMMYFUNCTION("""COMPUTED_VALUE"""),"Juice")</f>
        <v>Juice</v>
      </c>
    </row>
    <row r="6764" spans="1:3" x14ac:dyDescent="0.25">
      <c r="A6764" s="2" t="str">
        <f ca="1">IFERROR(__xludf.DUMMYFUNCTION("""COMPUTED_VALUE"""),"juice-2")</f>
        <v>juice-2</v>
      </c>
      <c r="B6764" s="2" t="str">
        <f ca="1">IFERROR(__xludf.DUMMYFUNCTION("""COMPUTED_VALUE"""),"juc")</f>
        <v>juc</v>
      </c>
      <c r="C6764" s="2" t="str">
        <f ca="1">IFERROR(__xludf.DUMMYFUNCTION("""COMPUTED_VALUE"""),"Juice")</f>
        <v>Juice</v>
      </c>
    </row>
    <row r="6765" spans="1:3" x14ac:dyDescent="0.25">
      <c r="A6765" s="2" t="str">
        <f ca="1">IFERROR(__xludf.DUMMYFUNCTION("""COMPUTED_VALUE"""),"juicebox")</f>
        <v>juicebox</v>
      </c>
      <c r="B6765" s="2" t="str">
        <f ca="1">IFERROR(__xludf.DUMMYFUNCTION("""COMPUTED_VALUE"""),"jbx")</f>
        <v>jbx</v>
      </c>
      <c r="C6765" s="2" t="str">
        <f ca="1">IFERROR(__xludf.DUMMYFUNCTION("""COMPUTED_VALUE"""),"Juicebox")</f>
        <v>Juicebox</v>
      </c>
    </row>
    <row r="6766" spans="1:3" x14ac:dyDescent="0.25">
      <c r="A6766" s="2" t="str">
        <f ca="1">IFERROR(__xludf.DUMMYFUNCTION("""COMPUTED_VALUE"""),"juice-finance")</f>
        <v>juice-finance</v>
      </c>
      <c r="B6766" s="2" t="str">
        <f ca="1">IFERROR(__xludf.DUMMYFUNCTION("""COMPUTED_VALUE"""),"juice")</f>
        <v>juice</v>
      </c>
      <c r="C6766" s="2" t="str">
        <f ca="1">IFERROR(__xludf.DUMMYFUNCTION("""COMPUTED_VALUE"""),"Juice Finance")</f>
        <v>Juice Finance</v>
      </c>
    </row>
    <row r="6767" spans="1:3" x14ac:dyDescent="0.25">
      <c r="A6767" s="2" t="str">
        <f ca="1">IFERROR(__xludf.DUMMYFUNCTION("""COMPUTED_VALUE"""),"juicybet")</f>
        <v>juicybet</v>
      </c>
      <c r="B6767" s="2" t="str">
        <f ca="1">IFERROR(__xludf.DUMMYFUNCTION("""COMPUTED_VALUE"""),"jsp")</f>
        <v>jsp</v>
      </c>
      <c r="C6767" s="2" t="str">
        <f ca="1">IFERROR(__xludf.DUMMYFUNCTION("""COMPUTED_VALUE"""),"Juicybet")</f>
        <v>Juicybet</v>
      </c>
    </row>
    <row r="6768" spans="1:3" x14ac:dyDescent="0.25">
      <c r="A6768" s="2" t="str">
        <f ca="1">IFERROR(__xludf.DUMMYFUNCTION("""COMPUTED_VALUE"""),"juicy-staked-sol")</f>
        <v>juicy-staked-sol</v>
      </c>
      <c r="B6768" s="2" t="str">
        <f ca="1">IFERROR(__xludf.DUMMYFUNCTION("""COMPUTED_VALUE"""),"jucysol")</f>
        <v>jucysol</v>
      </c>
      <c r="C6768" s="2" t="str">
        <f ca="1">IFERROR(__xludf.DUMMYFUNCTION("""COMPUTED_VALUE"""),"Juicy Staked SOL")</f>
        <v>Juicy Staked SOL</v>
      </c>
    </row>
    <row r="6769" spans="1:3" x14ac:dyDescent="0.25">
      <c r="A6769" s="2" t="str">
        <f ca="1">IFERROR(__xludf.DUMMYFUNCTION("""COMPUTED_VALUE"""),"jujube")</f>
        <v>jujube</v>
      </c>
      <c r="B6769" s="2" t="str">
        <f ca="1">IFERROR(__xludf.DUMMYFUNCTION("""COMPUTED_VALUE"""),"jujube")</f>
        <v>jujube</v>
      </c>
      <c r="C6769" s="2" t="str">
        <f ca="1">IFERROR(__xludf.DUMMYFUNCTION("""COMPUTED_VALUE"""),"Jujube")</f>
        <v>Jujube</v>
      </c>
    </row>
    <row r="6770" spans="1:3" x14ac:dyDescent="0.25">
      <c r="A6770" s="2" t="str">
        <f ca="1">IFERROR(__xludf.DUMMYFUNCTION("""COMPUTED_VALUE"""),"julswap")</f>
        <v>julswap</v>
      </c>
      <c r="B6770" s="2" t="str">
        <f ca="1">IFERROR(__xludf.DUMMYFUNCTION("""COMPUTED_VALUE"""),"juld")</f>
        <v>juld</v>
      </c>
      <c r="C6770" s="2" t="str">
        <f ca="1">IFERROR(__xludf.DUMMYFUNCTION("""COMPUTED_VALUE"""),"JulSwap")</f>
        <v>JulSwap</v>
      </c>
    </row>
    <row r="6771" spans="1:3" x14ac:dyDescent="0.25">
      <c r="A6771" s="2" t="str">
        <f ca="1">IFERROR(__xludf.DUMMYFUNCTION("""COMPUTED_VALUE"""),"jumbo-exchange")</f>
        <v>jumbo-exchange</v>
      </c>
      <c r="B6771" s="2" t="str">
        <f ca="1">IFERROR(__xludf.DUMMYFUNCTION("""COMPUTED_VALUE"""),"jumbo")</f>
        <v>jumbo</v>
      </c>
      <c r="C6771" s="2" t="str">
        <f ca="1">IFERROR(__xludf.DUMMYFUNCTION("""COMPUTED_VALUE"""),"Jumbo Exchange")</f>
        <v>Jumbo Exchange</v>
      </c>
    </row>
    <row r="6772" spans="1:3" x14ac:dyDescent="0.25">
      <c r="A6772" s="2" t="str">
        <f ca="1">IFERROR(__xludf.DUMMYFUNCTION("""COMPUTED_VALUE"""),"jumoney")</f>
        <v>jumoney</v>
      </c>
      <c r="B6772" s="2" t="str">
        <f ca="1">IFERROR(__xludf.DUMMYFUNCTION("""COMPUTED_VALUE"""),"jum")</f>
        <v>jum</v>
      </c>
      <c r="C6772" s="2" t="str">
        <f ca="1">IFERROR(__xludf.DUMMYFUNCTION("""COMPUTED_VALUE"""),"Jumoney")</f>
        <v>Jumoney</v>
      </c>
    </row>
    <row r="6773" spans="1:3" x14ac:dyDescent="0.25">
      <c r="A6773" s="2" t="str">
        <f ca="1">IFERROR(__xludf.DUMMYFUNCTION("""COMPUTED_VALUE"""),"jumptoken")</f>
        <v>jumptoken</v>
      </c>
      <c r="B6773" s="2" t="str">
        <f ca="1">IFERROR(__xludf.DUMMYFUNCTION("""COMPUTED_VALUE"""),"jmpt")</f>
        <v>jmpt</v>
      </c>
      <c r="C6773" s="2" t="str">
        <f ca="1">IFERROR(__xludf.DUMMYFUNCTION("""COMPUTED_VALUE"""),"JumpToken")</f>
        <v>JumpToken</v>
      </c>
    </row>
    <row r="6774" spans="1:3" x14ac:dyDescent="0.25">
      <c r="A6774" s="2" t="str">
        <f ca="1">IFERROR(__xludf.DUMMYFUNCTION("""COMPUTED_VALUE"""),"jungle")</f>
        <v>jungle</v>
      </c>
      <c r="B6774" s="2" t="str">
        <f ca="1">IFERROR(__xludf.DUMMYFUNCTION("""COMPUTED_VALUE"""),"jungle")</f>
        <v>jungle</v>
      </c>
      <c r="C6774" s="2" t="str">
        <f ca="1">IFERROR(__xludf.DUMMYFUNCTION("""COMPUTED_VALUE"""),"Jungle")</f>
        <v>Jungle</v>
      </c>
    </row>
    <row r="6775" spans="1:3" x14ac:dyDescent="0.25">
      <c r="A6775" s="2" t="str">
        <f ca="1">IFERROR(__xludf.DUMMYFUNCTION("""COMPUTED_VALUE"""),"jungledoge")</f>
        <v>jungledoge</v>
      </c>
      <c r="B6775" s="2" t="str">
        <f ca="1">IFERROR(__xludf.DUMMYFUNCTION("""COMPUTED_VALUE"""),"jungle")</f>
        <v>jungle</v>
      </c>
      <c r="C6775" s="2" t="str">
        <f ca="1">IFERROR(__xludf.DUMMYFUNCTION("""COMPUTED_VALUE"""),"JungleDoge")</f>
        <v>JungleDoge</v>
      </c>
    </row>
    <row r="6776" spans="1:3" x14ac:dyDescent="0.25">
      <c r="A6776" s="2" t="str">
        <f ca="1">IFERROR(__xludf.DUMMYFUNCTION("""COMPUTED_VALUE"""),"jungle-labz")</f>
        <v>jungle-labz</v>
      </c>
      <c r="B6776" s="2" t="str">
        <f ca="1">IFERROR(__xludf.DUMMYFUNCTION("""COMPUTED_VALUE"""),"jngl")</f>
        <v>jngl</v>
      </c>
      <c r="C6776" s="2" t="str">
        <f ca="1">IFERROR(__xludf.DUMMYFUNCTION("""COMPUTED_VALUE"""),"Jungle Labz")</f>
        <v>Jungle Labz</v>
      </c>
    </row>
    <row r="6777" spans="1:3" x14ac:dyDescent="0.25">
      <c r="A6777" s="2" t="str">
        <f ca="1">IFERROR(__xludf.DUMMYFUNCTION("""COMPUTED_VALUE"""),"junior")</f>
        <v>junior</v>
      </c>
      <c r="B6777" s="2" t="str">
        <f ca="1">IFERROR(__xludf.DUMMYFUNCTION("""COMPUTED_VALUE"""),"junior")</f>
        <v>junior</v>
      </c>
      <c r="C6777" s="2" t="str">
        <f ca="1">IFERROR(__xludf.DUMMYFUNCTION("""COMPUTED_VALUE"""),"Junior")</f>
        <v>Junior</v>
      </c>
    </row>
    <row r="6778" spans="1:3" x14ac:dyDescent="0.25">
      <c r="A6778" s="2" t="str">
        <f ca="1">IFERROR(__xludf.DUMMYFUNCTION("""COMPUTED_VALUE"""),"juno-network")</f>
        <v>juno-network</v>
      </c>
      <c r="B6778" s="2" t="str">
        <f ca="1">IFERROR(__xludf.DUMMYFUNCTION("""COMPUTED_VALUE"""),"juno")</f>
        <v>juno</v>
      </c>
      <c r="C6778" s="2" t="str">
        <f ca="1">IFERROR(__xludf.DUMMYFUNCTION("""COMPUTED_VALUE"""),"JUNO")</f>
        <v>JUNO</v>
      </c>
    </row>
    <row r="6779" spans="1:3" x14ac:dyDescent="0.25">
      <c r="A6779" s="2" t="str">
        <f ca="1">IFERROR(__xludf.DUMMYFUNCTION("""COMPUTED_VALUE"""),"jupbot")</f>
        <v>jupbot</v>
      </c>
      <c r="B6779" s="2" t="str">
        <f ca="1">IFERROR(__xludf.DUMMYFUNCTION("""COMPUTED_VALUE"""),"jupbot")</f>
        <v>jupbot</v>
      </c>
      <c r="C6779" s="2" t="str">
        <f ca="1">IFERROR(__xludf.DUMMYFUNCTION("""COMPUTED_VALUE"""),"JupBot")</f>
        <v>JupBot</v>
      </c>
    </row>
    <row r="6780" spans="1:3" x14ac:dyDescent="0.25">
      <c r="A6780" s="2" t="str">
        <f ca="1">IFERROR(__xludf.DUMMYFUNCTION("""COMPUTED_VALUE"""),"jupiter")</f>
        <v>jupiter</v>
      </c>
      <c r="B6780" s="2" t="str">
        <f ca="1">IFERROR(__xludf.DUMMYFUNCTION("""COMPUTED_VALUE"""),"jup")</f>
        <v>jup</v>
      </c>
      <c r="C6780" s="2" t="str">
        <f ca="1">IFERROR(__xludf.DUMMYFUNCTION("""COMPUTED_VALUE"""),"Jupiter Project")</f>
        <v>Jupiter Project</v>
      </c>
    </row>
    <row r="6781" spans="1:3" x14ac:dyDescent="0.25">
      <c r="A6781" s="2" t="str">
        <f ca="1">IFERROR(__xludf.DUMMYFUNCTION("""COMPUTED_VALUE"""),"jupiter-exchange-solana")</f>
        <v>jupiter-exchange-solana</v>
      </c>
      <c r="B6781" s="2" t="str">
        <f ca="1">IFERROR(__xludf.DUMMYFUNCTION("""COMPUTED_VALUE"""),"jup")</f>
        <v>jup</v>
      </c>
      <c r="C6781" s="2" t="str">
        <f ca="1">IFERROR(__xludf.DUMMYFUNCTION("""COMPUTED_VALUE"""),"Jupiter")</f>
        <v>Jupiter</v>
      </c>
    </row>
    <row r="6782" spans="1:3" x14ac:dyDescent="0.25">
      <c r="A6782" s="2" t="str">
        <f ca="1">IFERROR(__xludf.DUMMYFUNCTION("""COMPUTED_VALUE"""),"jupiter-perpetuals-liquidity-provider-token")</f>
        <v>jupiter-perpetuals-liquidity-provider-token</v>
      </c>
      <c r="B6782" s="2" t="str">
        <f ca="1">IFERROR(__xludf.DUMMYFUNCTION("""COMPUTED_VALUE"""),"jlp")</f>
        <v>jlp</v>
      </c>
      <c r="C6782" s="2" t="str">
        <f ca="1">IFERROR(__xludf.DUMMYFUNCTION("""COMPUTED_VALUE"""),"Jupiter Perpetuals Liquidity Provider Token")</f>
        <v>Jupiter Perpetuals Liquidity Provider Token</v>
      </c>
    </row>
    <row r="6783" spans="1:3" x14ac:dyDescent="0.25">
      <c r="A6783" s="2" t="str">
        <f ca="1">IFERROR(__xludf.DUMMYFUNCTION("""COMPUTED_VALUE"""),"jupiter-staked-sol")</f>
        <v>jupiter-staked-sol</v>
      </c>
      <c r="B6783" s="2" t="str">
        <f ca="1">IFERROR(__xludf.DUMMYFUNCTION("""COMPUTED_VALUE"""),"jupsol")</f>
        <v>jupsol</v>
      </c>
      <c r="C6783" s="2" t="str">
        <f ca="1">IFERROR(__xludf.DUMMYFUNCTION("""COMPUTED_VALUE"""),"Jupiter Staked SOL")</f>
        <v>Jupiter Staked SOL</v>
      </c>
    </row>
    <row r="6784" spans="1:3" x14ac:dyDescent="0.25">
      <c r="A6784" s="2" t="str">
        <f ca="1">IFERROR(__xludf.DUMMYFUNCTION("""COMPUTED_VALUE"""),"jupu")</f>
        <v>jupu</v>
      </c>
      <c r="B6784" s="2" t="str">
        <f ca="1">IFERROR(__xludf.DUMMYFUNCTION("""COMPUTED_VALUE"""),"jupu")</f>
        <v>jupu</v>
      </c>
      <c r="C6784" s="2" t="str">
        <f ca="1">IFERROR(__xludf.DUMMYFUNCTION("""COMPUTED_VALUE"""),"Jupu")</f>
        <v>Jupu</v>
      </c>
    </row>
    <row r="6785" spans="1:3" x14ac:dyDescent="0.25">
      <c r="A6785" s="2" t="str">
        <f ca="1">IFERROR(__xludf.DUMMYFUNCTION("""COMPUTED_VALUE"""),"ju-rugan")</f>
        <v>ju-rugan</v>
      </c>
      <c r="B6785" s="2" t="str">
        <f ca="1">IFERROR(__xludf.DUMMYFUNCTION("""COMPUTED_VALUE"""),"ju")</f>
        <v>ju</v>
      </c>
      <c r="C6785" s="2" t="str">
        <f ca="1">IFERROR(__xludf.DUMMYFUNCTION("""COMPUTED_VALUE"""),"ju rugan")</f>
        <v>ju rugan</v>
      </c>
    </row>
    <row r="6786" spans="1:3" x14ac:dyDescent="0.25">
      <c r="A6786" s="2" t="str">
        <f ca="1">IFERROR(__xludf.DUMMYFUNCTION("""COMPUTED_VALUE"""),"jusd")</f>
        <v>jusd</v>
      </c>
      <c r="B6786" s="2" t="str">
        <f ca="1">IFERROR(__xludf.DUMMYFUNCTION("""COMPUTED_VALUE"""),"jusd")</f>
        <v>jusd</v>
      </c>
      <c r="C6786" s="2" t="str">
        <f ca="1">IFERROR(__xludf.DUMMYFUNCTION("""COMPUTED_VALUE"""),"JUSD")</f>
        <v>JUSD</v>
      </c>
    </row>
    <row r="6787" spans="1:3" x14ac:dyDescent="0.25">
      <c r="A6787" s="2" t="str">
        <f ca="1">IFERROR(__xludf.DUMMYFUNCTION("""COMPUTED_VALUE"""),"just")</f>
        <v>just</v>
      </c>
      <c r="B6787" s="2" t="str">
        <f ca="1">IFERROR(__xludf.DUMMYFUNCTION("""COMPUTED_VALUE"""),"jst")</f>
        <v>jst</v>
      </c>
      <c r="C6787" s="2" t="str">
        <f ca="1">IFERROR(__xludf.DUMMYFUNCTION("""COMPUTED_VALUE"""),"JUST")</f>
        <v>JUST</v>
      </c>
    </row>
    <row r="6788" spans="1:3" x14ac:dyDescent="0.25">
      <c r="A6788" s="2" t="str">
        <f ca="1">IFERROR(__xludf.DUMMYFUNCTION("""COMPUTED_VALUE"""),"just-a-black-rock-on-base")</f>
        <v>just-a-black-rock-on-base</v>
      </c>
      <c r="B6788" s="2" t="str">
        <f ca="1">IFERROR(__xludf.DUMMYFUNCTION("""COMPUTED_VALUE"""),"rock")</f>
        <v>rock</v>
      </c>
      <c r="C6788" s="2" t="str">
        <f ca="1">IFERROR(__xludf.DUMMYFUNCTION("""COMPUTED_VALUE"""),"Just a Black Rock on Base")</f>
        <v>Just a Black Rock on Base</v>
      </c>
    </row>
    <row r="6789" spans="1:3" x14ac:dyDescent="0.25">
      <c r="A6789" s="2" t="str">
        <f ca="1">IFERROR(__xludf.DUMMYFUNCTION("""COMPUTED_VALUE"""),"justanegg-2")</f>
        <v>justanegg-2</v>
      </c>
      <c r="B6789" s="2" t="str">
        <f ca="1">IFERROR(__xludf.DUMMYFUNCTION("""COMPUTED_VALUE"""),"egg")</f>
        <v>egg</v>
      </c>
      <c r="C6789" s="2" t="str">
        <f ca="1">IFERROR(__xludf.DUMMYFUNCTION("""COMPUTED_VALUE"""),"JustAnEgg")</f>
        <v>JustAnEgg</v>
      </c>
    </row>
    <row r="6790" spans="1:3" x14ac:dyDescent="0.25">
      <c r="A6790" s="2" t="str">
        <f ca="1">IFERROR(__xludf.DUMMYFUNCTION("""COMPUTED_VALUE"""),"just-a-rock")</f>
        <v>just-a-rock</v>
      </c>
      <c r="B6790" s="2" t="str">
        <f ca="1">IFERROR(__xludf.DUMMYFUNCTION("""COMPUTED_VALUE"""),"rocco")</f>
        <v>rocco</v>
      </c>
      <c r="C6790" s="2" t="str">
        <f ca="1">IFERROR(__xludf.DUMMYFUNCTION("""COMPUTED_VALUE"""),"Just a Rock")</f>
        <v>Just a Rock</v>
      </c>
    </row>
    <row r="6791" spans="1:3" x14ac:dyDescent="0.25">
      <c r="A6791" s="2" t="str">
        <f ca="1">IFERROR(__xludf.DUMMYFUNCTION("""COMPUTED_VALUE"""),"justmoney-2")</f>
        <v>justmoney-2</v>
      </c>
      <c r="B6791" s="2" t="str">
        <f ca="1">IFERROR(__xludf.DUMMYFUNCTION("""COMPUTED_VALUE"""),"jm")</f>
        <v>jm</v>
      </c>
      <c r="C6791" s="2" t="str">
        <f ca="1">IFERROR(__xludf.DUMMYFUNCTION("""COMPUTED_VALUE"""),"JustMoney")</f>
        <v>JustMoney</v>
      </c>
    </row>
    <row r="6792" spans="1:3" x14ac:dyDescent="0.25">
      <c r="A6792" s="2" t="str">
        <f ca="1">IFERROR(__xludf.DUMMYFUNCTION("""COMPUTED_VALUE"""),"just-stablecoin")</f>
        <v>just-stablecoin</v>
      </c>
      <c r="B6792" s="2" t="str">
        <f ca="1">IFERROR(__xludf.DUMMYFUNCTION("""COMPUTED_VALUE"""),"usdj")</f>
        <v>usdj</v>
      </c>
      <c r="C6792" s="2" t="str">
        <f ca="1">IFERROR(__xludf.DUMMYFUNCTION("""COMPUTED_VALUE"""),"JUST Stablecoin")</f>
        <v>JUST Stablecoin</v>
      </c>
    </row>
    <row r="6793" spans="1:3" x14ac:dyDescent="0.25">
      <c r="A6793" s="2" t="str">
        <f ca="1">IFERROR(__xludf.DUMMYFUNCTION("""COMPUTED_VALUE"""),"just-the-tip")</f>
        <v>just-the-tip</v>
      </c>
      <c r="B6793" s="2" t="str">
        <f ca="1">IFERROR(__xludf.DUMMYFUNCTION("""COMPUTED_VALUE"""),"tips")</f>
        <v>tips</v>
      </c>
      <c r="C6793" s="2" t="str">
        <f ca="1">IFERROR(__xludf.DUMMYFUNCTION("""COMPUTED_VALUE"""),"Just The Tip")</f>
        <v>Just The Tip</v>
      </c>
    </row>
    <row r="6794" spans="1:3" x14ac:dyDescent="0.25">
      <c r="A6794" s="2" t="str">
        <f ca="1">IFERROR(__xludf.DUMMYFUNCTION("""COMPUTED_VALUE"""),"justus")</f>
        <v>justus</v>
      </c>
      <c r="B6794" s="2" t="str">
        <f ca="1">IFERROR(__xludf.DUMMYFUNCTION("""COMPUTED_VALUE"""),"jtt")</f>
        <v>jtt</v>
      </c>
      <c r="C6794" s="2" t="str">
        <f ca="1">IFERROR(__xludf.DUMMYFUNCTION("""COMPUTED_VALUE"""),"Justus")</f>
        <v>Justus</v>
      </c>
    </row>
    <row r="6795" spans="1:3" x14ac:dyDescent="0.25">
      <c r="A6795" s="2" t="str">
        <f ca="1">IFERROR(__xludf.DUMMYFUNCTION("""COMPUTED_VALUE"""),"juventus-fan-token")</f>
        <v>juventus-fan-token</v>
      </c>
      <c r="B6795" s="2" t="str">
        <f ca="1">IFERROR(__xludf.DUMMYFUNCTION("""COMPUTED_VALUE"""),"juv")</f>
        <v>juv</v>
      </c>
      <c r="C6795" s="2" t="str">
        <f ca="1">IFERROR(__xludf.DUMMYFUNCTION("""COMPUTED_VALUE"""),"Juventus Fan Token")</f>
        <v>Juventus Fan Token</v>
      </c>
    </row>
    <row r="6796" spans="1:3" x14ac:dyDescent="0.25">
      <c r="A6796" s="2" t="str">
        <f ca="1">IFERROR(__xludf.DUMMYFUNCTION("""COMPUTED_VALUE"""),"jvault-token")</f>
        <v>jvault-token</v>
      </c>
      <c r="B6796" s="2" t="str">
        <f ca="1">IFERROR(__xludf.DUMMYFUNCTION("""COMPUTED_VALUE"""),"jvt")</f>
        <v>jvt</v>
      </c>
      <c r="C6796" s="2" t="str">
        <f ca="1">IFERROR(__xludf.DUMMYFUNCTION("""COMPUTED_VALUE"""),"JVault Token")</f>
        <v>JVault Token</v>
      </c>
    </row>
    <row r="6797" spans="1:3" x14ac:dyDescent="0.25">
      <c r="A6797" s="2" t="str">
        <f ca="1">IFERROR(__xludf.DUMMYFUNCTION("""COMPUTED_VALUE"""),"k21")</f>
        <v>k21</v>
      </c>
      <c r="B6797" s="2" t="str">
        <f ca="1">IFERROR(__xludf.DUMMYFUNCTION("""COMPUTED_VALUE"""),"k21")</f>
        <v>k21</v>
      </c>
      <c r="C6797" s="2" t="str">
        <f ca="1">IFERROR(__xludf.DUMMYFUNCTION("""COMPUTED_VALUE"""),"K21")</f>
        <v>K21</v>
      </c>
    </row>
    <row r="6798" spans="1:3" x14ac:dyDescent="0.25">
      <c r="A6798" s="2" t="str">
        <f ca="1">IFERROR(__xludf.DUMMYFUNCTION("""COMPUTED_VALUE"""),"k9-finance-dao")</f>
        <v>k9-finance-dao</v>
      </c>
      <c r="B6798" s="2" t="str">
        <f ca="1">IFERROR(__xludf.DUMMYFUNCTION("""COMPUTED_VALUE"""),"knine")</f>
        <v>knine</v>
      </c>
      <c r="C6798" s="2" t="str">
        <f ca="1">IFERROR(__xludf.DUMMYFUNCTION("""COMPUTED_VALUE"""),"K9 Finance DAO")</f>
        <v>K9 Finance DAO</v>
      </c>
    </row>
    <row r="6799" spans="1:3" x14ac:dyDescent="0.25">
      <c r="A6799" s="2" t="str">
        <f ca="1">IFERROR(__xludf.DUMMYFUNCTION("""COMPUTED_VALUE"""),"kaarigar-connect")</f>
        <v>kaarigar-connect</v>
      </c>
      <c r="B6799" s="2" t="str">
        <f ca="1">IFERROR(__xludf.DUMMYFUNCTION("""COMPUTED_VALUE"""),"karcon")</f>
        <v>karcon</v>
      </c>
      <c r="C6799" s="2" t="str">
        <f ca="1">IFERROR(__xludf.DUMMYFUNCTION("""COMPUTED_VALUE"""),"Kaarigar Connect")</f>
        <v>Kaarigar Connect</v>
      </c>
    </row>
    <row r="6800" spans="1:3" x14ac:dyDescent="0.25">
      <c r="A6800" s="2" t="str">
        <f ca="1">IFERROR(__xludf.DUMMYFUNCTION("""COMPUTED_VALUE"""),"kabal")</f>
        <v>kabal</v>
      </c>
      <c r="B6800" s="2" t="str">
        <f ca="1">IFERROR(__xludf.DUMMYFUNCTION("""COMPUTED_VALUE"""),"kabal")</f>
        <v>kabal</v>
      </c>
      <c r="C6800" s="2" t="str">
        <f ca="1">IFERROR(__xludf.DUMMYFUNCTION("""COMPUTED_VALUE"""),"KABAL")</f>
        <v>KABAL</v>
      </c>
    </row>
    <row r="6801" spans="1:3" x14ac:dyDescent="0.25">
      <c r="A6801" s="2" t="str">
        <f ca="1">IFERROR(__xludf.DUMMYFUNCTION("""COMPUTED_VALUE"""),"kabochan")</f>
        <v>kabochan</v>
      </c>
      <c r="B6801" s="2" t="str">
        <f ca="1">IFERROR(__xludf.DUMMYFUNCTION("""COMPUTED_VALUE"""),"kabo")</f>
        <v>kabo</v>
      </c>
      <c r="C6801" s="2" t="str">
        <f ca="1">IFERROR(__xludf.DUMMYFUNCTION("""COMPUTED_VALUE"""),"KaboChan")</f>
        <v>KaboChan</v>
      </c>
    </row>
    <row r="6802" spans="1:3" x14ac:dyDescent="0.25">
      <c r="A6802" s="2" t="str">
        <f ca="1">IFERROR(__xludf.DUMMYFUNCTION("""COMPUTED_VALUE"""),"kabosu")</f>
        <v>kabosu</v>
      </c>
      <c r="B6802" s="2" t="str">
        <f ca="1">IFERROR(__xludf.DUMMYFUNCTION("""COMPUTED_VALUE"""),"kabosu")</f>
        <v>kabosu</v>
      </c>
      <c r="C6802" s="2" t="str">
        <f ca="1">IFERROR(__xludf.DUMMYFUNCTION("""COMPUTED_VALUE"""),"Kabosu")</f>
        <v>Kabosu</v>
      </c>
    </row>
    <row r="6803" spans="1:3" x14ac:dyDescent="0.25">
      <c r="A6803" s="2" t="str">
        <f ca="1">IFERROR(__xludf.DUMMYFUNCTION("""COMPUTED_VALUE"""),"kabosu-2")</f>
        <v>kabosu-2</v>
      </c>
      <c r="B6803" s="2" t="str">
        <f ca="1">IFERROR(__xludf.DUMMYFUNCTION("""COMPUTED_VALUE"""),"kabosu")</f>
        <v>kabosu</v>
      </c>
      <c r="C6803" s="2" t="str">
        <f ca="1">IFERROR(__xludf.DUMMYFUNCTION("""COMPUTED_VALUE"""),"KaBoSu")</f>
        <v>KaBoSu</v>
      </c>
    </row>
    <row r="6804" spans="1:3" x14ac:dyDescent="0.25">
      <c r="A6804" s="2" t="str">
        <f ca="1">IFERROR(__xludf.DUMMYFUNCTION("""COMPUTED_VALUE"""),"kabosu-3")</f>
        <v>kabosu-3</v>
      </c>
      <c r="B6804" s="2" t="str">
        <f ca="1">IFERROR(__xludf.DUMMYFUNCTION("""COMPUTED_VALUE"""),"$kabosu")</f>
        <v>$kabosu</v>
      </c>
      <c r="C6804" s="2" t="str">
        <f ca="1">IFERROR(__xludf.DUMMYFUNCTION("""COMPUTED_VALUE"""),"Kabosu")</f>
        <v>Kabosu</v>
      </c>
    </row>
    <row r="6805" spans="1:3" x14ac:dyDescent="0.25">
      <c r="A6805" s="2" t="str">
        <f ca="1">IFERROR(__xludf.DUMMYFUNCTION("""COMPUTED_VALUE"""),"kabosu-4")</f>
        <v>kabosu-4</v>
      </c>
      <c r="B6805" s="2" t="str">
        <f ca="1">IFERROR(__xludf.DUMMYFUNCTION("""COMPUTED_VALUE"""),"kabosu")</f>
        <v>kabosu</v>
      </c>
      <c r="C6805" s="2" t="str">
        <f ca="1">IFERROR(__xludf.DUMMYFUNCTION("""COMPUTED_VALUE"""),"Kabosu")</f>
        <v>Kabosu</v>
      </c>
    </row>
    <row r="6806" spans="1:3" x14ac:dyDescent="0.25">
      <c r="A6806" s="2" t="str">
        <f ca="1">IFERROR(__xludf.DUMMYFUNCTION("""COMPUTED_VALUE"""),"kabosu-arbitrum")</f>
        <v>kabosu-arbitrum</v>
      </c>
      <c r="B6806" s="2" t="str">
        <f ca="1">IFERROR(__xludf.DUMMYFUNCTION("""COMPUTED_VALUE"""),"kabosu")</f>
        <v>kabosu</v>
      </c>
      <c r="C6806" s="2" t="str">
        <f ca="1">IFERROR(__xludf.DUMMYFUNCTION("""COMPUTED_VALUE"""),"Kabosu (Arbitrum)")</f>
        <v>Kabosu (Arbitrum)</v>
      </c>
    </row>
    <row r="6807" spans="1:3" x14ac:dyDescent="0.25">
      <c r="A6807" s="2" t="str">
        <f ca="1">IFERROR(__xludf.DUMMYFUNCTION("""COMPUTED_VALUE"""),"kabosu-bnb")</f>
        <v>kabosu-bnb</v>
      </c>
      <c r="B6807" s="2" t="str">
        <f ca="1">IFERROR(__xludf.DUMMYFUNCTION("""COMPUTED_VALUE"""),"kabosu")</f>
        <v>kabosu</v>
      </c>
      <c r="C6807" s="2" t="str">
        <f ca="1">IFERROR(__xludf.DUMMYFUNCTION("""COMPUTED_VALUE"""),"Kabosu (BNB)")</f>
        <v>Kabosu (BNB)</v>
      </c>
    </row>
    <row r="6808" spans="1:3" x14ac:dyDescent="0.25">
      <c r="A6808" s="2" t="str">
        <f ca="1">IFERROR(__xludf.DUMMYFUNCTION("""COMPUTED_VALUE"""),"kabosu-heroglyphs")</f>
        <v>kabosu-heroglyphs</v>
      </c>
      <c r="B6808" s="2" t="str">
        <f ca="1">IFERROR(__xludf.DUMMYFUNCTION("""COMPUTED_VALUE"""),"kabosu")</f>
        <v>kabosu</v>
      </c>
      <c r="C6808" s="2" t="str">
        <f ca="1">IFERROR(__xludf.DUMMYFUNCTION("""COMPUTED_VALUE"""),"Kabosu")</f>
        <v>Kabosu</v>
      </c>
    </row>
    <row r="6809" spans="1:3" x14ac:dyDescent="0.25">
      <c r="A6809" s="2" t="str">
        <f ca="1">IFERROR(__xludf.DUMMYFUNCTION("""COMPUTED_VALUE"""),"kabosu-inu")</f>
        <v>kabosu-inu</v>
      </c>
      <c r="B6809" s="2" t="str">
        <f ca="1">IFERROR(__xludf.DUMMYFUNCTION("""COMPUTED_VALUE"""),"kabosu")</f>
        <v>kabosu</v>
      </c>
      <c r="C6809" s="2" t="str">
        <f ca="1">IFERROR(__xludf.DUMMYFUNCTION("""COMPUTED_VALUE"""),"Kabosu Inu")</f>
        <v>Kabosu Inu</v>
      </c>
    </row>
    <row r="6810" spans="1:3" x14ac:dyDescent="0.25">
      <c r="A6810" s="2" t="str">
        <f ca="1">IFERROR(__xludf.DUMMYFUNCTION("""COMPUTED_VALUE"""),"kabosu-on-sol")</f>
        <v>kabosu-on-sol</v>
      </c>
      <c r="B6810" s="2" t="str">
        <f ca="1">IFERROR(__xludf.DUMMYFUNCTION("""COMPUTED_VALUE"""),"kabosu")</f>
        <v>kabosu</v>
      </c>
      <c r="C6810" s="2" t="str">
        <f ca="1">IFERROR(__xludf.DUMMYFUNCTION("""COMPUTED_VALUE"""),"Kabosu on SOL")</f>
        <v>Kabosu on SOL</v>
      </c>
    </row>
    <row r="6811" spans="1:3" x14ac:dyDescent="0.25">
      <c r="A6811" s="2" t="str">
        <f ca="1">IFERROR(__xludf.DUMMYFUNCTION("""COMPUTED_VALUE"""),"kabuni")</f>
        <v>kabuni</v>
      </c>
      <c r="B6811" s="2" t="str">
        <f ca="1">IFERROR(__xludf.DUMMYFUNCTION("""COMPUTED_VALUE"""),"kbc")</f>
        <v>kbc</v>
      </c>
      <c r="C6811" s="2" t="str">
        <f ca="1">IFERROR(__xludf.DUMMYFUNCTION("""COMPUTED_VALUE"""),"Kabuni")</f>
        <v>Kabuni</v>
      </c>
    </row>
    <row r="6812" spans="1:3" x14ac:dyDescent="0.25">
      <c r="A6812" s="2" t="str">
        <f ca="1">IFERROR(__xludf.DUMMYFUNCTION("""COMPUTED_VALUE"""),"kaby-arena")</f>
        <v>kaby-arena</v>
      </c>
      <c r="B6812" s="2" t="str">
        <f ca="1">IFERROR(__xludf.DUMMYFUNCTION("""COMPUTED_VALUE"""),"kaby")</f>
        <v>kaby</v>
      </c>
      <c r="C6812" s="2" t="str">
        <f ca="1">IFERROR(__xludf.DUMMYFUNCTION("""COMPUTED_VALUE"""),"Kaby Arena")</f>
        <v>Kaby Arena</v>
      </c>
    </row>
    <row r="6813" spans="1:3" x14ac:dyDescent="0.25">
      <c r="A6813" s="2" t="str">
        <f ca="1">IFERROR(__xludf.DUMMYFUNCTION("""COMPUTED_VALUE"""),"kaching")</f>
        <v>kaching</v>
      </c>
      <c r="B6813" s="2" t="str">
        <f ca="1">IFERROR(__xludf.DUMMYFUNCTION("""COMPUTED_VALUE"""),"kch")</f>
        <v>kch</v>
      </c>
      <c r="C6813" s="2" t="str">
        <f ca="1">IFERROR(__xludf.DUMMYFUNCTION("""COMPUTED_VALUE"""),"Kaching")</f>
        <v>Kaching</v>
      </c>
    </row>
    <row r="6814" spans="1:3" x14ac:dyDescent="0.25">
      <c r="A6814" s="2" t="str">
        <f ca="1">IFERROR(__xludf.DUMMYFUNCTION("""COMPUTED_VALUE"""),"kadena")</f>
        <v>kadena</v>
      </c>
      <c r="B6814" s="2" t="str">
        <f ca="1">IFERROR(__xludf.DUMMYFUNCTION("""COMPUTED_VALUE"""),"kda")</f>
        <v>kda</v>
      </c>
      <c r="C6814" s="2" t="str">
        <f ca="1">IFERROR(__xludf.DUMMYFUNCTION("""COMPUTED_VALUE"""),"Kadena")</f>
        <v>Kadena</v>
      </c>
    </row>
    <row r="6815" spans="1:3" x14ac:dyDescent="0.25">
      <c r="A6815" s="2" t="str">
        <f ca="1">IFERROR(__xludf.DUMMYFUNCTION("""COMPUTED_VALUE"""),"kaeru-the-frog")</f>
        <v>kaeru-the-frog</v>
      </c>
      <c r="B6815" s="2" t="str">
        <f ca="1">IFERROR(__xludf.DUMMYFUNCTION("""COMPUTED_VALUE"""),"kaeru")</f>
        <v>kaeru</v>
      </c>
      <c r="C6815" s="2" t="str">
        <f ca="1">IFERROR(__xludf.DUMMYFUNCTION("""COMPUTED_VALUE"""),"Kaeru The Frog")</f>
        <v>Kaeru The Frog</v>
      </c>
    </row>
    <row r="6816" spans="1:3" x14ac:dyDescent="0.25">
      <c r="A6816" s="2" t="str">
        <f ca="1">IFERROR(__xludf.DUMMYFUNCTION("""COMPUTED_VALUE"""),"kafenio-coin")</f>
        <v>kafenio-coin</v>
      </c>
      <c r="B6816" s="2" t="str">
        <f ca="1">IFERROR(__xludf.DUMMYFUNCTION("""COMPUTED_VALUE"""),"kfn")</f>
        <v>kfn</v>
      </c>
      <c r="C6816" s="2" t="str">
        <f ca="1">IFERROR(__xludf.DUMMYFUNCTION("""COMPUTED_VALUE"""),"Kafenio Coin")</f>
        <v>Kafenio Coin</v>
      </c>
    </row>
    <row r="6817" spans="1:3" x14ac:dyDescent="0.25">
      <c r="A6817" s="2" t="str">
        <f ca="1">IFERROR(__xludf.DUMMYFUNCTION("""COMPUTED_VALUE"""),"kaga-no-fuuka-go-sapporo-kagasou")</f>
        <v>kaga-no-fuuka-go-sapporo-kagasou</v>
      </c>
      <c r="B6817" s="2" t="str">
        <f ca="1">IFERROR(__xludf.DUMMYFUNCTION("""COMPUTED_VALUE"""),"estee")</f>
        <v>estee</v>
      </c>
      <c r="C6817" s="2" t="str">
        <f ca="1">IFERROR(__xludf.DUMMYFUNCTION("""COMPUTED_VALUE"""),"Kaga No Fuuka Go Sapporo Kagasou")</f>
        <v>Kaga No Fuuka Go Sapporo Kagasou</v>
      </c>
    </row>
    <row r="6818" spans="1:3" x14ac:dyDescent="0.25">
      <c r="A6818" s="2" t="str">
        <f ca="1">IFERROR(__xludf.DUMMYFUNCTION("""COMPUTED_VALUE"""),"kage")</f>
        <v>kage</v>
      </c>
      <c r="B6818" s="2" t="str">
        <f ca="1">IFERROR(__xludf.DUMMYFUNCTION("""COMPUTED_VALUE"""),"kage")</f>
        <v>kage</v>
      </c>
      <c r="C6818" s="2" t="str">
        <f ca="1">IFERROR(__xludf.DUMMYFUNCTION("""COMPUTED_VALUE"""),"Kage")</f>
        <v>Kage</v>
      </c>
    </row>
    <row r="6819" spans="1:3" x14ac:dyDescent="0.25">
      <c r="A6819" s="2" t="str">
        <f ca="1">IFERROR(__xludf.DUMMYFUNCTION("""COMPUTED_VALUE"""),"kage-network")</f>
        <v>kage-network</v>
      </c>
      <c r="B6819" s="2" t="str">
        <f ca="1">IFERROR(__xludf.DUMMYFUNCTION("""COMPUTED_VALUE"""),"kage")</f>
        <v>kage</v>
      </c>
      <c r="C6819" s="2" t="str">
        <f ca="1">IFERROR(__xludf.DUMMYFUNCTION("""COMPUTED_VALUE"""),"KAGE NETWORK")</f>
        <v>KAGE NETWORK</v>
      </c>
    </row>
    <row r="6820" spans="1:3" x14ac:dyDescent="0.25">
      <c r="A6820" s="2" t="str">
        <f ca="1">IFERROR(__xludf.DUMMYFUNCTION("""COMPUTED_VALUE"""),"kai")</f>
        <v>kai</v>
      </c>
      <c r="B6820" s="2" t="str">
        <f ca="1">IFERROR(__xludf.DUMMYFUNCTION("""COMPUTED_VALUE"""),"kai")</f>
        <v>kai</v>
      </c>
      <c r="C6820" s="2" t="str">
        <f ca="1">IFERROR(__xludf.DUMMYFUNCTION("""COMPUTED_VALUE"""),"KAI")</f>
        <v>KAI</v>
      </c>
    </row>
    <row r="6821" spans="1:3" x14ac:dyDescent="0.25">
      <c r="A6821" s="2" t="str">
        <f ca="1">IFERROR(__xludf.DUMMYFUNCTION("""COMPUTED_VALUE"""),"kaia")</f>
        <v>kaia</v>
      </c>
      <c r="B6821" s="2" t="str">
        <f ca="1">IFERROR(__xludf.DUMMYFUNCTION("""COMPUTED_VALUE"""),"klay")</f>
        <v>klay</v>
      </c>
      <c r="C6821" s="2" t="str">
        <f ca="1">IFERROR(__xludf.DUMMYFUNCTION("""COMPUTED_VALUE"""),"Kaia")</f>
        <v>Kaia</v>
      </c>
    </row>
    <row r="6822" spans="1:3" x14ac:dyDescent="0.25">
      <c r="A6822" s="2" t="str">
        <f ca="1">IFERROR(__xludf.DUMMYFUNCTION("""COMPUTED_VALUE"""),"kaidex")</f>
        <v>kaidex</v>
      </c>
      <c r="B6822" s="2" t="str">
        <f ca="1">IFERROR(__xludf.DUMMYFUNCTION("""COMPUTED_VALUE"""),"kdx")</f>
        <v>kdx</v>
      </c>
      <c r="C6822" s="2" t="str">
        <f ca="1">IFERROR(__xludf.DUMMYFUNCTION("""COMPUTED_VALUE"""),"Kaidex")</f>
        <v>Kaidex</v>
      </c>
    </row>
    <row r="6823" spans="1:3" x14ac:dyDescent="0.25">
      <c r="A6823" s="2" t="str">
        <f ca="1">IFERROR(__xludf.DUMMYFUNCTION("""COMPUTED_VALUE"""),"kaif")</f>
        <v>kaif</v>
      </c>
      <c r="B6823" s="2" t="str">
        <f ca="1">IFERROR(__xludf.DUMMYFUNCTION("""COMPUTED_VALUE"""),"kaf")</f>
        <v>kaf</v>
      </c>
      <c r="C6823" s="2" t="str">
        <f ca="1">IFERROR(__xludf.DUMMYFUNCTION("""COMPUTED_VALUE"""),"KAIF")</f>
        <v>KAIF</v>
      </c>
    </row>
    <row r="6824" spans="1:3" x14ac:dyDescent="0.25">
      <c r="A6824" s="2" t="str">
        <f ca="1">IFERROR(__xludf.DUMMYFUNCTION("""COMPUTED_VALUE"""),"kaijuno8")</f>
        <v>kaijuno8</v>
      </c>
      <c r="B6824" s="2" t="str">
        <f ca="1">IFERROR(__xludf.DUMMYFUNCTION("""COMPUTED_VALUE"""),"kaiju")</f>
        <v>kaiju</v>
      </c>
      <c r="C6824" s="2" t="str">
        <f ca="1">IFERROR(__xludf.DUMMYFUNCTION("""COMPUTED_VALUE"""),"KAIJUNO8")</f>
        <v>KAIJUNO8</v>
      </c>
    </row>
    <row r="6825" spans="1:3" x14ac:dyDescent="0.25">
      <c r="A6825" s="2" t="str">
        <f ca="1">IFERROR(__xludf.DUMMYFUNCTION("""COMPUTED_VALUE"""),"kai-ken")</f>
        <v>kai-ken</v>
      </c>
      <c r="B6825" s="2" t="str">
        <f ca="1">IFERROR(__xludf.DUMMYFUNCTION("""COMPUTED_VALUE"""),"kai")</f>
        <v>kai</v>
      </c>
      <c r="C6825" s="2" t="str">
        <f ca="1">IFERROR(__xludf.DUMMYFUNCTION("""COMPUTED_VALUE"""),"Kai Ken")</f>
        <v>Kai Ken</v>
      </c>
    </row>
    <row r="6826" spans="1:3" x14ac:dyDescent="0.25">
      <c r="A6826" s="2" t="str">
        <f ca="1">IFERROR(__xludf.DUMMYFUNCTION("""COMPUTED_VALUE"""),"kai-protocol")</f>
        <v>kai-protocol</v>
      </c>
      <c r="B6826" s="2" t="str">
        <f ca="1">IFERROR(__xludf.DUMMYFUNCTION("""COMPUTED_VALUE"""),"kai")</f>
        <v>kai</v>
      </c>
      <c r="C6826" s="2" t="str">
        <f ca="1">IFERROR(__xludf.DUMMYFUNCTION("""COMPUTED_VALUE"""),"Kai Protocol")</f>
        <v>Kai Protocol</v>
      </c>
    </row>
    <row r="6827" spans="1:3" x14ac:dyDescent="0.25">
      <c r="A6827" s="2" t="str">
        <f ca="1">IFERROR(__xludf.DUMMYFUNCTION("""COMPUTED_VALUE"""),"kaizen")</f>
        <v>kaizen</v>
      </c>
      <c r="B6827" s="2" t="str">
        <f ca="1">IFERROR(__xludf.DUMMYFUNCTION("""COMPUTED_VALUE"""),"kzen")</f>
        <v>kzen</v>
      </c>
      <c r="C6827" s="2" t="str">
        <f ca="1">IFERROR(__xludf.DUMMYFUNCTION("""COMPUTED_VALUE"""),"Kaizen.Finance")</f>
        <v>Kaizen.Finance</v>
      </c>
    </row>
    <row r="6828" spans="1:3" x14ac:dyDescent="0.25">
      <c r="A6828" s="2" t="str">
        <f ca="1">IFERROR(__xludf.DUMMYFUNCTION("""COMPUTED_VALUE"""),"kaka-nft-world")</f>
        <v>kaka-nft-world</v>
      </c>
      <c r="B6828" s="2" t="str">
        <f ca="1">IFERROR(__xludf.DUMMYFUNCTION("""COMPUTED_VALUE"""),"kaka")</f>
        <v>kaka</v>
      </c>
      <c r="C6828" s="2" t="str">
        <f ca="1">IFERROR(__xludf.DUMMYFUNCTION("""COMPUTED_VALUE"""),"KAKA NFT World")</f>
        <v>KAKA NFT World</v>
      </c>
    </row>
    <row r="6829" spans="1:3" x14ac:dyDescent="0.25">
      <c r="A6829" s="2" t="str">
        <f ca="1">IFERROR(__xludf.DUMMYFUNCTION("""COMPUTED_VALUE"""),"kakaxa")</f>
        <v>kakaxa</v>
      </c>
      <c r="B6829" s="2" t="str">
        <f ca="1">IFERROR(__xludf.DUMMYFUNCTION("""COMPUTED_VALUE"""),"kakaxa")</f>
        <v>kakaxa</v>
      </c>
      <c r="C6829" s="2" t="str">
        <f ca="1">IFERROR(__xludf.DUMMYFUNCTION("""COMPUTED_VALUE"""),"Kakaxa")</f>
        <v>Kakaxa</v>
      </c>
    </row>
    <row r="6830" spans="1:3" x14ac:dyDescent="0.25">
      <c r="A6830" s="2" t="str">
        <f ca="1">IFERROR(__xludf.DUMMYFUNCTION("""COMPUTED_VALUE"""),"kala")</f>
        <v>kala</v>
      </c>
      <c r="B6830" s="2" t="str">
        <f ca="1">IFERROR(__xludf.DUMMYFUNCTION("""COMPUTED_VALUE"""),"kala")</f>
        <v>kala</v>
      </c>
      <c r="C6830" s="2" t="str">
        <f ca="1">IFERROR(__xludf.DUMMYFUNCTION("""COMPUTED_VALUE"""),"Kala")</f>
        <v>Kala</v>
      </c>
    </row>
    <row r="6831" spans="1:3" x14ac:dyDescent="0.25">
      <c r="A6831" s="2" t="str">
        <f ca="1">IFERROR(__xludf.DUMMYFUNCTION("""COMPUTED_VALUE"""),"kalao")</f>
        <v>kalao</v>
      </c>
      <c r="B6831" s="2" t="str">
        <f ca="1">IFERROR(__xludf.DUMMYFUNCTION("""COMPUTED_VALUE"""),"klo")</f>
        <v>klo</v>
      </c>
      <c r="C6831" s="2" t="str">
        <f ca="1">IFERROR(__xludf.DUMMYFUNCTION("""COMPUTED_VALUE"""),"Kalao")</f>
        <v>Kalao</v>
      </c>
    </row>
    <row r="6832" spans="1:3" x14ac:dyDescent="0.25">
      <c r="A6832" s="2" t="str">
        <f ca="1">IFERROR(__xludf.DUMMYFUNCTION("""COMPUTED_VALUE"""),"kalax")</f>
        <v>kalax</v>
      </c>
      <c r="B6832" s="2" t="str">
        <f ca="1">IFERROR(__xludf.DUMMYFUNCTION("""COMPUTED_VALUE"""),"kala")</f>
        <v>kala</v>
      </c>
      <c r="C6832" s="2" t="str">
        <f ca="1">IFERROR(__xludf.DUMMYFUNCTION("""COMPUTED_VALUE"""),"Kalax")</f>
        <v>Kalax</v>
      </c>
    </row>
    <row r="6833" spans="1:3" x14ac:dyDescent="0.25">
      <c r="A6833" s="2" t="str">
        <f ca="1">IFERROR(__xludf.DUMMYFUNCTION("""COMPUTED_VALUE"""),"kaleidocube")</f>
        <v>kaleidocube</v>
      </c>
      <c r="B6833" s="2" t="str">
        <f ca="1">IFERROR(__xludf.DUMMYFUNCTION("""COMPUTED_VALUE"""),"$kalei")</f>
        <v>$kalei</v>
      </c>
      <c r="C6833" s="2" t="str">
        <f ca="1">IFERROR(__xludf.DUMMYFUNCTION("""COMPUTED_VALUE"""),"KaleidoCube")</f>
        <v>KaleidoCube</v>
      </c>
    </row>
    <row r="6834" spans="1:3" x14ac:dyDescent="0.25">
      <c r="A6834" s="2" t="str">
        <f ca="1">IFERROR(__xludf.DUMMYFUNCTION("""COMPUTED_VALUE"""),"kalichain")</f>
        <v>kalichain</v>
      </c>
      <c r="B6834" s="2" t="str">
        <f ca="1">IFERROR(__xludf.DUMMYFUNCTION("""COMPUTED_VALUE"""),"kalis")</f>
        <v>kalis</v>
      </c>
      <c r="C6834" s="2" t="str">
        <f ca="1">IFERROR(__xludf.DUMMYFUNCTION("""COMPUTED_VALUE"""),"Kalichain")</f>
        <v>Kalichain</v>
      </c>
    </row>
    <row r="6835" spans="1:3" x14ac:dyDescent="0.25">
      <c r="A6835" s="2" t="str">
        <f ca="1">IFERROR(__xludf.DUMMYFUNCTION("""COMPUTED_VALUE"""),"kalmar")</f>
        <v>kalmar</v>
      </c>
      <c r="B6835" s="2" t="str">
        <f ca="1">IFERROR(__xludf.DUMMYFUNCTION("""COMPUTED_VALUE"""),"kalm")</f>
        <v>kalm</v>
      </c>
      <c r="C6835" s="2" t="str">
        <f ca="1">IFERROR(__xludf.DUMMYFUNCTION("""COMPUTED_VALUE"""),"KALM")</f>
        <v>KALM</v>
      </c>
    </row>
    <row r="6836" spans="1:3" x14ac:dyDescent="0.25">
      <c r="A6836" s="2" t="str">
        <f ca="1">IFERROR(__xludf.DUMMYFUNCTION("""COMPUTED_VALUE"""),"kalycoin")</f>
        <v>kalycoin</v>
      </c>
      <c r="B6836" s="2" t="str">
        <f ca="1">IFERROR(__xludf.DUMMYFUNCTION("""COMPUTED_VALUE"""),"klc")</f>
        <v>klc</v>
      </c>
      <c r="C6836" s="2" t="str">
        <f ca="1">IFERROR(__xludf.DUMMYFUNCTION("""COMPUTED_VALUE"""),"KalyChain")</f>
        <v>KalyChain</v>
      </c>
    </row>
    <row r="6837" spans="1:3" x14ac:dyDescent="0.25">
      <c r="A6837" s="2" t="str">
        <f ca="1">IFERROR(__xludf.DUMMYFUNCTION("""COMPUTED_VALUE"""),"kamala-horris")</f>
        <v>kamala-horris</v>
      </c>
      <c r="B6837" s="2" t="str">
        <f ca="1">IFERROR(__xludf.DUMMYFUNCTION("""COMPUTED_VALUE"""),"kama")</f>
        <v>kama</v>
      </c>
      <c r="C6837" s="2" t="str">
        <f ca="1">IFERROR(__xludf.DUMMYFUNCTION("""COMPUTED_VALUE"""),"Kamala Horris")</f>
        <v>Kamala Horris</v>
      </c>
    </row>
    <row r="6838" spans="1:3" x14ac:dyDescent="0.25">
      <c r="A6838" s="2" t="str">
        <f ca="1">IFERROR(__xludf.DUMMYFUNCTION("""COMPUTED_VALUE"""),"kambria")</f>
        <v>kambria</v>
      </c>
      <c r="B6838" s="2" t="str">
        <f ca="1">IFERROR(__xludf.DUMMYFUNCTION("""COMPUTED_VALUE"""),"kat")</f>
        <v>kat</v>
      </c>
      <c r="C6838" s="2" t="str">
        <f ca="1">IFERROR(__xludf.DUMMYFUNCTION("""COMPUTED_VALUE"""),"Kambria")</f>
        <v>Kambria</v>
      </c>
    </row>
    <row r="6839" spans="1:3" x14ac:dyDescent="0.25">
      <c r="A6839" s="2" t="str">
        <f ca="1">IFERROR(__xludf.DUMMYFUNCTION("""COMPUTED_VALUE"""),"kamino")</f>
        <v>kamino</v>
      </c>
      <c r="B6839" s="2" t="str">
        <f ca="1">IFERROR(__xludf.DUMMYFUNCTION("""COMPUTED_VALUE"""),"kmno")</f>
        <v>kmno</v>
      </c>
      <c r="C6839" s="2" t="str">
        <f ca="1">IFERROR(__xludf.DUMMYFUNCTION("""COMPUTED_VALUE"""),"Kamino")</f>
        <v>Kamino</v>
      </c>
    </row>
    <row r="6840" spans="1:3" x14ac:dyDescent="0.25">
      <c r="A6840" s="2" t="str">
        <f ca="1">IFERROR(__xludf.DUMMYFUNCTION("""COMPUTED_VALUE"""),"kampay")</f>
        <v>kampay</v>
      </c>
      <c r="B6840" s="2" t="str">
        <f ca="1">IFERROR(__xludf.DUMMYFUNCTION("""COMPUTED_VALUE"""),"kampay")</f>
        <v>kampay</v>
      </c>
      <c r="C6840" s="2" t="str">
        <f ca="1">IFERROR(__xludf.DUMMYFUNCTION("""COMPUTED_VALUE"""),"Kampay")</f>
        <v>Kampay</v>
      </c>
    </row>
    <row r="6841" spans="1:3" x14ac:dyDescent="0.25">
      <c r="A6841" s="2" t="str">
        <f ca="1">IFERROR(__xludf.DUMMYFUNCTION("""COMPUTED_VALUE"""),"kan")</f>
        <v>kan</v>
      </c>
      <c r="B6841" s="2" t="str">
        <f ca="1">IFERROR(__xludf.DUMMYFUNCTION("""COMPUTED_VALUE"""),"kan")</f>
        <v>kan</v>
      </c>
      <c r="C6841" s="2" t="str">
        <f ca="1">IFERROR(__xludf.DUMMYFUNCTION("""COMPUTED_VALUE"""),"BitKan")</f>
        <v>BitKan</v>
      </c>
    </row>
    <row r="6842" spans="1:3" x14ac:dyDescent="0.25">
      <c r="A6842" s="2" t="str">
        <f ca="1">IFERROR(__xludf.DUMMYFUNCTION("""COMPUTED_VALUE"""),"kanagawa-nami")</f>
        <v>kanagawa-nami</v>
      </c>
      <c r="B6842" s="2" t="str">
        <f ca="1">IFERROR(__xludf.DUMMYFUNCTION("""COMPUTED_VALUE"""),"okinami")</f>
        <v>okinami</v>
      </c>
      <c r="C6842" s="2" t="str">
        <f ca="1">IFERROR(__xludf.DUMMYFUNCTION("""COMPUTED_VALUE"""),"Kanagawa Nami")</f>
        <v>Kanagawa Nami</v>
      </c>
    </row>
    <row r="6843" spans="1:3" x14ac:dyDescent="0.25">
      <c r="A6843" s="2" t="str">
        <f ca="1">IFERROR(__xludf.DUMMYFUNCTION("""COMPUTED_VALUE"""),"kanaloa-network")</f>
        <v>kanaloa-network</v>
      </c>
      <c r="B6843" s="2" t="str">
        <f ca="1">IFERROR(__xludf.DUMMYFUNCTION("""COMPUTED_VALUE"""),"kana")</f>
        <v>kana</v>
      </c>
      <c r="C6843" s="2" t="str">
        <f ca="1">IFERROR(__xludf.DUMMYFUNCTION("""COMPUTED_VALUE"""),"Kanaloa Network")</f>
        <v>Kanaloa Network</v>
      </c>
    </row>
    <row r="6844" spans="1:3" x14ac:dyDescent="0.25">
      <c r="A6844" s="2" t="str">
        <f ca="1">IFERROR(__xludf.DUMMYFUNCTION("""COMPUTED_VALUE"""),"kanga-exchange")</f>
        <v>kanga-exchange</v>
      </c>
      <c r="B6844" s="2" t="str">
        <f ca="1">IFERROR(__xludf.DUMMYFUNCTION("""COMPUTED_VALUE"""),"kng")</f>
        <v>kng</v>
      </c>
      <c r="C6844" s="2" t="str">
        <f ca="1">IFERROR(__xludf.DUMMYFUNCTION("""COMPUTED_VALUE"""),"Kanga Exchange")</f>
        <v>Kanga Exchange</v>
      </c>
    </row>
    <row r="6845" spans="1:3" x14ac:dyDescent="0.25">
      <c r="A6845" s="2" t="str">
        <f ca="1">IFERROR(__xludf.DUMMYFUNCTION("""COMPUTED_VALUE"""),"kangal")</f>
        <v>kangal</v>
      </c>
      <c r="B6845" s="2" t="str">
        <f ca="1">IFERROR(__xludf.DUMMYFUNCTION("""COMPUTED_VALUE"""),"kangal")</f>
        <v>kangal</v>
      </c>
      <c r="C6845" s="2" t="str">
        <f ca="1">IFERROR(__xludf.DUMMYFUNCTION("""COMPUTED_VALUE"""),"Kangal")</f>
        <v>Kangal</v>
      </c>
    </row>
    <row r="6846" spans="1:3" x14ac:dyDescent="0.25">
      <c r="A6846" s="2" t="str">
        <f ca="1">IFERROR(__xludf.DUMMYFUNCTION("""COMPUTED_VALUE"""),"kangamoon")</f>
        <v>kangamoon</v>
      </c>
      <c r="B6846" s="2" t="str">
        <f ca="1">IFERROR(__xludf.DUMMYFUNCTION("""COMPUTED_VALUE"""),"kang")</f>
        <v>kang</v>
      </c>
      <c r="C6846" s="2" t="str">
        <f ca="1">IFERROR(__xludf.DUMMYFUNCTION("""COMPUTED_VALUE"""),"Kangamoon")</f>
        <v>Kangamoon</v>
      </c>
    </row>
    <row r="6847" spans="1:3" x14ac:dyDescent="0.25">
      <c r="A6847" s="2" t="str">
        <f ca="1">IFERROR(__xludf.DUMMYFUNCTION("""COMPUTED_VALUE"""),"kangaroo-the-jumping-co-in")</f>
        <v>kangaroo-the-jumping-co-in</v>
      </c>
      <c r="B6847" s="2" t="str">
        <f ca="1">IFERROR(__xludf.DUMMYFUNCTION("""COMPUTED_VALUE"""),"$roo")</f>
        <v>$roo</v>
      </c>
      <c r="C6847" s="2" t="str">
        <f ca="1">IFERROR(__xludf.DUMMYFUNCTION("""COMPUTED_VALUE"""),"Kangaroo the Jumping Co​in")</f>
        <v>Kangaroo the Jumping Co​in</v>
      </c>
    </row>
    <row r="6848" spans="1:3" x14ac:dyDescent="0.25">
      <c r="A6848" s="2" t="str">
        <f ca="1">IFERROR(__xludf.DUMMYFUNCTION("""COMPUTED_VALUE"""),"kanye")</f>
        <v>kanye</v>
      </c>
      <c r="B6848" s="2" t="str">
        <f ca="1">IFERROR(__xludf.DUMMYFUNCTION("""COMPUTED_VALUE"""),"ye")</f>
        <v>ye</v>
      </c>
      <c r="C6848" s="2" t="str">
        <f ca="1">IFERROR(__xludf.DUMMYFUNCTION("""COMPUTED_VALUE"""),"Kanye")</f>
        <v>Kanye</v>
      </c>
    </row>
    <row r="6849" spans="1:3" x14ac:dyDescent="0.25">
      <c r="A6849" s="2" t="str">
        <f ca="1">IFERROR(__xludf.DUMMYFUNCTION("""COMPUTED_VALUE"""),"kaoya")</f>
        <v>kaoya</v>
      </c>
      <c r="B6849" s="2" t="str">
        <f ca="1">IFERROR(__xludf.DUMMYFUNCTION("""COMPUTED_VALUE"""),"kaoya")</f>
        <v>kaoya</v>
      </c>
      <c r="C6849" s="2" t="str">
        <f ca="1">IFERROR(__xludf.DUMMYFUNCTION("""COMPUTED_VALUE"""),"KAOYA")</f>
        <v>KAOYA</v>
      </c>
    </row>
    <row r="6850" spans="1:3" x14ac:dyDescent="0.25">
      <c r="A6850" s="2" t="str">
        <f ca="1">IFERROR(__xludf.DUMMYFUNCTION("""COMPUTED_VALUE"""),"kapi-plara")</f>
        <v>kapi-plara</v>
      </c>
      <c r="B6850" s="2" t="str">
        <f ca="1">IFERROR(__xludf.DUMMYFUNCTION("""COMPUTED_VALUE"""),"kapi")</f>
        <v>kapi</v>
      </c>
      <c r="C6850" s="2" t="str">
        <f ca="1">IFERROR(__xludf.DUMMYFUNCTION("""COMPUTED_VALUE"""),"Kapi Plara")</f>
        <v>Kapi Plara</v>
      </c>
    </row>
    <row r="6851" spans="1:3" x14ac:dyDescent="0.25">
      <c r="A6851" s="2" t="str">
        <f ca="1">IFERROR(__xludf.DUMMYFUNCTION("""COMPUTED_VALUE"""),"kapital-dao")</f>
        <v>kapital-dao</v>
      </c>
      <c r="B6851" s="2" t="str">
        <f ca="1">IFERROR(__xludf.DUMMYFUNCTION("""COMPUTED_VALUE"""),"kap")</f>
        <v>kap</v>
      </c>
      <c r="C6851" s="2" t="str">
        <f ca="1">IFERROR(__xludf.DUMMYFUNCTION("""COMPUTED_VALUE"""),"KAP Games")</f>
        <v>KAP Games</v>
      </c>
    </row>
    <row r="6852" spans="1:3" x14ac:dyDescent="0.25">
      <c r="A6852" s="2" t="str">
        <f ca="1">IFERROR(__xludf.DUMMYFUNCTION("""COMPUTED_VALUE"""),"karasou")</f>
        <v>karasou</v>
      </c>
      <c r="B6852" s="2" t="str">
        <f ca="1">IFERROR(__xludf.DUMMYFUNCTION("""COMPUTED_VALUE"""),"intellique")</f>
        <v>intellique</v>
      </c>
      <c r="C6852" s="2" t="str">
        <f ca="1">IFERROR(__xludf.DUMMYFUNCTION("""COMPUTED_VALUE"""),"KARASOU")</f>
        <v>KARASOU</v>
      </c>
    </row>
    <row r="6853" spans="1:3" x14ac:dyDescent="0.25">
      <c r="A6853" s="2" t="str">
        <f ca="1">IFERROR(__xludf.DUMMYFUNCTION("""COMPUTED_VALUE"""),"karastar-umy")</f>
        <v>karastar-umy</v>
      </c>
      <c r="B6853" s="2" t="str">
        <f ca="1">IFERROR(__xludf.DUMMYFUNCTION("""COMPUTED_VALUE"""),"umy")</f>
        <v>umy</v>
      </c>
      <c r="C6853" s="2" t="str">
        <f ca="1">IFERROR(__xludf.DUMMYFUNCTION("""COMPUTED_VALUE"""),"KaraStar UMY")</f>
        <v>KaraStar UMY</v>
      </c>
    </row>
    <row r="6854" spans="1:3" x14ac:dyDescent="0.25">
      <c r="A6854" s="2" t="str">
        <f ca="1">IFERROR(__xludf.DUMMYFUNCTION("""COMPUTED_VALUE"""),"karat")</f>
        <v>karat</v>
      </c>
      <c r="B6854" s="2" t="str">
        <f ca="1">IFERROR(__xludf.DUMMYFUNCTION("""COMPUTED_VALUE"""),"kat")</f>
        <v>kat</v>
      </c>
      <c r="C6854" s="2" t="str">
        <f ca="1">IFERROR(__xludf.DUMMYFUNCTION("""COMPUTED_VALUE"""),"Karat")</f>
        <v>Karat</v>
      </c>
    </row>
    <row r="6855" spans="1:3" x14ac:dyDescent="0.25">
      <c r="A6855" s="2" t="str">
        <f ca="1">IFERROR(__xludf.DUMMYFUNCTION("""COMPUTED_VALUE"""),"karatecat")</f>
        <v>karatecat</v>
      </c>
      <c r="B6855" s="2" t="str">
        <f ca="1">IFERROR(__xludf.DUMMYFUNCTION("""COMPUTED_VALUE"""),"kcat")</f>
        <v>kcat</v>
      </c>
      <c r="C6855" s="2" t="str">
        <f ca="1">IFERROR(__xludf.DUMMYFUNCTION("""COMPUTED_VALUE"""),"KarateCat")</f>
        <v>KarateCat</v>
      </c>
    </row>
    <row r="6856" spans="1:3" x14ac:dyDescent="0.25">
      <c r="A6856" s="2" t="str">
        <f ca="1">IFERROR(__xludf.DUMMYFUNCTION("""COMPUTED_VALUE"""),"karate-combat")</f>
        <v>karate-combat</v>
      </c>
      <c r="B6856" s="2" t="str">
        <f ca="1">IFERROR(__xludf.DUMMYFUNCTION("""COMPUTED_VALUE"""),"karate")</f>
        <v>karate</v>
      </c>
      <c r="C6856" s="2" t="str">
        <f ca="1">IFERROR(__xludf.DUMMYFUNCTION("""COMPUTED_VALUE"""),"Karate Combat")</f>
        <v>Karate Combat</v>
      </c>
    </row>
    <row r="6857" spans="1:3" x14ac:dyDescent="0.25">
      <c r="A6857" s="2" t="str">
        <f ca="1">IFERROR(__xludf.DUMMYFUNCTION("""COMPUTED_VALUE"""),"karbo")</f>
        <v>karbo</v>
      </c>
      <c r="B6857" s="2" t="str">
        <f ca="1">IFERROR(__xludf.DUMMYFUNCTION("""COMPUTED_VALUE"""),"krb")</f>
        <v>krb</v>
      </c>
      <c r="C6857" s="2" t="str">
        <f ca="1">IFERROR(__xludf.DUMMYFUNCTION("""COMPUTED_VALUE"""),"Karbo")</f>
        <v>Karbo</v>
      </c>
    </row>
    <row r="6858" spans="1:3" x14ac:dyDescent="0.25">
      <c r="A6858" s="2" t="str">
        <f ca="1">IFERROR(__xludf.DUMMYFUNCTION("""COMPUTED_VALUE"""),"kardiachain")</f>
        <v>kardiachain</v>
      </c>
      <c r="B6858" s="2" t="str">
        <f ca="1">IFERROR(__xludf.DUMMYFUNCTION("""COMPUTED_VALUE"""),"kai")</f>
        <v>kai</v>
      </c>
      <c r="C6858" s="2" t="str">
        <f ca="1">IFERROR(__xludf.DUMMYFUNCTION("""COMPUTED_VALUE"""),"KardiaChain")</f>
        <v>KardiaChain</v>
      </c>
    </row>
    <row r="6859" spans="1:3" x14ac:dyDescent="0.25">
      <c r="A6859" s="2" t="str">
        <f ca="1">IFERROR(__xludf.DUMMYFUNCTION("""COMPUTED_VALUE"""),"karen")</f>
        <v>karen</v>
      </c>
      <c r="B6859" s="2" t="str">
        <f ca="1">IFERROR(__xludf.DUMMYFUNCTION("""COMPUTED_VALUE"""),"karen")</f>
        <v>karen</v>
      </c>
      <c r="C6859" s="2" t="str">
        <f ca="1">IFERROR(__xludf.DUMMYFUNCTION("""COMPUTED_VALUE"""),"Karen")</f>
        <v>Karen</v>
      </c>
    </row>
    <row r="6860" spans="1:3" x14ac:dyDescent="0.25">
      <c r="A6860" s="2" t="str">
        <f ca="1">IFERROR(__xludf.DUMMYFUNCTION("""COMPUTED_VALUE"""),"karencoin")</f>
        <v>karencoin</v>
      </c>
      <c r="B6860" s="2" t="str">
        <f ca="1">IFERROR(__xludf.DUMMYFUNCTION("""COMPUTED_VALUE"""),"karen")</f>
        <v>karen</v>
      </c>
      <c r="C6860" s="2" t="str">
        <f ca="1">IFERROR(__xludf.DUMMYFUNCTION("""COMPUTED_VALUE"""),"KarenCoin")</f>
        <v>KarenCoin</v>
      </c>
    </row>
    <row r="6861" spans="1:3" x14ac:dyDescent="0.25">
      <c r="A6861" s="2" t="str">
        <f ca="1">IFERROR(__xludf.DUMMYFUNCTION("""COMPUTED_VALUE"""),"karen-hates-you")</f>
        <v>karen-hates-you</v>
      </c>
      <c r="B6861" s="2" t="str">
        <f ca="1">IFERROR(__xludf.DUMMYFUNCTION("""COMPUTED_VALUE"""),"karen")</f>
        <v>karen</v>
      </c>
      <c r="C6861" s="2" t="str">
        <f ca="1">IFERROR(__xludf.DUMMYFUNCTION("""COMPUTED_VALUE"""),"Karen Hates You")</f>
        <v>Karen Hates You</v>
      </c>
    </row>
    <row r="6862" spans="1:3" x14ac:dyDescent="0.25">
      <c r="A6862" s="2" t="str">
        <f ca="1">IFERROR(__xludf.DUMMYFUNCTION("""COMPUTED_VALUE"""),"karlsen")</f>
        <v>karlsen</v>
      </c>
      <c r="B6862" s="2" t="str">
        <f ca="1">IFERROR(__xludf.DUMMYFUNCTION("""COMPUTED_VALUE"""),"kls")</f>
        <v>kls</v>
      </c>
      <c r="C6862" s="2" t="str">
        <f ca="1">IFERROR(__xludf.DUMMYFUNCTION("""COMPUTED_VALUE"""),"Karlsen")</f>
        <v>Karlsen</v>
      </c>
    </row>
    <row r="6863" spans="1:3" x14ac:dyDescent="0.25">
      <c r="A6863" s="2" t="str">
        <f ca="1">IFERROR(__xludf.DUMMYFUNCTION("""COMPUTED_VALUE"""),"karmacoin")</f>
        <v>karmacoin</v>
      </c>
      <c r="B6863" s="2" t="str">
        <f ca="1">IFERROR(__xludf.DUMMYFUNCTION("""COMPUTED_VALUE"""),"karma")</f>
        <v>karma</v>
      </c>
      <c r="C6863" s="2" t="str">
        <f ca="1">IFERROR(__xludf.DUMMYFUNCTION("""COMPUTED_VALUE"""),"KarmaCoin")</f>
        <v>KarmaCoin</v>
      </c>
    </row>
    <row r="6864" spans="1:3" x14ac:dyDescent="0.25">
      <c r="A6864" s="2" t="str">
        <f ca="1">IFERROR(__xludf.DUMMYFUNCTION("""COMPUTED_VALUE"""),"karmaverse")</f>
        <v>karmaverse</v>
      </c>
      <c r="B6864" s="2" t="str">
        <f ca="1">IFERROR(__xludf.DUMMYFUNCTION("""COMPUTED_VALUE"""),"knot")</f>
        <v>knot</v>
      </c>
      <c r="C6864" s="2" t="str">
        <f ca="1">IFERROR(__xludf.DUMMYFUNCTION("""COMPUTED_VALUE"""),"Karmaverse")</f>
        <v>Karmaverse</v>
      </c>
    </row>
    <row r="6865" spans="1:3" x14ac:dyDescent="0.25">
      <c r="A6865" s="2" t="str">
        <f ca="1">IFERROR(__xludf.DUMMYFUNCTION("""COMPUTED_VALUE"""),"karrat")</f>
        <v>karrat</v>
      </c>
      <c r="B6865" s="2" t="str">
        <f ca="1">IFERROR(__xludf.DUMMYFUNCTION("""COMPUTED_VALUE"""),"karrat")</f>
        <v>karrat</v>
      </c>
      <c r="C6865" s="2" t="str">
        <f ca="1">IFERROR(__xludf.DUMMYFUNCTION("""COMPUTED_VALUE"""),"Karrat")</f>
        <v>Karrat</v>
      </c>
    </row>
    <row r="6866" spans="1:3" x14ac:dyDescent="0.25">
      <c r="A6866" s="2" t="str">
        <f ca="1">IFERROR(__xludf.DUMMYFUNCTION("""COMPUTED_VALUE"""),"karsiyaka-taraftar-token")</f>
        <v>karsiyaka-taraftar-token</v>
      </c>
      <c r="B6866" s="2" t="str">
        <f ca="1">IFERROR(__xludf.DUMMYFUNCTION("""COMPUTED_VALUE"""),"ksk")</f>
        <v>ksk</v>
      </c>
      <c r="C6866" s="2" t="str">
        <f ca="1">IFERROR(__xludf.DUMMYFUNCTION("""COMPUTED_VALUE"""),"Karşıyaka Taraftar Fan Token")</f>
        <v>Karşıyaka Taraftar Fan Token</v>
      </c>
    </row>
    <row r="6867" spans="1:3" x14ac:dyDescent="0.25">
      <c r="A6867" s="2" t="str">
        <f ca="1">IFERROR(__xludf.DUMMYFUNCTION("""COMPUTED_VALUE"""),"karura")</f>
        <v>karura</v>
      </c>
      <c r="B6867" s="2" t="str">
        <f ca="1">IFERROR(__xludf.DUMMYFUNCTION("""COMPUTED_VALUE"""),"kar")</f>
        <v>kar</v>
      </c>
      <c r="C6867" s="2" t="str">
        <f ca="1">IFERROR(__xludf.DUMMYFUNCTION("""COMPUTED_VALUE"""),"Karura")</f>
        <v>Karura</v>
      </c>
    </row>
    <row r="6868" spans="1:3" x14ac:dyDescent="0.25">
      <c r="A6868" s="2" t="str">
        <f ca="1">IFERROR(__xludf.DUMMYFUNCTION("""COMPUTED_VALUE"""),"kaspa")</f>
        <v>kaspa</v>
      </c>
      <c r="B6868" s="2" t="str">
        <f ca="1">IFERROR(__xludf.DUMMYFUNCTION("""COMPUTED_VALUE"""),"kas")</f>
        <v>kas</v>
      </c>
      <c r="C6868" s="2" t="str">
        <f ca="1">IFERROR(__xludf.DUMMYFUNCTION("""COMPUTED_VALUE"""),"Kaspa")</f>
        <v>Kaspa</v>
      </c>
    </row>
    <row r="6869" spans="1:3" x14ac:dyDescent="0.25">
      <c r="A6869" s="2" t="str">
        <f ca="1">IFERROR(__xludf.DUMMYFUNCTION("""COMPUTED_VALUE"""),"kaspa-classic")</f>
        <v>kaspa-classic</v>
      </c>
      <c r="B6869" s="2" t="str">
        <f ca="1">IFERROR(__xludf.DUMMYFUNCTION("""COMPUTED_VALUE"""),"cas")</f>
        <v>cas</v>
      </c>
      <c r="C6869" s="2" t="str">
        <f ca="1">IFERROR(__xludf.DUMMYFUNCTION("""COMPUTED_VALUE"""),"Kaspa Classic")</f>
        <v>Kaspa Classic</v>
      </c>
    </row>
    <row r="6870" spans="1:3" x14ac:dyDescent="0.25">
      <c r="A6870" s="2" t="str">
        <f ca="1">IFERROR(__xludf.DUMMYFUNCTION("""COMPUTED_VALUE"""),"kaspamining")</f>
        <v>kaspamining</v>
      </c>
      <c r="B6870" s="2" t="str">
        <f ca="1">IFERROR(__xludf.DUMMYFUNCTION("""COMPUTED_VALUE"""),"kmn")</f>
        <v>kmn</v>
      </c>
      <c r="C6870" s="2" t="str">
        <f ca="1">IFERROR(__xludf.DUMMYFUNCTION("""COMPUTED_VALUE"""),"KASPAMINING")</f>
        <v>KASPAMINING</v>
      </c>
    </row>
    <row r="6871" spans="1:3" x14ac:dyDescent="0.25">
      <c r="A6871" s="2" t="str">
        <f ca="1">IFERROR(__xludf.DUMMYFUNCTION("""COMPUTED_VALUE"""),"kassandra")</f>
        <v>kassandra</v>
      </c>
      <c r="B6871" s="2" t="str">
        <f ca="1">IFERROR(__xludf.DUMMYFUNCTION("""COMPUTED_VALUE"""),"kacy")</f>
        <v>kacy</v>
      </c>
      <c r="C6871" s="2" t="str">
        <f ca="1">IFERROR(__xludf.DUMMYFUNCTION("""COMPUTED_VALUE"""),"Kassandra")</f>
        <v>Kassandra</v>
      </c>
    </row>
    <row r="6872" spans="1:3" x14ac:dyDescent="0.25">
      <c r="A6872" s="2" t="str">
        <f ca="1">IFERROR(__xludf.DUMMYFUNCTION("""COMPUTED_VALUE"""),"kasta")</f>
        <v>kasta</v>
      </c>
      <c r="B6872" s="2" t="str">
        <f ca="1">IFERROR(__xludf.DUMMYFUNCTION("""COMPUTED_VALUE"""),"kasta")</f>
        <v>kasta</v>
      </c>
      <c r="C6872" s="2" t="str">
        <f ca="1">IFERROR(__xludf.DUMMYFUNCTION("""COMPUTED_VALUE"""),"Kasta")</f>
        <v>Kasta</v>
      </c>
    </row>
    <row r="6873" spans="1:3" x14ac:dyDescent="0.25">
      <c r="A6873" s="2" t="str">
        <f ca="1">IFERROR(__xludf.DUMMYFUNCTION("""COMPUTED_VALUE"""),"katana-inu")</f>
        <v>katana-inu</v>
      </c>
      <c r="B6873" s="2" t="str">
        <f ca="1">IFERROR(__xludf.DUMMYFUNCTION("""COMPUTED_VALUE"""),"kata")</f>
        <v>kata</v>
      </c>
      <c r="C6873" s="2" t="str">
        <f ca="1">IFERROR(__xludf.DUMMYFUNCTION("""COMPUTED_VALUE"""),"Katana Inu")</f>
        <v>Katana Inu</v>
      </c>
    </row>
    <row r="6874" spans="1:3" x14ac:dyDescent="0.25">
      <c r="A6874" s="2" t="str">
        <f ca="1">IFERROR(__xludf.DUMMYFUNCTION("""COMPUTED_VALUE"""),"katchusol")</f>
        <v>katchusol</v>
      </c>
      <c r="B6874" s="2" t="str">
        <f ca="1">IFERROR(__xludf.DUMMYFUNCTION("""COMPUTED_VALUE"""),"katchu")</f>
        <v>katchu</v>
      </c>
      <c r="C6874" s="2" t="str">
        <f ca="1">IFERROR(__xludf.DUMMYFUNCTION("""COMPUTED_VALUE"""),"KatchuSol")</f>
        <v>KatchuSol</v>
      </c>
    </row>
    <row r="6875" spans="1:3" x14ac:dyDescent="0.25">
      <c r="A6875" s="2" t="str">
        <f ca="1">IFERROR(__xludf.DUMMYFUNCTION("""COMPUTED_VALUE"""),"kattana")</f>
        <v>kattana</v>
      </c>
      <c r="B6875" s="2" t="str">
        <f ca="1">IFERROR(__xludf.DUMMYFUNCTION("""COMPUTED_VALUE"""),"ktn")</f>
        <v>ktn</v>
      </c>
      <c r="C6875" s="2" t="str">
        <f ca="1">IFERROR(__xludf.DUMMYFUNCTION("""COMPUTED_VALUE"""),"Kattana")</f>
        <v>Kattana</v>
      </c>
    </row>
    <row r="6876" spans="1:3" x14ac:dyDescent="0.25">
      <c r="A6876" s="2" t="str">
        <f ca="1">IFERROR(__xludf.DUMMYFUNCTION("""COMPUTED_VALUE"""),"katt-daddy")</f>
        <v>katt-daddy</v>
      </c>
      <c r="B6876" s="2" t="str">
        <f ca="1">IFERROR(__xludf.DUMMYFUNCTION("""COMPUTED_VALUE"""),"katt")</f>
        <v>katt</v>
      </c>
      <c r="C6876" s="2" t="str">
        <f ca="1">IFERROR(__xludf.DUMMYFUNCTION("""COMPUTED_VALUE"""),"KATT DADDY")</f>
        <v>KATT DADDY</v>
      </c>
    </row>
    <row r="6877" spans="1:3" x14ac:dyDescent="0.25">
      <c r="A6877" s="2" t="str">
        <f ca="1">IFERROR(__xludf.DUMMYFUNCTION("""COMPUTED_VALUE"""),"kava")</f>
        <v>kava</v>
      </c>
      <c r="B6877" s="2" t="str">
        <f ca="1">IFERROR(__xludf.DUMMYFUNCTION("""COMPUTED_VALUE"""),"kava")</f>
        <v>kava</v>
      </c>
      <c r="C6877" s="2" t="str">
        <f ca="1">IFERROR(__xludf.DUMMYFUNCTION("""COMPUTED_VALUE"""),"Kava")</f>
        <v>Kava</v>
      </c>
    </row>
    <row r="6878" spans="1:3" x14ac:dyDescent="0.25">
      <c r="A6878" s="2" t="str">
        <f ca="1">IFERROR(__xludf.DUMMYFUNCTION("""COMPUTED_VALUE"""),"kava-lend")</f>
        <v>kava-lend</v>
      </c>
      <c r="B6878" s="2" t="str">
        <f ca="1">IFERROR(__xludf.DUMMYFUNCTION("""COMPUTED_VALUE"""),"hard")</f>
        <v>hard</v>
      </c>
      <c r="C6878" s="2" t="str">
        <f ca="1">IFERROR(__xludf.DUMMYFUNCTION("""COMPUTED_VALUE"""),"Kava Lend")</f>
        <v>Kava Lend</v>
      </c>
    </row>
    <row r="6879" spans="1:3" x14ac:dyDescent="0.25">
      <c r="A6879" s="2" t="str">
        <f ca="1">IFERROR(__xludf.DUMMYFUNCTION("""COMPUTED_VALUE"""),"kava-swap")</f>
        <v>kava-swap</v>
      </c>
      <c r="B6879" s="2" t="str">
        <f ca="1">IFERROR(__xludf.DUMMYFUNCTION("""COMPUTED_VALUE"""),"swp")</f>
        <v>swp</v>
      </c>
      <c r="C6879" s="2" t="str">
        <f ca="1">IFERROR(__xludf.DUMMYFUNCTION("""COMPUTED_VALUE"""),"Kava Swap")</f>
        <v>Kava Swap</v>
      </c>
    </row>
    <row r="6880" spans="1:3" x14ac:dyDescent="0.25">
      <c r="A6880" s="2" t="str">
        <f ca="1">IFERROR(__xludf.DUMMYFUNCTION("""COMPUTED_VALUE"""),"kawaii-islands")</f>
        <v>kawaii-islands</v>
      </c>
      <c r="B6880" s="2" t="str">
        <f ca="1">IFERROR(__xludf.DUMMYFUNCTION("""COMPUTED_VALUE"""),"kwt")</f>
        <v>kwt</v>
      </c>
      <c r="C6880" s="2" t="str">
        <f ca="1">IFERROR(__xludf.DUMMYFUNCTION("""COMPUTED_VALUE"""),"Kawaii Islands")</f>
        <v>Kawaii Islands</v>
      </c>
    </row>
    <row r="6881" spans="1:3" x14ac:dyDescent="0.25">
      <c r="A6881" s="2" t="str">
        <f ca="1">IFERROR(__xludf.DUMMYFUNCTION("""COMPUTED_VALUE"""),"kb-chain")</f>
        <v>kb-chain</v>
      </c>
      <c r="B6881" s="2" t="str">
        <f ca="1">IFERROR(__xludf.DUMMYFUNCTION("""COMPUTED_VALUE"""),"kbc")</f>
        <v>kbc</v>
      </c>
      <c r="C6881" s="2" t="str">
        <f ca="1">IFERROR(__xludf.DUMMYFUNCTION("""COMPUTED_VALUE"""),"KB Chain")</f>
        <v>KB Chain</v>
      </c>
    </row>
    <row r="6882" spans="1:3" x14ac:dyDescent="0.25">
      <c r="A6882" s="2" t="str">
        <f ca="1">IFERROR(__xludf.DUMMYFUNCTION("""COMPUTED_VALUE"""),"kcal")</f>
        <v>kcal</v>
      </c>
      <c r="B6882" s="2" t="str">
        <f ca="1">IFERROR(__xludf.DUMMYFUNCTION("""COMPUTED_VALUE"""),"kcal")</f>
        <v>kcal</v>
      </c>
      <c r="C6882" s="2" t="str">
        <f ca="1">IFERROR(__xludf.DUMMYFUNCTION("""COMPUTED_VALUE"""),"KCAL")</f>
        <v>KCAL</v>
      </c>
    </row>
    <row r="6883" spans="1:3" x14ac:dyDescent="0.25">
      <c r="A6883" s="2" t="str">
        <f ca="1">IFERROR(__xludf.DUMMYFUNCTION("""COMPUTED_VALUE"""),"kcc-bridged-weth-kucoin-community-chain")</f>
        <v>kcc-bridged-weth-kucoin-community-chain</v>
      </c>
      <c r="B6883" s="2" t="str">
        <f ca="1">IFERROR(__xludf.DUMMYFUNCTION("""COMPUTED_VALUE"""),"weth")</f>
        <v>weth</v>
      </c>
      <c r="C6883" s="2" t="str">
        <f ca="1">IFERROR(__xludf.DUMMYFUNCTION("""COMPUTED_VALUE"""),"KCC Bridged WETH (Kucoin Community Chain)")</f>
        <v>KCC Bridged WETH (Kucoin Community Chain)</v>
      </c>
    </row>
    <row r="6884" spans="1:3" x14ac:dyDescent="0.25">
      <c r="A6884" s="2" t="str">
        <f ca="1">IFERROR(__xludf.DUMMYFUNCTION("""COMPUTED_VALUE"""),"kccpad")</f>
        <v>kccpad</v>
      </c>
      <c r="B6884" s="2" t="str">
        <f ca="1">IFERROR(__xludf.DUMMYFUNCTION("""COMPUTED_VALUE"""),"kccpad")</f>
        <v>kccpad</v>
      </c>
      <c r="C6884" s="2" t="str">
        <f ca="1">IFERROR(__xludf.DUMMYFUNCTION("""COMPUTED_VALUE"""),"KCCPad")</f>
        <v>KCCPad</v>
      </c>
    </row>
    <row r="6885" spans="1:3" x14ac:dyDescent="0.25">
      <c r="A6885" s="2" t="str">
        <f ca="1">IFERROR(__xludf.DUMMYFUNCTION("""COMPUTED_VALUE"""),"kdag")</f>
        <v>kdag</v>
      </c>
      <c r="B6885" s="2" t="str">
        <f ca="1">IFERROR(__xludf.DUMMYFUNCTION("""COMPUTED_VALUE"""),"kdag")</f>
        <v>kdag</v>
      </c>
      <c r="C6885" s="2" t="str">
        <f ca="1">IFERROR(__xludf.DUMMYFUNCTION("""COMPUTED_VALUE"""),"King DAG")</f>
        <v>King DAG</v>
      </c>
    </row>
    <row r="6886" spans="1:3" x14ac:dyDescent="0.25">
      <c r="A6886" s="2" t="str">
        <f ca="1">IFERROR(__xludf.DUMMYFUNCTION("""COMPUTED_VALUE"""),"kdlaunch")</f>
        <v>kdlaunch</v>
      </c>
      <c r="B6886" s="2" t="str">
        <f ca="1">IFERROR(__xludf.DUMMYFUNCTION("""COMPUTED_VALUE"""),"kdl")</f>
        <v>kdl</v>
      </c>
      <c r="C6886" s="2" t="str">
        <f ca="1">IFERROR(__xludf.DUMMYFUNCTION("""COMPUTED_VALUE"""),"KDLaunch")</f>
        <v>KDLaunch</v>
      </c>
    </row>
    <row r="6887" spans="1:3" x14ac:dyDescent="0.25">
      <c r="A6887" s="2" t="str">
        <f ca="1">IFERROR(__xludf.DUMMYFUNCTION("""COMPUTED_VALUE"""),"kdswap")</f>
        <v>kdswap</v>
      </c>
      <c r="B6887" s="2" t="str">
        <f ca="1">IFERROR(__xludf.DUMMYFUNCTION("""COMPUTED_VALUE"""),"kds")</f>
        <v>kds</v>
      </c>
      <c r="C6887" s="2" t="str">
        <f ca="1">IFERROR(__xludf.DUMMYFUNCTION("""COMPUTED_VALUE"""),"KDSwap")</f>
        <v>KDSwap</v>
      </c>
    </row>
    <row r="6888" spans="1:3" x14ac:dyDescent="0.25">
      <c r="A6888" s="2" t="str">
        <f ca="1">IFERROR(__xludf.DUMMYFUNCTION("""COMPUTED_VALUE"""),"kebapp")</f>
        <v>kebapp</v>
      </c>
      <c r="B6888" s="2" t="str">
        <f ca="1">IFERROR(__xludf.DUMMYFUNCTION("""COMPUTED_VALUE"""),"kebabs")</f>
        <v>kebabs</v>
      </c>
      <c r="C6888" s="2" t="str">
        <f ca="1">IFERROR(__xludf.DUMMYFUNCTION("""COMPUTED_VALUE"""),"KebApp")</f>
        <v>KebApp</v>
      </c>
    </row>
    <row r="6889" spans="1:3" x14ac:dyDescent="0.25">
      <c r="A6889" s="2" t="str">
        <f ca="1">IFERROR(__xludf.DUMMYFUNCTION("""COMPUTED_VALUE"""),"keep3rv1")</f>
        <v>keep3rv1</v>
      </c>
      <c r="B6889" s="2" t="str">
        <f ca="1">IFERROR(__xludf.DUMMYFUNCTION("""COMPUTED_VALUE"""),"kp3r")</f>
        <v>kp3r</v>
      </c>
      <c r="C6889" s="2" t="str">
        <f ca="1">IFERROR(__xludf.DUMMYFUNCTION("""COMPUTED_VALUE"""),"Keep3rV1")</f>
        <v>Keep3rV1</v>
      </c>
    </row>
    <row r="6890" spans="1:3" x14ac:dyDescent="0.25">
      <c r="A6890" s="2" t="str">
        <f ca="1">IFERROR(__xludf.DUMMYFUNCTION("""COMPUTED_VALUE"""),"keep-finance")</f>
        <v>keep-finance</v>
      </c>
      <c r="B6890" s="2" t="str">
        <f ca="1">IFERROR(__xludf.DUMMYFUNCTION("""COMPUTED_VALUE"""),"keep")</f>
        <v>keep</v>
      </c>
      <c r="C6890" s="2" t="str">
        <f ca="1">IFERROR(__xludf.DUMMYFUNCTION("""COMPUTED_VALUE"""),"Keep Finance")</f>
        <v>Keep Finance</v>
      </c>
    </row>
    <row r="6891" spans="1:3" x14ac:dyDescent="0.25">
      <c r="A6891" s="2" t="str">
        <f ca="1">IFERROR(__xludf.DUMMYFUNCTION("""COMPUTED_VALUE"""),"keep-network")</f>
        <v>keep-network</v>
      </c>
      <c r="B6891" s="2" t="str">
        <f ca="1">IFERROR(__xludf.DUMMYFUNCTION("""COMPUTED_VALUE"""),"keep")</f>
        <v>keep</v>
      </c>
      <c r="C6891" s="2" t="str">
        <f ca="1">IFERROR(__xludf.DUMMYFUNCTION("""COMPUTED_VALUE"""),"Keep Network")</f>
        <v>Keep Network</v>
      </c>
    </row>
    <row r="6892" spans="1:3" x14ac:dyDescent="0.25">
      <c r="A6892" s="2" t="str">
        <f ca="1">IFERROR(__xludf.DUMMYFUNCTION("""COMPUTED_VALUE"""),"kei-finance")</f>
        <v>kei-finance</v>
      </c>
      <c r="B6892" s="2" t="str">
        <f ca="1">IFERROR(__xludf.DUMMYFUNCTION("""COMPUTED_VALUE"""),"kei")</f>
        <v>kei</v>
      </c>
      <c r="C6892" s="2" t="str">
        <f ca="1">IFERROR(__xludf.DUMMYFUNCTION("""COMPUTED_VALUE"""),"KEI Finance")</f>
        <v>KEI Finance</v>
      </c>
    </row>
    <row r="6893" spans="1:3" x14ac:dyDescent="0.25">
      <c r="A6893" s="2" t="str">
        <f ca="1">IFERROR(__xludf.DUMMYFUNCTION("""COMPUTED_VALUE"""),"kek")</f>
        <v>kek</v>
      </c>
      <c r="B6893" s="2" t="str">
        <f ca="1">IFERROR(__xludf.DUMMYFUNCTION("""COMPUTED_VALUE"""),"keke")</f>
        <v>keke</v>
      </c>
      <c r="C6893" s="2" t="str">
        <f ca="1">IFERROR(__xludf.DUMMYFUNCTION("""COMPUTED_VALUE"""),"KEK")</f>
        <v>KEK</v>
      </c>
    </row>
    <row r="6894" spans="1:3" x14ac:dyDescent="0.25">
      <c r="A6894" s="2" t="str">
        <f ca="1">IFERROR(__xludf.DUMMYFUNCTION("""COMPUTED_VALUE"""),"kekchain")</f>
        <v>kekchain</v>
      </c>
      <c r="B6894" s="2" t="str">
        <f ca="1">IFERROR(__xludf.DUMMYFUNCTION("""COMPUTED_VALUE"""),"kek")</f>
        <v>kek</v>
      </c>
      <c r="C6894" s="2" t="str">
        <f ca="1">IFERROR(__xludf.DUMMYFUNCTION("""COMPUTED_VALUE"""),"KeKChain")</f>
        <v>KeKChain</v>
      </c>
    </row>
    <row r="6895" spans="1:3" x14ac:dyDescent="0.25">
      <c r="A6895" s="2" t="str">
        <f ca="1">IFERROR(__xludf.DUMMYFUNCTION("""COMPUTED_VALUE"""),"kekcoin-eth")</f>
        <v>kekcoin-eth</v>
      </c>
      <c r="B6895" s="2" t="str">
        <f ca="1">IFERROR(__xludf.DUMMYFUNCTION("""COMPUTED_VALUE"""),"kek")</f>
        <v>kek</v>
      </c>
      <c r="C6895" s="2" t="str">
        <f ca="1">IFERROR(__xludf.DUMMYFUNCTION("""COMPUTED_VALUE"""),"Kekcoin (ETH)")</f>
        <v>Kekcoin (ETH)</v>
      </c>
    </row>
    <row r="6896" spans="1:3" x14ac:dyDescent="0.25">
      <c r="A6896" s="2" t="str">
        <f ca="1">IFERROR(__xludf.DUMMYFUNCTION("""COMPUTED_VALUE"""),"keke-inu")</f>
        <v>keke-inu</v>
      </c>
      <c r="B6896" s="2" t="str">
        <f ca="1">IFERROR(__xludf.DUMMYFUNCTION("""COMPUTED_VALUE"""),"keke")</f>
        <v>keke</v>
      </c>
      <c r="C6896" s="2" t="str">
        <f ca="1">IFERROR(__xludf.DUMMYFUNCTION("""COMPUTED_VALUE"""),"Keke Inu")</f>
        <v>Keke Inu</v>
      </c>
    </row>
    <row r="6897" spans="1:3" x14ac:dyDescent="0.25">
      <c r="A6897" s="2" t="str">
        <f ca="1">IFERROR(__xludf.DUMMYFUNCTION("""COMPUTED_VALUE"""),"keko")</f>
        <v>keko</v>
      </c>
      <c r="B6897" s="2" t="str">
        <f ca="1">IFERROR(__xludf.DUMMYFUNCTION("""COMPUTED_VALUE"""),"keko")</f>
        <v>keko</v>
      </c>
      <c r="C6897" s="2" t="str">
        <f ca="1">IFERROR(__xludf.DUMMYFUNCTION("""COMPUTED_VALUE"""),"Keko")</f>
        <v>Keko</v>
      </c>
    </row>
    <row r="6898" spans="1:3" x14ac:dyDescent="0.25">
      <c r="A6898" s="2" t="str">
        <f ca="1">IFERROR(__xludf.DUMMYFUNCTION("""COMPUTED_VALUE"""),"kek-on-sol")</f>
        <v>kek-on-sol</v>
      </c>
      <c r="B6898" s="2" t="str">
        <f ca="1">IFERROR(__xludf.DUMMYFUNCTION("""COMPUTED_VALUE"""),"kek")</f>
        <v>kek</v>
      </c>
      <c r="C6898" s="2" t="str">
        <f ca="1">IFERROR(__xludf.DUMMYFUNCTION("""COMPUTED_VALUE"""),"Kek on Sol")</f>
        <v>Kek on Sol</v>
      </c>
    </row>
    <row r="6899" spans="1:3" x14ac:dyDescent="0.25">
      <c r="A6899" s="2" t="str">
        <f ca="1">IFERROR(__xludf.DUMMYFUNCTION("""COMPUTED_VALUE"""),"kelp-dao")</f>
        <v>kelp-dao</v>
      </c>
      <c r="B6899" s="2" t="str">
        <f ca="1">IFERROR(__xludf.DUMMYFUNCTION("""COMPUTED_VALUE"""),"kelp")</f>
        <v>kelp</v>
      </c>
      <c r="C6899" s="2" t="str">
        <f ca="1">IFERROR(__xludf.DUMMYFUNCTION("""COMPUTED_VALUE"""),"Kelp DAO")</f>
        <v>Kelp DAO</v>
      </c>
    </row>
    <row r="6900" spans="1:3" x14ac:dyDescent="0.25">
      <c r="A6900" s="2" t="str">
        <f ca="1">IFERROR(__xludf.DUMMYFUNCTION("""COMPUTED_VALUE"""),"kelpdao-bridged-rseth-arbitrum")</f>
        <v>kelpdao-bridged-rseth-arbitrum</v>
      </c>
      <c r="B6900" s="2" t="str">
        <f ca="1">IFERROR(__xludf.DUMMYFUNCTION("""COMPUTED_VALUE"""),"rseth")</f>
        <v>rseth</v>
      </c>
      <c r="C6900" s="2" t="str">
        <f ca="1">IFERROR(__xludf.DUMMYFUNCTION("""COMPUTED_VALUE"""),"KelpDAO Bridged rsETH (Arbitrum)")</f>
        <v>KelpDAO Bridged rsETH (Arbitrum)</v>
      </c>
    </row>
    <row r="6901" spans="1:3" x14ac:dyDescent="0.25">
      <c r="A6901" s="2" t="str">
        <f ca="1">IFERROR(__xludf.DUMMYFUNCTION("""COMPUTED_VALUE"""),"kelpdao-bridged-rseth-base")</f>
        <v>kelpdao-bridged-rseth-base</v>
      </c>
      <c r="B6901" s="2" t="str">
        <f ca="1">IFERROR(__xludf.DUMMYFUNCTION("""COMPUTED_VALUE"""),"rseth")</f>
        <v>rseth</v>
      </c>
      <c r="C6901" s="2" t="str">
        <f ca="1">IFERROR(__xludf.DUMMYFUNCTION("""COMPUTED_VALUE"""),"KelpDAO Bridged rsETH (Base)")</f>
        <v>KelpDAO Bridged rsETH (Base)</v>
      </c>
    </row>
    <row r="6902" spans="1:3" x14ac:dyDescent="0.25">
      <c r="A6902" s="2" t="str">
        <f ca="1">IFERROR(__xludf.DUMMYFUNCTION("""COMPUTED_VALUE"""),"kelpdao-bridged-rseth-blast")</f>
        <v>kelpdao-bridged-rseth-blast</v>
      </c>
      <c r="B6902" s="2" t="str">
        <f ca="1">IFERROR(__xludf.DUMMYFUNCTION("""COMPUTED_VALUE"""),"rseth")</f>
        <v>rseth</v>
      </c>
      <c r="C6902" s="2" t="str">
        <f ca="1">IFERROR(__xludf.DUMMYFUNCTION("""COMPUTED_VALUE"""),"KelpDAO Bridged rsETH (Blast)")</f>
        <v>KelpDAO Bridged rsETH (Blast)</v>
      </c>
    </row>
    <row r="6903" spans="1:3" x14ac:dyDescent="0.25">
      <c r="A6903" s="2" t="str">
        <f ca="1">IFERROR(__xludf.DUMMYFUNCTION("""COMPUTED_VALUE"""),"kelpdao-bridged-rseth-mode")</f>
        <v>kelpdao-bridged-rseth-mode</v>
      </c>
      <c r="B6903" s="2" t="str">
        <f ca="1">IFERROR(__xludf.DUMMYFUNCTION("""COMPUTED_VALUE"""),"rseth")</f>
        <v>rseth</v>
      </c>
      <c r="C6903" s="2" t="str">
        <f ca="1">IFERROR(__xludf.DUMMYFUNCTION("""COMPUTED_VALUE"""),"KelpDAO Bridged rsETH (Mode)")</f>
        <v>KelpDAO Bridged rsETH (Mode)</v>
      </c>
    </row>
    <row r="6904" spans="1:3" x14ac:dyDescent="0.25">
      <c r="A6904" s="2" t="str">
        <f ca="1">IFERROR(__xludf.DUMMYFUNCTION("""COMPUTED_VALUE"""),"kelpdao-bridged-rseth-optimism")</f>
        <v>kelpdao-bridged-rseth-optimism</v>
      </c>
      <c r="B6904" s="2" t="str">
        <f ca="1">IFERROR(__xludf.DUMMYFUNCTION("""COMPUTED_VALUE"""),"rseth")</f>
        <v>rseth</v>
      </c>
      <c r="C6904" s="2" t="str">
        <f ca="1">IFERROR(__xludf.DUMMYFUNCTION("""COMPUTED_VALUE"""),"KelpDAO Bridged rsETH (Optimism)")</f>
        <v>KelpDAO Bridged rsETH (Optimism)</v>
      </c>
    </row>
    <row r="6905" spans="1:3" x14ac:dyDescent="0.25">
      <c r="A6905" s="2" t="str">
        <f ca="1">IFERROR(__xludf.DUMMYFUNCTION("""COMPUTED_VALUE"""),"kelpdao-bridged-rseth-scroll")</f>
        <v>kelpdao-bridged-rseth-scroll</v>
      </c>
      <c r="B6905" s="2" t="str">
        <f ca="1">IFERROR(__xludf.DUMMYFUNCTION("""COMPUTED_VALUE"""),"rseth")</f>
        <v>rseth</v>
      </c>
      <c r="C6905" s="2" t="str">
        <f ca="1">IFERROR(__xludf.DUMMYFUNCTION("""COMPUTED_VALUE"""),"KelpDAO Bridged rsETH (Scroll)")</f>
        <v>KelpDAO Bridged rsETH (Scroll)</v>
      </c>
    </row>
    <row r="6906" spans="1:3" x14ac:dyDescent="0.25">
      <c r="A6906" s="2" t="str">
        <f ca="1">IFERROR(__xludf.DUMMYFUNCTION("""COMPUTED_VALUE"""),"kelp-dao-restaked-eth")</f>
        <v>kelp-dao-restaked-eth</v>
      </c>
      <c r="B6906" s="2" t="str">
        <f ca="1">IFERROR(__xludf.DUMMYFUNCTION("""COMPUTED_VALUE"""),"rseth")</f>
        <v>rseth</v>
      </c>
      <c r="C6906" s="2" t="str">
        <f ca="1">IFERROR(__xludf.DUMMYFUNCTION("""COMPUTED_VALUE"""),"Kelp DAO Restaked ETH")</f>
        <v>Kelp DAO Restaked ETH</v>
      </c>
    </row>
    <row r="6907" spans="1:3" x14ac:dyDescent="0.25">
      <c r="A6907" s="2" t="str">
        <f ca="1">IFERROR(__xludf.DUMMYFUNCTION("""COMPUTED_VALUE"""),"kelp-earned-points")</f>
        <v>kelp-earned-points</v>
      </c>
      <c r="B6907" s="2" t="str">
        <f ca="1">IFERROR(__xludf.DUMMYFUNCTION("""COMPUTED_VALUE"""),"kep")</f>
        <v>kep</v>
      </c>
      <c r="C6907" s="2" t="str">
        <f ca="1">IFERROR(__xludf.DUMMYFUNCTION("""COMPUTED_VALUE"""),"Kelp Earned Points")</f>
        <v>Kelp Earned Points</v>
      </c>
    </row>
    <row r="6908" spans="1:3" x14ac:dyDescent="0.25">
      <c r="A6908" s="2" t="str">
        <f ca="1">IFERROR(__xludf.DUMMYFUNCTION("""COMPUTED_VALUE"""),"kelp-gain")</f>
        <v>kelp-gain</v>
      </c>
      <c r="B6908" s="2" t="str">
        <f ca="1">IFERROR(__xludf.DUMMYFUNCTION("""COMPUTED_VALUE"""),"ageth")</f>
        <v>ageth</v>
      </c>
      <c r="C6908" s="2" t="str">
        <f ca="1">IFERROR(__xludf.DUMMYFUNCTION("""COMPUTED_VALUE"""),"Kelp Gain")</f>
        <v>Kelp Gain</v>
      </c>
    </row>
    <row r="6909" spans="1:3" x14ac:dyDescent="0.25">
      <c r="A6909" s="2" t="str">
        <f ca="1">IFERROR(__xludf.DUMMYFUNCTION("""COMPUTED_VALUE"""),"kelvpn")</f>
        <v>kelvpn</v>
      </c>
      <c r="B6909" s="2" t="str">
        <f ca="1">IFERROR(__xludf.DUMMYFUNCTION("""COMPUTED_VALUE"""),"kel")</f>
        <v>kel</v>
      </c>
      <c r="C6909" s="2" t="str">
        <f ca="1">IFERROR(__xludf.DUMMYFUNCTION("""COMPUTED_VALUE"""),"KelVPN")</f>
        <v>KelVPN</v>
      </c>
    </row>
    <row r="6910" spans="1:3" x14ac:dyDescent="0.25">
      <c r="A6910" s="2" t="str">
        <f ca="1">IFERROR(__xludf.DUMMYFUNCTION("""COMPUTED_VALUE"""),"ken")</f>
        <v>ken</v>
      </c>
      <c r="B6910" s="2" t="str">
        <f ca="1">IFERROR(__xludf.DUMMYFUNCTION("""COMPUTED_VALUE"""),"ken")</f>
        <v>ken</v>
      </c>
      <c r="C6910" s="2" t="str">
        <f ca="1">IFERROR(__xludf.DUMMYFUNCTION("""COMPUTED_VALUE"""),"Ken")</f>
        <v>Ken</v>
      </c>
    </row>
    <row r="6911" spans="1:3" x14ac:dyDescent="0.25">
      <c r="A6911" s="2" t="str">
        <f ca="1">IFERROR(__xludf.DUMMYFUNCTION("""COMPUTED_VALUE"""),"kenda")</f>
        <v>kenda</v>
      </c>
      <c r="B6911" s="2" t="str">
        <f ca="1">IFERROR(__xludf.DUMMYFUNCTION("""COMPUTED_VALUE"""),"knda")</f>
        <v>knda</v>
      </c>
      <c r="C6911" s="2" t="str">
        <f ca="1">IFERROR(__xludf.DUMMYFUNCTION("""COMPUTED_VALUE"""),"Kenda")</f>
        <v>Kenda</v>
      </c>
    </row>
    <row r="6912" spans="1:3" x14ac:dyDescent="0.25">
      <c r="A6912" s="2" t="str">
        <f ca="1">IFERROR(__xludf.DUMMYFUNCTION("""COMPUTED_VALUE"""),"kendoll-janner")</f>
        <v>kendoll-janner</v>
      </c>
      <c r="B6912" s="2" t="str">
        <f ca="1">IFERROR(__xludf.DUMMYFUNCTION("""COMPUTED_VALUE"""),"ken")</f>
        <v>ken</v>
      </c>
      <c r="C6912" s="2" t="str">
        <f ca="1">IFERROR(__xludf.DUMMYFUNCTION("""COMPUTED_VALUE"""),"Kendoll Janner")</f>
        <v>Kendoll Janner</v>
      </c>
    </row>
    <row r="6913" spans="1:3" x14ac:dyDescent="0.25">
      <c r="A6913" s="2" t="str">
        <f ca="1">IFERROR(__xludf.DUMMYFUNCTION("""COMPUTED_VALUE"""),"kendu-inu")</f>
        <v>kendu-inu</v>
      </c>
      <c r="B6913" s="2" t="str">
        <f ca="1">IFERROR(__xludf.DUMMYFUNCTION("""COMPUTED_VALUE"""),"kendu")</f>
        <v>kendu</v>
      </c>
      <c r="C6913" s="2" t="str">
        <f ca="1">IFERROR(__xludf.DUMMYFUNCTION("""COMPUTED_VALUE"""),"Kendu Inu")</f>
        <v>Kendu Inu</v>
      </c>
    </row>
    <row r="6914" spans="1:3" x14ac:dyDescent="0.25">
      <c r="A6914" s="2" t="str">
        <f ca="1">IFERROR(__xludf.DUMMYFUNCTION("""COMPUTED_VALUE"""),"kenka-metaverse")</f>
        <v>kenka-metaverse</v>
      </c>
      <c r="B6914" s="2" t="str">
        <f ca="1">IFERROR(__xludf.DUMMYFUNCTION("""COMPUTED_VALUE"""),"kenka")</f>
        <v>kenka</v>
      </c>
      <c r="C6914" s="2" t="str">
        <f ca="1">IFERROR(__xludf.DUMMYFUNCTION("""COMPUTED_VALUE"""),"KENKA METAVERSE")</f>
        <v>KENKA METAVERSE</v>
      </c>
    </row>
    <row r="6915" spans="1:3" x14ac:dyDescent="0.25">
      <c r="A6915" s="2" t="str">
        <f ca="1">IFERROR(__xludf.DUMMYFUNCTION("""COMPUTED_VALUE"""),"kensetsu-token")</f>
        <v>kensetsu-token</v>
      </c>
      <c r="B6915" s="2" t="str">
        <f ca="1">IFERROR(__xludf.DUMMYFUNCTION("""COMPUTED_VALUE"""),"ken")</f>
        <v>ken</v>
      </c>
      <c r="C6915" s="2" t="str">
        <f ca="1">IFERROR(__xludf.DUMMYFUNCTION("""COMPUTED_VALUE"""),"Kensetsu Token")</f>
        <v>Kensetsu Token</v>
      </c>
    </row>
    <row r="6916" spans="1:3" x14ac:dyDescent="0.25">
      <c r="A6916" s="2" t="str">
        <f ca="1">IFERROR(__xludf.DUMMYFUNCTION("""COMPUTED_VALUE"""),"kenshi-2")</f>
        <v>kenshi-2</v>
      </c>
      <c r="B6916" s="2" t="str">
        <f ca="1">IFERROR(__xludf.DUMMYFUNCTION("""COMPUTED_VALUE"""),"kns")</f>
        <v>kns</v>
      </c>
      <c r="C6916" s="2" t="str">
        <f ca="1">IFERROR(__xludf.DUMMYFUNCTION("""COMPUTED_VALUE"""),"Kenshi")</f>
        <v>Kenshi</v>
      </c>
    </row>
    <row r="6917" spans="1:3" x14ac:dyDescent="0.25">
      <c r="A6917" s="2" t="str">
        <f ca="1">IFERROR(__xludf.DUMMYFUNCTION("""COMPUTED_VALUE"""),"kento")</f>
        <v>kento</v>
      </c>
      <c r="B6917" s="2" t="str">
        <f ca="1">IFERROR(__xludf.DUMMYFUNCTION("""COMPUTED_VALUE"""),"knto")</f>
        <v>knto</v>
      </c>
      <c r="C6917" s="2" t="str">
        <f ca="1">IFERROR(__xludf.DUMMYFUNCTION("""COMPUTED_VALUE"""),"Kento")</f>
        <v>Kento</v>
      </c>
    </row>
    <row r="6918" spans="1:3" x14ac:dyDescent="0.25">
      <c r="A6918" s="2" t="str">
        <f ca="1">IFERROR(__xludf.DUMMYFUNCTION("""COMPUTED_VALUE"""),"kepple")</f>
        <v>kepple</v>
      </c>
      <c r="B6918" s="2" t="str">
        <f ca="1">IFERROR(__xludf.DUMMYFUNCTION("""COMPUTED_VALUE"""),"kpl")</f>
        <v>kpl</v>
      </c>
      <c r="C6918" s="2" t="str">
        <f ca="1">IFERROR(__xludf.DUMMYFUNCTION("""COMPUTED_VALUE"""),"Kepple")</f>
        <v>Kepple</v>
      </c>
    </row>
    <row r="6919" spans="1:3" x14ac:dyDescent="0.25">
      <c r="A6919" s="2" t="str">
        <f ca="1">IFERROR(__xludf.DUMMYFUNCTION("""COMPUTED_VALUE"""),"keptchain")</f>
        <v>keptchain</v>
      </c>
      <c r="B6919" s="2" t="str">
        <f ca="1">IFERROR(__xludf.DUMMYFUNCTION("""COMPUTED_VALUE"""),"kept")</f>
        <v>kept</v>
      </c>
      <c r="C6919" s="2" t="str">
        <f ca="1">IFERROR(__xludf.DUMMYFUNCTION("""COMPUTED_VALUE"""),"KeptChain")</f>
        <v>KeptChain</v>
      </c>
    </row>
    <row r="6920" spans="1:3" x14ac:dyDescent="0.25">
      <c r="A6920" s="2" t="str">
        <f ca="1">IFERROR(__xludf.DUMMYFUNCTION("""COMPUTED_VALUE"""),"kerc")</f>
        <v>kerc</v>
      </c>
      <c r="B6920" s="2" t="str">
        <f ca="1">IFERROR(__xludf.DUMMYFUNCTION("""COMPUTED_VALUE"""),"kerc")</f>
        <v>kerc</v>
      </c>
      <c r="C6920" s="2" t="str">
        <f ca="1">IFERROR(__xludf.DUMMYFUNCTION("""COMPUTED_VALUE"""),"KERC")</f>
        <v>KERC</v>
      </c>
    </row>
    <row r="6921" spans="1:3" x14ac:dyDescent="0.25">
      <c r="A6921" s="2" t="str">
        <f ca="1">IFERROR(__xludf.DUMMYFUNCTION("""COMPUTED_VALUE"""),"keren")</f>
        <v>keren</v>
      </c>
      <c r="B6921" s="2" t="str">
        <f ca="1">IFERROR(__xludf.DUMMYFUNCTION("""COMPUTED_VALUE"""),"keren")</f>
        <v>keren</v>
      </c>
      <c r="C6921" s="2" t="str">
        <f ca="1">IFERROR(__xludf.DUMMYFUNCTION("""COMPUTED_VALUE"""),"Keren")</f>
        <v>Keren</v>
      </c>
    </row>
    <row r="6922" spans="1:3" x14ac:dyDescent="0.25">
      <c r="A6922" s="2" t="str">
        <f ca="1">IFERROR(__xludf.DUMMYFUNCTION("""COMPUTED_VALUE"""),"kermit-cc0e2d66-4b46-4eaf-9f4e-5caa883d1c09")</f>
        <v>kermit-cc0e2d66-4b46-4eaf-9f4e-5caa883d1c09</v>
      </c>
      <c r="B6922" s="2" t="str">
        <f ca="1">IFERROR(__xludf.DUMMYFUNCTION("""COMPUTED_VALUE"""),"kermit")</f>
        <v>kermit</v>
      </c>
      <c r="C6922" s="2" t="str">
        <f ca="1">IFERROR(__xludf.DUMMYFUNCTION("""COMPUTED_VALUE"""),"Kermit")</f>
        <v>Kermit</v>
      </c>
    </row>
    <row r="6923" spans="1:3" x14ac:dyDescent="0.25">
      <c r="A6923" s="2" t="str">
        <f ca="1">IFERROR(__xludf.DUMMYFUNCTION("""COMPUTED_VALUE"""),"kernel")</f>
        <v>kernel</v>
      </c>
      <c r="B6923" s="2" t="str">
        <f ca="1">IFERROR(__xludf.DUMMYFUNCTION("""COMPUTED_VALUE"""),"kern")</f>
        <v>kern</v>
      </c>
      <c r="C6923" s="2" t="str">
        <f ca="1">IFERROR(__xludf.DUMMYFUNCTION("""COMPUTED_VALUE"""),"Kernel")</f>
        <v>Kernel</v>
      </c>
    </row>
    <row r="6924" spans="1:3" x14ac:dyDescent="0.25">
      <c r="A6924" s="2" t="str">
        <f ca="1">IFERROR(__xludf.DUMMYFUNCTION("""COMPUTED_VALUE"""),"kernel-restaked-eth")</f>
        <v>kernel-restaked-eth</v>
      </c>
      <c r="B6924" s="2" t="str">
        <f ca="1">IFERROR(__xludf.DUMMYFUNCTION("""COMPUTED_VALUE"""),"kreth")</f>
        <v>kreth</v>
      </c>
      <c r="C6924" s="2" t="str">
        <f ca="1">IFERROR(__xludf.DUMMYFUNCTION("""COMPUTED_VALUE"""),"Kernel Restaked ETH")</f>
        <v>Kernel Restaked ETH</v>
      </c>
    </row>
    <row r="6925" spans="1:3" x14ac:dyDescent="0.25">
      <c r="A6925" s="2" t="str">
        <f ca="1">IFERROR(__xludf.DUMMYFUNCTION("""COMPUTED_VALUE"""),"kernel-staked-eth")</f>
        <v>kernel-staked-eth</v>
      </c>
      <c r="B6925" s="2" t="str">
        <f ca="1">IFERROR(__xludf.DUMMYFUNCTION("""COMPUTED_VALUE"""),"kseth")</f>
        <v>kseth</v>
      </c>
      <c r="C6925" s="2" t="str">
        <f ca="1">IFERROR(__xludf.DUMMYFUNCTION("""COMPUTED_VALUE"""),"Kernel Staked ETH")</f>
        <v>Kernel Staked ETH</v>
      </c>
    </row>
    <row r="6926" spans="1:3" x14ac:dyDescent="0.25">
      <c r="A6926" s="2" t="str">
        <f ca="1">IFERROR(__xludf.DUMMYFUNCTION("""COMPUTED_VALUE"""),"kernel-usd")</f>
        <v>kernel-usd</v>
      </c>
      <c r="B6926" s="2" t="str">
        <f ca="1">IFERROR(__xludf.DUMMYFUNCTION("""COMPUTED_VALUE"""),"kusd")</f>
        <v>kusd</v>
      </c>
      <c r="C6926" s="2" t="str">
        <f ca="1">IFERROR(__xludf.DUMMYFUNCTION("""COMPUTED_VALUE"""),"Kernel USD")</f>
        <v>Kernel USD</v>
      </c>
    </row>
    <row r="6927" spans="1:3" x14ac:dyDescent="0.25">
      <c r="A6927" s="2" t="str">
        <f ca="1">IFERROR(__xludf.DUMMYFUNCTION("""COMPUTED_VALUE"""),"kerosene")</f>
        <v>kerosene</v>
      </c>
      <c r="B6927" s="2" t="str">
        <f ca="1">IFERROR(__xludf.DUMMYFUNCTION("""COMPUTED_VALUE"""),"kerosene")</f>
        <v>kerosene</v>
      </c>
      <c r="C6927" s="2" t="str">
        <f ca="1">IFERROR(__xludf.DUMMYFUNCTION("""COMPUTED_VALUE"""),"Kerosene")</f>
        <v>Kerosene</v>
      </c>
    </row>
    <row r="6928" spans="1:3" x14ac:dyDescent="0.25">
      <c r="A6928" s="2" t="str">
        <f ca="1">IFERROR(__xludf.DUMMYFUNCTION("""COMPUTED_VALUE"""),"ketaicoin")</f>
        <v>ketaicoin</v>
      </c>
      <c r="B6928" s="2" t="str">
        <f ca="1">IFERROR(__xludf.DUMMYFUNCTION("""COMPUTED_VALUE"""),"ethereum")</f>
        <v>ethereum</v>
      </c>
      <c r="C6928" s="2" t="str">
        <f ca="1">IFERROR(__xludf.DUMMYFUNCTION("""COMPUTED_VALUE"""),"Ketaicoin")</f>
        <v>Ketaicoin</v>
      </c>
    </row>
    <row r="6929" spans="1:3" x14ac:dyDescent="0.25">
      <c r="A6929" s="2" t="str">
        <f ca="1">IFERROR(__xludf.DUMMYFUNCTION("""COMPUTED_VALUE"""),"ketamine")</f>
        <v>ketamine</v>
      </c>
      <c r="B6929" s="2" t="str">
        <f ca="1">IFERROR(__xludf.DUMMYFUNCTION("""COMPUTED_VALUE"""),"ketamine")</f>
        <v>ketamine</v>
      </c>
      <c r="C6929" s="2" t="str">
        <f ca="1">IFERROR(__xludf.DUMMYFUNCTION("""COMPUTED_VALUE"""),"Ketamine")</f>
        <v>Ketamine</v>
      </c>
    </row>
    <row r="6930" spans="1:3" x14ac:dyDescent="0.25">
      <c r="A6930" s="2" t="str">
        <f ca="1">IFERROR(__xludf.DUMMYFUNCTION("""COMPUTED_VALUE"""),"kevin-2")</f>
        <v>kevin-2</v>
      </c>
      <c r="B6930" s="2" t="str">
        <f ca="1">IFERROR(__xludf.DUMMYFUNCTION("""COMPUTED_VALUE"""),"kevin")</f>
        <v>kevin</v>
      </c>
      <c r="C6930" s="2" t="str">
        <f ca="1">IFERROR(__xludf.DUMMYFUNCTION("""COMPUTED_VALUE"""),"Kevin")</f>
        <v>Kevin</v>
      </c>
    </row>
    <row r="6931" spans="1:3" x14ac:dyDescent="0.25">
      <c r="A6931" s="2" t="str">
        <f ca="1">IFERROR(__xludf.DUMMYFUNCTION("""COMPUTED_VALUE"""),"kewl-exchange")</f>
        <v>kewl-exchange</v>
      </c>
      <c r="B6931" s="2" t="str">
        <f ca="1">IFERROR(__xludf.DUMMYFUNCTION("""COMPUTED_VALUE"""),"kwl")</f>
        <v>kwl</v>
      </c>
      <c r="C6931" s="2" t="str">
        <f ca="1">IFERROR(__xludf.DUMMYFUNCTION("""COMPUTED_VALUE"""),"KEWL EXCHANGE")</f>
        <v>KEWL EXCHANGE</v>
      </c>
    </row>
    <row r="6932" spans="1:3" x14ac:dyDescent="0.25">
      <c r="A6932" s="2" t="str">
        <f ca="1">IFERROR(__xludf.DUMMYFUNCTION("""COMPUTED_VALUE"""),"keyboard-cat")</f>
        <v>keyboard-cat</v>
      </c>
      <c r="B6932" s="2" t="str">
        <f ca="1">IFERROR(__xludf.DUMMYFUNCTION("""COMPUTED_VALUE"""),"keycat")</f>
        <v>keycat</v>
      </c>
      <c r="C6932" s="2" t="str">
        <f ca="1">IFERROR(__xludf.DUMMYFUNCTION("""COMPUTED_VALUE"""),"Keyboard Cat")</f>
        <v>Keyboard Cat</v>
      </c>
    </row>
    <row r="6933" spans="1:3" x14ac:dyDescent="0.25">
      <c r="A6933" s="2" t="str">
        <f ca="1">IFERROR(__xludf.DUMMYFUNCTION("""COMPUTED_VALUE"""),"keyboard-cat-base")</f>
        <v>keyboard-cat-base</v>
      </c>
      <c r="B6933" s="2" t="str">
        <f ca="1">IFERROR(__xludf.DUMMYFUNCTION("""COMPUTED_VALUE"""),"keycat")</f>
        <v>keycat</v>
      </c>
      <c r="C6933" s="2" t="str">
        <f ca="1">IFERROR(__xludf.DUMMYFUNCTION("""COMPUTED_VALUE"""),"Keyboard Cat (Base)")</f>
        <v>Keyboard Cat (Base)</v>
      </c>
    </row>
    <row r="6934" spans="1:3" x14ac:dyDescent="0.25">
      <c r="A6934" s="2" t="str">
        <f ca="1">IFERROR(__xludf.DUMMYFUNCTION("""COMPUTED_VALUE"""),"keydog")</f>
        <v>keydog</v>
      </c>
      <c r="B6934" s="2" t="str">
        <f ca="1">IFERROR(__xludf.DUMMYFUNCTION("""COMPUTED_VALUE"""),"$keydog")</f>
        <v>$keydog</v>
      </c>
      <c r="C6934" s="2" t="str">
        <f ca="1">IFERROR(__xludf.DUMMYFUNCTION("""COMPUTED_VALUE"""),"KEYDOG")</f>
        <v>KEYDOG</v>
      </c>
    </row>
    <row r="6935" spans="1:3" x14ac:dyDescent="0.25">
      <c r="A6935" s="2" t="str">
        <f ca="1">IFERROR(__xludf.DUMMYFUNCTION("""COMPUTED_VALUE"""),"keyfi")</f>
        <v>keyfi</v>
      </c>
      <c r="B6935" s="2" t="str">
        <f ca="1">IFERROR(__xludf.DUMMYFUNCTION("""COMPUTED_VALUE"""),"keyfi")</f>
        <v>keyfi</v>
      </c>
      <c r="C6935" s="2" t="str">
        <f ca="1">IFERROR(__xludf.DUMMYFUNCTION("""COMPUTED_VALUE"""),"KeyFi")</f>
        <v>KeyFi</v>
      </c>
    </row>
    <row r="6936" spans="1:3" x14ac:dyDescent="0.25">
      <c r="A6936" s="2" t="str">
        <f ca="1">IFERROR(__xludf.DUMMYFUNCTION("""COMPUTED_VALUE"""),"keyoflife")</f>
        <v>keyoflife</v>
      </c>
      <c r="B6936" s="2" t="str">
        <f ca="1">IFERROR(__xludf.DUMMYFUNCTION("""COMPUTED_VALUE"""),"kol")</f>
        <v>kol</v>
      </c>
      <c r="C6936" s="2" t="str">
        <f ca="1">IFERROR(__xludf.DUMMYFUNCTION("""COMPUTED_VALUE"""),"KeyOfLife")</f>
        <v>KeyOfLife</v>
      </c>
    </row>
    <row r="6937" spans="1:3" x14ac:dyDescent="0.25">
      <c r="A6937" s="2" t="str">
        <f ca="1">IFERROR(__xludf.DUMMYFUNCTION("""COMPUTED_VALUE"""),"keysatin")</f>
        <v>keysatin</v>
      </c>
      <c r="B6937" s="2" t="str">
        <f ca="1">IFERROR(__xludf.DUMMYFUNCTION("""COMPUTED_VALUE"""),"keysatin")</f>
        <v>keysatin</v>
      </c>
      <c r="C6937" s="2" t="str">
        <f ca="1">IFERROR(__xludf.DUMMYFUNCTION("""COMPUTED_VALUE"""),"KeySATIN")</f>
        <v>KeySATIN</v>
      </c>
    </row>
    <row r="6938" spans="1:3" x14ac:dyDescent="0.25">
      <c r="A6938" s="2" t="str">
        <f ca="1">IFERROR(__xludf.DUMMYFUNCTION("""COMPUTED_VALUE"""),"keysians-network")</f>
        <v>keysians-network</v>
      </c>
      <c r="B6938" s="2" t="str">
        <f ca="1">IFERROR(__xludf.DUMMYFUNCTION("""COMPUTED_VALUE"""),"ken")</f>
        <v>ken</v>
      </c>
      <c r="C6938" s="2" t="str">
        <f ca="1">IFERROR(__xludf.DUMMYFUNCTION("""COMPUTED_VALUE"""),"Keysians Network")</f>
        <v>Keysians Network</v>
      </c>
    </row>
    <row r="6939" spans="1:3" x14ac:dyDescent="0.25">
      <c r="A6939" s="2" t="str">
        <f ca="1">IFERROR(__xludf.DUMMYFUNCTION("""COMPUTED_VALUE"""),"keys-token")</f>
        <v>keys-token</v>
      </c>
      <c r="B6939" s="2" t="str">
        <f ca="1">IFERROR(__xludf.DUMMYFUNCTION("""COMPUTED_VALUE"""),"keys")</f>
        <v>keys</v>
      </c>
      <c r="C6939" s="2" t="str">
        <f ca="1">IFERROR(__xludf.DUMMYFUNCTION("""COMPUTED_VALUE"""),"Keys")</f>
        <v>Keys</v>
      </c>
    </row>
    <row r="6940" spans="1:3" x14ac:dyDescent="0.25">
      <c r="A6940" s="2" t="str">
        <f ca="1">IFERROR(__xludf.DUMMYFUNCTION("""COMPUTED_VALUE"""),"ki")</f>
        <v>ki</v>
      </c>
      <c r="B6940" s="2" t="str">
        <f ca="1">IFERROR(__xludf.DUMMYFUNCTION("""COMPUTED_VALUE"""),"xki")</f>
        <v>xki</v>
      </c>
      <c r="C6940" s="2" t="str">
        <f ca="1">IFERROR(__xludf.DUMMYFUNCTION("""COMPUTED_VALUE"""),"KI")</f>
        <v>KI</v>
      </c>
    </row>
    <row r="6941" spans="1:3" x14ac:dyDescent="0.25">
      <c r="A6941" s="2" t="str">
        <f ca="1">IFERROR(__xludf.DUMMYFUNCTION("""COMPUTED_VALUE"""),"kiba-inu")</f>
        <v>kiba-inu</v>
      </c>
      <c r="B6941" s="2" t="str">
        <f ca="1">IFERROR(__xludf.DUMMYFUNCTION("""COMPUTED_VALUE"""),"kiba")</f>
        <v>kiba</v>
      </c>
      <c r="C6941" s="2" t="str">
        <f ca="1">IFERROR(__xludf.DUMMYFUNCTION("""COMPUTED_VALUE"""),"Kiba Inu")</f>
        <v>Kiba Inu</v>
      </c>
    </row>
    <row r="6942" spans="1:3" x14ac:dyDescent="0.25">
      <c r="A6942" s="2" t="str">
        <f ca="1">IFERROR(__xludf.DUMMYFUNCTION("""COMPUTED_VALUE"""),"kibble")</f>
        <v>kibble</v>
      </c>
      <c r="B6942" s="2" t="str">
        <f ca="1">IFERROR(__xludf.DUMMYFUNCTION("""COMPUTED_VALUE"""),"kibble")</f>
        <v>kibble</v>
      </c>
      <c r="C6942" s="2" t="str">
        <f ca="1">IFERROR(__xludf.DUMMYFUNCTION("""COMPUTED_VALUE"""),"Kibble")</f>
        <v>Kibble</v>
      </c>
    </row>
    <row r="6943" spans="1:3" x14ac:dyDescent="0.25">
      <c r="A6943" s="2" t="str">
        <f ca="1">IFERROR(__xludf.DUMMYFUNCTION("""COMPUTED_VALUE"""),"kibbleswap")</f>
        <v>kibbleswap</v>
      </c>
      <c r="B6943" s="2" t="str">
        <f ca="1">IFERROR(__xludf.DUMMYFUNCTION("""COMPUTED_VALUE"""),"kib")</f>
        <v>kib</v>
      </c>
      <c r="C6943" s="2" t="str">
        <f ca="1">IFERROR(__xludf.DUMMYFUNCTION("""COMPUTED_VALUE"""),"KibbleSwap")</f>
        <v>KibbleSwap</v>
      </c>
    </row>
    <row r="6944" spans="1:3" x14ac:dyDescent="0.25">
      <c r="A6944" s="2" t="str">
        <f ca="1">IFERROR(__xludf.DUMMYFUNCTION("""COMPUTED_VALUE"""),"kibho-coin")</f>
        <v>kibho-coin</v>
      </c>
      <c r="B6944" s="2" t="str">
        <f ca="1">IFERROR(__xludf.DUMMYFUNCTION("""COMPUTED_VALUE"""),"kbc")</f>
        <v>kbc</v>
      </c>
      <c r="C6944" s="2" t="str">
        <f ca="1">IFERROR(__xludf.DUMMYFUNCTION("""COMPUTED_VALUE"""),"Kibho Coin")</f>
        <v>Kibho Coin</v>
      </c>
    </row>
    <row r="6945" spans="1:3" x14ac:dyDescent="0.25">
      <c r="A6945" s="2" t="str">
        <f ca="1">IFERROR(__xludf.DUMMYFUNCTION("""COMPUTED_VALUE"""),"kiboshib")</f>
        <v>kiboshib</v>
      </c>
      <c r="B6945" s="2" t="str">
        <f ca="1">IFERROR(__xludf.DUMMYFUNCTION("""COMPUTED_VALUE"""),"kibshi")</f>
        <v>kibshi</v>
      </c>
      <c r="C6945" s="2" t="str">
        <f ca="1">IFERROR(__xludf.DUMMYFUNCTION("""COMPUTED_VALUE"""),"KiboShib")</f>
        <v>KiboShib</v>
      </c>
    </row>
    <row r="6946" spans="1:3" x14ac:dyDescent="0.25">
      <c r="A6946" s="2" t="str">
        <f ca="1">IFERROR(__xludf.DUMMYFUNCTION("""COMPUTED_VALUE"""),"kick")</f>
        <v>kick</v>
      </c>
      <c r="B6946" s="2" t="str">
        <f ca="1">IFERROR(__xludf.DUMMYFUNCTION("""COMPUTED_VALUE"""),"kick")</f>
        <v>kick</v>
      </c>
      <c r="C6946" s="2" t="str">
        <f ca="1">IFERROR(__xludf.DUMMYFUNCTION("""COMPUTED_VALUE"""),"Kick")</f>
        <v>Kick</v>
      </c>
    </row>
    <row r="6947" spans="1:3" x14ac:dyDescent="0.25">
      <c r="A6947" s="2" t="str">
        <f ca="1">IFERROR(__xludf.DUMMYFUNCTION("""COMPUTED_VALUE"""),"kickpad")</f>
        <v>kickpad</v>
      </c>
      <c r="B6947" s="2" t="str">
        <f ca="1">IFERROR(__xludf.DUMMYFUNCTION("""COMPUTED_VALUE"""),"kpad")</f>
        <v>kpad</v>
      </c>
      <c r="C6947" s="2" t="str">
        <f ca="1">IFERROR(__xludf.DUMMYFUNCTION("""COMPUTED_VALUE"""),"KickPad")</f>
        <v>KickPad</v>
      </c>
    </row>
    <row r="6948" spans="1:3" x14ac:dyDescent="0.25">
      <c r="A6948" s="2" t="str">
        <f ca="1">IFERROR(__xludf.DUMMYFUNCTION("""COMPUTED_VALUE"""),"kiirocoin")</f>
        <v>kiirocoin</v>
      </c>
      <c r="B6948" s="2" t="str">
        <f ca="1">IFERROR(__xludf.DUMMYFUNCTION("""COMPUTED_VALUE"""),"kiiro")</f>
        <v>kiiro</v>
      </c>
      <c r="C6948" s="2" t="str">
        <f ca="1">IFERROR(__xludf.DUMMYFUNCTION("""COMPUTED_VALUE"""),"Kiirocoin")</f>
        <v>Kiirocoin</v>
      </c>
    </row>
    <row r="6949" spans="1:3" x14ac:dyDescent="0.25">
      <c r="A6949" s="2" t="str">
        <f ca="1">IFERROR(__xludf.DUMMYFUNCTION("""COMPUTED_VALUE"""),"kiki-sol")</f>
        <v>kiki-sol</v>
      </c>
      <c r="B6949" s="2" t="str">
        <f ca="1">IFERROR(__xludf.DUMMYFUNCTION("""COMPUTED_VALUE"""),"kiki")</f>
        <v>kiki</v>
      </c>
      <c r="C6949" s="2" t="str">
        <f ca="1">IFERROR(__xludf.DUMMYFUNCTION("""COMPUTED_VALUE"""),"kiki (SOL)")</f>
        <v>kiki (SOL)</v>
      </c>
    </row>
    <row r="6950" spans="1:3" x14ac:dyDescent="0.25">
      <c r="A6950" s="2" t="str">
        <f ca="1">IFERROR(__xludf.DUMMYFUNCTION("""COMPUTED_VALUE"""),"killer-bean")</f>
        <v>killer-bean</v>
      </c>
      <c r="B6950" s="2" t="str">
        <f ca="1">IFERROR(__xludf.DUMMYFUNCTION("""COMPUTED_VALUE"""),"bean")</f>
        <v>bean</v>
      </c>
      <c r="C6950" s="2" t="str">
        <f ca="1">IFERROR(__xludf.DUMMYFUNCTION("""COMPUTED_VALUE"""),"Killer Bean")</f>
        <v>Killer Bean</v>
      </c>
    </row>
    <row r="6951" spans="1:3" x14ac:dyDescent="0.25">
      <c r="A6951" s="2" t="str">
        <f ca="1">IFERROR(__xludf.DUMMYFUNCTION("""COMPUTED_VALUE"""),"kilopi-8ee65670-efa5-4414-b9b4-1a1240415d74")</f>
        <v>kilopi-8ee65670-efa5-4414-b9b4-1a1240415d74</v>
      </c>
      <c r="B6951" s="2" t="str">
        <f ca="1">IFERROR(__xludf.DUMMYFUNCTION("""COMPUTED_VALUE"""),"lop")</f>
        <v>lop</v>
      </c>
      <c r="C6951" s="2" t="str">
        <f ca="1">IFERROR(__xludf.DUMMYFUNCTION("""COMPUTED_VALUE"""),"Kilopi")</f>
        <v>Kilopi</v>
      </c>
    </row>
    <row r="6952" spans="1:3" x14ac:dyDescent="0.25">
      <c r="A6952" s="2" t="str">
        <f ca="1">IFERROR(__xludf.DUMMYFUNCTION("""COMPUTED_VALUE"""),"kilt-protocol")</f>
        <v>kilt-protocol</v>
      </c>
      <c r="B6952" s="2" t="str">
        <f ca="1">IFERROR(__xludf.DUMMYFUNCTION("""COMPUTED_VALUE"""),"kilt")</f>
        <v>kilt</v>
      </c>
      <c r="C6952" s="2" t="str">
        <f ca="1">IFERROR(__xludf.DUMMYFUNCTION("""COMPUTED_VALUE"""),"KILT Protocol")</f>
        <v>KILT Protocol</v>
      </c>
    </row>
    <row r="6953" spans="1:3" x14ac:dyDescent="0.25">
      <c r="A6953" s="2" t="str">
        <f ca="1">IFERROR(__xludf.DUMMYFUNCTION("""COMPUTED_VALUE"""),"kimbo")</f>
        <v>kimbo</v>
      </c>
      <c r="B6953" s="2" t="str">
        <f ca="1">IFERROR(__xludf.DUMMYFUNCTION("""COMPUTED_VALUE"""),"kimbo")</f>
        <v>kimbo</v>
      </c>
      <c r="C6953" s="2" t="str">
        <f ca="1">IFERROR(__xludf.DUMMYFUNCTION("""COMPUTED_VALUE"""),"Kimbo")</f>
        <v>Kimbo</v>
      </c>
    </row>
    <row r="6954" spans="1:3" x14ac:dyDescent="0.25">
      <c r="A6954" s="2" t="str">
        <f ca="1">IFERROR(__xludf.DUMMYFUNCTION("""COMPUTED_VALUE"""),"kimchi")</f>
        <v>kimchi</v>
      </c>
      <c r="B6954" s="2" t="str">
        <f ca="1">IFERROR(__xludf.DUMMYFUNCTION("""COMPUTED_VALUE"""),"kimchi")</f>
        <v>kimchi</v>
      </c>
      <c r="C6954" s="2" t="str">
        <f ca="1">IFERROR(__xludf.DUMMYFUNCTION("""COMPUTED_VALUE"""),"Kimchi")</f>
        <v>Kimchi</v>
      </c>
    </row>
    <row r="6955" spans="1:3" x14ac:dyDescent="0.25">
      <c r="A6955" s="2" t="str">
        <f ca="1">IFERROR(__xludf.DUMMYFUNCTION("""COMPUTED_VALUE"""),"kimchi-finance")</f>
        <v>kimchi-finance</v>
      </c>
      <c r="B6955" s="2" t="str">
        <f ca="1">IFERROR(__xludf.DUMMYFUNCTION("""COMPUTED_VALUE"""),"kimchi")</f>
        <v>kimchi</v>
      </c>
      <c r="C6955" s="2" t="str">
        <f ca="1">IFERROR(__xludf.DUMMYFUNCTION("""COMPUTED_VALUE"""),"KIMCHI.finance")</f>
        <v>KIMCHI.finance</v>
      </c>
    </row>
    <row r="6956" spans="1:3" x14ac:dyDescent="0.25">
      <c r="A6956" s="2" t="str">
        <f ca="1">IFERROR(__xludf.DUMMYFUNCTION("""COMPUTED_VALUE"""),"kim-token")</f>
        <v>kim-token</v>
      </c>
      <c r="B6956" s="2" t="str">
        <f ca="1">IFERROR(__xludf.DUMMYFUNCTION("""COMPUTED_VALUE"""),"kim")</f>
        <v>kim</v>
      </c>
      <c r="C6956" s="2" t="str">
        <f ca="1">IFERROR(__xludf.DUMMYFUNCTION("""COMPUTED_VALUE"""),"KIM Token")</f>
        <v>KIM Token</v>
      </c>
    </row>
    <row r="6957" spans="1:3" x14ac:dyDescent="0.25">
      <c r="A6957" s="2" t="str">
        <f ca="1">IFERROR(__xludf.DUMMYFUNCTION("""COMPUTED_VALUE"""),"kin")</f>
        <v>kin</v>
      </c>
      <c r="B6957" s="2" t="str">
        <f ca="1">IFERROR(__xludf.DUMMYFUNCTION("""COMPUTED_VALUE"""),"kin")</f>
        <v>kin</v>
      </c>
      <c r="C6957" s="2" t="str">
        <f ca="1">IFERROR(__xludf.DUMMYFUNCTION("""COMPUTED_VALUE"""),"Kin")</f>
        <v>Kin</v>
      </c>
    </row>
    <row r="6958" spans="1:3" x14ac:dyDescent="0.25">
      <c r="A6958" s="2" t="str">
        <f ca="1">IFERROR(__xludf.DUMMYFUNCTION("""COMPUTED_VALUE"""),"kind-guardians-of-blockchain-protocol")</f>
        <v>kind-guardians-of-blockchain-protocol</v>
      </c>
      <c r="B6958" s="2" t="str">
        <f ca="1">IFERROR(__xludf.DUMMYFUNCTION("""COMPUTED_VALUE"""),"kgb")</f>
        <v>kgb</v>
      </c>
      <c r="C6958" s="2" t="str">
        <f ca="1">IFERROR(__xludf.DUMMYFUNCTION("""COMPUTED_VALUE"""),"KGB Protocol")</f>
        <v>KGB Protocol</v>
      </c>
    </row>
    <row r="6959" spans="1:3" x14ac:dyDescent="0.25">
      <c r="A6959" s="2" t="str">
        <f ca="1">IFERROR(__xludf.DUMMYFUNCTION("""COMPUTED_VALUE"""),"kindness-for-the-soul-ali")</f>
        <v>kindness-for-the-soul-ali</v>
      </c>
      <c r="B6959" s="2" t="str">
        <f ca="1">IFERROR(__xludf.DUMMYFUNCTION("""COMPUTED_VALUE"""),"ali")</f>
        <v>ali</v>
      </c>
      <c r="C6959" s="2" t="str">
        <f ca="1">IFERROR(__xludf.DUMMYFUNCTION("""COMPUTED_VALUE"""),"Kindness For The Soul ALI")</f>
        <v>Kindness For The Soul ALI</v>
      </c>
    </row>
    <row r="6960" spans="1:3" x14ac:dyDescent="0.25">
      <c r="A6960" s="2" t="str">
        <f ca="1">IFERROR(__xludf.DUMMYFUNCTION("""COMPUTED_VALUE"""),"kindness-for-the-soul-soul")</f>
        <v>kindness-for-the-soul-soul</v>
      </c>
      <c r="B6960" s="2" t="str">
        <f ca="1">IFERROR(__xludf.DUMMYFUNCTION("""COMPUTED_VALUE"""),"soul")</f>
        <v>soul</v>
      </c>
      <c r="C6960" s="2" t="str">
        <f ca="1">IFERROR(__xludf.DUMMYFUNCTION("""COMPUTED_VALUE"""),"Kindness For The Soul SOUL")</f>
        <v>Kindness For The Soul SOUL</v>
      </c>
    </row>
    <row r="6961" spans="1:3" x14ac:dyDescent="0.25">
      <c r="A6961" s="2" t="str">
        <f ca="1">IFERROR(__xludf.DUMMYFUNCTION("""COMPUTED_VALUE"""),"kindred")</f>
        <v>kindred</v>
      </c>
      <c r="B6961" s="2" t="str">
        <f ca="1">IFERROR(__xludf.DUMMYFUNCTION("""COMPUTED_VALUE"""),"knd")</f>
        <v>knd</v>
      </c>
      <c r="C6961" s="2" t="str">
        <f ca="1">IFERROR(__xludf.DUMMYFUNCTION("""COMPUTED_VALUE"""),"Kindred")</f>
        <v>Kindred</v>
      </c>
    </row>
    <row r="6962" spans="1:3" x14ac:dyDescent="0.25">
      <c r="A6962" s="2" t="str">
        <f ca="1">IFERROR(__xludf.DUMMYFUNCTION("""COMPUTED_VALUE"""),"kineko-knk")</f>
        <v>kineko-knk</v>
      </c>
      <c r="B6962" s="2" t="str">
        <f ca="1">IFERROR(__xludf.DUMMYFUNCTION("""COMPUTED_VALUE"""),"knk")</f>
        <v>knk</v>
      </c>
      <c r="C6962" s="2" t="str">
        <f ca="1">IFERROR(__xludf.DUMMYFUNCTION("""COMPUTED_VALUE"""),"Kineko")</f>
        <v>Kineko</v>
      </c>
    </row>
    <row r="6963" spans="1:3" x14ac:dyDescent="0.25">
      <c r="A6963" s="2" t="str">
        <f ca="1">IFERROR(__xludf.DUMMYFUNCTION("""COMPUTED_VALUE"""),"kine-protocol")</f>
        <v>kine-protocol</v>
      </c>
      <c r="B6963" s="2" t="str">
        <f ca="1">IFERROR(__xludf.DUMMYFUNCTION("""COMPUTED_VALUE"""),"kine")</f>
        <v>kine</v>
      </c>
      <c r="C6963" s="2" t="str">
        <f ca="1">IFERROR(__xludf.DUMMYFUNCTION("""COMPUTED_VALUE"""),"Kine Protocol")</f>
        <v>Kine Protocol</v>
      </c>
    </row>
    <row r="6964" spans="1:3" x14ac:dyDescent="0.25">
      <c r="A6964" s="2" t="str">
        <f ca="1">IFERROR(__xludf.DUMMYFUNCTION("""COMPUTED_VALUE"""),"kinesis-gold")</f>
        <v>kinesis-gold</v>
      </c>
      <c r="B6964" s="2" t="str">
        <f ca="1">IFERROR(__xludf.DUMMYFUNCTION("""COMPUTED_VALUE"""),"kau")</f>
        <v>kau</v>
      </c>
      <c r="C6964" s="2" t="str">
        <f ca="1">IFERROR(__xludf.DUMMYFUNCTION("""COMPUTED_VALUE"""),"Kinesis Gold")</f>
        <v>Kinesis Gold</v>
      </c>
    </row>
    <row r="6965" spans="1:3" x14ac:dyDescent="0.25">
      <c r="A6965" s="2" t="str">
        <f ca="1">IFERROR(__xludf.DUMMYFUNCTION("""COMPUTED_VALUE"""),"kinesis-silver")</f>
        <v>kinesis-silver</v>
      </c>
      <c r="B6965" s="2" t="str">
        <f ca="1">IFERROR(__xludf.DUMMYFUNCTION("""COMPUTED_VALUE"""),"kag")</f>
        <v>kag</v>
      </c>
      <c r="C6965" s="2" t="str">
        <f ca="1">IFERROR(__xludf.DUMMYFUNCTION("""COMPUTED_VALUE"""),"Kinesis Silver")</f>
        <v>Kinesis Silver</v>
      </c>
    </row>
    <row r="6966" spans="1:3" x14ac:dyDescent="0.25">
      <c r="A6966" s="2" t="str">
        <f ca="1">IFERROR(__xludf.DUMMYFUNCTION("""COMPUTED_VALUE"""),"kinetixfi")</f>
        <v>kinetixfi</v>
      </c>
      <c r="B6966" s="2" t="str">
        <f ca="1">IFERROR(__xludf.DUMMYFUNCTION("""COMPUTED_VALUE"""),"kai")</f>
        <v>kai</v>
      </c>
      <c r="C6966" s="2" t="str">
        <f ca="1">IFERROR(__xludf.DUMMYFUNCTION("""COMPUTED_VALUE"""),"Kinetix Finance Token")</f>
        <v>Kinetix Finance Token</v>
      </c>
    </row>
    <row r="6967" spans="1:3" x14ac:dyDescent="0.25">
      <c r="A6967" s="2" t="str">
        <f ca="1">IFERROR(__xludf.DUMMYFUNCTION("""COMPUTED_VALUE"""),"king-2")</f>
        <v>king-2</v>
      </c>
      <c r="B6967" s="2" t="str">
        <f ca="1">IFERROR(__xludf.DUMMYFUNCTION("""COMPUTED_VALUE"""),"king")</f>
        <v>king</v>
      </c>
      <c r="C6967" s="2" t="str">
        <f ca="1">IFERROR(__xludf.DUMMYFUNCTION("""COMPUTED_VALUE"""),"KING Coin")</f>
        <v>KING Coin</v>
      </c>
    </row>
    <row r="6968" spans="1:3" x14ac:dyDescent="0.25">
      <c r="A6968" s="2" t="str">
        <f ca="1">IFERROR(__xludf.DUMMYFUNCTION("""COMPUTED_VALUE"""),"king-3")</f>
        <v>king-3</v>
      </c>
      <c r="B6968" s="2" t="str">
        <f ca="1">IFERROR(__xludf.DUMMYFUNCTION("""COMPUTED_VALUE"""),"king")</f>
        <v>king</v>
      </c>
      <c r="C6968" s="2" t="str">
        <f ca="1">IFERROR(__xludf.DUMMYFUNCTION("""COMPUTED_VALUE"""),"KING")</f>
        <v>KING</v>
      </c>
    </row>
    <row r="6969" spans="1:3" x14ac:dyDescent="0.25">
      <c r="A6969" s="2" t="str">
        <f ca="1">IFERROR(__xludf.DUMMYFUNCTION("""COMPUTED_VALUE"""),"kingaru")</f>
        <v>kingaru</v>
      </c>
      <c r="B6969" s="2" t="str">
        <f ca="1">IFERROR(__xludf.DUMMYFUNCTION("""COMPUTED_VALUE"""),"kru")</f>
        <v>kru</v>
      </c>
      <c r="C6969" s="2" t="str">
        <f ca="1">IFERROR(__xludf.DUMMYFUNCTION("""COMPUTED_VALUE"""),"Kingaru")</f>
        <v>Kingaru</v>
      </c>
    </row>
    <row r="6970" spans="1:3" x14ac:dyDescent="0.25">
      <c r="A6970" s="2" t="str">
        <f ca="1">IFERROR(__xludf.DUMMYFUNCTION("""COMPUTED_VALUE"""),"king-bonk")</f>
        <v>king-bonk</v>
      </c>
      <c r="B6970" s="2" t="str">
        <f ca="1">IFERROR(__xludf.DUMMYFUNCTION("""COMPUTED_VALUE"""),"kingbonk")</f>
        <v>kingbonk</v>
      </c>
      <c r="C6970" s="2" t="str">
        <f ca="1">IFERROR(__xludf.DUMMYFUNCTION("""COMPUTED_VALUE"""),"King Bonk")</f>
        <v>King Bonk</v>
      </c>
    </row>
    <row r="6971" spans="1:3" x14ac:dyDescent="0.25">
      <c r="A6971" s="2" t="str">
        <f ca="1">IFERROR(__xludf.DUMMYFUNCTION("""COMPUTED_VALUE"""),"king-cat")</f>
        <v>king-cat</v>
      </c>
      <c r="B6971" s="2" t="str">
        <f ca="1">IFERROR(__xludf.DUMMYFUNCTION("""COMPUTED_VALUE"""),"kingcat")</f>
        <v>kingcat</v>
      </c>
      <c r="C6971" s="2" t="str">
        <f ca="1">IFERROR(__xludf.DUMMYFUNCTION("""COMPUTED_VALUE"""),"King Cat")</f>
        <v>King Cat</v>
      </c>
    </row>
    <row r="6972" spans="1:3" x14ac:dyDescent="0.25">
      <c r="A6972" s="2" t="str">
        <f ca="1">IFERROR(__xludf.DUMMYFUNCTION("""COMPUTED_VALUE"""),"kingdom-game-4-0")</f>
        <v>kingdom-game-4-0</v>
      </c>
      <c r="B6972" s="2" t="str">
        <f ca="1">IFERROR(__xludf.DUMMYFUNCTION("""COMPUTED_VALUE"""),"kdg")</f>
        <v>kdg</v>
      </c>
      <c r="C6972" s="2" t="str">
        <f ca="1">IFERROR(__xludf.DUMMYFUNCTION("""COMPUTED_VALUE"""),"KingdomStarter")</f>
        <v>KingdomStarter</v>
      </c>
    </row>
    <row r="6973" spans="1:3" x14ac:dyDescent="0.25">
      <c r="A6973" s="2" t="str">
        <f ca="1">IFERROR(__xludf.DUMMYFUNCTION("""COMPUTED_VALUE"""),"kingdom-karnage")</f>
        <v>kingdom-karnage</v>
      </c>
      <c r="B6973" s="2" t="str">
        <f ca="1">IFERROR(__xludf.DUMMYFUNCTION("""COMPUTED_VALUE"""),"kkt")</f>
        <v>kkt</v>
      </c>
      <c r="C6973" s="2" t="str">
        <f ca="1">IFERROR(__xludf.DUMMYFUNCTION("""COMPUTED_VALUE"""),"Kingdom Karnage")</f>
        <v>Kingdom Karnage</v>
      </c>
    </row>
    <row r="6974" spans="1:3" x14ac:dyDescent="0.25">
      <c r="A6974" s="2" t="str">
        <f ca="1">IFERROR(__xludf.DUMMYFUNCTION("""COMPUTED_VALUE"""),"kingdom-of-ants-ant-coins")</f>
        <v>kingdom-of-ants-ant-coins</v>
      </c>
      <c r="B6974" s="2" t="str">
        <f ca="1">IFERROR(__xludf.DUMMYFUNCTION("""COMPUTED_VALUE"""),"antc")</f>
        <v>antc</v>
      </c>
      <c r="C6974" s="2" t="str">
        <f ca="1">IFERROR(__xludf.DUMMYFUNCTION("""COMPUTED_VALUE"""),"Kingdom of ANTs ANT Coins")</f>
        <v>Kingdom of ANTs ANT Coins</v>
      </c>
    </row>
    <row r="6975" spans="1:3" x14ac:dyDescent="0.25">
      <c r="A6975" s="2" t="str">
        <f ca="1">IFERROR(__xludf.DUMMYFUNCTION("""COMPUTED_VALUE"""),"kingdomverse")</f>
        <v>kingdomverse</v>
      </c>
      <c r="B6975" s="2" t="str">
        <f ca="1">IFERROR(__xludf.DUMMYFUNCTION("""COMPUTED_VALUE"""),"king")</f>
        <v>king</v>
      </c>
      <c r="C6975" s="2" t="str">
        <f ca="1">IFERROR(__xludf.DUMMYFUNCTION("""COMPUTED_VALUE"""),"Kingdomverse")</f>
        <v>Kingdomverse</v>
      </c>
    </row>
    <row r="6976" spans="1:3" x14ac:dyDescent="0.25">
      <c r="A6976" s="2" t="str">
        <f ca="1">IFERROR(__xludf.DUMMYFUNCTION("""COMPUTED_VALUE"""),"kingdomx")</f>
        <v>kingdomx</v>
      </c>
      <c r="B6976" s="2" t="str">
        <f ca="1">IFERROR(__xludf.DUMMYFUNCTION("""COMPUTED_VALUE"""),"kt")</f>
        <v>kt</v>
      </c>
      <c r="C6976" s="2" t="str">
        <f ca="1">IFERROR(__xludf.DUMMYFUNCTION("""COMPUTED_VALUE"""),"KingdomX")</f>
        <v>KingdomX</v>
      </c>
    </row>
    <row r="6977" spans="1:3" x14ac:dyDescent="0.25">
      <c r="A6977" s="2" t="str">
        <f ca="1">IFERROR(__xludf.DUMMYFUNCTION("""COMPUTED_VALUE"""),"king-forever")</f>
        <v>king-forever</v>
      </c>
      <c r="B6977" s="2" t="str">
        <f ca="1">IFERROR(__xludf.DUMMYFUNCTION("""COMPUTED_VALUE"""),"kfr")</f>
        <v>kfr</v>
      </c>
      <c r="C6977" s="2" t="str">
        <f ca="1">IFERROR(__xludf.DUMMYFUNCTION("""COMPUTED_VALUE"""),"KING FOREVER")</f>
        <v>KING FOREVER</v>
      </c>
    </row>
    <row r="6978" spans="1:3" x14ac:dyDescent="0.25">
      <c r="A6978" s="2" t="str">
        <f ca="1">IFERROR(__xludf.DUMMYFUNCTION("""COMPUTED_VALUE"""),"king-grok")</f>
        <v>king-grok</v>
      </c>
      <c r="B6978" s="2" t="str">
        <f ca="1">IFERROR(__xludf.DUMMYFUNCTION("""COMPUTED_VALUE"""),"kinggrok")</f>
        <v>kinggrok</v>
      </c>
      <c r="C6978" s="2" t="str">
        <f ca="1">IFERROR(__xludf.DUMMYFUNCTION("""COMPUTED_VALUE"""),"King Grok")</f>
        <v>King Grok</v>
      </c>
    </row>
    <row r="6979" spans="1:3" x14ac:dyDescent="0.25">
      <c r="A6979" s="2" t="str">
        <f ca="1">IFERROR(__xludf.DUMMYFUNCTION("""COMPUTED_VALUE"""),"king-of-evolution")</f>
        <v>king-of-evolution</v>
      </c>
      <c r="B6979" s="2" t="str">
        <f ca="1">IFERROR(__xludf.DUMMYFUNCTION("""COMPUTED_VALUE"""),"koe")</f>
        <v>koe</v>
      </c>
      <c r="C6979" s="2" t="str">
        <f ca="1">IFERROR(__xludf.DUMMYFUNCTION("""COMPUTED_VALUE"""),"King of Evolution")</f>
        <v>King of Evolution</v>
      </c>
    </row>
    <row r="6980" spans="1:3" x14ac:dyDescent="0.25">
      <c r="A6980" s="2" t="str">
        <f ca="1">IFERROR(__xludf.DUMMYFUNCTION("""COMPUTED_VALUE"""),"king-of-legends-2")</f>
        <v>king-of-legends-2</v>
      </c>
      <c r="B6980" s="2" t="str">
        <f ca="1">IFERROR(__xludf.DUMMYFUNCTION("""COMPUTED_VALUE"""),"kol")</f>
        <v>kol</v>
      </c>
      <c r="C6980" s="2" t="str">
        <f ca="1">IFERROR(__xludf.DUMMYFUNCTION("""COMPUTED_VALUE"""),"King of Legends")</f>
        <v>King of Legends</v>
      </c>
    </row>
    <row r="6981" spans="1:3" x14ac:dyDescent="0.25">
      <c r="A6981" s="2" t="str">
        <f ca="1">IFERROR(__xludf.DUMMYFUNCTION("""COMPUTED_VALUE"""),"king-of-meme")</f>
        <v>king-of-meme</v>
      </c>
      <c r="B6981" s="2" t="str">
        <f ca="1">IFERROR(__xludf.DUMMYFUNCTION("""COMPUTED_VALUE"""),"lion")</f>
        <v>lion</v>
      </c>
      <c r="C6981" s="2" t="str">
        <f ca="1">IFERROR(__xludf.DUMMYFUNCTION("""COMPUTED_VALUE"""),"King Of Meme")</f>
        <v>King Of Meme</v>
      </c>
    </row>
    <row r="6982" spans="1:3" x14ac:dyDescent="0.25">
      <c r="A6982" s="2" t="str">
        <f ca="1">IFERROR(__xludf.DUMMYFUNCTION("""COMPUTED_VALUE"""),"king-of-memes")</f>
        <v>king-of-memes</v>
      </c>
      <c r="B6982" s="2" t="str">
        <f ca="1">IFERROR(__xludf.DUMMYFUNCTION("""COMPUTED_VALUE"""),"king")</f>
        <v>king</v>
      </c>
      <c r="C6982" s="2" t="str">
        <f ca="1">IFERROR(__xludf.DUMMYFUNCTION("""COMPUTED_VALUE"""),"King Of Memes")</f>
        <v>King Of Memes</v>
      </c>
    </row>
    <row r="6983" spans="1:3" x14ac:dyDescent="0.25">
      <c r="A6983" s="2" t="str">
        <f ca="1">IFERROR(__xludf.DUMMYFUNCTION("""COMPUTED_VALUE"""),"king-shiba")</f>
        <v>king-shiba</v>
      </c>
      <c r="B6983" s="2" t="str">
        <f ca="1">IFERROR(__xludf.DUMMYFUNCTION("""COMPUTED_VALUE"""),"kingshib")</f>
        <v>kingshib</v>
      </c>
      <c r="C6983" s="2" t="str">
        <f ca="1">IFERROR(__xludf.DUMMYFUNCTION("""COMPUTED_VALUE"""),"King Shiba")</f>
        <v>King Shiba</v>
      </c>
    </row>
    <row r="6984" spans="1:3" x14ac:dyDescent="0.25">
      <c r="A6984" s="2" t="str">
        <f ca="1">IFERROR(__xludf.DUMMYFUNCTION("""COMPUTED_VALUE"""),"kingshit")</f>
        <v>kingshit</v>
      </c>
      <c r="B6984" s="2" t="str">
        <f ca="1">IFERROR(__xludf.DUMMYFUNCTION("""COMPUTED_VALUE"""),"kingshit")</f>
        <v>kingshit</v>
      </c>
      <c r="C6984" s="2" t="str">
        <f ca="1">IFERROR(__xludf.DUMMYFUNCTION("""COMPUTED_VALUE"""),"Kingshit")</f>
        <v>Kingshit</v>
      </c>
    </row>
    <row r="6985" spans="1:3" x14ac:dyDescent="0.25">
      <c r="A6985" s="2" t="str">
        <f ca="1">IFERROR(__xludf.DUMMYFUNCTION("""COMPUTED_VALUE"""),"king-sugar-glider")</f>
        <v>king-sugar-glider</v>
      </c>
      <c r="B6985" s="2" t="str">
        <f ca="1">IFERROR(__xludf.DUMMYFUNCTION("""COMPUTED_VALUE"""),"ksg")</f>
        <v>ksg</v>
      </c>
      <c r="C6985" s="2" t="str">
        <f ca="1">IFERROR(__xludf.DUMMYFUNCTION("""COMPUTED_VALUE"""),"King Sugar Glider")</f>
        <v>King Sugar Glider</v>
      </c>
    </row>
    <row r="6986" spans="1:3" x14ac:dyDescent="0.25">
      <c r="A6986" s="2" t="str">
        <f ca="1">IFERROR(__xludf.DUMMYFUNCTION("""COMPUTED_VALUE"""),"king-wif")</f>
        <v>king-wif</v>
      </c>
      <c r="B6986" s="2" t="str">
        <f ca="1">IFERROR(__xludf.DUMMYFUNCTION("""COMPUTED_VALUE"""),"kingwif")</f>
        <v>kingwif</v>
      </c>
      <c r="C6986" s="2" t="str">
        <f ca="1">IFERROR(__xludf.DUMMYFUNCTION("""COMPUTED_VALUE"""),"King WIF")</f>
        <v>King WIF</v>
      </c>
    </row>
    <row r="6987" spans="1:3" x14ac:dyDescent="0.25">
      <c r="A6987" s="2" t="str">
        <f ca="1">IFERROR(__xludf.DUMMYFUNCTION("""COMPUTED_VALUE"""),"kingyton")</f>
        <v>kingyton</v>
      </c>
      <c r="B6987" s="2" t="str">
        <f ca="1">IFERROR(__xludf.DUMMYFUNCTION("""COMPUTED_VALUE"""),"kingy")</f>
        <v>kingy</v>
      </c>
      <c r="C6987" s="2" t="str">
        <f ca="1">IFERROR(__xludf.DUMMYFUNCTION("""COMPUTED_VALUE"""),"KingyTON")</f>
        <v>KingyTON</v>
      </c>
    </row>
    <row r="6988" spans="1:3" x14ac:dyDescent="0.25">
      <c r="A6988" s="2" t="str">
        <f ca="1">IFERROR(__xludf.DUMMYFUNCTION("""COMPUTED_VALUE"""),"kini")</f>
        <v>kini</v>
      </c>
      <c r="B6988" s="2" t="str">
        <f ca="1">IFERROR(__xludf.DUMMYFUNCTION("""COMPUTED_VALUE"""),"kini")</f>
        <v>kini</v>
      </c>
      <c r="C6988" s="2" t="str">
        <f ca="1">IFERROR(__xludf.DUMMYFUNCTION("""COMPUTED_VALUE"""),"Kini")</f>
        <v>Kini</v>
      </c>
    </row>
    <row r="6989" spans="1:3" x14ac:dyDescent="0.25">
      <c r="A6989" s="2" t="str">
        <f ca="1">IFERROR(__xludf.DUMMYFUNCTION("""COMPUTED_VALUE"""),"kinka")</f>
        <v>kinka</v>
      </c>
      <c r="B6989" s="2" t="str">
        <f ca="1">IFERROR(__xludf.DUMMYFUNCTION("""COMPUTED_VALUE"""),"xnk")</f>
        <v>xnk</v>
      </c>
      <c r="C6989" s="2" t="str">
        <f ca="1">IFERROR(__xludf.DUMMYFUNCTION("""COMPUTED_VALUE"""),"Kinka")</f>
        <v>Kinka</v>
      </c>
    </row>
    <row r="6990" spans="1:3" x14ac:dyDescent="0.25">
      <c r="A6990" s="2" t="str">
        <f ca="1">IFERROR(__xludf.DUMMYFUNCTION("""COMPUTED_VALUE"""),"kintsugi")</f>
        <v>kintsugi</v>
      </c>
      <c r="B6990" s="2" t="str">
        <f ca="1">IFERROR(__xludf.DUMMYFUNCTION("""COMPUTED_VALUE"""),"kint")</f>
        <v>kint</v>
      </c>
      <c r="C6990" s="2" t="str">
        <f ca="1">IFERROR(__xludf.DUMMYFUNCTION("""COMPUTED_VALUE"""),"Kintsugi")</f>
        <v>Kintsugi</v>
      </c>
    </row>
    <row r="6991" spans="1:3" x14ac:dyDescent="0.25">
      <c r="A6991" s="2" t="str">
        <f ca="1">IFERROR(__xludf.DUMMYFUNCTION("""COMPUTED_VALUE"""),"kintsugi-btc")</f>
        <v>kintsugi-btc</v>
      </c>
      <c r="B6991" s="2" t="str">
        <f ca="1">IFERROR(__xludf.DUMMYFUNCTION("""COMPUTED_VALUE"""),"kbtc")</f>
        <v>kbtc</v>
      </c>
      <c r="C6991" s="2" t="str">
        <f ca="1">IFERROR(__xludf.DUMMYFUNCTION("""COMPUTED_VALUE"""),"Kintsugi BTC")</f>
        <v>Kintsugi BTC</v>
      </c>
    </row>
    <row r="6992" spans="1:3" x14ac:dyDescent="0.25">
      <c r="A6992" s="2" t="str">
        <f ca="1">IFERROR(__xludf.DUMMYFUNCTION("""COMPUTED_VALUE"""),"kira")</f>
        <v>kira</v>
      </c>
      <c r="B6992" s="2" t="str">
        <f ca="1">IFERROR(__xludf.DUMMYFUNCTION("""COMPUTED_VALUE"""),"kira")</f>
        <v>kira</v>
      </c>
      <c r="C6992" s="2" t="str">
        <f ca="1">IFERROR(__xludf.DUMMYFUNCTION("""COMPUTED_VALUE"""),"KIRA")</f>
        <v>KIRA</v>
      </c>
    </row>
    <row r="6993" spans="1:3" x14ac:dyDescent="0.25">
      <c r="A6993" s="2" t="str">
        <f ca="1">IFERROR(__xludf.DUMMYFUNCTION("""COMPUTED_VALUE"""),"kira-2")</f>
        <v>kira-2</v>
      </c>
      <c r="B6993" s="2" t="str">
        <f ca="1">IFERROR(__xludf.DUMMYFUNCTION("""COMPUTED_VALUE"""),"kira")</f>
        <v>kira</v>
      </c>
      <c r="C6993" s="2" t="str">
        <f ca="1">IFERROR(__xludf.DUMMYFUNCTION("""COMPUTED_VALUE"""),"KIRA")</f>
        <v>KIRA</v>
      </c>
    </row>
    <row r="6994" spans="1:3" x14ac:dyDescent="0.25">
      <c r="A6994" s="2" t="str">
        <f ca="1">IFERROR(__xludf.DUMMYFUNCTION("""COMPUTED_VALUE"""),"kira-network")</f>
        <v>kira-network</v>
      </c>
      <c r="B6994" s="2" t="str">
        <f ca="1">IFERROR(__xludf.DUMMYFUNCTION("""COMPUTED_VALUE"""),"kex")</f>
        <v>kex</v>
      </c>
      <c r="C6994" s="2" t="str">
        <f ca="1">IFERROR(__xludf.DUMMYFUNCTION("""COMPUTED_VALUE"""),"KIRA Network")</f>
        <v>KIRA Network</v>
      </c>
    </row>
    <row r="6995" spans="1:3" x14ac:dyDescent="0.25">
      <c r="A6995" s="2" t="str">
        <f ca="1">IFERROR(__xludf.DUMMYFUNCTION("""COMPUTED_VALUE"""),"kira-the-injective-cat")</f>
        <v>kira-the-injective-cat</v>
      </c>
      <c r="B6995" s="2" t="str">
        <f ca="1">IFERROR(__xludf.DUMMYFUNCTION("""COMPUTED_VALUE"""),"kira")</f>
        <v>kira</v>
      </c>
      <c r="C6995" s="2" t="str">
        <f ca="1">IFERROR(__xludf.DUMMYFUNCTION("""COMPUTED_VALUE"""),"Kira the Injective Cat")</f>
        <v>Kira the Injective Cat</v>
      </c>
    </row>
    <row r="6996" spans="1:3" x14ac:dyDescent="0.25">
      <c r="A6996" s="2" t="str">
        <f ca="1">IFERROR(__xludf.DUMMYFUNCTION("""COMPUTED_VALUE"""),"kirobo")</f>
        <v>kirobo</v>
      </c>
      <c r="B6996" s="2" t="str">
        <f ca="1">IFERROR(__xludf.DUMMYFUNCTION("""COMPUTED_VALUE"""),"kiro")</f>
        <v>kiro</v>
      </c>
      <c r="C6996" s="2" t="str">
        <f ca="1">IFERROR(__xludf.DUMMYFUNCTION("""COMPUTED_VALUE"""),"KIRO")</f>
        <v>KIRO</v>
      </c>
    </row>
    <row r="6997" spans="1:3" x14ac:dyDescent="0.25">
      <c r="A6997" s="2" t="str">
        <f ca="1">IFERROR(__xludf.DUMMYFUNCTION("""COMPUTED_VALUE"""),"kiseki")</f>
        <v>kiseki</v>
      </c>
      <c r="B6997" s="2" t="str">
        <f ca="1">IFERROR(__xludf.DUMMYFUNCTION("""COMPUTED_VALUE"""),"kitup")</f>
        <v>kitup</v>
      </c>
      <c r="C6997" s="2" t="str">
        <f ca="1">IFERROR(__xludf.DUMMYFUNCTION("""COMPUTED_VALUE"""),"Kiseki")</f>
        <v>Kiseki</v>
      </c>
    </row>
    <row r="6998" spans="1:3" x14ac:dyDescent="0.25">
      <c r="A6998" s="2" t="str">
        <f ca="1">IFERROR(__xludf.DUMMYFUNCTION("""COMPUTED_VALUE"""),"kishu-inu")</f>
        <v>kishu-inu</v>
      </c>
      <c r="B6998" s="2" t="str">
        <f ca="1">IFERROR(__xludf.DUMMYFUNCTION("""COMPUTED_VALUE"""),"kishu")</f>
        <v>kishu</v>
      </c>
      <c r="C6998" s="2" t="str">
        <f ca="1">IFERROR(__xludf.DUMMYFUNCTION("""COMPUTED_VALUE"""),"Kishu Inu")</f>
        <v>Kishu Inu</v>
      </c>
    </row>
    <row r="6999" spans="1:3" x14ac:dyDescent="0.25">
      <c r="A6999" s="2" t="str">
        <f ca="1">IFERROR(__xludf.DUMMYFUNCTION("""COMPUTED_VALUE"""),"kishu-ken")</f>
        <v>kishu-ken</v>
      </c>
      <c r="B6999" s="2" t="str">
        <f ca="1">IFERROR(__xludf.DUMMYFUNCTION("""COMPUTED_VALUE"""),"kishk")</f>
        <v>kishk</v>
      </c>
      <c r="C6999" s="2" t="str">
        <f ca="1">IFERROR(__xludf.DUMMYFUNCTION("""COMPUTED_VALUE"""),"Kishu Ken")</f>
        <v>Kishu Ken</v>
      </c>
    </row>
    <row r="7000" spans="1:3" x14ac:dyDescent="0.25">
      <c r="A7000" s="2" t="str">
        <f ca="1">IFERROR(__xludf.DUMMYFUNCTION("""COMPUTED_VALUE"""),"kissan")</f>
        <v>kissan</v>
      </c>
      <c r="B7000" s="2" t="str">
        <f ca="1">IFERROR(__xludf.DUMMYFUNCTION("""COMPUTED_VALUE"""),"ksn")</f>
        <v>ksn</v>
      </c>
      <c r="C7000" s="2" t="str">
        <f ca="1">IFERROR(__xludf.DUMMYFUNCTION("""COMPUTED_VALUE"""),"Kissan")</f>
        <v>Kissan</v>
      </c>
    </row>
    <row r="7001" spans="1:3" x14ac:dyDescent="0.25">
      <c r="A7001" s="2" t="str">
        <f ca="1">IFERROR(__xludf.DUMMYFUNCTION("""COMPUTED_VALUE"""),"kite")</f>
        <v>kite</v>
      </c>
      <c r="B7001" s="2" t="str">
        <f ca="1">IFERROR(__xludf.DUMMYFUNCTION("""COMPUTED_VALUE"""),"kite")</f>
        <v>kite</v>
      </c>
      <c r="C7001" s="2" t="str">
        <f ca="1">IFERROR(__xludf.DUMMYFUNCTION("""COMPUTED_VALUE"""),"Kite")</f>
        <v>Kite</v>
      </c>
    </row>
    <row r="7002" spans="1:3" x14ac:dyDescent="0.25">
      <c r="A7002" s="2" t="str">
        <f ca="1">IFERROR(__xludf.DUMMYFUNCTION("""COMPUTED_VALUE"""),"kiteai")</f>
        <v>kiteai</v>
      </c>
      <c r="B7002" s="2" t="str">
        <f ca="1">IFERROR(__xludf.DUMMYFUNCTION("""COMPUTED_VALUE"""),"kiteai")</f>
        <v>kiteai</v>
      </c>
      <c r="C7002" s="2" t="str">
        <f ca="1">IFERROR(__xludf.DUMMYFUNCTION("""COMPUTED_VALUE"""),"KITEAI")</f>
        <v>KITEAI</v>
      </c>
    </row>
    <row r="7003" spans="1:3" x14ac:dyDescent="0.25">
      <c r="A7003" s="2" t="str">
        <f ca="1">IFERROR(__xludf.DUMMYFUNCTION("""COMPUTED_VALUE"""),"kith-gil")</f>
        <v>kith-gil</v>
      </c>
      <c r="B7003" s="2" t="str">
        <f ca="1">IFERROR(__xludf.DUMMYFUNCTION("""COMPUTED_VALUE"""),"gil")</f>
        <v>gil</v>
      </c>
      <c r="C7003" s="2" t="str">
        <f ca="1">IFERROR(__xludf.DUMMYFUNCTION("""COMPUTED_VALUE"""),"Kith Gil")</f>
        <v>Kith Gil</v>
      </c>
    </row>
    <row r="7004" spans="1:3" x14ac:dyDescent="0.25">
      <c r="A7004" s="2" t="str">
        <f ca="1">IFERROR(__xludf.DUMMYFUNCTION("""COMPUTED_VALUE"""),"kitsumon")</f>
        <v>kitsumon</v>
      </c>
      <c r="B7004" s="2" t="str">
        <f ca="1">IFERROR(__xludf.DUMMYFUNCTION("""COMPUTED_VALUE"""),"$kmc")</f>
        <v>$kmc</v>
      </c>
      <c r="C7004" s="2" t="str">
        <f ca="1">IFERROR(__xludf.DUMMYFUNCTION("""COMPUTED_VALUE"""),"Kitsumon")</f>
        <v>Kitsumon</v>
      </c>
    </row>
    <row r="7005" spans="1:3" x14ac:dyDescent="0.25">
      <c r="A7005" s="2" t="str">
        <f ca="1">IFERROR(__xludf.DUMMYFUNCTION("""COMPUTED_VALUE"""),"kitsune")</f>
        <v>kitsune</v>
      </c>
      <c r="B7005" s="2" t="str">
        <f ca="1">IFERROR(__xludf.DUMMYFUNCTION("""COMPUTED_VALUE"""),"kit")</f>
        <v>kit</v>
      </c>
      <c r="C7005" s="2" t="str">
        <f ca="1">IFERROR(__xludf.DUMMYFUNCTION("""COMPUTED_VALUE"""),"Kitsune")</f>
        <v>Kitsune</v>
      </c>
    </row>
    <row r="7006" spans="1:3" x14ac:dyDescent="0.25">
      <c r="A7006" s="2" t="str">
        <f ca="1">IFERROR(__xludf.DUMMYFUNCTION("""COMPUTED_VALUE"""),"kittekoin")</f>
        <v>kittekoin</v>
      </c>
      <c r="B7006" s="2" t="str">
        <f ca="1">IFERROR(__xludf.DUMMYFUNCTION("""COMPUTED_VALUE"""),"koin")</f>
        <v>koin</v>
      </c>
      <c r="C7006" s="2" t="str">
        <f ca="1">IFERROR(__xludf.DUMMYFUNCTION("""COMPUTED_VALUE"""),"Kittekoin")</f>
        <v>Kittekoin</v>
      </c>
    </row>
    <row r="7007" spans="1:3" x14ac:dyDescent="0.25">
      <c r="A7007" s="2" t="str">
        <f ca="1">IFERROR(__xludf.DUMMYFUNCTION("""COMPUTED_VALUE"""),"kittenfinance")</f>
        <v>kittenfinance</v>
      </c>
      <c r="B7007" s="2" t="str">
        <f ca="1">IFERROR(__xludf.DUMMYFUNCTION("""COMPUTED_VALUE"""),"kif")</f>
        <v>kif</v>
      </c>
      <c r="C7007" s="2" t="str">
        <f ca="1">IFERROR(__xludf.DUMMYFUNCTION("""COMPUTED_VALUE"""),"KittenFinance")</f>
        <v>KittenFinance</v>
      </c>
    </row>
    <row r="7008" spans="1:3" x14ac:dyDescent="0.25">
      <c r="A7008" s="2" t="str">
        <f ca="1">IFERROR(__xludf.DUMMYFUNCTION("""COMPUTED_VALUE"""),"kitten-haimer")</f>
        <v>kitten-haimer</v>
      </c>
      <c r="B7008" s="2" t="str">
        <f ca="1">IFERROR(__xludf.DUMMYFUNCTION("""COMPUTED_VALUE"""),"khai")</f>
        <v>khai</v>
      </c>
      <c r="C7008" s="2" t="str">
        <f ca="1">IFERROR(__xludf.DUMMYFUNCTION("""COMPUTED_VALUE"""),"Kitten Haimer")</f>
        <v>Kitten Haimer</v>
      </c>
    </row>
    <row r="7009" spans="1:3" x14ac:dyDescent="0.25">
      <c r="A7009" s="2" t="str">
        <f ca="1">IFERROR(__xludf.DUMMYFUNCTION("""COMPUTED_VALUE"""),"kittenwifhat")</f>
        <v>kittenwifhat</v>
      </c>
      <c r="B7009" s="2" t="str">
        <f ca="1">IFERROR(__xludf.DUMMYFUNCTION("""COMPUTED_VALUE"""),"kittenwif")</f>
        <v>kittenwif</v>
      </c>
      <c r="C7009" s="2" t="str">
        <f ca="1">IFERROR(__xludf.DUMMYFUNCTION("""COMPUTED_VALUE"""),"KittenWifHat")</f>
        <v>KittenWifHat</v>
      </c>
    </row>
    <row r="7010" spans="1:3" x14ac:dyDescent="0.25">
      <c r="A7010" s="2" t="str">
        <f ca="1">IFERROR(__xludf.DUMMYFUNCTION("""COMPUTED_VALUE"""),"kitti")</f>
        <v>kitti</v>
      </c>
      <c r="B7010" s="2" t="str">
        <f ca="1">IFERROR(__xludf.DUMMYFUNCTION("""COMPUTED_VALUE"""),"kitti")</f>
        <v>kitti</v>
      </c>
      <c r="C7010" s="2" t="str">
        <f ca="1">IFERROR(__xludf.DUMMYFUNCTION("""COMPUTED_VALUE"""),"KITTI")</f>
        <v>KITTI</v>
      </c>
    </row>
    <row r="7011" spans="1:3" x14ac:dyDescent="0.25">
      <c r="A7011" s="2" t="str">
        <f ca="1">IFERROR(__xludf.DUMMYFUNCTION("""COMPUTED_VALUE"""),"kitty-ai")</f>
        <v>kitty-ai</v>
      </c>
      <c r="B7011" s="2" t="str">
        <f ca="1">IFERROR(__xludf.DUMMYFUNCTION("""COMPUTED_VALUE"""),"kitty")</f>
        <v>kitty</v>
      </c>
      <c r="C7011" s="2" t="str">
        <f ca="1">IFERROR(__xludf.DUMMYFUNCTION("""COMPUTED_VALUE"""),"Kitty AI")</f>
        <v>Kitty AI</v>
      </c>
    </row>
    <row r="7012" spans="1:3" x14ac:dyDescent="0.25">
      <c r="A7012" s="2" t="str">
        <f ca="1">IFERROR(__xludf.DUMMYFUNCTION("""COMPUTED_VALUE"""),"kittycake")</f>
        <v>kittycake</v>
      </c>
      <c r="B7012" s="2" t="str">
        <f ca="1">IFERROR(__xludf.DUMMYFUNCTION("""COMPUTED_VALUE"""),"kcake")</f>
        <v>kcake</v>
      </c>
      <c r="C7012" s="2" t="str">
        <f ca="1">IFERROR(__xludf.DUMMYFUNCTION("""COMPUTED_VALUE"""),"KittyCake")</f>
        <v>KittyCake</v>
      </c>
    </row>
    <row r="7013" spans="1:3" x14ac:dyDescent="0.25">
      <c r="A7013" s="2" t="str">
        <f ca="1">IFERROR(__xludf.DUMMYFUNCTION("""COMPUTED_VALUE"""),"kitty-coin-solana")</f>
        <v>kitty-coin-solana</v>
      </c>
      <c r="B7013" s="2" t="str">
        <f ca="1">IFERROR(__xludf.DUMMYFUNCTION("""COMPUTED_VALUE"""),"kitty")</f>
        <v>kitty</v>
      </c>
      <c r="C7013" s="2" t="str">
        <f ca="1">IFERROR(__xludf.DUMMYFUNCTION("""COMPUTED_VALUE"""),"Kitty Coin Solana")</f>
        <v>Kitty Coin Solana</v>
      </c>
    </row>
    <row r="7014" spans="1:3" x14ac:dyDescent="0.25">
      <c r="A7014" s="2" t="str">
        <f ca="1">IFERROR(__xludf.DUMMYFUNCTION("""COMPUTED_VALUE"""),"kitty-inu")</f>
        <v>kitty-inu</v>
      </c>
      <c r="B7014" s="2" t="str">
        <f ca="1">IFERROR(__xludf.DUMMYFUNCTION("""COMPUTED_VALUE"""),"kitty")</f>
        <v>kitty</v>
      </c>
      <c r="C7014" s="2" t="str">
        <f ca="1">IFERROR(__xludf.DUMMYFUNCTION("""COMPUTED_VALUE"""),"Kitty Inu")</f>
        <v>Kitty Inu</v>
      </c>
    </row>
    <row r="7015" spans="1:3" x14ac:dyDescent="0.25">
      <c r="A7015" s="2" t="str">
        <f ca="1">IFERROR(__xludf.DUMMYFUNCTION("""COMPUTED_VALUE"""),"kitty-on-opnet")</f>
        <v>kitty-on-opnet</v>
      </c>
      <c r="B7015" s="2" t="str">
        <f ca="1">IFERROR(__xludf.DUMMYFUNCTION("""COMPUTED_VALUE"""),"kitty")</f>
        <v>kitty</v>
      </c>
      <c r="C7015" s="2" t="str">
        <f ca="1">IFERROR(__xludf.DUMMYFUNCTION("""COMPUTED_VALUE"""),"KITTY•ON•OPNET")</f>
        <v>KITTY•ON•OPNET</v>
      </c>
    </row>
    <row r="7016" spans="1:3" x14ac:dyDescent="0.25">
      <c r="A7016" s="2" t="str">
        <f ca="1">IFERROR(__xludf.DUMMYFUNCTION("""COMPUTED_VALUE"""),"kitty-run")</f>
        <v>kitty-run</v>
      </c>
      <c r="B7016" s="2" t="str">
        <f ca="1">IFERROR(__xludf.DUMMYFUNCTION("""COMPUTED_VALUE"""),"ktr")</f>
        <v>ktr</v>
      </c>
      <c r="C7016" s="2" t="str">
        <f ca="1">IFERROR(__xludf.DUMMYFUNCTION("""COMPUTED_VALUE"""),"Kitty Run")</f>
        <v>Kitty Run</v>
      </c>
    </row>
    <row r="7017" spans="1:3" x14ac:dyDescent="0.25">
      <c r="A7017" s="2" t="str">
        <f ca="1">IFERROR(__xludf.DUMMYFUNCTION("""COMPUTED_VALUE"""),"kittywifhat")</f>
        <v>kittywifhat</v>
      </c>
      <c r="B7017" s="2" t="str">
        <f ca="1">IFERROR(__xludf.DUMMYFUNCTION("""COMPUTED_VALUE"""),"kwh")</f>
        <v>kwh</v>
      </c>
      <c r="C7017" s="2" t="str">
        <f ca="1">IFERROR(__xludf.DUMMYFUNCTION("""COMPUTED_VALUE"""),"Kittywifhat")</f>
        <v>Kittywifhat</v>
      </c>
    </row>
    <row r="7018" spans="1:3" x14ac:dyDescent="0.25">
      <c r="A7018" s="2" t="str">
        <f ca="1">IFERROR(__xludf.DUMMYFUNCTION("""COMPUTED_VALUE"""),"kiverse-token")</f>
        <v>kiverse-token</v>
      </c>
      <c r="B7018" s="2" t="str">
        <f ca="1">IFERROR(__xludf.DUMMYFUNCTION("""COMPUTED_VALUE"""),"kivr")</f>
        <v>kivr</v>
      </c>
      <c r="C7018" s="2" t="str">
        <f ca="1">IFERROR(__xludf.DUMMYFUNCTION("""COMPUTED_VALUE"""),"Kiverse Token")</f>
        <v>Kiverse Token</v>
      </c>
    </row>
    <row r="7019" spans="1:3" x14ac:dyDescent="0.25">
      <c r="A7019" s="2" t="str">
        <f ca="1">IFERROR(__xludf.DUMMYFUNCTION("""COMPUTED_VALUE"""),"kiwi-meme")</f>
        <v>kiwi-meme</v>
      </c>
      <c r="B7019" s="2" t="str">
        <f ca="1">IFERROR(__xludf.DUMMYFUNCTION("""COMPUTED_VALUE"""),"kiwi")</f>
        <v>kiwi</v>
      </c>
      <c r="C7019" s="2" t="str">
        <f ca="1">IFERROR(__xludf.DUMMYFUNCTION("""COMPUTED_VALUE"""),"Kiwi")</f>
        <v>Kiwi</v>
      </c>
    </row>
    <row r="7020" spans="1:3" x14ac:dyDescent="0.25">
      <c r="A7020" s="2" t="str">
        <f ca="1">IFERROR(__xludf.DUMMYFUNCTION("""COMPUTED_VALUE"""),"kiwi-token-2")</f>
        <v>kiwi-token-2</v>
      </c>
      <c r="B7020" s="2" t="str">
        <f ca="1">IFERROR(__xludf.DUMMYFUNCTION("""COMPUTED_VALUE"""),"kiwi")</f>
        <v>kiwi</v>
      </c>
      <c r="C7020" s="2" t="str">
        <f ca="1">IFERROR(__xludf.DUMMYFUNCTION("""COMPUTED_VALUE"""),"KIWI Token")</f>
        <v>KIWI Token</v>
      </c>
    </row>
    <row r="7021" spans="1:3" x14ac:dyDescent="0.25">
      <c r="A7021" s="2" t="str">
        <f ca="1">IFERROR(__xludf.DUMMYFUNCTION("""COMPUTED_VALUE"""),"kizuna")</f>
        <v>kizuna</v>
      </c>
      <c r="B7021" s="2" t="str">
        <f ca="1">IFERROR(__xludf.DUMMYFUNCTION("""COMPUTED_VALUE"""),"kizuna")</f>
        <v>kizuna</v>
      </c>
      <c r="C7021" s="2" t="str">
        <f ca="1">IFERROR(__xludf.DUMMYFUNCTION("""COMPUTED_VALUE"""),"Kizuna")</f>
        <v>Kizuna</v>
      </c>
    </row>
    <row r="7022" spans="1:3" x14ac:dyDescent="0.25">
      <c r="A7022" s="2" t="str">
        <f ca="1">IFERROR(__xludf.DUMMYFUNCTION("""COMPUTED_VALUE"""),"klap-finance")</f>
        <v>klap-finance</v>
      </c>
      <c r="B7022" s="2" t="str">
        <f ca="1">IFERROR(__xludf.DUMMYFUNCTION("""COMPUTED_VALUE"""),"klap")</f>
        <v>klap</v>
      </c>
      <c r="C7022" s="2" t="str">
        <f ca="1">IFERROR(__xludf.DUMMYFUNCTION("""COMPUTED_VALUE"""),"Klap Finance")</f>
        <v>Klap Finance</v>
      </c>
    </row>
    <row r="7023" spans="1:3" x14ac:dyDescent="0.25">
      <c r="A7023" s="2" t="str">
        <f ca="1">IFERROR(__xludf.DUMMYFUNCTION("""COMPUTED_VALUE"""),"klaycity-orb")</f>
        <v>klaycity-orb</v>
      </c>
      <c r="B7023" s="2" t="str">
        <f ca="1">IFERROR(__xludf.DUMMYFUNCTION("""COMPUTED_VALUE"""),"orb")</f>
        <v>orb</v>
      </c>
      <c r="C7023" s="2" t="str">
        <f ca="1">IFERROR(__xludf.DUMMYFUNCTION("""COMPUTED_VALUE"""),"Orbcity")</f>
        <v>Orbcity</v>
      </c>
    </row>
    <row r="7024" spans="1:3" x14ac:dyDescent="0.25">
      <c r="A7024" s="2" t="str">
        <f ca="1">IFERROR(__xludf.DUMMYFUNCTION("""COMPUTED_VALUE"""),"klaydice")</f>
        <v>klaydice</v>
      </c>
      <c r="B7024" s="2" t="str">
        <f ca="1">IFERROR(__xludf.DUMMYFUNCTION("""COMPUTED_VALUE"""),"dice")</f>
        <v>dice</v>
      </c>
      <c r="C7024" s="2" t="str">
        <f ca="1">IFERROR(__xludf.DUMMYFUNCTION("""COMPUTED_VALUE"""),"Klaydice")</f>
        <v>Klaydice</v>
      </c>
    </row>
    <row r="7025" spans="1:3" x14ac:dyDescent="0.25">
      <c r="A7025" s="2" t="str">
        <f ca="1">IFERROR(__xludf.DUMMYFUNCTION("""COMPUTED_VALUE"""),"klayfi-finance")</f>
        <v>klayfi-finance</v>
      </c>
      <c r="B7025" s="2" t="str">
        <f ca="1">IFERROR(__xludf.DUMMYFUNCTION("""COMPUTED_VALUE"""),"kfi")</f>
        <v>kfi</v>
      </c>
      <c r="C7025" s="2" t="str">
        <f ca="1">IFERROR(__xludf.DUMMYFUNCTION("""COMPUTED_VALUE"""),"KlayFi Finance")</f>
        <v>KlayFi Finance</v>
      </c>
    </row>
    <row r="7026" spans="1:3" x14ac:dyDescent="0.25">
      <c r="A7026" s="2" t="str">
        <f ca="1">IFERROR(__xludf.DUMMYFUNCTION("""COMPUTED_VALUE"""),"klayr")</f>
        <v>klayr</v>
      </c>
      <c r="B7026" s="2" t="str">
        <f ca="1">IFERROR(__xludf.DUMMYFUNCTION("""COMPUTED_VALUE"""),"kly")</f>
        <v>kly</v>
      </c>
      <c r="C7026" s="2" t="str">
        <f ca="1">IFERROR(__xludf.DUMMYFUNCTION("""COMPUTED_VALUE"""),"Klayr")</f>
        <v>Klayr</v>
      </c>
    </row>
    <row r="7027" spans="1:3" x14ac:dyDescent="0.25">
      <c r="A7027" s="2" t="str">
        <f ca="1">IFERROR(__xludf.DUMMYFUNCTION("""COMPUTED_VALUE"""),"klayswap-protocol")</f>
        <v>klayswap-protocol</v>
      </c>
      <c r="B7027" s="2" t="str">
        <f ca="1">IFERROR(__xludf.DUMMYFUNCTION("""COMPUTED_VALUE"""),"ksp")</f>
        <v>ksp</v>
      </c>
      <c r="C7027" s="2" t="str">
        <f ca="1">IFERROR(__xludf.DUMMYFUNCTION("""COMPUTED_VALUE"""),"KlaySwap Protocol")</f>
        <v>KlaySwap Protocol</v>
      </c>
    </row>
    <row r="7028" spans="1:3" x14ac:dyDescent="0.25">
      <c r="A7028" s="2" t="str">
        <f ca="1">IFERROR(__xludf.DUMMYFUNCTION("""COMPUTED_VALUE"""),"klaytn-dai")</f>
        <v>klaytn-dai</v>
      </c>
      <c r="B7028" s="2" t="str">
        <f ca="1">IFERROR(__xludf.DUMMYFUNCTION("""COMPUTED_VALUE"""),"kdai")</f>
        <v>kdai</v>
      </c>
      <c r="C7028" s="2" t="str">
        <f ca="1">IFERROR(__xludf.DUMMYFUNCTION("""COMPUTED_VALUE"""),"Klaytn Dai")</f>
        <v>Klaytn Dai</v>
      </c>
    </row>
    <row r="7029" spans="1:3" x14ac:dyDescent="0.25">
      <c r="A7029" s="2" t="str">
        <f ca="1">IFERROR(__xludf.DUMMYFUNCTION("""COMPUTED_VALUE"""),"klay-token")</f>
        <v>klay-token</v>
      </c>
      <c r="B7029" s="2" t="str">
        <f ca="1">IFERROR(__xludf.DUMMYFUNCTION("""COMPUTED_VALUE"""),"klay")</f>
        <v>klay</v>
      </c>
      <c r="C7029" s="2" t="str">
        <f ca="1">IFERROR(__xludf.DUMMYFUNCTION("""COMPUTED_VALUE"""),"Klaytn")</f>
        <v>Klaytn</v>
      </c>
    </row>
    <row r="7030" spans="1:3" x14ac:dyDescent="0.25">
      <c r="A7030" s="2" t="str">
        <f ca="1">IFERROR(__xludf.DUMMYFUNCTION("""COMPUTED_VALUE"""),"klaytu")</f>
        <v>klaytu</v>
      </c>
      <c r="B7030" s="2" t="str">
        <f ca="1">IFERROR(__xludf.DUMMYFUNCTION("""COMPUTED_VALUE"""),"ktu")</f>
        <v>ktu</v>
      </c>
      <c r="C7030" s="2" t="str">
        <f ca="1">IFERROR(__xludf.DUMMYFUNCTION("""COMPUTED_VALUE"""),"Klaytu")</f>
        <v>Klaytu</v>
      </c>
    </row>
    <row r="7031" spans="1:3" x14ac:dyDescent="0.25">
      <c r="A7031" s="2" t="str">
        <f ca="1">IFERROR(__xludf.DUMMYFUNCTION("""COMPUTED_VALUE"""),"kleekai")</f>
        <v>kleekai</v>
      </c>
      <c r="B7031" s="2" t="str">
        <f ca="1">IFERROR(__xludf.DUMMYFUNCTION("""COMPUTED_VALUE"""),"klee")</f>
        <v>klee</v>
      </c>
      <c r="C7031" s="2" t="str">
        <f ca="1">IFERROR(__xludf.DUMMYFUNCTION("""COMPUTED_VALUE"""),"KleeKai")</f>
        <v>KleeKai</v>
      </c>
    </row>
    <row r="7032" spans="1:3" x14ac:dyDescent="0.25">
      <c r="A7032" s="2" t="str">
        <f ca="1">IFERROR(__xludf.DUMMYFUNCTION("""COMPUTED_VALUE"""),"kleros")</f>
        <v>kleros</v>
      </c>
      <c r="B7032" s="2" t="str">
        <f ca="1">IFERROR(__xludf.DUMMYFUNCTION("""COMPUTED_VALUE"""),"pnk")</f>
        <v>pnk</v>
      </c>
      <c r="C7032" s="2" t="str">
        <f ca="1">IFERROR(__xludf.DUMMYFUNCTION("""COMPUTED_VALUE"""),"Kleros")</f>
        <v>Kleros</v>
      </c>
    </row>
    <row r="7033" spans="1:3" x14ac:dyDescent="0.25">
      <c r="A7033" s="2" t="str">
        <f ca="1">IFERROR(__xludf.DUMMYFUNCTION("""COMPUTED_VALUE"""),"kleva")</f>
        <v>kleva</v>
      </c>
      <c r="B7033" s="2" t="str">
        <f ca="1">IFERROR(__xludf.DUMMYFUNCTION("""COMPUTED_VALUE"""),"kleva")</f>
        <v>kleva</v>
      </c>
      <c r="C7033" s="2" t="str">
        <f ca="1">IFERROR(__xludf.DUMMYFUNCTION("""COMPUTED_VALUE"""),"KLEVA")</f>
        <v>KLEVA</v>
      </c>
    </row>
    <row r="7034" spans="1:3" x14ac:dyDescent="0.25">
      <c r="A7034" s="2" t="str">
        <f ca="1">IFERROR(__xludf.DUMMYFUNCTION("""COMPUTED_VALUE"""),"klever")</f>
        <v>klever</v>
      </c>
      <c r="B7034" s="2" t="str">
        <f ca="1">IFERROR(__xludf.DUMMYFUNCTION("""COMPUTED_VALUE"""),"klv")</f>
        <v>klv</v>
      </c>
      <c r="C7034" s="2" t="str">
        <f ca="1">IFERROR(__xludf.DUMMYFUNCTION("""COMPUTED_VALUE"""),"Klever")</f>
        <v>Klever</v>
      </c>
    </row>
    <row r="7035" spans="1:3" x14ac:dyDescent="0.25">
      <c r="A7035" s="2" t="str">
        <f ca="1">IFERROR(__xludf.DUMMYFUNCTION("""COMPUTED_VALUE"""),"klever-finance")</f>
        <v>klever-finance</v>
      </c>
      <c r="B7035" s="2" t="str">
        <f ca="1">IFERROR(__xludf.DUMMYFUNCTION("""COMPUTED_VALUE"""),"kfi")</f>
        <v>kfi</v>
      </c>
      <c r="C7035" s="2" t="str">
        <f ca="1">IFERROR(__xludf.DUMMYFUNCTION("""COMPUTED_VALUE"""),"Klever Finance")</f>
        <v>Klever Finance</v>
      </c>
    </row>
    <row r="7036" spans="1:3" x14ac:dyDescent="0.25">
      <c r="A7036" s="2" t="str">
        <f ca="1">IFERROR(__xludf.DUMMYFUNCTION("""COMPUTED_VALUE"""),"kleverkid-coin")</f>
        <v>kleverkid-coin</v>
      </c>
      <c r="B7036" s="2" t="str">
        <f ca="1">IFERROR(__xludf.DUMMYFUNCTION("""COMPUTED_VALUE"""),"kid")</f>
        <v>kid</v>
      </c>
      <c r="C7036" s="2" t="str">
        <f ca="1">IFERROR(__xludf.DUMMYFUNCTION("""COMPUTED_VALUE"""),"Kleverkid Coin")</f>
        <v>Kleverkid Coin</v>
      </c>
    </row>
    <row r="7037" spans="1:3" x14ac:dyDescent="0.25">
      <c r="A7037" s="2" t="str">
        <f ca="1">IFERROR(__xludf.DUMMYFUNCTION("""COMPUTED_VALUE"""),"klima-dao")</f>
        <v>klima-dao</v>
      </c>
      <c r="B7037" s="2" t="str">
        <f ca="1">IFERROR(__xludf.DUMMYFUNCTION("""COMPUTED_VALUE"""),"klima")</f>
        <v>klima</v>
      </c>
      <c r="C7037" s="2" t="str">
        <f ca="1">IFERROR(__xludf.DUMMYFUNCTION("""COMPUTED_VALUE"""),"KlimaDAO")</f>
        <v>KlimaDAO</v>
      </c>
    </row>
    <row r="7038" spans="1:3" x14ac:dyDescent="0.25">
      <c r="A7038" s="2" t="str">
        <f ca="1">IFERROR(__xludf.DUMMYFUNCTION("""COMPUTED_VALUE"""),"klubcoin")</f>
        <v>klubcoin</v>
      </c>
      <c r="B7038" s="2" t="str">
        <f ca="1">IFERROR(__xludf.DUMMYFUNCTION("""COMPUTED_VALUE"""),"klub")</f>
        <v>klub</v>
      </c>
      <c r="C7038" s="2" t="str">
        <f ca="1">IFERROR(__xludf.DUMMYFUNCTION("""COMPUTED_VALUE"""),"KlubCoin")</f>
        <v>KlubCoin</v>
      </c>
    </row>
    <row r="7039" spans="1:3" x14ac:dyDescent="0.25">
      <c r="A7039" s="2" t="str">
        <f ca="1">IFERROR(__xludf.DUMMYFUNCTION("""COMPUTED_VALUE"""),"kmushicoin")</f>
        <v>kmushicoin</v>
      </c>
      <c r="B7039" s="2" t="str">
        <f ca="1">IFERROR(__xludf.DUMMYFUNCTION("""COMPUTED_VALUE"""),"ktv")</f>
        <v>ktv</v>
      </c>
      <c r="C7039" s="2" t="str">
        <f ca="1">IFERROR(__xludf.DUMMYFUNCTION("""COMPUTED_VALUE"""),"Kmushicoin")</f>
        <v>Kmushicoin</v>
      </c>
    </row>
    <row r="7040" spans="1:3" x14ac:dyDescent="0.25">
      <c r="A7040" s="2" t="str">
        <f ca="1">IFERROR(__xludf.DUMMYFUNCTION("""COMPUTED_VALUE"""),"knightswap")</f>
        <v>knightswap</v>
      </c>
      <c r="B7040" s="2" t="str">
        <f ca="1">IFERROR(__xludf.DUMMYFUNCTION("""COMPUTED_VALUE"""),"knight")</f>
        <v>knight</v>
      </c>
      <c r="C7040" s="2" t="str">
        <f ca="1">IFERROR(__xludf.DUMMYFUNCTION("""COMPUTED_VALUE"""),"KnightSwap")</f>
        <v>KnightSwap</v>
      </c>
    </row>
    <row r="7041" spans="1:3" x14ac:dyDescent="0.25">
      <c r="A7041" s="2" t="str">
        <f ca="1">IFERROR(__xludf.DUMMYFUNCTION("""COMPUTED_VALUE"""),"knight-war-spirits")</f>
        <v>knight-war-spirits</v>
      </c>
      <c r="B7041" s="2" t="str">
        <f ca="1">IFERROR(__xludf.DUMMYFUNCTION("""COMPUTED_VALUE"""),"kws")</f>
        <v>kws</v>
      </c>
      <c r="C7041" s="2" t="str">
        <f ca="1">IFERROR(__xludf.DUMMYFUNCTION("""COMPUTED_VALUE"""),"Knight War Spirits")</f>
        <v>Knight War Spirits</v>
      </c>
    </row>
    <row r="7042" spans="1:3" x14ac:dyDescent="0.25">
      <c r="A7042" s="2" t="str">
        <f ca="1">IFERROR(__xludf.DUMMYFUNCTION("""COMPUTED_VALUE"""),"knit-finance")</f>
        <v>knit-finance</v>
      </c>
      <c r="B7042" s="2" t="str">
        <f ca="1">IFERROR(__xludf.DUMMYFUNCTION("""COMPUTED_VALUE"""),"kft")</f>
        <v>kft</v>
      </c>
      <c r="C7042" s="2" t="str">
        <f ca="1">IFERROR(__xludf.DUMMYFUNCTION("""COMPUTED_VALUE"""),"Knit Finance")</f>
        <v>Knit Finance</v>
      </c>
    </row>
    <row r="7043" spans="1:3" x14ac:dyDescent="0.25">
      <c r="A7043" s="2" t="str">
        <f ca="1">IFERROR(__xludf.DUMMYFUNCTION("""COMPUTED_VALUE"""),"knob")</f>
        <v>knob</v>
      </c>
      <c r="B7043" s="2" t="str">
        <f ca="1">IFERROR(__xludf.DUMMYFUNCTION("""COMPUTED_VALUE"""),"knob")</f>
        <v>knob</v>
      </c>
      <c r="C7043" s="2" t="str">
        <f ca="1">IFERROR(__xludf.DUMMYFUNCTION("""COMPUTED_VALUE"""),"KNOB$")</f>
        <v>KNOB$</v>
      </c>
    </row>
    <row r="7044" spans="1:3" x14ac:dyDescent="0.25">
      <c r="A7044" s="2" t="str">
        <f ca="1">IFERROR(__xludf.DUMMYFUNCTION("""COMPUTED_VALUE"""),"knox-dollar")</f>
        <v>knox-dollar</v>
      </c>
      <c r="B7044" s="2" t="str">
        <f ca="1">IFERROR(__xludf.DUMMYFUNCTION("""COMPUTED_VALUE"""),"knox")</f>
        <v>knox</v>
      </c>
      <c r="C7044" s="2" t="str">
        <f ca="1">IFERROR(__xludf.DUMMYFUNCTION("""COMPUTED_VALUE"""),"KNOX Dollar")</f>
        <v>KNOX Dollar</v>
      </c>
    </row>
    <row r="7045" spans="1:3" x14ac:dyDescent="0.25">
      <c r="A7045" s="2" t="str">
        <f ca="1">IFERROR(__xludf.DUMMYFUNCTION("""COMPUTED_VALUE"""),"koala-ai")</f>
        <v>koala-ai</v>
      </c>
      <c r="B7045" s="2" t="str">
        <f ca="1">IFERROR(__xludf.DUMMYFUNCTION("""COMPUTED_VALUE"""),"koko")</f>
        <v>koko</v>
      </c>
      <c r="C7045" s="2" t="str">
        <f ca="1">IFERROR(__xludf.DUMMYFUNCTION("""COMPUTED_VALUE"""),"KOALA AI")</f>
        <v>KOALA AI</v>
      </c>
    </row>
    <row r="7046" spans="1:3" x14ac:dyDescent="0.25">
      <c r="A7046" s="2" t="str">
        <f ca="1">IFERROR(__xludf.DUMMYFUNCTION("""COMPUTED_VALUE"""),"kobe")</f>
        <v>kobe</v>
      </c>
      <c r="B7046" s="2" t="str">
        <f ca="1">IFERROR(__xludf.DUMMYFUNCTION("""COMPUTED_VALUE"""),"beef")</f>
        <v>beef</v>
      </c>
      <c r="C7046" s="2" t="str">
        <f ca="1">IFERROR(__xludf.DUMMYFUNCTION("""COMPUTED_VALUE"""),"Kobe")</f>
        <v>Kobe</v>
      </c>
    </row>
    <row r="7047" spans="1:3" x14ac:dyDescent="0.25">
      <c r="A7047" s="2" t="str">
        <f ca="1">IFERROR(__xludf.DUMMYFUNCTION("""COMPUTED_VALUE"""),"kocaelispor-fan-token")</f>
        <v>kocaelispor-fan-token</v>
      </c>
      <c r="B7047" s="2" t="str">
        <f ca="1">IFERROR(__xludf.DUMMYFUNCTION("""COMPUTED_VALUE"""),"kstt")</f>
        <v>kstt</v>
      </c>
      <c r="C7047" s="2" t="str">
        <f ca="1">IFERROR(__xludf.DUMMYFUNCTION("""COMPUTED_VALUE"""),"Kocaelispor Fan Token")</f>
        <v>Kocaelispor Fan Token</v>
      </c>
    </row>
    <row r="7048" spans="1:3" x14ac:dyDescent="0.25">
      <c r="A7048" s="2" t="str">
        <f ca="1">IFERROR(__xludf.DUMMYFUNCTION("""COMPUTED_VALUE"""),"kochi-ken-eth")</f>
        <v>kochi-ken-eth</v>
      </c>
      <c r="B7048" s="2" t="str">
        <f ca="1">IFERROR(__xludf.DUMMYFUNCTION("""COMPUTED_VALUE"""),"kochi")</f>
        <v>kochi</v>
      </c>
      <c r="C7048" s="2" t="str">
        <f ca="1">IFERROR(__xludf.DUMMYFUNCTION("""COMPUTED_VALUE"""),"Kochi Ken ETH")</f>
        <v>Kochi Ken ETH</v>
      </c>
    </row>
    <row r="7049" spans="1:3" x14ac:dyDescent="0.25">
      <c r="A7049" s="2" t="str">
        <f ca="1">IFERROR(__xludf.DUMMYFUNCTION("""COMPUTED_VALUE"""),"koda-finance")</f>
        <v>koda-finance</v>
      </c>
      <c r="B7049" s="2" t="str">
        <f ca="1">IFERROR(__xludf.DUMMYFUNCTION("""COMPUTED_VALUE"""),"koda")</f>
        <v>koda</v>
      </c>
      <c r="C7049" s="2" t="str">
        <f ca="1">IFERROR(__xludf.DUMMYFUNCTION("""COMPUTED_VALUE"""),"Koda Cryptocurrency")</f>
        <v>Koda Cryptocurrency</v>
      </c>
    </row>
    <row r="7050" spans="1:3" x14ac:dyDescent="0.25">
      <c r="A7050" s="2" t="str">
        <f ca="1">IFERROR(__xludf.DUMMYFUNCTION("""COMPUTED_VALUE"""),"kogecoin")</f>
        <v>kogecoin</v>
      </c>
      <c r="B7050" s="2" t="str">
        <f ca="1">IFERROR(__xludf.DUMMYFUNCTION("""COMPUTED_VALUE"""),"kogecoin")</f>
        <v>kogecoin</v>
      </c>
      <c r="C7050" s="2" t="str">
        <f ca="1">IFERROR(__xludf.DUMMYFUNCTION("""COMPUTED_VALUE"""),"KogeCoin")</f>
        <v>KogeCoin</v>
      </c>
    </row>
    <row r="7051" spans="1:3" x14ac:dyDescent="0.25">
      <c r="A7051" s="2" t="str">
        <f ca="1">IFERROR(__xludf.DUMMYFUNCTION("""COMPUTED_VALUE"""),"kohenoor")</f>
        <v>kohenoor</v>
      </c>
      <c r="B7051" s="2" t="str">
        <f ca="1">IFERROR(__xludf.DUMMYFUNCTION("""COMPUTED_VALUE"""),"ken")</f>
        <v>ken</v>
      </c>
      <c r="C7051" s="2" t="str">
        <f ca="1">IFERROR(__xludf.DUMMYFUNCTION("""COMPUTED_VALUE"""),"KOHENOOR")</f>
        <v>KOHENOOR</v>
      </c>
    </row>
    <row r="7052" spans="1:3" x14ac:dyDescent="0.25">
      <c r="A7052" s="2" t="str">
        <f ca="1">IFERROR(__xludf.DUMMYFUNCTION("""COMPUTED_VALUE"""),"kohler")</f>
        <v>kohler</v>
      </c>
      <c r="B7052" s="2" t="str">
        <f ca="1">IFERROR(__xludf.DUMMYFUNCTION("""COMPUTED_VALUE"""),"kohler")</f>
        <v>kohler</v>
      </c>
      <c r="C7052" s="2" t="str">
        <f ca="1">IFERROR(__xludf.DUMMYFUNCTION("""COMPUTED_VALUE"""),"Kohler")</f>
        <v>Kohler</v>
      </c>
    </row>
    <row r="7053" spans="1:3" x14ac:dyDescent="0.25">
      <c r="A7053" s="2" t="str">
        <f ca="1">IFERROR(__xludf.DUMMYFUNCTION("""COMPUTED_VALUE"""),"koi")</f>
        <v>koi</v>
      </c>
      <c r="B7053" s="2" t="str">
        <f ca="1">IFERROR(__xludf.DUMMYFUNCTION("""COMPUTED_VALUE"""),"koi")</f>
        <v>koi</v>
      </c>
      <c r="C7053" s="2" t="str">
        <f ca="1">IFERROR(__xludf.DUMMYFUNCTION("""COMPUTED_VALUE"""),"KOI")</f>
        <v>KOI</v>
      </c>
    </row>
    <row r="7054" spans="1:3" x14ac:dyDescent="0.25">
      <c r="A7054" s="2" t="str">
        <f ca="1">IFERROR(__xludf.DUMMYFUNCTION("""COMPUTED_VALUE"""),"koi-3")</f>
        <v>koi-3</v>
      </c>
      <c r="B7054" s="2" t="str">
        <f ca="1">IFERROR(__xludf.DUMMYFUNCTION("""COMPUTED_VALUE"""),"koi")</f>
        <v>koi</v>
      </c>
      <c r="C7054" s="2" t="str">
        <f ca="1">IFERROR(__xludf.DUMMYFUNCTION("""COMPUTED_VALUE"""),"Koi")</f>
        <v>Koi</v>
      </c>
    </row>
    <row r="7055" spans="1:3" x14ac:dyDescent="0.25">
      <c r="A7055" s="2" t="str">
        <f ca="1">IFERROR(__xludf.DUMMYFUNCTION("""COMPUTED_VALUE"""),"koi-4")</f>
        <v>koi-4</v>
      </c>
      <c r="B7055" s="2" t="str">
        <f ca="1">IFERROR(__xludf.DUMMYFUNCTION("""COMPUTED_VALUE"""),"koai")</f>
        <v>koai</v>
      </c>
      <c r="C7055" s="2" t="str">
        <f ca="1">IFERROR(__xludf.DUMMYFUNCTION("""COMPUTED_VALUE"""),"KOI")</f>
        <v>KOI</v>
      </c>
    </row>
    <row r="7056" spans="1:3" x14ac:dyDescent="0.25">
      <c r="A7056" s="2" t="str">
        <f ca="1">IFERROR(__xludf.DUMMYFUNCTION("""COMPUTED_VALUE"""),"koi-5")</f>
        <v>koi-5</v>
      </c>
      <c r="B7056" s="2" t="str">
        <f ca="1">IFERROR(__xludf.DUMMYFUNCTION("""COMPUTED_VALUE"""),"koi")</f>
        <v>koi</v>
      </c>
      <c r="C7056" s="2" t="str">
        <f ca="1">IFERROR(__xludf.DUMMYFUNCTION("""COMPUTED_VALUE"""),"KOI")</f>
        <v>KOI</v>
      </c>
    </row>
    <row r="7057" spans="1:3" x14ac:dyDescent="0.25">
      <c r="A7057" s="2" t="str">
        <f ca="1">IFERROR(__xludf.DUMMYFUNCTION("""COMPUTED_VALUE"""),"koinbay-token")</f>
        <v>koinbay-token</v>
      </c>
      <c r="B7057" s="2" t="str">
        <f ca="1">IFERROR(__xludf.DUMMYFUNCTION("""COMPUTED_VALUE"""),"kbt")</f>
        <v>kbt</v>
      </c>
      <c r="C7057" s="2" t="str">
        <f ca="1">IFERROR(__xludf.DUMMYFUNCTION("""COMPUTED_VALUE"""),"KoinBay Token")</f>
        <v>KoinBay Token</v>
      </c>
    </row>
    <row r="7058" spans="1:3" x14ac:dyDescent="0.25">
      <c r="A7058" s="2" t="str">
        <f ca="1">IFERROR(__xludf.DUMMYFUNCTION("""COMPUTED_VALUE"""),"koinos")</f>
        <v>koinos</v>
      </c>
      <c r="B7058" s="2" t="str">
        <f ca="1">IFERROR(__xludf.DUMMYFUNCTION("""COMPUTED_VALUE"""),"koin")</f>
        <v>koin</v>
      </c>
      <c r="C7058" s="2" t="str">
        <f ca="1">IFERROR(__xludf.DUMMYFUNCTION("""COMPUTED_VALUE"""),"Koinos")</f>
        <v>Koinos</v>
      </c>
    </row>
    <row r="7059" spans="1:3" x14ac:dyDescent="0.25">
      <c r="A7059" s="2" t="str">
        <f ca="1">IFERROR(__xludf.DUMMYFUNCTION("""COMPUTED_VALUE"""),"koji")</f>
        <v>koji</v>
      </c>
      <c r="B7059" s="2" t="str">
        <f ca="1">IFERROR(__xludf.DUMMYFUNCTION("""COMPUTED_VALUE"""),"koji")</f>
        <v>koji</v>
      </c>
      <c r="C7059" s="2" t="str">
        <f ca="1">IFERROR(__xludf.DUMMYFUNCTION("""COMPUTED_VALUE"""),"Koji")</f>
        <v>Koji</v>
      </c>
    </row>
    <row r="7060" spans="1:3" x14ac:dyDescent="0.25">
      <c r="A7060" s="2" t="str">
        <f ca="1">IFERROR(__xludf.DUMMYFUNCTION("""COMPUTED_VALUE"""),"kok")</f>
        <v>kok</v>
      </c>
      <c r="B7060" s="2" t="str">
        <f ca="1">IFERROR(__xludf.DUMMYFUNCTION("""COMPUTED_VALUE"""),"kok")</f>
        <v>kok</v>
      </c>
      <c r="C7060" s="2" t="str">
        <f ca="1">IFERROR(__xludf.DUMMYFUNCTION("""COMPUTED_VALUE"""),"KOK")</f>
        <v>KOK</v>
      </c>
    </row>
    <row r="7061" spans="1:3" x14ac:dyDescent="0.25">
      <c r="A7061" s="2" t="str">
        <f ca="1">IFERROR(__xludf.DUMMYFUNCTION("""COMPUTED_VALUE"""),"kokoa-finance")</f>
        <v>kokoa-finance</v>
      </c>
      <c r="B7061" s="2" t="str">
        <f ca="1">IFERROR(__xludf.DUMMYFUNCTION("""COMPUTED_VALUE"""),"kokoa")</f>
        <v>kokoa</v>
      </c>
      <c r="C7061" s="2" t="str">
        <f ca="1">IFERROR(__xludf.DUMMYFUNCTION("""COMPUTED_VALUE"""),"Kokoa Finance")</f>
        <v>Kokoa Finance</v>
      </c>
    </row>
    <row r="7062" spans="1:3" x14ac:dyDescent="0.25">
      <c r="A7062" s="2" t="str">
        <f ca="1">IFERROR(__xludf.DUMMYFUNCTION("""COMPUTED_VALUE"""),"kokoa-stable-dollar")</f>
        <v>kokoa-stable-dollar</v>
      </c>
      <c r="B7062" s="2" t="str">
        <f ca="1">IFERROR(__xludf.DUMMYFUNCTION("""COMPUTED_VALUE"""),"ksd")</f>
        <v>ksd</v>
      </c>
      <c r="C7062" s="2" t="str">
        <f ca="1">IFERROR(__xludf.DUMMYFUNCTION("""COMPUTED_VALUE"""),"Kokoa Stable Dollar")</f>
        <v>Kokoa Stable Dollar</v>
      </c>
    </row>
    <row r="7063" spans="1:3" x14ac:dyDescent="0.25">
      <c r="A7063" s="2" t="str">
        <f ca="1">IFERROR(__xludf.DUMMYFUNCTION("""COMPUTED_VALUE"""),"kokodi")</f>
        <v>kokodi</v>
      </c>
      <c r="B7063" s="2" t="str">
        <f ca="1">IFERROR(__xludf.DUMMYFUNCTION("""COMPUTED_VALUE"""),"koko")</f>
        <v>koko</v>
      </c>
      <c r="C7063" s="2" t="str">
        <f ca="1">IFERROR(__xludf.DUMMYFUNCTION("""COMPUTED_VALUE"""),"Kokodi")</f>
        <v>Kokodi</v>
      </c>
    </row>
    <row r="7064" spans="1:3" x14ac:dyDescent="0.25">
      <c r="A7064" s="2" t="str">
        <f ca="1">IFERROR(__xludf.DUMMYFUNCTION("""COMPUTED_VALUE"""),"kolana")</f>
        <v>kolana</v>
      </c>
      <c r="B7064" s="2" t="str">
        <f ca="1">IFERROR(__xludf.DUMMYFUNCTION("""COMPUTED_VALUE"""),"kolana")</f>
        <v>kolana</v>
      </c>
      <c r="C7064" s="2" t="str">
        <f ca="1">IFERROR(__xludf.DUMMYFUNCTION("""COMPUTED_VALUE"""),"KOLANA")</f>
        <v>KOLANA</v>
      </c>
    </row>
    <row r="7065" spans="1:3" x14ac:dyDescent="0.25">
      <c r="A7065" s="2" t="str">
        <f ca="1">IFERROR(__xludf.DUMMYFUNCTION("""COMPUTED_VALUE"""),"kolibri-usd")</f>
        <v>kolibri-usd</v>
      </c>
      <c r="B7065" s="2" t="str">
        <f ca="1">IFERROR(__xludf.DUMMYFUNCTION("""COMPUTED_VALUE"""),"kusd")</f>
        <v>kusd</v>
      </c>
      <c r="C7065" s="2" t="str">
        <f ca="1">IFERROR(__xludf.DUMMYFUNCTION("""COMPUTED_VALUE"""),"Kolibri USD")</f>
        <v>Kolibri USD</v>
      </c>
    </row>
    <row r="7066" spans="1:3" x14ac:dyDescent="0.25">
      <c r="A7066" s="2" t="str">
        <f ca="1">IFERROR(__xludf.DUMMYFUNCTION("""COMPUTED_VALUE"""),"kollectiv")</f>
        <v>kollectiv</v>
      </c>
      <c r="B7066" s="2" t="str">
        <f ca="1">IFERROR(__xludf.DUMMYFUNCTION("""COMPUTED_VALUE"""),"kol")</f>
        <v>kol</v>
      </c>
      <c r="C7066" s="2" t="str">
        <f ca="1">IFERROR(__xludf.DUMMYFUNCTION("""COMPUTED_VALUE"""),"Kollectiv")</f>
        <v>Kollectiv</v>
      </c>
    </row>
    <row r="7067" spans="1:3" x14ac:dyDescent="0.25">
      <c r="A7067" s="2" t="str">
        <f ca="1">IFERROR(__xludf.DUMMYFUNCTION("""COMPUTED_VALUE"""),"kollector")</f>
        <v>kollector</v>
      </c>
      <c r="B7067" s="2" t="str">
        <f ca="1">IFERROR(__xludf.DUMMYFUNCTION("""COMPUTED_VALUE"""),"kltr")</f>
        <v>kltr</v>
      </c>
      <c r="C7067" s="2" t="str">
        <f ca="1">IFERROR(__xludf.DUMMYFUNCTION("""COMPUTED_VALUE"""),"Kollector")</f>
        <v>Kollector</v>
      </c>
    </row>
    <row r="7068" spans="1:3" x14ac:dyDescent="0.25">
      <c r="A7068" s="2" t="str">
        <f ca="1">IFERROR(__xludf.DUMMYFUNCTION("""COMPUTED_VALUE"""),"kolt")</f>
        <v>kolt</v>
      </c>
      <c r="B7068" s="2" t="str">
        <f ca="1">IFERROR(__xludf.DUMMYFUNCTION("""COMPUTED_VALUE"""),"$kolt")</f>
        <v>$kolt</v>
      </c>
      <c r="C7068" s="2" t="str">
        <f ca="1">IFERROR(__xludf.DUMMYFUNCTION("""COMPUTED_VALUE"""),"KOLT")</f>
        <v>KOLT</v>
      </c>
    </row>
    <row r="7069" spans="1:3" x14ac:dyDescent="0.25">
      <c r="A7069" s="2" t="str">
        <f ca="1">IFERROR(__xludf.DUMMYFUNCTION("""COMPUTED_VALUE"""),"komari")</f>
        <v>komari</v>
      </c>
      <c r="B7069" s="2" t="str">
        <f ca="1">IFERROR(__xludf.DUMMYFUNCTION("""COMPUTED_VALUE"""),"koma")</f>
        <v>koma</v>
      </c>
      <c r="C7069" s="2" t="str">
        <f ca="1">IFERROR(__xludf.DUMMYFUNCTION("""COMPUTED_VALUE"""),"Komari")</f>
        <v>Komari</v>
      </c>
    </row>
    <row r="7070" spans="1:3" x14ac:dyDescent="0.25">
      <c r="A7070" s="2" t="str">
        <f ca="1">IFERROR(__xludf.DUMMYFUNCTION("""COMPUTED_VALUE"""),"kommunitas")</f>
        <v>kommunitas</v>
      </c>
      <c r="B7070" s="2" t="str">
        <f ca="1">IFERROR(__xludf.DUMMYFUNCTION("""COMPUTED_VALUE"""),"kom")</f>
        <v>kom</v>
      </c>
      <c r="C7070" s="2" t="str">
        <f ca="1">IFERROR(__xludf.DUMMYFUNCTION("""COMPUTED_VALUE"""),"Kommunitas")</f>
        <v>Kommunitas</v>
      </c>
    </row>
    <row r="7071" spans="1:3" x14ac:dyDescent="0.25">
      <c r="A7071" s="2" t="str">
        <f ca="1">IFERROR(__xludf.DUMMYFUNCTION("""COMPUTED_VALUE"""),"komodo")</f>
        <v>komodo</v>
      </c>
      <c r="B7071" s="2" t="str">
        <f ca="1">IFERROR(__xludf.DUMMYFUNCTION("""COMPUTED_VALUE"""),"kmd")</f>
        <v>kmd</v>
      </c>
      <c r="C7071" s="2" t="str">
        <f ca="1">IFERROR(__xludf.DUMMYFUNCTION("""COMPUTED_VALUE"""),"Komodo")</f>
        <v>Komodo</v>
      </c>
    </row>
    <row r="7072" spans="1:3" x14ac:dyDescent="0.25">
      <c r="A7072" s="2" t="str">
        <f ca="1">IFERROR(__xludf.DUMMYFUNCTION("""COMPUTED_VALUE"""),"kompete")</f>
        <v>kompete</v>
      </c>
      <c r="B7072" s="2" t="str">
        <f ca="1">IFERROR(__xludf.DUMMYFUNCTION("""COMPUTED_VALUE"""),"kompete")</f>
        <v>kompete</v>
      </c>
      <c r="C7072" s="2" t="str">
        <f ca="1">IFERROR(__xludf.DUMMYFUNCTION("""COMPUTED_VALUE"""),"KOMPETE")</f>
        <v>KOMPETE</v>
      </c>
    </row>
    <row r="7073" spans="1:3" x14ac:dyDescent="0.25">
      <c r="A7073" s="2" t="str">
        <f ca="1">IFERROR(__xludf.DUMMYFUNCTION("""COMPUTED_VALUE"""),"komputai")</f>
        <v>komputai</v>
      </c>
      <c r="B7073" s="2" t="str">
        <f ca="1">IFERROR(__xludf.DUMMYFUNCTION("""COMPUTED_VALUE"""),"kai")</f>
        <v>kai</v>
      </c>
      <c r="C7073" s="2" t="str">
        <f ca="1">IFERROR(__xludf.DUMMYFUNCTION("""COMPUTED_VALUE"""),"Komputai")</f>
        <v>Komputai</v>
      </c>
    </row>
    <row r="7074" spans="1:3" x14ac:dyDescent="0.25">
      <c r="A7074" s="2" t="str">
        <f ca="1">IFERROR(__xludf.DUMMYFUNCTION("""COMPUTED_VALUE"""),"kondux-v2")</f>
        <v>kondux-v2</v>
      </c>
      <c r="B7074" s="2" t="str">
        <f ca="1">IFERROR(__xludf.DUMMYFUNCTION("""COMPUTED_VALUE"""),"kndx")</f>
        <v>kndx</v>
      </c>
      <c r="C7074" s="2" t="str">
        <f ca="1">IFERROR(__xludf.DUMMYFUNCTION("""COMPUTED_VALUE"""),"KONDUX")</f>
        <v>KONDUX</v>
      </c>
    </row>
    <row r="7075" spans="1:3" x14ac:dyDescent="0.25">
      <c r="A7075" s="2" t="str">
        <f ca="1">IFERROR(__xludf.DUMMYFUNCTION("""COMPUTED_VALUE"""),"konet")</f>
        <v>konet</v>
      </c>
      <c r="B7075" s="2" t="str">
        <f ca="1">IFERROR(__xludf.DUMMYFUNCTION("""COMPUTED_VALUE"""),"konet")</f>
        <v>konet</v>
      </c>
      <c r="C7075" s="2" t="str">
        <f ca="1">IFERROR(__xludf.DUMMYFUNCTION("""COMPUTED_VALUE"""),"KONET")</f>
        <v>KONET</v>
      </c>
    </row>
    <row r="7076" spans="1:3" x14ac:dyDescent="0.25">
      <c r="A7076" s="2" t="str">
        <f ca="1">IFERROR(__xludf.DUMMYFUNCTION("""COMPUTED_VALUE"""),"kong")</f>
        <v>kong</v>
      </c>
      <c r="B7076" s="2" t="str">
        <f ca="1">IFERROR(__xludf.DUMMYFUNCTION("""COMPUTED_VALUE"""),"kong")</f>
        <v>kong</v>
      </c>
      <c r="C7076" s="2" t="str">
        <f ca="1">IFERROR(__xludf.DUMMYFUNCTION("""COMPUTED_VALUE"""),"KONG")</f>
        <v>KONG</v>
      </c>
    </row>
    <row r="7077" spans="1:3" x14ac:dyDescent="0.25">
      <c r="A7077" s="2" t="str">
        <f ca="1">IFERROR(__xludf.DUMMYFUNCTION("""COMPUTED_VALUE"""),"kong-sui")</f>
        <v>kong-sui</v>
      </c>
      <c r="B7077" s="2" t="str">
        <f ca="1">IFERROR(__xludf.DUMMYFUNCTION("""COMPUTED_VALUE"""),"kong")</f>
        <v>kong</v>
      </c>
      <c r="C7077" s="2" t="str">
        <f ca="1">IFERROR(__xludf.DUMMYFUNCTION("""COMPUTED_VALUE"""),"KONG SUI")</f>
        <v>KONG SUI</v>
      </c>
    </row>
    <row r="7078" spans="1:3" x14ac:dyDescent="0.25">
      <c r="A7078" s="2" t="str">
        <f ca="1">IFERROR(__xludf.DUMMYFUNCTION("""COMPUTED_VALUE"""),"konke")</f>
        <v>konke</v>
      </c>
      <c r="B7078" s="2" t="str">
        <f ca="1">IFERROR(__xludf.DUMMYFUNCTION("""COMPUTED_VALUE"""),"konke")</f>
        <v>konke</v>
      </c>
      <c r="C7078" s="2" t="str">
        <f ca="1">IFERROR(__xludf.DUMMYFUNCTION("""COMPUTED_VALUE"""),"Konke")</f>
        <v>Konke</v>
      </c>
    </row>
    <row r="7079" spans="1:3" x14ac:dyDescent="0.25">
      <c r="A7079" s="2" t="str">
        <f ca="1">IFERROR(__xludf.DUMMYFUNCTION("""COMPUTED_VALUE"""),"konnect")</f>
        <v>konnect</v>
      </c>
      <c r="B7079" s="2" t="str">
        <f ca="1">IFERROR(__xludf.DUMMYFUNCTION("""COMPUTED_VALUE"""),"kct")</f>
        <v>kct</v>
      </c>
      <c r="C7079" s="2" t="str">
        <f ca="1">IFERROR(__xludf.DUMMYFUNCTION("""COMPUTED_VALUE"""),"Konnect")</f>
        <v>Konnect</v>
      </c>
    </row>
    <row r="7080" spans="1:3" x14ac:dyDescent="0.25">
      <c r="A7080" s="2" t="str">
        <f ca="1">IFERROR(__xludf.DUMMYFUNCTION("""COMPUTED_VALUE"""),"konnektvpn")</f>
        <v>konnektvpn</v>
      </c>
      <c r="B7080" s="2" t="str">
        <f ca="1">IFERROR(__xludf.DUMMYFUNCTION("""COMPUTED_VALUE"""),"kpn")</f>
        <v>kpn</v>
      </c>
      <c r="C7080" s="2" t="str">
        <f ca="1">IFERROR(__xludf.DUMMYFUNCTION("""COMPUTED_VALUE"""),"KonnektVPN")</f>
        <v>KonnektVPN</v>
      </c>
    </row>
    <row r="7081" spans="1:3" x14ac:dyDescent="0.25">
      <c r="A7081" s="2" t="str">
        <f ca="1">IFERROR(__xludf.DUMMYFUNCTION("""COMPUTED_VALUE"""),"konomi-network")</f>
        <v>konomi-network</v>
      </c>
      <c r="B7081" s="2" t="str">
        <f ca="1">IFERROR(__xludf.DUMMYFUNCTION("""COMPUTED_VALUE"""),"kono")</f>
        <v>kono</v>
      </c>
      <c r="C7081" s="2" t="str">
        <f ca="1">IFERROR(__xludf.DUMMYFUNCTION("""COMPUTED_VALUE"""),"Konomi Network")</f>
        <v>Konomi Network</v>
      </c>
    </row>
    <row r="7082" spans="1:3" x14ac:dyDescent="0.25">
      <c r="A7082" s="2" t="str">
        <f ca="1">IFERROR(__xludf.DUMMYFUNCTION("""COMPUTED_VALUE"""),"konpay")</f>
        <v>konpay</v>
      </c>
      <c r="B7082" s="2" t="str">
        <f ca="1">IFERROR(__xludf.DUMMYFUNCTION("""COMPUTED_VALUE"""),"kon")</f>
        <v>kon</v>
      </c>
      <c r="C7082" s="2" t="str">
        <f ca="1">IFERROR(__xludf.DUMMYFUNCTION("""COMPUTED_VALUE"""),"KonPay")</f>
        <v>KonPay</v>
      </c>
    </row>
    <row r="7083" spans="1:3" x14ac:dyDescent="0.25">
      <c r="A7083" s="2" t="str">
        <f ca="1">IFERROR(__xludf.DUMMYFUNCTION("""COMPUTED_VALUE"""),"kooky")</f>
        <v>kooky</v>
      </c>
      <c r="B7083" s="2" t="str">
        <f ca="1">IFERROR(__xludf.DUMMYFUNCTION("""COMPUTED_VALUE"""),"kooky")</f>
        <v>kooky</v>
      </c>
      <c r="C7083" s="2" t="str">
        <f ca="1">IFERROR(__xludf.DUMMYFUNCTION("""COMPUTED_VALUE"""),"KOOKY")</f>
        <v>KOOKY</v>
      </c>
    </row>
    <row r="7084" spans="1:3" x14ac:dyDescent="0.25">
      <c r="A7084" s="2" t="str">
        <f ca="1">IFERROR(__xludf.DUMMYFUNCTION("""COMPUTED_VALUE"""),"korra")</f>
        <v>korra</v>
      </c>
      <c r="B7084" s="2" t="str">
        <f ca="1">IFERROR(__xludf.DUMMYFUNCTION("""COMPUTED_VALUE"""),"korra")</f>
        <v>korra</v>
      </c>
      <c r="C7084" s="2" t="str">
        <f ca="1">IFERROR(__xludf.DUMMYFUNCTION("""COMPUTED_VALUE"""),"KORRA")</f>
        <v>KORRA</v>
      </c>
    </row>
    <row r="7085" spans="1:3" x14ac:dyDescent="0.25">
      <c r="A7085" s="2" t="str">
        <f ca="1">IFERROR(__xludf.DUMMYFUNCTION("""COMPUTED_VALUE"""),"kortana")</f>
        <v>kortana</v>
      </c>
      <c r="B7085" s="2" t="str">
        <f ca="1">IFERROR(__xludf.DUMMYFUNCTION("""COMPUTED_VALUE"""),"kora")</f>
        <v>kora</v>
      </c>
      <c r="C7085" s="2" t="str">
        <f ca="1">IFERROR(__xludf.DUMMYFUNCTION("""COMPUTED_VALUE"""),"Kortana")</f>
        <v>Kortana</v>
      </c>
    </row>
    <row r="7086" spans="1:3" x14ac:dyDescent="0.25">
      <c r="A7086" s="2" t="str">
        <f ca="1">IFERROR(__xludf.DUMMYFUNCTION("""COMPUTED_VALUE"""),"kotia")</f>
        <v>kotia</v>
      </c>
      <c r="B7086" s="2" t="str">
        <f ca="1">IFERROR(__xludf.DUMMYFUNCTION("""COMPUTED_VALUE"""),"kot")</f>
        <v>kot</v>
      </c>
      <c r="C7086" s="2" t="str">
        <f ca="1">IFERROR(__xludf.DUMMYFUNCTION("""COMPUTED_VALUE"""),"kotia")</f>
        <v>kotia</v>
      </c>
    </row>
    <row r="7087" spans="1:3" x14ac:dyDescent="0.25">
      <c r="A7087" s="2" t="str">
        <f ca="1">IFERROR(__xludf.DUMMYFUNCTION("""COMPUTED_VALUE"""),"koubek")</f>
        <v>koubek</v>
      </c>
      <c r="B7087" s="2" t="str">
        <f ca="1">IFERROR(__xludf.DUMMYFUNCTION("""COMPUTED_VALUE"""),"kbk")</f>
        <v>kbk</v>
      </c>
      <c r="C7087" s="2" t="str">
        <f ca="1">IFERROR(__xludf.DUMMYFUNCTION("""COMPUTED_VALUE"""),"Koubek")</f>
        <v>Koubek</v>
      </c>
    </row>
    <row r="7088" spans="1:3" x14ac:dyDescent="0.25">
      <c r="A7088" s="2" t="str">
        <f ca="1">IFERROR(__xludf.DUMMYFUNCTION("""COMPUTED_VALUE"""),"kounotori")</f>
        <v>kounotori</v>
      </c>
      <c r="B7088" s="2" t="str">
        <f ca="1">IFERROR(__xludf.DUMMYFUNCTION("""COMPUTED_VALUE"""),"kto")</f>
        <v>kto</v>
      </c>
      <c r="C7088" s="2" t="str">
        <f ca="1">IFERROR(__xludf.DUMMYFUNCTION("""COMPUTED_VALUE"""),"Kounotori")</f>
        <v>Kounotori</v>
      </c>
    </row>
    <row r="7089" spans="1:3" x14ac:dyDescent="0.25">
      <c r="A7089" s="2" t="str">
        <f ca="1">IFERROR(__xludf.DUMMYFUNCTION("""COMPUTED_VALUE"""),"kovin-segnocchi")</f>
        <v>kovin-segnocchi</v>
      </c>
      <c r="B7089" s="2" t="str">
        <f ca="1">IFERROR(__xludf.DUMMYFUNCTION("""COMPUTED_VALUE"""),"kovin")</f>
        <v>kovin</v>
      </c>
      <c r="C7089" s="2" t="str">
        <f ca="1">IFERROR(__xludf.DUMMYFUNCTION("""COMPUTED_VALUE"""),"Kovin Segnocchi")</f>
        <v>Kovin Segnocchi</v>
      </c>
    </row>
    <row r="7090" spans="1:3" x14ac:dyDescent="0.25">
      <c r="A7090" s="2" t="str">
        <f ca="1">IFERROR(__xludf.DUMMYFUNCTION("""COMPUTED_VALUE"""),"koyo")</f>
        <v>koyo</v>
      </c>
      <c r="B7090" s="2" t="str">
        <f ca="1">IFERROR(__xludf.DUMMYFUNCTION("""COMPUTED_VALUE"""),"kyo")</f>
        <v>kyo</v>
      </c>
      <c r="C7090" s="2" t="str">
        <f ca="1">IFERROR(__xludf.DUMMYFUNCTION("""COMPUTED_VALUE"""),"Kōyō")</f>
        <v>Kōyō</v>
      </c>
    </row>
    <row r="7091" spans="1:3" x14ac:dyDescent="0.25">
      <c r="A7091" s="2" t="str">
        <f ca="1">IFERROR(__xludf.DUMMYFUNCTION("""COMPUTED_VALUE"""),"koyo-6e93c7c7-03a3-4475-86a1-f0bc80ee09d6")</f>
        <v>koyo-6e93c7c7-03a3-4475-86a1-f0bc80ee09d6</v>
      </c>
      <c r="B7091" s="2" t="str">
        <f ca="1">IFERROR(__xludf.DUMMYFUNCTION("""COMPUTED_VALUE"""),"koy")</f>
        <v>koy</v>
      </c>
      <c r="C7091" s="2" t="str">
        <f ca="1">IFERROR(__xludf.DUMMYFUNCTION("""COMPUTED_VALUE"""),"Koyo")</f>
        <v>Koyo</v>
      </c>
    </row>
    <row r="7092" spans="1:3" x14ac:dyDescent="0.25">
      <c r="A7092" s="2" t="str">
        <f ca="1">IFERROR(__xludf.DUMMYFUNCTION("""COMPUTED_VALUE"""),"kozue")</f>
        <v>kozue</v>
      </c>
      <c r="B7092" s="2" t="str">
        <f ca="1">IFERROR(__xludf.DUMMYFUNCTION("""COMPUTED_VALUE"""),"kozue")</f>
        <v>kozue</v>
      </c>
      <c r="C7092" s="2" t="str">
        <f ca="1">IFERROR(__xludf.DUMMYFUNCTION("""COMPUTED_VALUE"""),"Kozue")</f>
        <v>Kozue</v>
      </c>
    </row>
    <row r="7093" spans="1:3" x14ac:dyDescent="0.25">
      <c r="A7093" s="2" t="str">
        <f ca="1">IFERROR(__xludf.DUMMYFUNCTION("""COMPUTED_VALUE"""),"kpop")</f>
        <v>kpop</v>
      </c>
      <c r="B7093" s="2" t="str">
        <f ca="1">IFERROR(__xludf.DUMMYFUNCTION("""COMPUTED_VALUE"""),"kpop")</f>
        <v>kpop</v>
      </c>
      <c r="C7093" s="2" t="str">
        <f ca="1">IFERROR(__xludf.DUMMYFUNCTION("""COMPUTED_VALUE"""),"KPOP")</f>
        <v>KPOP</v>
      </c>
    </row>
    <row r="7094" spans="1:3" x14ac:dyDescent="0.25">
      <c r="A7094" s="2" t="str">
        <f ca="1">IFERROR(__xludf.DUMMYFUNCTION("""COMPUTED_VALUE"""),"k-pop-click-coin")</f>
        <v>k-pop-click-coin</v>
      </c>
      <c r="B7094" s="2" t="str">
        <f ca="1">IFERROR(__xludf.DUMMYFUNCTION("""COMPUTED_VALUE"""),"kpc")</f>
        <v>kpc</v>
      </c>
      <c r="C7094" s="2" t="str">
        <f ca="1">IFERROR(__xludf.DUMMYFUNCTION("""COMPUTED_VALUE"""),"K-POP CLICK COIN")</f>
        <v>K-POP CLICK COIN</v>
      </c>
    </row>
    <row r="7095" spans="1:3" x14ac:dyDescent="0.25">
      <c r="A7095" s="2" t="str">
        <f ca="1">IFERROR(__xludf.DUMMYFUNCTION("""COMPUTED_VALUE"""),"kpop-coin")</f>
        <v>kpop-coin</v>
      </c>
      <c r="B7095" s="2" t="str">
        <f ca="1">IFERROR(__xludf.DUMMYFUNCTION("""COMPUTED_VALUE"""),"kpop")</f>
        <v>kpop</v>
      </c>
      <c r="C7095" s="2" t="str">
        <f ca="1">IFERROR(__xludf.DUMMYFUNCTION("""COMPUTED_VALUE"""),"KPOP Coin")</f>
        <v>KPOP Coin</v>
      </c>
    </row>
    <row r="7096" spans="1:3" x14ac:dyDescent="0.25">
      <c r="A7096" s="2" t="str">
        <f ca="1">IFERROR(__xludf.DUMMYFUNCTION("""COMPUTED_VALUE"""),"k-pop-on-solana")</f>
        <v>k-pop-on-solana</v>
      </c>
      <c r="B7096" s="2" t="str">
        <f ca="1">IFERROR(__xludf.DUMMYFUNCTION("""COMPUTED_VALUE"""),"kpop")</f>
        <v>kpop</v>
      </c>
      <c r="C7096" s="2" t="str">
        <f ca="1">IFERROR(__xludf.DUMMYFUNCTION("""COMPUTED_VALUE"""),"K-Pop on Solana")</f>
        <v>K-Pop on Solana</v>
      </c>
    </row>
    <row r="7097" spans="1:3" x14ac:dyDescent="0.25">
      <c r="A7097" s="2" t="str">
        <f ca="1">IFERROR(__xludf.DUMMYFUNCTION("""COMPUTED_VALUE"""),"kratom")</f>
        <v>kratom</v>
      </c>
      <c r="B7097" s="2" t="str">
        <f ca="1">IFERROR(__xludf.DUMMYFUNCTION("""COMPUTED_VALUE"""),"kratom")</f>
        <v>kratom</v>
      </c>
      <c r="C7097" s="2" t="str">
        <f ca="1">IFERROR(__xludf.DUMMYFUNCTION("""COMPUTED_VALUE"""),"KRATOM")</f>
        <v>KRATOM</v>
      </c>
    </row>
    <row r="7098" spans="1:3" x14ac:dyDescent="0.25">
      <c r="A7098" s="2" t="str">
        <f ca="1">IFERROR(__xludf.DUMMYFUNCTION("""COMPUTED_VALUE"""),"krav")</f>
        <v>krav</v>
      </c>
      <c r="B7098" s="2" t="str">
        <f ca="1">IFERROR(__xludf.DUMMYFUNCTION("""COMPUTED_VALUE"""),"krav")</f>
        <v>krav</v>
      </c>
      <c r="C7098" s="2" t="str">
        <f ca="1">IFERROR(__xludf.DUMMYFUNCTION("""COMPUTED_VALUE"""),"Krav")</f>
        <v>Krav</v>
      </c>
    </row>
    <row r="7099" spans="1:3" x14ac:dyDescent="0.25">
      <c r="A7099" s="2" t="str">
        <f ca="1">IFERROR(__xludf.DUMMYFUNCTION("""COMPUTED_VALUE"""),"krazy-n-d")</f>
        <v>krazy-n-d</v>
      </c>
      <c r="B7099" s="2" t="str">
        <f ca="1">IFERROR(__xludf.DUMMYFUNCTION("""COMPUTED_VALUE"""),"krazy")</f>
        <v>krazy</v>
      </c>
      <c r="C7099" s="2" t="str">
        <f ca="1">IFERROR(__xludf.DUMMYFUNCTION("""COMPUTED_VALUE"""),"krazy n.d.")</f>
        <v>krazy n.d.</v>
      </c>
    </row>
    <row r="7100" spans="1:3" x14ac:dyDescent="0.25">
      <c r="A7100" s="2" t="str">
        <f ca="1">IFERROR(__xludf.DUMMYFUNCTION("""COMPUTED_VALUE"""),"kreaitor")</f>
        <v>kreaitor</v>
      </c>
      <c r="B7100" s="2" t="str">
        <f ca="1">IFERROR(__xludf.DUMMYFUNCTION("""COMPUTED_VALUE"""),"kai")</f>
        <v>kai</v>
      </c>
      <c r="C7100" s="2" t="str">
        <f ca="1">IFERROR(__xludf.DUMMYFUNCTION("""COMPUTED_VALUE"""),"Kreaitor")</f>
        <v>Kreaitor</v>
      </c>
    </row>
    <row r="7101" spans="1:3" x14ac:dyDescent="0.25">
      <c r="A7101" s="2" t="str">
        <f ca="1">IFERROR(__xludf.DUMMYFUNCTION("""COMPUTED_VALUE"""),"krees")</f>
        <v>krees</v>
      </c>
      <c r="B7101" s="2" t="str">
        <f ca="1">IFERROR(__xludf.DUMMYFUNCTION("""COMPUTED_VALUE"""),"krees")</f>
        <v>krees</v>
      </c>
      <c r="C7101" s="2" t="str">
        <f ca="1">IFERROR(__xludf.DUMMYFUNCTION("""COMPUTED_VALUE"""),"Krees")</f>
        <v>Krees</v>
      </c>
    </row>
    <row r="7102" spans="1:3" x14ac:dyDescent="0.25">
      <c r="A7102" s="2" t="str">
        <f ca="1">IFERROR(__xludf.DUMMYFUNCTION("""COMPUTED_VALUE"""),"krest")</f>
        <v>krest</v>
      </c>
      <c r="B7102" s="2" t="str">
        <f ca="1">IFERROR(__xludf.DUMMYFUNCTION("""COMPUTED_VALUE"""),"krest")</f>
        <v>krest</v>
      </c>
      <c r="C7102" s="2" t="str">
        <f ca="1">IFERROR(__xludf.DUMMYFUNCTION("""COMPUTED_VALUE"""),"Krest")</f>
        <v>Krest</v>
      </c>
    </row>
    <row r="7103" spans="1:3" x14ac:dyDescent="0.25">
      <c r="A7103" s="2" t="str">
        <f ca="1">IFERROR(__xludf.DUMMYFUNCTION("""COMPUTED_VALUE"""),"krida-fans")</f>
        <v>krida-fans</v>
      </c>
      <c r="B7103" s="2" t="str">
        <f ca="1">IFERROR(__xludf.DUMMYFUNCTION("""COMPUTED_VALUE"""),"krida")</f>
        <v>krida</v>
      </c>
      <c r="C7103" s="2" t="str">
        <f ca="1">IFERROR(__xludf.DUMMYFUNCTION("""COMPUTED_VALUE"""),"Krida Fans")</f>
        <v>Krida Fans</v>
      </c>
    </row>
    <row r="7104" spans="1:3" x14ac:dyDescent="0.25">
      <c r="A7104" s="2" t="str">
        <f ca="1">IFERROR(__xludf.DUMMYFUNCTION("""COMPUTED_VALUE"""),"kripto")</f>
        <v>kripto</v>
      </c>
      <c r="B7104" s="2" t="str">
        <f ca="1">IFERROR(__xludf.DUMMYFUNCTION("""COMPUTED_VALUE"""),"kripto")</f>
        <v>kripto</v>
      </c>
      <c r="C7104" s="2" t="str">
        <f ca="1">IFERROR(__xludf.DUMMYFUNCTION("""COMPUTED_VALUE"""),"Kripto")</f>
        <v>Kripto</v>
      </c>
    </row>
    <row r="7105" spans="1:3" x14ac:dyDescent="0.25">
      <c r="A7105" s="2" t="str">
        <f ca="1">IFERROR(__xludf.DUMMYFUNCTION("""COMPUTED_VALUE"""),"krogan")</f>
        <v>krogan</v>
      </c>
      <c r="B7105" s="2" t="str">
        <f ca="1">IFERROR(__xludf.DUMMYFUNCTION("""COMPUTED_VALUE"""),"kro")</f>
        <v>kro</v>
      </c>
      <c r="C7105" s="2" t="str">
        <f ca="1">IFERROR(__xludf.DUMMYFUNCTION("""COMPUTED_VALUE"""),"Krogan")</f>
        <v>Krogan</v>
      </c>
    </row>
    <row r="7106" spans="1:3" x14ac:dyDescent="0.25">
      <c r="A7106" s="2" t="str">
        <f ca="1">IFERROR(__xludf.DUMMYFUNCTION("""COMPUTED_VALUE"""),"kroma")</f>
        <v>kroma</v>
      </c>
      <c r="B7106" s="2" t="str">
        <f ca="1">IFERROR(__xludf.DUMMYFUNCTION("""COMPUTED_VALUE"""),"kro")</f>
        <v>kro</v>
      </c>
      <c r="C7106" s="2" t="str">
        <f ca="1">IFERROR(__xludf.DUMMYFUNCTION("""COMPUTED_VALUE"""),"Kroma")</f>
        <v>Kroma</v>
      </c>
    </row>
    <row r="7107" spans="1:3" x14ac:dyDescent="0.25">
      <c r="A7107" s="2" t="str">
        <f ca="1">IFERROR(__xludf.DUMMYFUNCTION("""COMPUTED_VALUE"""),"kromatika")</f>
        <v>kromatika</v>
      </c>
      <c r="B7107" s="2" t="str">
        <f ca="1">IFERROR(__xludf.DUMMYFUNCTION("""COMPUTED_VALUE"""),"krom")</f>
        <v>krom</v>
      </c>
      <c r="C7107" s="2" t="str">
        <f ca="1">IFERROR(__xludf.DUMMYFUNCTION("""COMPUTED_VALUE"""),"Kromatika")</f>
        <v>Kromatika</v>
      </c>
    </row>
    <row r="7108" spans="1:3" x14ac:dyDescent="0.25">
      <c r="A7108" s="2" t="str">
        <f ca="1">IFERROR(__xludf.DUMMYFUNCTION("""COMPUTED_VALUE"""),"kronobit")</f>
        <v>kronobit</v>
      </c>
      <c r="B7108" s="2" t="str">
        <f ca="1">IFERROR(__xludf.DUMMYFUNCTION("""COMPUTED_VALUE"""),"knb")</f>
        <v>knb</v>
      </c>
      <c r="C7108" s="2" t="str">
        <f ca="1">IFERROR(__xludf.DUMMYFUNCTION("""COMPUTED_VALUE"""),"Kronobit Networks Blockchain")</f>
        <v>Kronobit Networks Blockchain</v>
      </c>
    </row>
    <row r="7109" spans="1:3" x14ac:dyDescent="0.25">
      <c r="A7109" s="2" t="str">
        <f ca="1">IFERROR(__xludf.DUMMYFUNCTION("""COMPUTED_VALUE"""),"krown")</f>
        <v>krown</v>
      </c>
      <c r="B7109" s="2" t="str">
        <f ca="1">IFERROR(__xludf.DUMMYFUNCTION("""COMPUTED_VALUE"""),"krw")</f>
        <v>krw</v>
      </c>
      <c r="C7109" s="2" t="str">
        <f ca="1">IFERROR(__xludf.DUMMYFUNCTION("""COMPUTED_VALUE"""),"KROWN")</f>
        <v>KROWN</v>
      </c>
    </row>
    <row r="7110" spans="1:3" x14ac:dyDescent="0.25">
      <c r="A7110" s="2" t="str">
        <f ca="1">IFERROR(__xludf.DUMMYFUNCTION("""COMPUTED_VALUE"""),"kryll")</f>
        <v>kryll</v>
      </c>
      <c r="B7110" s="2" t="str">
        <f ca="1">IFERROR(__xludf.DUMMYFUNCTION("""COMPUTED_VALUE"""),"krl")</f>
        <v>krl</v>
      </c>
      <c r="C7110" s="2" t="str">
        <f ca="1">IFERROR(__xludf.DUMMYFUNCTION("""COMPUTED_VALUE"""),"KRYLL")</f>
        <v>KRYLL</v>
      </c>
    </row>
    <row r="7111" spans="1:3" x14ac:dyDescent="0.25">
      <c r="A7111" s="2" t="str">
        <f ca="1">IFERROR(__xludf.DUMMYFUNCTION("""COMPUTED_VALUE"""),"krypto-fraxtal-chicken")</f>
        <v>krypto-fraxtal-chicken</v>
      </c>
      <c r="B7111" s="2" t="str">
        <f ca="1">IFERROR(__xludf.DUMMYFUNCTION("""COMPUTED_VALUE"""),"kfc")</f>
        <v>kfc</v>
      </c>
      <c r="C7111" s="2" t="str">
        <f ca="1">IFERROR(__xludf.DUMMYFUNCTION("""COMPUTED_VALUE"""),"Krypto Fraxtal Chicken")</f>
        <v>Krypto Fraxtal Chicken</v>
      </c>
    </row>
    <row r="7112" spans="1:3" x14ac:dyDescent="0.25">
      <c r="A7112" s="2" t="str">
        <f ca="1">IFERROR(__xludf.DUMMYFUNCTION("""COMPUTED_VALUE"""),"kryptokrona")</f>
        <v>kryptokrona</v>
      </c>
      <c r="B7112" s="2" t="str">
        <f ca="1">IFERROR(__xludf.DUMMYFUNCTION("""COMPUTED_VALUE"""),"xkr")</f>
        <v>xkr</v>
      </c>
      <c r="C7112" s="2" t="str">
        <f ca="1">IFERROR(__xludf.DUMMYFUNCTION("""COMPUTED_VALUE"""),"Kryptokrona")</f>
        <v>Kryptokrona</v>
      </c>
    </row>
    <row r="7113" spans="1:3" x14ac:dyDescent="0.25">
      <c r="A7113" s="2" t="str">
        <f ca="1">IFERROR(__xludf.DUMMYFUNCTION("""COMPUTED_VALUE"""),"kryptomon")</f>
        <v>kryptomon</v>
      </c>
      <c r="B7113" s="2" t="str">
        <f ca="1">IFERROR(__xludf.DUMMYFUNCTION("""COMPUTED_VALUE"""),"kmon")</f>
        <v>kmon</v>
      </c>
      <c r="C7113" s="2" t="str">
        <f ca="1">IFERROR(__xludf.DUMMYFUNCTION("""COMPUTED_VALUE"""),"Kryptomon")</f>
        <v>Kryptomon</v>
      </c>
    </row>
    <row r="7114" spans="1:3" x14ac:dyDescent="0.25">
      <c r="A7114" s="2" t="str">
        <f ca="1">IFERROR(__xludf.DUMMYFUNCTION("""COMPUTED_VALUE"""),"krypton-dao")</f>
        <v>krypton-dao</v>
      </c>
      <c r="B7114" s="2" t="str">
        <f ca="1">IFERROR(__xludf.DUMMYFUNCTION("""COMPUTED_VALUE"""),"krd")</f>
        <v>krd</v>
      </c>
      <c r="C7114" s="2" t="str">
        <f ca="1">IFERROR(__xludf.DUMMYFUNCTION("""COMPUTED_VALUE"""),"Krypton DAO")</f>
        <v>Krypton DAO</v>
      </c>
    </row>
    <row r="7115" spans="1:3" x14ac:dyDescent="0.25">
      <c r="A7115" s="2" t="str">
        <f ca="1">IFERROR(__xludf.DUMMYFUNCTION("""COMPUTED_VALUE"""),"kryptonite")</f>
        <v>kryptonite</v>
      </c>
      <c r="B7115" s="2" t="str">
        <f ca="1">IFERROR(__xludf.DUMMYFUNCTION("""COMPUTED_VALUE"""),"seilor")</f>
        <v>seilor</v>
      </c>
      <c r="C7115" s="2" t="str">
        <f ca="1">IFERROR(__xludf.DUMMYFUNCTION("""COMPUTED_VALUE"""),"Kryptonite")</f>
        <v>Kryptonite</v>
      </c>
    </row>
    <row r="7116" spans="1:3" x14ac:dyDescent="0.25">
      <c r="A7116" s="2" t="str">
        <f ca="1">IFERROR(__xludf.DUMMYFUNCTION("""COMPUTED_VALUE"""),"kryptonite-staked-sei")</f>
        <v>kryptonite-staked-sei</v>
      </c>
      <c r="B7116" s="2" t="str">
        <f ca="1">IFERROR(__xludf.DUMMYFUNCTION("""COMPUTED_VALUE"""),"stsei")</f>
        <v>stsei</v>
      </c>
      <c r="C7116" s="2" t="str">
        <f ca="1">IFERROR(__xludf.DUMMYFUNCTION("""COMPUTED_VALUE"""),"Kryptonite Staked SEI")</f>
        <v>Kryptonite Staked SEI</v>
      </c>
    </row>
    <row r="7117" spans="1:3" x14ac:dyDescent="0.25">
      <c r="A7117" s="2" t="str">
        <f ca="1">IFERROR(__xludf.DUMMYFUNCTION("""COMPUTED_VALUE"""),"krypton-token")</f>
        <v>krypton-token</v>
      </c>
      <c r="B7117" s="2" t="str">
        <f ca="1">IFERROR(__xludf.DUMMYFUNCTION("""COMPUTED_VALUE"""),"kgc")</f>
        <v>kgc</v>
      </c>
      <c r="C7117" s="2" t="str">
        <f ca="1">IFERROR(__xludf.DUMMYFUNCTION("""COMPUTED_VALUE"""),"Krypton Galaxy Coin")</f>
        <v>Krypton Galaxy Coin</v>
      </c>
    </row>
    <row r="7118" spans="1:3" x14ac:dyDescent="0.25">
      <c r="A7118" s="2" t="str">
        <f ca="1">IFERROR(__xludf.DUMMYFUNCTION("""COMPUTED_VALUE"""),"kryxivia-game")</f>
        <v>kryxivia-game</v>
      </c>
      <c r="B7118" s="2" t="str">
        <f ca="1">IFERROR(__xludf.DUMMYFUNCTION("""COMPUTED_VALUE"""),"kxa")</f>
        <v>kxa</v>
      </c>
      <c r="C7118" s="2" t="str">
        <f ca="1">IFERROR(__xludf.DUMMYFUNCTION("""COMPUTED_VALUE"""),"Kryxivia Game")</f>
        <v>Kryxivia Game</v>
      </c>
    </row>
    <row r="7119" spans="1:3" x14ac:dyDescent="0.25">
      <c r="A7119" s="2" t="str">
        <f ca="1">IFERROR(__xludf.DUMMYFUNCTION("""COMPUTED_VALUE"""),"kryza-exchange")</f>
        <v>kryza-exchange</v>
      </c>
      <c r="B7119" s="2" t="str">
        <f ca="1">IFERROR(__xludf.DUMMYFUNCTION("""COMPUTED_VALUE"""),"krx")</f>
        <v>krx</v>
      </c>
      <c r="C7119" s="2" t="str">
        <f ca="1">IFERROR(__xludf.DUMMYFUNCTION("""COMPUTED_VALUE"""),"KRYZA Exchange")</f>
        <v>KRYZA Exchange</v>
      </c>
    </row>
    <row r="7120" spans="1:3" x14ac:dyDescent="0.25">
      <c r="A7120" s="2" t="str">
        <f ca="1">IFERROR(__xludf.DUMMYFUNCTION("""COMPUTED_VALUE"""),"kryza-network")</f>
        <v>kryza-network</v>
      </c>
      <c r="B7120" s="2" t="str">
        <f ca="1">IFERROR(__xludf.DUMMYFUNCTION("""COMPUTED_VALUE"""),"krn")</f>
        <v>krn</v>
      </c>
      <c r="C7120" s="2" t="str">
        <f ca="1">IFERROR(__xludf.DUMMYFUNCTION("""COMPUTED_VALUE"""),"KRYZA Network")</f>
        <v>KRYZA Network</v>
      </c>
    </row>
    <row r="7121" spans="1:3" x14ac:dyDescent="0.25">
      <c r="A7121" s="2" t="str">
        <f ca="1">IFERROR(__xludf.DUMMYFUNCTION("""COMPUTED_VALUE"""),"k-stadium")</f>
        <v>k-stadium</v>
      </c>
      <c r="B7121" s="2" t="str">
        <f ca="1">IFERROR(__xludf.DUMMYFUNCTION("""COMPUTED_VALUE"""),"ksta")</f>
        <v>ksta</v>
      </c>
      <c r="C7121" s="2" t="str">
        <f ca="1">IFERROR(__xludf.DUMMYFUNCTION("""COMPUTED_VALUE"""),"K Stadium")</f>
        <v>K Stadium</v>
      </c>
    </row>
    <row r="7122" spans="1:3" x14ac:dyDescent="0.25">
      <c r="A7122" s="2" t="str">
        <f ca="1">IFERROR(__xludf.DUMMYFUNCTION("""COMPUTED_VALUE"""),"kstarcoin")</f>
        <v>kstarcoin</v>
      </c>
      <c r="B7122" s="2" t="str">
        <f ca="1">IFERROR(__xludf.DUMMYFUNCTION("""COMPUTED_VALUE"""),"ksc")</f>
        <v>ksc</v>
      </c>
      <c r="C7122" s="2" t="str">
        <f ca="1">IFERROR(__xludf.DUMMYFUNCTION("""COMPUTED_VALUE"""),"KStarCoin")</f>
        <v>KStarCoin</v>
      </c>
    </row>
    <row r="7123" spans="1:3" x14ac:dyDescent="0.25">
      <c r="A7123" s="2" t="str">
        <f ca="1">IFERROR(__xludf.DUMMYFUNCTION("""COMPUTED_VALUE"""),"kstarnft")</f>
        <v>kstarnft</v>
      </c>
      <c r="B7123" s="2" t="str">
        <f ca="1">IFERROR(__xludf.DUMMYFUNCTION("""COMPUTED_VALUE"""),"knft")</f>
        <v>knft</v>
      </c>
      <c r="C7123" s="2" t="str">
        <f ca="1">IFERROR(__xludf.DUMMYFUNCTION("""COMPUTED_VALUE"""),"KStarNFT")</f>
        <v>KStarNFT</v>
      </c>
    </row>
    <row r="7124" spans="1:3" x14ac:dyDescent="0.25">
      <c r="A7124" s="2" t="str">
        <f ca="1">IFERROR(__xludf.DUMMYFUNCTION("""COMPUTED_VALUE"""),"k-tune")</f>
        <v>k-tune</v>
      </c>
      <c r="B7124" s="2" t="str">
        <f ca="1">IFERROR(__xludf.DUMMYFUNCTION("""COMPUTED_VALUE"""),"ktt")</f>
        <v>ktt</v>
      </c>
      <c r="C7124" s="2" t="str">
        <f ca="1">IFERROR(__xludf.DUMMYFUNCTION("""COMPUTED_VALUE"""),"K-Tune")</f>
        <v>K-Tune</v>
      </c>
    </row>
    <row r="7125" spans="1:3" x14ac:dyDescent="0.25">
      <c r="A7125" s="2" t="str">
        <f ca="1">IFERROR(__xludf.DUMMYFUNCTION("""COMPUTED_VALUE"""),"ktx-finance")</f>
        <v>ktx-finance</v>
      </c>
      <c r="B7125" s="2" t="str">
        <f ca="1">IFERROR(__xludf.DUMMYFUNCTION("""COMPUTED_VALUE"""),"ktc")</f>
        <v>ktc</v>
      </c>
      <c r="C7125" s="2" t="str">
        <f ca="1">IFERROR(__xludf.DUMMYFUNCTION("""COMPUTED_VALUE"""),"KTX.Finance")</f>
        <v>KTX.Finance</v>
      </c>
    </row>
    <row r="7126" spans="1:3" x14ac:dyDescent="0.25">
      <c r="A7126" s="2" t="str">
        <f ca="1">IFERROR(__xludf.DUMMYFUNCTION("""COMPUTED_VALUE"""),"kubecoin")</f>
        <v>kubecoin</v>
      </c>
      <c r="B7126" s="2" t="str">
        <f ca="1">IFERROR(__xludf.DUMMYFUNCTION("""COMPUTED_VALUE"""),"kube")</f>
        <v>kube</v>
      </c>
      <c r="C7126" s="2" t="str">
        <f ca="1">IFERROR(__xludf.DUMMYFUNCTION("""COMPUTED_VALUE"""),"KubeCoin")</f>
        <v>KubeCoin</v>
      </c>
    </row>
    <row r="7127" spans="1:3" x14ac:dyDescent="0.25">
      <c r="A7127" s="2" t="str">
        <f ca="1">IFERROR(__xludf.DUMMYFUNCTION("""COMPUTED_VALUE"""),"kucoin-bridged-usdc-kucoin-community-chain")</f>
        <v>kucoin-bridged-usdc-kucoin-community-chain</v>
      </c>
      <c r="B7127" s="2" t="str">
        <f ca="1">IFERROR(__xludf.DUMMYFUNCTION("""COMPUTED_VALUE"""),"usdc")</f>
        <v>usdc</v>
      </c>
      <c r="C7127" s="2" t="str">
        <f ca="1">IFERROR(__xludf.DUMMYFUNCTION("""COMPUTED_VALUE"""),"Kucoin Bridged USDC (KuCoin Community Chain)")</f>
        <v>Kucoin Bridged USDC (KuCoin Community Chain)</v>
      </c>
    </row>
    <row r="7128" spans="1:3" x14ac:dyDescent="0.25">
      <c r="A7128" s="2" t="str">
        <f ca="1">IFERROR(__xludf.DUMMYFUNCTION("""COMPUTED_VALUE"""),"kucoin-bridged-usdt-kucoin-community-chain")</f>
        <v>kucoin-bridged-usdt-kucoin-community-chain</v>
      </c>
      <c r="B7128" s="2" t="str">
        <f ca="1">IFERROR(__xludf.DUMMYFUNCTION("""COMPUTED_VALUE"""),"usdt")</f>
        <v>usdt</v>
      </c>
      <c r="C7128" s="2" t="str">
        <f ca="1">IFERROR(__xludf.DUMMYFUNCTION("""COMPUTED_VALUE"""),"KCC Bridged USDT (Kucoin Community Chain)")</f>
        <v>KCC Bridged USDT (Kucoin Community Chain)</v>
      </c>
    </row>
    <row r="7129" spans="1:3" x14ac:dyDescent="0.25">
      <c r="A7129" s="2" t="str">
        <f ca="1">IFERROR(__xludf.DUMMYFUNCTION("""COMPUTED_VALUE"""),"kucoin-shares")</f>
        <v>kucoin-shares</v>
      </c>
      <c r="B7129" s="2" t="str">
        <f ca="1">IFERROR(__xludf.DUMMYFUNCTION("""COMPUTED_VALUE"""),"kcs")</f>
        <v>kcs</v>
      </c>
      <c r="C7129" s="2" t="str">
        <f ca="1">IFERROR(__xludf.DUMMYFUNCTION("""COMPUTED_VALUE"""),"KuCoin")</f>
        <v>KuCoin</v>
      </c>
    </row>
    <row r="7130" spans="1:3" x14ac:dyDescent="0.25">
      <c r="A7130" s="2" t="str">
        <f ca="1">IFERROR(__xludf.DUMMYFUNCTION("""COMPUTED_VALUE"""),"kujira")</f>
        <v>kujira</v>
      </c>
      <c r="B7130" s="2" t="str">
        <f ca="1">IFERROR(__xludf.DUMMYFUNCTION("""COMPUTED_VALUE"""),"kuji")</f>
        <v>kuji</v>
      </c>
      <c r="C7130" s="2" t="str">
        <f ca="1">IFERROR(__xludf.DUMMYFUNCTION("""COMPUTED_VALUE"""),"Kujira")</f>
        <v>Kujira</v>
      </c>
    </row>
    <row r="7131" spans="1:3" x14ac:dyDescent="0.25">
      <c r="A7131" s="2" t="str">
        <f ca="1">IFERROR(__xludf.DUMMYFUNCTION("""COMPUTED_VALUE"""),"kuku")</f>
        <v>kuku</v>
      </c>
      <c r="B7131" s="2" t="str">
        <f ca="1">IFERROR(__xludf.DUMMYFUNCTION("""COMPUTED_VALUE"""),"kuku")</f>
        <v>kuku</v>
      </c>
      <c r="C7131" s="2" t="str">
        <f ca="1">IFERROR(__xludf.DUMMYFUNCTION("""COMPUTED_VALUE"""),"KuKu")</f>
        <v>KuKu</v>
      </c>
    </row>
    <row r="7132" spans="1:3" x14ac:dyDescent="0.25">
      <c r="A7132" s="2" t="str">
        <f ca="1">IFERROR(__xludf.DUMMYFUNCTION("""COMPUTED_VALUE"""),"kuma")</f>
        <v>kuma</v>
      </c>
      <c r="B7132" s="2" t="str">
        <f ca="1">IFERROR(__xludf.DUMMYFUNCTION("""COMPUTED_VALUE"""),"kuma")</f>
        <v>kuma</v>
      </c>
      <c r="C7132" s="2" t="str">
        <f ca="1">IFERROR(__xludf.DUMMYFUNCTION("""COMPUTED_VALUE"""),"KUMA")</f>
        <v>KUMA</v>
      </c>
    </row>
    <row r="7133" spans="1:3" x14ac:dyDescent="0.25">
      <c r="A7133" s="2" t="str">
        <f ca="1">IFERROR(__xludf.DUMMYFUNCTION("""COMPUTED_VALUE"""),"kumadex-token")</f>
        <v>kumadex-token</v>
      </c>
      <c r="B7133" s="2" t="str">
        <f ca="1">IFERROR(__xludf.DUMMYFUNCTION("""COMPUTED_VALUE"""),"dkuma")</f>
        <v>dkuma</v>
      </c>
      <c r="C7133" s="2" t="str">
        <f ca="1">IFERROR(__xludf.DUMMYFUNCTION("""COMPUTED_VALUE"""),"KumaDex Token")</f>
        <v>KumaDex Token</v>
      </c>
    </row>
    <row r="7134" spans="1:3" x14ac:dyDescent="0.25">
      <c r="A7134" s="2" t="str">
        <f ca="1">IFERROR(__xludf.DUMMYFUNCTION("""COMPUTED_VALUE"""),"kuma-inu")</f>
        <v>kuma-inu</v>
      </c>
      <c r="B7134" s="2" t="str">
        <f ca="1">IFERROR(__xludf.DUMMYFUNCTION("""COMPUTED_VALUE"""),"kuma")</f>
        <v>kuma</v>
      </c>
      <c r="C7134" s="2" t="str">
        <f ca="1">IFERROR(__xludf.DUMMYFUNCTION("""COMPUTED_VALUE"""),"Kuma Inu")</f>
        <v>Kuma Inu</v>
      </c>
    </row>
    <row r="7135" spans="1:3" x14ac:dyDescent="0.25">
      <c r="A7135" s="2" t="str">
        <f ca="1">IFERROR(__xludf.DUMMYFUNCTION("""COMPUTED_VALUE"""),"kuma-protocol-fr-kuma-interest-bearing-token")</f>
        <v>kuma-protocol-fr-kuma-interest-bearing-token</v>
      </c>
      <c r="B7135" s="2" t="str">
        <f ca="1">IFERROR(__xludf.DUMMYFUNCTION("""COMPUTED_VALUE"""),"frk")</f>
        <v>frk</v>
      </c>
      <c r="C7135" s="2" t="str">
        <f ca="1">IFERROR(__xludf.DUMMYFUNCTION("""COMPUTED_VALUE"""),"KUMA Protocol FR KUMA Interest Bearing Token")</f>
        <v>KUMA Protocol FR KUMA Interest Bearing Token</v>
      </c>
    </row>
    <row r="7136" spans="1:3" x14ac:dyDescent="0.25">
      <c r="A7136" s="2" t="str">
        <f ca="1">IFERROR(__xludf.DUMMYFUNCTION("""COMPUTED_VALUE"""),"kuma-protocol-wrapped-frk")</f>
        <v>kuma-protocol-wrapped-frk</v>
      </c>
      <c r="B7136" s="2" t="str">
        <f ca="1">IFERROR(__xludf.DUMMYFUNCTION("""COMPUTED_VALUE"""),"wfrk")</f>
        <v>wfrk</v>
      </c>
      <c r="C7136" s="2" t="str">
        <f ca="1">IFERROR(__xludf.DUMMYFUNCTION("""COMPUTED_VALUE"""),"KUMA Protocol Wrapped FRK")</f>
        <v>KUMA Protocol Wrapped FRK</v>
      </c>
    </row>
    <row r="7137" spans="1:3" x14ac:dyDescent="0.25">
      <c r="A7137" s="2" t="str">
        <f ca="1">IFERROR(__xludf.DUMMYFUNCTION("""COMPUTED_VALUE"""),"kunaikash")</f>
        <v>kunaikash</v>
      </c>
      <c r="B7137" s="2" t="str">
        <f ca="1">IFERROR(__xludf.DUMMYFUNCTION("""COMPUTED_VALUE"""),"kunai")</f>
        <v>kunai</v>
      </c>
      <c r="C7137" s="2" t="str">
        <f ca="1">IFERROR(__xludf.DUMMYFUNCTION("""COMPUTED_VALUE"""),"KunaiKash")</f>
        <v>KunaiKash</v>
      </c>
    </row>
    <row r="7138" spans="1:3" x14ac:dyDescent="0.25">
      <c r="A7138" s="2" t="str">
        <f ca="1">IFERROR(__xludf.DUMMYFUNCTION("""COMPUTED_VALUE"""),"kunci-coin")</f>
        <v>kunci-coin</v>
      </c>
      <c r="B7138" s="2" t="str">
        <f ca="1">IFERROR(__xludf.DUMMYFUNCTION("""COMPUTED_VALUE"""),"kunci")</f>
        <v>kunci</v>
      </c>
      <c r="C7138" s="2" t="str">
        <f ca="1">IFERROR(__xludf.DUMMYFUNCTION("""COMPUTED_VALUE"""),"Kunci Coin")</f>
        <v>Kunci Coin</v>
      </c>
    </row>
    <row r="7139" spans="1:3" x14ac:dyDescent="0.25">
      <c r="A7139" s="2" t="str">
        <f ca="1">IFERROR(__xludf.DUMMYFUNCTION("""COMPUTED_VALUE"""),"kung-fucat")</f>
        <v>kung-fucat</v>
      </c>
      <c r="B7139" s="2" t="str">
        <f ca="1">IFERROR(__xludf.DUMMYFUNCTION("""COMPUTED_VALUE"""),"kfucat")</f>
        <v>kfucat</v>
      </c>
      <c r="C7139" s="2" t="str">
        <f ca="1">IFERROR(__xludf.DUMMYFUNCTION("""COMPUTED_VALUE"""),"Kung-Fucat")</f>
        <v>Kung-Fucat</v>
      </c>
    </row>
    <row r="7140" spans="1:3" x14ac:dyDescent="0.25">
      <c r="A7140" s="2" t="str">
        <f ca="1">IFERROR(__xludf.DUMMYFUNCTION("""COMPUTED_VALUE"""),"kungfu-cat")</f>
        <v>kungfu-cat</v>
      </c>
      <c r="B7140" s="2" t="str">
        <f ca="1">IFERROR(__xludf.DUMMYFUNCTION("""COMPUTED_VALUE"""),"kfc")</f>
        <v>kfc</v>
      </c>
      <c r="C7140" s="2" t="str">
        <f ca="1">IFERROR(__xludf.DUMMYFUNCTION("""COMPUTED_VALUE"""),"KungFu Cat")</f>
        <v>KungFu Cat</v>
      </c>
    </row>
    <row r="7141" spans="1:3" x14ac:dyDescent="0.25">
      <c r="A7141" s="2" t="str">
        <f ca="1">IFERROR(__xludf.DUMMYFUNCTION("""COMPUTED_VALUE"""),"kuni")</f>
        <v>kuni</v>
      </c>
      <c r="B7141" s="2" t="str">
        <f ca="1">IFERROR(__xludf.DUMMYFUNCTION("""COMPUTED_VALUE"""),"kuni")</f>
        <v>kuni</v>
      </c>
      <c r="C7141" s="2" t="str">
        <f ca="1">IFERROR(__xludf.DUMMYFUNCTION("""COMPUTED_VALUE"""),"Kuni")</f>
        <v>Kuni</v>
      </c>
    </row>
    <row r="7142" spans="1:3" x14ac:dyDescent="0.25">
      <c r="A7142" s="2" t="str">
        <f ca="1">IFERROR(__xludf.DUMMYFUNCTION("""COMPUTED_VALUE"""),"kunji-finance")</f>
        <v>kunji-finance</v>
      </c>
      <c r="B7142" s="2" t="str">
        <f ca="1">IFERROR(__xludf.DUMMYFUNCTION("""COMPUTED_VALUE"""),"knj")</f>
        <v>knj</v>
      </c>
      <c r="C7142" s="2" t="str">
        <f ca="1">IFERROR(__xludf.DUMMYFUNCTION("""COMPUTED_VALUE"""),"Kunji Finance")</f>
        <v>Kunji Finance</v>
      </c>
    </row>
    <row r="7143" spans="1:3" x14ac:dyDescent="0.25">
      <c r="A7143" s="2" t="str">
        <f ca="1">IFERROR(__xludf.DUMMYFUNCTION("""COMPUTED_VALUE"""),"kunkun-coin")</f>
        <v>kunkun-coin</v>
      </c>
      <c r="B7143" s="2" t="str">
        <f ca="1">IFERROR(__xludf.DUMMYFUNCTION("""COMPUTED_VALUE"""),"kunkun")</f>
        <v>kunkun</v>
      </c>
      <c r="C7143" s="2" t="str">
        <f ca="1">IFERROR(__xludf.DUMMYFUNCTION("""COMPUTED_VALUE"""),"KUNKUN Coin")</f>
        <v>KUNKUN Coin</v>
      </c>
    </row>
    <row r="7144" spans="1:3" x14ac:dyDescent="0.25">
      <c r="A7144" s="2" t="str">
        <f ca="1">IFERROR(__xludf.DUMMYFUNCTION("""COMPUTED_VALUE"""),"kurbi")</f>
        <v>kurbi</v>
      </c>
      <c r="B7144" s="2" t="str">
        <f ca="1">IFERROR(__xludf.DUMMYFUNCTION("""COMPUTED_VALUE"""),"kurbi")</f>
        <v>kurbi</v>
      </c>
      <c r="C7144" s="2" t="str">
        <f ca="1">IFERROR(__xludf.DUMMYFUNCTION("""COMPUTED_VALUE"""),"kurbi")</f>
        <v>kurbi</v>
      </c>
    </row>
    <row r="7145" spans="1:3" x14ac:dyDescent="0.25">
      <c r="A7145" s="2" t="str">
        <f ca="1">IFERROR(__xludf.DUMMYFUNCTION("""COMPUTED_VALUE"""),"kurobi")</f>
        <v>kurobi</v>
      </c>
      <c r="B7145" s="2" t="str">
        <f ca="1">IFERROR(__xludf.DUMMYFUNCTION("""COMPUTED_VALUE"""),"kuro")</f>
        <v>kuro</v>
      </c>
      <c r="C7145" s="2" t="str">
        <f ca="1">IFERROR(__xludf.DUMMYFUNCTION("""COMPUTED_VALUE"""),"Kurobi")</f>
        <v>Kurobi</v>
      </c>
    </row>
    <row r="7146" spans="1:3" x14ac:dyDescent="0.25">
      <c r="A7146" s="2" t="str">
        <f ca="1">IFERROR(__xludf.DUMMYFUNCTION("""COMPUTED_VALUE"""),"kusama")</f>
        <v>kusama</v>
      </c>
      <c r="B7146" s="2" t="str">
        <f ca="1">IFERROR(__xludf.DUMMYFUNCTION("""COMPUTED_VALUE"""),"ksm")</f>
        <v>ksm</v>
      </c>
      <c r="C7146" s="2" t="str">
        <f ca="1">IFERROR(__xludf.DUMMYFUNCTION("""COMPUTED_VALUE"""),"Kusama")</f>
        <v>Kusama</v>
      </c>
    </row>
    <row r="7147" spans="1:3" x14ac:dyDescent="0.25">
      <c r="A7147" s="2" t="str">
        <f ca="1">IFERROR(__xludf.DUMMYFUNCTION("""COMPUTED_VALUE"""),"kusd-t")</f>
        <v>kusd-t</v>
      </c>
      <c r="B7147" s="2" t="str">
        <f ca="1">IFERROR(__xludf.DUMMYFUNCTION("""COMPUTED_VALUE"""),"kusd-t")</f>
        <v>kusd-t</v>
      </c>
      <c r="C7147" s="2" t="str">
        <f ca="1">IFERROR(__xludf.DUMMYFUNCTION("""COMPUTED_VALUE"""),"KUSD-T")</f>
        <v>KUSD-T</v>
      </c>
    </row>
    <row r="7148" spans="1:3" x14ac:dyDescent="0.25">
      <c r="A7148" s="2" t="str">
        <f ca="1">IFERROR(__xludf.DUMMYFUNCTION("""COMPUTED_VALUE"""),"kushcoin-sol")</f>
        <v>kushcoin-sol</v>
      </c>
      <c r="B7148" s="2" t="str">
        <f ca="1">IFERROR(__xludf.DUMMYFUNCTION("""COMPUTED_VALUE"""),"kush")</f>
        <v>kush</v>
      </c>
      <c r="C7148" s="2" t="str">
        <f ca="1">IFERROR(__xludf.DUMMYFUNCTION("""COMPUTED_VALUE"""),"kushcoin.sol")</f>
        <v>kushcoin.sol</v>
      </c>
    </row>
    <row r="7149" spans="1:3" x14ac:dyDescent="0.25">
      <c r="A7149" s="2" t="str">
        <f ca="1">IFERROR(__xludf.DUMMYFUNCTION("""COMPUTED_VALUE"""),"kusunoki-samurai")</f>
        <v>kusunoki-samurai</v>
      </c>
      <c r="B7149" s="2" t="str">
        <f ca="1">IFERROR(__xludf.DUMMYFUNCTION("""COMPUTED_VALUE"""),"kusunoki")</f>
        <v>kusunoki</v>
      </c>
      <c r="C7149" s="2" t="str">
        <f ca="1">IFERROR(__xludf.DUMMYFUNCTION("""COMPUTED_VALUE"""),"Kusunoki Samurai")</f>
        <v>Kusunoki Samurai</v>
      </c>
    </row>
    <row r="7150" spans="1:3" x14ac:dyDescent="0.25">
      <c r="A7150" s="2" t="str">
        <f ca="1">IFERROR(__xludf.DUMMYFUNCTION("""COMPUTED_VALUE"""),"kuswap")</f>
        <v>kuswap</v>
      </c>
      <c r="B7150" s="2" t="str">
        <f ca="1">IFERROR(__xludf.DUMMYFUNCTION("""COMPUTED_VALUE"""),"kus")</f>
        <v>kus</v>
      </c>
      <c r="C7150" s="2" t="str">
        <f ca="1">IFERROR(__xludf.DUMMYFUNCTION("""COMPUTED_VALUE"""),"KuSwap")</f>
        <v>KuSwap</v>
      </c>
    </row>
    <row r="7151" spans="1:3" x14ac:dyDescent="0.25">
      <c r="A7151" s="2" t="str">
        <f ca="1">IFERROR(__xludf.DUMMYFUNCTION("""COMPUTED_VALUE"""),"kvants-ai")</f>
        <v>kvants-ai</v>
      </c>
      <c r="B7151" s="2" t="str">
        <f ca="1">IFERROR(__xludf.DUMMYFUNCTION("""COMPUTED_VALUE"""),"kvnt")</f>
        <v>kvnt</v>
      </c>
      <c r="C7151" s="2" t="str">
        <f ca="1">IFERROR(__xludf.DUMMYFUNCTION("""COMPUTED_VALUE"""),"Kvants AI")</f>
        <v>Kvants AI</v>
      </c>
    </row>
    <row r="7152" spans="1:3" x14ac:dyDescent="0.25">
      <c r="A7152" s="2" t="str">
        <f ca="1">IFERROR(__xludf.DUMMYFUNCTION("""COMPUTED_VALUE"""),"kwai")</f>
        <v>kwai</v>
      </c>
      <c r="B7152" s="2" t="str">
        <f ca="1">IFERROR(__xludf.DUMMYFUNCTION("""COMPUTED_VALUE"""),"kwai")</f>
        <v>kwai</v>
      </c>
      <c r="C7152" s="2" t="str">
        <f ca="1">IFERROR(__xludf.DUMMYFUNCTION("""COMPUTED_VALUE"""),"KWAI")</f>
        <v>KWAI</v>
      </c>
    </row>
    <row r="7153" spans="1:3" x14ac:dyDescent="0.25">
      <c r="A7153" s="2" t="str">
        <f ca="1">IFERROR(__xludf.DUMMYFUNCTION("""COMPUTED_VALUE"""),"kwenta")</f>
        <v>kwenta</v>
      </c>
      <c r="B7153" s="2" t="str">
        <f ca="1">IFERROR(__xludf.DUMMYFUNCTION("""COMPUTED_VALUE"""),"kwenta")</f>
        <v>kwenta</v>
      </c>
      <c r="C7153" s="2" t="str">
        <f ca="1">IFERROR(__xludf.DUMMYFUNCTION("""COMPUTED_VALUE"""),"Kwenta")</f>
        <v>Kwenta</v>
      </c>
    </row>
    <row r="7154" spans="1:3" x14ac:dyDescent="0.25">
      <c r="A7154" s="2" t="str">
        <f ca="1">IFERROR(__xludf.DUMMYFUNCTION("""COMPUTED_VALUE"""),"kwiktrust")</f>
        <v>kwiktrust</v>
      </c>
      <c r="B7154" s="2" t="str">
        <f ca="1">IFERROR(__xludf.DUMMYFUNCTION("""COMPUTED_VALUE"""),"ktx")</f>
        <v>ktx</v>
      </c>
      <c r="C7154" s="2" t="str">
        <f ca="1">IFERROR(__xludf.DUMMYFUNCTION("""COMPUTED_VALUE"""),"KwikTrust")</f>
        <v>KwikTrust</v>
      </c>
    </row>
    <row r="7155" spans="1:3" x14ac:dyDescent="0.25">
      <c r="A7155" s="2" t="str">
        <f ca="1">IFERROR(__xludf.DUMMYFUNCTION("""COMPUTED_VALUE"""),"kyanite")</f>
        <v>kyanite</v>
      </c>
      <c r="B7155" s="2" t="str">
        <f ca="1">IFERROR(__xludf.DUMMYFUNCTION("""COMPUTED_VALUE"""),"kyan")</f>
        <v>kyan</v>
      </c>
      <c r="C7155" s="2" t="str">
        <f ca="1">IFERROR(__xludf.DUMMYFUNCTION("""COMPUTED_VALUE"""),"Kyanite")</f>
        <v>Kyanite</v>
      </c>
    </row>
    <row r="7156" spans="1:3" x14ac:dyDescent="0.25">
      <c r="A7156" s="2" t="str">
        <f ca="1">IFERROR(__xludf.DUMMYFUNCTION("""COMPUTED_VALUE"""),"kyberdyne")</f>
        <v>kyberdyne</v>
      </c>
      <c r="B7156" s="2" t="str">
        <f ca="1">IFERROR(__xludf.DUMMYFUNCTION("""COMPUTED_VALUE"""),"kbd")</f>
        <v>kbd</v>
      </c>
      <c r="C7156" s="2" t="str">
        <f ca="1">IFERROR(__xludf.DUMMYFUNCTION("""COMPUTED_VALUE"""),"Kyberdyne")</f>
        <v>Kyberdyne</v>
      </c>
    </row>
    <row r="7157" spans="1:3" x14ac:dyDescent="0.25">
      <c r="A7157" s="2" t="str">
        <f ca="1">IFERROR(__xludf.DUMMYFUNCTION("""COMPUTED_VALUE"""),"kyber-network")</f>
        <v>kyber-network</v>
      </c>
      <c r="B7157" s="2" t="str">
        <f ca="1">IFERROR(__xludf.DUMMYFUNCTION("""COMPUTED_VALUE"""),"kncl")</f>
        <v>kncl</v>
      </c>
      <c r="C7157" s="2" t="str">
        <f ca="1">IFERROR(__xludf.DUMMYFUNCTION("""COMPUTED_VALUE"""),"Kyber Network Crystal Legacy")</f>
        <v>Kyber Network Crystal Legacy</v>
      </c>
    </row>
    <row r="7158" spans="1:3" x14ac:dyDescent="0.25">
      <c r="A7158" s="2" t="str">
        <f ca="1">IFERROR(__xludf.DUMMYFUNCTION("""COMPUTED_VALUE"""),"kyber-network-crystal")</f>
        <v>kyber-network-crystal</v>
      </c>
      <c r="B7158" s="2" t="str">
        <f ca="1">IFERROR(__xludf.DUMMYFUNCTION("""COMPUTED_VALUE"""),"knc")</f>
        <v>knc</v>
      </c>
      <c r="C7158" s="2" t="str">
        <f ca="1">IFERROR(__xludf.DUMMYFUNCTION("""COMPUTED_VALUE"""),"Kyber Network Crystal")</f>
        <v>Kyber Network Crystal</v>
      </c>
    </row>
    <row r="7159" spans="1:3" x14ac:dyDescent="0.25">
      <c r="A7159" s="2" t="str">
        <f ca="1">IFERROR(__xludf.DUMMYFUNCTION("""COMPUTED_VALUE"""),"kylacoin")</f>
        <v>kylacoin</v>
      </c>
      <c r="B7159" s="2" t="str">
        <f ca="1">IFERROR(__xludf.DUMMYFUNCTION("""COMPUTED_VALUE"""),"kcn")</f>
        <v>kcn</v>
      </c>
      <c r="C7159" s="2" t="str">
        <f ca="1">IFERROR(__xludf.DUMMYFUNCTION("""COMPUTED_VALUE"""),"Kylacoin")</f>
        <v>Kylacoin</v>
      </c>
    </row>
    <row r="7160" spans="1:3" x14ac:dyDescent="0.25">
      <c r="A7160" s="2" t="str">
        <f ca="1">IFERROR(__xludf.DUMMYFUNCTION("""COMPUTED_VALUE"""),"kyotoswap")</f>
        <v>kyotoswap</v>
      </c>
      <c r="B7160" s="2" t="str">
        <f ca="1">IFERROR(__xludf.DUMMYFUNCTION("""COMPUTED_VALUE"""),"kswap")</f>
        <v>kswap</v>
      </c>
      <c r="C7160" s="2" t="str">
        <f ca="1">IFERROR(__xludf.DUMMYFUNCTION("""COMPUTED_VALUE"""),"KyotoSwap")</f>
        <v>KyotoSwap</v>
      </c>
    </row>
    <row r="7161" spans="1:3" x14ac:dyDescent="0.25">
      <c r="A7161" s="2" t="str">
        <f ca="1">IFERROR(__xludf.DUMMYFUNCTION("""COMPUTED_VALUE"""),"kyrrex")</f>
        <v>kyrrex</v>
      </c>
      <c r="B7161" s="2" t="str">
        <f ca="1">IFERROR(__xludf.DUMMYFUNCTION("""COMPUTED_VALUE"""),"krrx")</f>
        <v>krrx</v>
      </c>
      <c r="C7161" s="2" t="str">
        <f ca="1">IFERROR(__xludf.DUMMYFUNCTION("""COMPUTED_VALUE"""),"Kyrrex")</f>
        <v>Kyrrex</v>
      </c>
    </row>
    <row r="7162" spans="1:3" x14ac:dyDescent="0.25">
      <c r="A7162" s="2" t="str">
        <f ca="1">IFERROR(__xludf.DUMMYFUNCTION("""COMPUTED_VALUE"""),"kyte-one")</f>
        <v>kyte-one</v>
      </c>
      <c r="B7162" s="2" t="str">
        <f ca="1">IFERROR(__xludf.DUMMYFUNCTION("""COMPUTED_VALUE"""),"kte")</f>
        <v>kte</v>
      </c>
      <c r="C7162" s="2" t="str">
        <f ca="1">IFERROR(__xludf.DUMMYFUNCTION("""COMPUTED_VALUE"""),"Kyte.One")</f>
        <v>Kyte.One</v>
      </c>
    </row>
    <row r="7163" spans="1:3" x14ac:dyDescent="0.25">
      <c r="A7163" s="2" t="str">
        <f ca="1">IFERROR(__xludf.DUMMYFUNCTION("""COMPUTED_VALUE"""),"kyve-network")</f>
        <v>kyve-network</v>
      </c>
      <c r="B7163" s="2" t="str">
        <f ca="1">IFERROR(__xludf.DUMMYFUNCTION("""COMPUTED_VALUE"""),"kyve")</f>
        <v>kyve</v>
      </c>
      <c r="C7163" s="2" t="str">
        <f ca="1">IFERROR(__xludf.DUMMYFUNCTION("""COMPUTED_VALUE"""),"KYVE Network")</f>
        <v>KYVE Network</v>
      </c>
    </row>
    <row r="7164" spans="1:3" x14ac:dyDescent="0.25">
      <c r="A7164" s="2" t="str">
        <f ca="1">IFERROR(__xludf.DUMMYFUNCTION("""COMPUTED_VALUE"""),"kzcash")</f>
        <v>kzcash</v>
      </c>
      <c r="B7164" s="2" t="str">
        <f ca="1">IFERROR(__xludf.DUMMYFUNCTION("""COMPUTED_VALUE"""),"kzc")</f>
        <v>kzc</v>
      </c>
      <c r="C7164" s="2" t="str">
        <f ca="1">IFERROR(__xludf.DUMMYFUNCTION("""COMPUTED_VALUE"""),"Kzcash")</f>
        <v>Kzcash</v>
      </c>
    </row>
    <row r="7165" spans="1:3" x14ac:dyDescent="0.25">
      <c r="A7165" s="2" t="str">
        <f ca="1">IFERROR(__xludf.DUMMYFUNCTION("""COMPUTED_VALUE"""),"kz-token")</f>
        <v>kz-token</v>
      </c>
      <c r="B7165" s="2" t="str">
        <f ca="1">IFERROR(__xludf.DUMMYFUNCTION("""COMPUTED_VALUE"""),"kz")</f>
        <v>kz</v>
      </c>
      <c r="C7165" s="2" t="str">
        <f ca="1">IFERROR(__xludf.DUMMYFUNCTION("""COMPUTED_VALUE"""),"KZ Token")</f>
        <v>KZ Token</v>
      </c>
    </row>
    <row r="7166" spans="1:3" x14ac:dyDescent="0.25">
      <c r="A7166" s="2" t="str">
        <f ca="1">IFERROR(__xludf.DUMMYFUNCTION("""COMPUTED_VALUE"""),"l")</f>
        <v>l</v>
      </c>
      <c r="B7166" s="2" t="str">
        <f ca="1">IFERROR(__xludf.DUMMYFUNCTION("""COMPUTED_VALUE"""),"l")</f>
        <v>l</v>
      </c>
      <c r="C7166" s="2" t="str">
        <f ca="1">IFERROR(__xludf.DUMMYFUNCTION("""COMPUTED_VALUE"""),"L")</f>
        <v>L</v>
      </c>
    </row>
    <row r="7167" spans="1:3" x14ac:dyDescent="0.25">
      <c r="A7167" s="2" t="str">
        <f ca="1">IFERROR(__xludf.DUMMYFUNCTION("""COMPUTED_VALUE"""),"l2-standard-bridged-dai-base")</f>
        <v>l2-standard-bridged-dai-base</v>
      </c>
      <c r="B7167" s="2" t="str">
        <f ca="1">IFERROR(__xludf.DUMMYFUNCTION("""COMPUTED_VALUE"""),"dai")</f>
        <v>dai</v>
      </c>
      <c r="C7167" s="2" t="str">
        <f ca="1">IFERROR(__xludf.DUMMYFUNCTION("""COMPUTED_VALUE"""),"L2 Standard Bridged DAI (Base)")</f>
        <v>L2 Standard Bridged DAI (Base)</v>
      </c>
    </row>
    <row r="7168" spans="1:3" x14ac:dyDescent="0.25">
      <c r="A7168" s="2" t="str">
        <f ca="1">IFERROR(__xludf.DUMMYFUNCTION("""COMPUTED_VALUE"""),"l2-standard-bridged-fxs-fraxtal")</f>
        <v>l2-standard-bridged-fxs-fraxtal</v>
      </c>
      <c r="B7168" s="2" t="str">
        <f ca="1">IFERROR(__xludf.DUMMYFUNCTION("""COMPUTED_VALUE"""),"fxs")</f>
        <v>fxs</v>
      </c>
      <c r="C7168" s="2" t="str">
        <f ca="1">IFERROR(__xludf.DUMMYFUNCTION("""COMPUTED_VALUE"""),"L2 Standard Bridged FXS (Fraxtal)")</f>
        <v>L2 Standard Bridged FXS (Fraxtal)</v>
      </c>
    </row>
    <row r="7169" spans="1:3" x14ac:dyDescent="0.25">
      <c r="A7169" s="2" t="str">
        <f ca="1">IFERROR(__xludf.DUMMYFUNCTION("""COMPUTED_VALUE"""),"l2-standard-bridged-sfrxeth-fraxtal")</f>
        <v>l2-standard-bridged-sfrxeth-fraxtal</v>
      </c>
      <c r="B7169" s="2" t="str">
        <f ca="1">IFERROR(__xludf.DUMMYFUNCTION("""COMPUTED_VALUE"""),"sfrxeth")</f>
        <v>sfrxeth</v>
      </c>
      <c r="C7169" s="2" t="str">
        <f ca="1">IFERROR(__xludf.DUMMYFUNCTION("""COMPUTED_VALUE"""),"L2 Standard Bridged sfrxETH (Fraxtal)")</f>
        <v>L2 Standard Bridged sfrxETH (Fraxtal)</v>
      </c>
    </row>
    <row r="7170" spans="1:3" x14ac:dyDescent="0.25">
      <c r="A7170" s="2" t="str">
        <f ca="1">IFERROR(__xludf.DUMMYFUNCTION("""COMPUTED_VALUE"""),"l2-standard-bridged-usdt-base")</f>
        <v>l2-standard-bridged-usdt-base</v>
      </c>
      <c r="B7170" s="2" t="str">
        <f ca="1">IFERROR(__xludf.DUMMYFUNCTION("""COMPUTED_VALUE"""),"usdt")</f>
        <v>usdt</v>
      </c>
      <c r="C7170" s="2" t="str">
        <f ca="1">IFERROR(__xludf.DUMMYFUNCTION("""COMPUTED_VALUE"""),"L2 Standard Bridged USDT (Base)")</f>
        <v>L2 Standard Bridged USDT (Base)</v>
      </c>
    </row>
    <row r="7171" spans="1:3" x14ac:dyDescent="0.25">
      <c r="A7171" s="2" t="str">
        <f ca="1">IFERROR(__xludf.DUMMYFUNCTION("""COMPUTED_VALUE"""),"l2-standard-bridged-weth-base")</f>
        <v>l2-standard-bridged-weth-base</v>
      </c>
      <c r="B7171" s="2" t="str">
        <f ca="1">IFERROR(__xludf.DUMMYFUNCTION("""COMPUTED_VALUE"""),"weth")</f>
        <v>weth</v>
      </c>
      <c r="C7171" s="2" t="str">
        <f ca="1">IFERROR(__xludf.DUMMYFUNCTION("""COMPUTED_VALUE"""),"L2 Standard Bridged WETH (Base)")</f>
        <v>L2 Standard Bridged WETH (Base)</v>
      </c>
    </row>
    <row r="7172" spans="1:3" x14ac:dyDescent="0.25">
      <c r="A7172" s="2" t="str">
        <f ca="1">IFERROR(__xludf.DUMMYFUNCTION("""COMPUTED_VALUE"""),"l2-standard-bridged-weth-blast")</f>
        <v>l2-standard-bridged-weth-blast</v>
      </c>
      <c r="B7172" s="2" t="str">
        <f ca="1">IFERROR(__xludf.DUMMYFUNCTION("""COMPUTED_VALUE"""),"weth")</f>
        <v>weth</v>
      </c>
      <c r="C7172" s="2" t="str">
        <f ca="1">IFERROR(__xludf.DUMMYFUNCTION("""COMPUTED_VALUE"""),"L2 Standard Bridged WETH (Blast)")</f>
        <v>L2 Standard Bridged WETH (Blast)</v>
      </c>
    </row>
    <row r="7173" spans="1:3" x14ac:dyDescent="0.25">
      <c r="A7173" s="2" t="str">
        <f ca="1">IFERROR(__xludf.DUMMYFUNCTION("""COMPUTED_VALUE"""),"l2-standard-bridged-weth-modee")</f>
        <v>l2-standard-bridged-weth-modee</v>
      </c>
      <c r="B7173" s="2" t="str">
        <f ca="1">IFERROR(__xludf.DUMMYFUNCTION("""COMPUTED_VALUE"""),"weth")</f>
        <v>weth</v>
      </c>
      <c r="C7173" s="2" t="str">
        <f ca="1">IFERROR(__xludf.DUMMYFUNCTION("""COMPUTED_VALUE"""),"L2 Standard Bridged WETH (Mode)")</f>
        <v>L2 Standard Bridged WETH (Mode)</v>
      </c>
    </row>
    <row r="7174" spans="1:3" x14ac:dyDescent="0.25">
      <c r="A7174" s="2" t="str">
        <f ca="1">IFERROR(__xludf.DUMMYFUNCTION("""COMPUTED_VALUE"""),"l2-standard-bridged-weth-optimism")</f>
        <v>l2-standard-bridged-weth-optimism</v>
      </c>
      <c r="B7174" s="2" t="str">
        <f ca="1">IFERROR(__xludf.DUMMYFUNCTION("""COMPUTED_VALUE"""),"weth")</f>
        <v>weth</v>
      </c>
      <c r="C7174" s="2" t="str">
        <f ca="1">IFERROR(__xludf.DUMMYFUNCTION("""COMPUTED_VALUE"""),"L2 Standard Bridged WETH (Optimism)")</f>
        <v>L2 Standard Bridged WETH (Optimism)</v>
      </c>
    </row>
    <row r="7175" spans="1:3" x14ac:dyDescent="0.25">
      <c r="A7175" s="2" t="str">
        <f ca="1">IFERROR(__xludf.DUMMYFUNCTION("""COMPUTED_VALUE"""),"l2ve-inu")</f>
        <v>l2ve-inu</v>
      </c>
      <c r="B7175" s="2" t="str">
        <f ca="1">IFERROR(__xludf.DUMMYFUNCTION("""COMPUTED_VALUE"""),"l2ve")</f>
        <v>l2ve</v>
      </c>
      <c r="C7175" s="2" t="str">
        <f ca="1">IFERROR(__xludf.DUMMYFUNCTION("""COMPUTED_VALUE"""),"L2VE INU")</f>
        <v>L2VE INU</v>
      </c>
    </row>
    <row r="7176" spans="1:3" x14ac:dyDescent="0.25">
      <c r="A7176" s="2" t="str">
        <f ca="1">IFERROR(__xludf.DUMMYFUNCTION("""COMPUTED_VALUE"""),"l3t-h1m-c00k")</f>
        <v>l3t-h1m-c00k</v>
      </c>
      <c r="B7176" s="2" t="str">
        <f ca="1">IFERROR(__xludf.DUMMYFUNCTION("""COMPUTED_VALUE"""),"dough")</f>
        <v>dough</v>
      </c>
      <c r="C7176" s="2" t="str">
        <f ca="1">IFERROR(__xludf.DUMMYFUNCTION("""COMPUTED_VALUE"""),"L3T H1M C00K")</f>
        <v>L3T H1M C00K</v>
      </c>
    </row>
    <row r="7177" spans="1:3" x14ac:dyDescent="0.25">
      <c r="A7177" s="2" t="str">
        <f ca="1">IFERROR(__xludf.DUMMYFUNCTION("""COMPUTED_VALUE"""),"l3usd")</f>
        <v>l3usd</v>
      </c>
      <c r="B7177" s="2" t="str">
        <f ca="1">IFERROR(__xludf.DUMMYFUNCTION("""COMPUTED_VALUE"""),"l3usd")</f>
        <v>l3usd</v>
      </c>
      <c r="C7177" s="2" t="str">
        <f ca="1">IFERROR(__xludf.DUMMYFUNCTION("""COMPUTED_VALUE"""),"L3USD")</f>
        <v>L3USD</v>
      </c>
    </row>
    <row r="7178" spans="1:3" x14ac:dyDescent="0.25">
      <c r="A7178" s="2" t="str">
        <f ca="1">IFERROR(__xludf.DUMMYFUNCTION("""COMPUTED_VALUE"""),"l7dex")</f>
        <v>l7dex</v>
      </c>
      <c r="B7178" s="2" t="str">
        <f ca="1">IFERROR(__xludf.DUMMYFUNCTION("""COMPUTED_VALUE"""),"lsd")</f>
        <v>lsd</v>
      </c>
      <c r="C7178" s="2" t="str">
        <f ca="1">IFERROR(__xludf.DUMMYFUNCTION("""COMPUTED_VALUE"""),"L7DEX")</f>
        <v>L7DEX</v>
      </c>
    </row>
    <row r="7179" spans="1:3" x14ac:dyDescent="0.25">
      <c r="A7179" s="2" t="str">
        <f ca="1">IFERROR(__xludf.DUMMYFUNCTION("""COMPUTED_VALUE"""),"label-foundation")</f>
        <v>label-foundation</v>
      </c>
      <c r="B7179" s="2" t="str">
        <f ca="1">IFERROR(__xludf.DUMMYFUNCTION("""COMPUTED_VALUE"""),"lbl")</f>
        <v>lbl</v>
      </c>
      <c r="C7179" s="2" t="str">
        <f ca="1">IFERROR(__xludf.DUMMYFUNCTION("""COMPUTED_VALUE"""),"LABEL AI")</f>
        <v>LABEL AI</v>
      </c>
    </row>
    <row r="7180" spans="1:3" x14ac:dyDescent="0.25">
      <c r="A7180" s="2" t="str">
        <f ca="1">IFERROR(__xludf.DUMMYFUNCTION("""COMPUTED_VALUE"""),"labradorbitcoin")</f>
        <v>labradorbitcoin</v>
      </c>
      <c r="B7180" s="2" t="str">
        <f ca="1">IFERROR(__xludf.DUMMYFUNCTION("""COMPUTED_VALUE"""),"labi")</f>
        <v>labi</v>
      </c>
      <c r="C7180" s="2" t="str">
        <f ca="1">IFERROR(__xludf.DUMMYFUNCTION("""COMPUTED_VALUE"""),"LabradorBitcoin")</f>
        <v>LabradorBitcoin</v>
      </c>
    </row>
    <row r="7181" spans="1:3" x14ac:dyDescent="0.25">
      <c r="A7181" s="2" t="str">
        <f ca="1">IFERROR(__xludf.DUMMYFUNCTION("""COMPUTED_VALUE"""),"labs-group")</f>
        <v>labs-group</v>
      </c>
      <c r="B7181" s="2" t="str">
        <f ca="1">IFERROR(__xludf.DUMMYFUNCTION("""COMPUTED_VALUE"""),"labsv2")</f>
        <v>labsv2</v>
      </c>
      <c r="C7181" s="2" t="str">
        <f ca="1">IFERROR(__xludf.DUMMYFUNCTION("""COMPUTED_VALUE"""),"LABSV2")</f>
        <v>LABSV2</v>
      </c>
    </row>
    <row r="7182" spans="1:3" x14ac:dyDescent="0.25">
      <c r="A7182" s="2" t="str">
        <f ca="1">IFERROR(__xludf.DUMMYFUNCTION("""COMPUTED_VALUE"""),"labs-protocol")</f>
        <v>labs-protocol</v>
      </c>
      <c r="B7182" s="2" t="str">
        <f ca="1">IFERROR(__xludf.DUMMYFUNCTION("""COMPUTED_VALUE"""),"labs")</f>
        <v>labs</v>
      </c>
      <c r="C7182" s="2" t="str">
        <f ca="1">IFERROR(__xludf.DUMMYFUNCTION("""COMPUTED_VALUE"""),"LABS Protocol")</f>
        <v>LABS Protocol</v>
      </c>
    </row>
    <row r="7183" spans="1:3" x14ac:dyDescent="0.25">
      <c r="A7183" s="2" t="str">
        <f ca="1">IFERROR(__xludf.DUMMYFUNCTION("""COMPUTED_VALUE"""),"la-coin")</f>
        <v>la-coin</v>
      </c>
      <c r="B7183" s="2" t="str">
        <f ca="1">IFERROR(__xludf.DUMMYFUNCTION("""COMPUTED_VALUE"""),"lac")</f>
        <v>lac</v>
      </c>
      <c r="C7183" s="2" t="str">
        <f ca="1">IFERROR(__xludf.DUMMYFUNCTION("""COMPUTED_VALUE"""),"La Coin")</f>
        <v>La Coin</v>
      </c>
    </row>
    <row r="7184" spans="1:3" x14ac:dyDescent="0.25">
      <c r="A7184" s="2" t="str">
        <f ca="1">IFERROR(__xludf.DUMMYFUNCTION("""COMPUTED_VALUE"""),"ladybot")</f>
        <v>ladybot</v>
      </c>
      <c r="B7184" s="2" t="str">
        <f ca="1">IFERROR(__xludf.DUMMYFUNCTION("""COMPUTED_VALUE"""),"$lady")</f>
        <v>$lady</v>
      </c>
      <c r="C7184" s="2" t="str">
        <f ca="1">IFERROR(__xludf.DUMMYFUNCTION("""COMPUTED_VALUE"""),"LadyBot")</f>
        <v>LadyBot</v>
      </c>
    </row>
    <row r="7185" spans="1:3" x14ac:dyDescent="0.25">
      <c r="A7185" s="2" t="str">
        <f ca="1">IFERROR(__xludf.DUMMYFUNCTION("""COMPUTED_VALUE"""),"laika")</f>
        <v>laika</v>
      </c>
      <c r="B7185" s="2" t="str">
        <f ca="1">IFERROR(__xludf.DUMMYFUNCTION("""COMPUTED_VALUE"""),"laika")</f>
        <v>laika</v>
      </c>
      <c r="C7185" s="2" t="str">
        <f ca="1">IFERROR(__xludf.DUMMYFUNCTION("""COMPUTED_VALUE"""),"Laika")</f>
        <v>Laika</v>
      </c>
    </row>
    <row r="7186" spans="1:3" x14ac:dyDescent="0.25">
      <c r="A7186" s="2" t="str">
        <f ca="1">IFERROR(__xludf.DUMMYFUNCTION("""COMPUTED_VALUE"""),"laika-ai")</f>
        <v>laika-ai</v>
      </c>
      <c r="B7186" s="2" t="str">
        <f ca="1">IFERROR(__xludf.DUMMYFUNCTION("""COMPUTED_VALUE"""),"lki")</f>
        <v>lki</v>
      </c>
      <c r="C7186" s="2" t="str">
        <f ca="1">IFERROR(__xludf.DUMMYFUNCTION("""COMPUTED_VALUE"""),"Laika AI")</f>
        <v>Laika AI</v>
      </c>
    </row>
    <row r="7187" spans="1:3" x14ac:dyDescent="0.25">
      <c r="A7187" s="2" t="str">
        <f ca="1">IFERROR(__xludf.DUMMYFUNCTION("""COMPUTED_VALUE"""),"laikachain")</f>
        <v>laikachain</v>
      </c>
      <c r="B7187" s="2" t="str">
        <f ca="1">IFERROR(__xludf.DUMMYFUNCTION("""COMPUTED_VALUE"""),"laika")</f>
        <v>laika</v>
      </c>
      <c r="C7187" s="2" t="str">
        <f ca="1">IFERROR(__xludf.DUMMYFUNCTION("""COMPUTED_VALUE"""),"Laïka")</f>
        <v>Laïka</v>
      </c>
    </row>
    <row r="7188" spans="1:3" x14ac:dyDescent="0.25">
      <c r="A7188" s="2" t="str">
        <f ca="1">IFERROR(__xludf.DUMMYFUNCTION("""COMPUTED_VALUE"""),"laine-stake")</f>
        <v>laine-stake</v>
      </c>
      <c r="B7188" s="2" t="str">
        <f ca="1">IFERROR(__xludf.DUMMYFUNCTION("""COMPUTED_VALUE"""),"lainesol")</f>
        <v>lainesol</v>
      </c>
      <c r="C7188" s="2" t="str">
        <f ca="1">IFERROR(__xludf.DUMMYFUNCTION("""COMPUTED_VALUE"""),"Laine Staked SOL")</f>
        <v>Laine Staked SOL</v>
      </c>
    </row>
    <row r="7189" spans="1:3" x14ac:dyDescent="0.25">
      <c r="A7189" s="2" t="str">
        <f ca="1">IFERROR(__xludf.DUMMYFUNCTION("""COMPUTED_VALUE"""),"lair-staked-kaia")</f>
        <v>lair-staked-kaia</v>
      </c>
      <c r="B7189" s="2" t="str">
        <f ca="1">IFERROR(__xludf.DUMMYFUNCTION("""COMPUTED_VALUE"""),"stkaia")</f>
        <v>stkaia</v>
      </c>
      <c r="C7189" s="2" t="str">
        <f ca="1">IFERROR(__xludf.DUMMYFUNCTION("""COMPUTED_VALUE"""),"Lair Staked KAIA")</f>
        <v>Lair Staked KAIA</v>
      </c>
    </row>
    <row r="7190" spans="1:3" x14ac:dyDescent="0.25">
      <c r="A7190" s="2" t="str">
        <f ca="1">IFERROR(__xludf.DUMMYFUNCTION("""COMPUTED_VALUE"""),"lakeviewmeta")</f>
        <v>lakeviewmeta</v>
      </c>
      <c r="B7190" s="2" t="str">
        <f ca="1">IFERROR(__xludf.DUMMYFUNCTION("""COMPUTED_VALUE"""),"lvm")</f>
        <v>lvm</v>
      </c>
      <c r="C7190" s="2" t="str">
        <f ca="1">IFERROR(__xludf.DUMMYFUNCTION("""COMPUTED_VALUE"""),"LakeViewMeta")</f>
        <v>LakeViewMeta</v>
      </c>
    </row>
    <row r="7191" spans="1:3" x14ac:dyDescent="0.25">
      <c r="A7191" s="2" t="str">
        <f ca="1">IFERROR(__xludf.DUMMYFUNCTION("""COMPUTED_VALUE"""),"lamas-finance")</f>
        <v>lamas-finance</v>
      </c>
      <c r="B7191" s="2" t="str">
        <f ca="1">IFERROR(__xludf.DUMMYFUNCTION("""COMPUTED_VALUE"""),"lmf")</f>
        <v>lmf</v>
      </c>
      <c r="C7191" s="2" t="str">
        <f ca="1">IFERROR(__xludf.DUMMYFUNCTION("""COMPUTED_VALUE"""),"Lamas Finance")</f>
        <v>Lamas Finance</v>
      </c>
    </row>
    <row r="7192" spans="1:3" x14ac:dyDescent="0.25">
      <c r="A7192" s="2" t="str">
        <f ca="1">IFERROR(__xludf.DUMMYFUNCTION("""COMPUTED_VALUE"""),"lambda")</f>
        <v>lambda</v>
      </c>
      <c r="B7192" s="2" t="str">
        <f ca="1">IFERROR(__xludf.DUMMYFUNCTION("""COMPUTED_VALUE"""),"lamb")</f>
        <v>lamb</v>
      </c>
      <c r="C7192" s="2" t="str">
        <f ca="1">IFERROR(__xludf.DUMMYFUNCTION("""COMPUTED_VALUE"""),"Lambda")</f>
        <v>Lambda</v>
      </c>
    </row>
    <row r="7193" spans="1:3" x14ac:dyDescent="0.25">
      <c r="A7193" s="2" t="str">
        <f ca="1">IFERROR(__xludf.DUMMYFUNCTION("""COMPUTED_VALUE"""),"lambda-markets")</f>
        <v>lambda-markets</v>
      </c>
      <c r="B7193" s="2" t="str">
        <f ca="1">IFERROR(__xludf.DUMMYFUNCTION("""COMPUTED_VALUE"""),"lmda")</f>
        <v>lmda</v>
      </c>
      <c r="C7193" s="2" t="str">
        <f ca="1">IFERROR(__xludf.DUMMYFUNCTION("""COMPUTED_VALUE"""),"Lambda Markets")</f>
        <v>Lambda Markets</v>
      </c>
    </row>
    <row r="7194" spans="1:3" x14ac:dyDescent="0.25">
      <c r="A7194" s="2" t="str">
        <f ca="1">IFERROR(__xludf.DUMMYFUNCTION("""COMPUTED_VALUE"""),"lambo-0fcbf0f7-1a8f-470d-ba09-797d5e95d836")</f>
        <v>lambo-0fcbf0f7-1a8f-470d-ba09-797d5e95d836</v>
      </c>
      <c r="B7194" s="2" t="str">
        <f ca="1">IFERROR(__xludf.DUMMYFUNCTION("""COMPUTED_VALUE"""),"lambo")</f>
        <v>lambo</v>
      </c>
      <c r="C7194" s="2" t="str">
        <f ca="1">IFERROR(__xludf.DUMMYFUNCTION("""COMPUTED_VALUE"""),"$LAMBO")</f>
        <v>$LAMBO</v>
      </c>
    </row>
    <row r="7195" spans="1:3" x14ac:dyDescent="0.25">
      <c r="A7195" s="2" t="str">
        <f ca="1">IFERROR(__xludf.DUMMYFUNCTION("""COMPUTED_VALUE"""),"lambo-2")</f>
        <v>lambo-2</v>
      </c>
      <c r="B7195" s="2" t="str">
        <f ca="1">IFERROR(__xludf.DUMMYFUNCTION("""COMPUTED_VALUE"""),"lambo")</f>
        <v>lambo</v>
      </c>
      <c r="C7195" s="2" t="str">
        <f ca="1">IFERROR(__xludf.DUMMYFUNCTION("""COMPUTED_VALUE"""),"Lambo")</f>
        <v>Lambo</v>
      </c>
    </row>
    <row r="7196" spans="1:3" x14ac:dyDescent="0.25">
      <c r="A7196" s="2" t="str">
        <f ca="1">IFERROR(__xludf.DUMMYFUNCTION("""COMPUTED_VALUE"""),"lamp-on-larissa")</f>
        <v>lamp-on-larissa</v>
      </c>
      <c r="B7196" s="2" t="str">
        <f ca="1">IFERROR(__xludf.DUMMYFUNCTION("""COMPUTED_VALUE"""),"lamp")</f>
        <v>lamp</v>
      </c>
      <c r="C7196" s="2" t="str">
        <f ca="1">IFERROR(__xludf.DUMMYFUNCTION("""COMPUTED_VALUE"""),"LAMP")</f>
        <v>LAMP</v>
      </c>
    </row>
    <row r="7197" spans="1:3" x14ac:dyDescent="0.25">
      <c r="A7197" s="2" t="str">
        <f ca="1">IFERROR(__xludf.DUMMYFUNCTION("""COMPUTED_VALUE"""),"lanacoin")</f>
        <v>lanacoin</v>
      </c>
      <c r="B7197" s="2" t="str">
        <f ca="1">IFERROR(__xludf.DUMMYFUNCTION("""COMPUTED_VALUE"""),"lana")</f>
        <v>lana</v>
      </c>
      <c r="C7197" s="2" t="str">
        <f ca="1">IFERROR(__xludf.DUMMYFUNCTION("""COMPUTED_VALUE"""),"LanaCoin")</f>
        <v>LanaCoin</v>
      </c>
    </row>
    <row r="7198" spans="1:3" x14ac:dyDescent="0.25">
      <c r="A7198" s="2" t="str">
        <f ca="1">IFERROR(__xludf.DUMMYFUNCTION("""COMPUTED_VALUE"""),"lanceria")</f>
        <v>lanceria</v>
      </c>
      <c r="B7198" s="2" t="str">
        <f ca="1">IFERROR(__xludf.DUMMYFUNCTION("""COMPUTED_VALUE"""),"lanc")</f>
        <v>lanc</v>
      </c>
      <c r="C7198" s="2" t="str">
        <f ca="1">IFERROR(__xludf.DUMMYFUNCTION("""COMPUTED_VALUE"""),"Lanceria")</f>
        <v>Lanceria</v>
      </c>
    </row>
    <row r="7199" spans="1:3" x14ac:dyDescent="0.25">
      <c r="A7199" s="2" t="str">
        <f ca="1">IFERROR(__xludf.DUMMYFUNCTION("""COMPUTED_VALUE"""),"landboard")</f>
        <v>landboard</v>
      </c>
      <c r="B7199" s="2" t="str">
        <f ca="1">IFERROR(__xludf.DUMMYFUNCTION("""COMPUTED_VALUE"""),"land")</f>
        <v>land</v>
      </c>
      <c r="C7199" s="2" t="str">
        <f ca="1">IFERROR(__xludf.DUMMYFUNCTION("""COMPUTED_VALUE"""),"Landboard")</f>
        <v>Landboard</v>
      </c>
    </row>
    <row r="7200" spans="1:3" x14ac:dyDescent="0.25">
      <c r="A7200" s="2" t="str">
        <f ca="1">IFERROR(__xludf.DUMMYFUNCTION("""COMPUTED_VALUE"""),"lander")</f>
        <v>lander</v>
      </c>
      <c r="B7200" s="2" t="str">
        <f ca="1">IFERROR(__xludf.DUMMYFUNCTION("""COMPUTED_VALUE"""),"tcl")</f>
        <v>tcl</v>
      </c>
      <c r="C7200" s="2" t="str">
        <f ca="1">IFERROR(__xludf.DUMMYFUNCTION("""COMPUTED_VALUE"""),"Lander")</f>
        <v>Lander</v>
      </c>
    </row>
    <row r="7201" spans="1:3" x14ac:dyDescent="0.25">
      <c r="A7201" s="2" t="str">
        <f ca="1">IFERROR(__xludf.DUMMYFUNCTION("""COMPUTED_VALUE"""),"landlord-roland")</f>
        <v>landlord-roland</v>
      </c>
      <c r="B7201" s="2" t="str">
        <f ca="1">IFERROR(__xludf.DUMMYFUNCTION("""COMPUTED_VALUE"""),"$landlord")</f>
        <v>$landlord</v>
      </c>
      <c r="C7201" s="2" t="str">
        <f ca="1">IFERROR(__xludf.DUMMYFUNCTION("""COMPUTED_VALUE"""),"Landlord Ronald")</f>
        <v>Landlord Ronald</v>
      </c>
    </row>
    <row r="7202" spans="1:3" x14ac:dyDescent="0.25">
      <c r="A7202" s="2" t="str">
        <f ca="1">IFERROR(__xludf.DUMMYFUNCTION("""COMPUTED_VALUE"""),"land-of-heroes-2")</f>
        <v>land-of-heroes-2</v>
      </c>
      <c r="B7202" s="2" t="str">
        <f ca="1">IFERROR(__xludf.DUMMYFUNCTION("""COMPUTED_VALUE"""),"loh")</f>
        <v>loh</v>
      </c>
      <c r="C7202" s="2" t="str">
        <f ca="1">IFERROR(__xludf.DUMMYFUNCTION("""COMPUTED_VALUE"""),"Land Of Heroes")</f>
        <v>Land Of Heroes</v>
      </c>
    </row>
    <row r="7203" spans="1:3" x14ac:dyDescent="0.25">
      <c r="A7203" s="2" t="str">
        <f ca="1">IFERROR(__xludf.DUMMYFUNCTION("""COMPUTED_VALUE"""),"landrocker")</f>
        <v>landrocker</v>
      </c>
      <c r="B7203" s="2" t="str">
        <f ca="1">IFERROR(__xludf.DUMMYFUNCTION("""COMPUTED_VALUE"""),"lrt")</f>
        <v>lrt</v>
      </c>
      <c r="C7203" s="2" t="str">
        <f ca="1">IFERROR(__xludf.DUMMYFUNCTION("""COMPUTED_VALUE"""),"LandRocker")</f>
        <v>LandRocker</v>
      </c>
    </row>
    <row r="7204" spans="1:3" x14ac:dyDescent="0.25">
      <c r="A7204" s="2" t="str">
        <f ca="1">IFERROR(__xludf.DUMMYFUNCTION("""COMPUTED_VALUE"""),"landshare")</f>
        <v>landshare</v>
      </c>
      <c r="B7204" s="2" t="str">
        <f ca="1">IFERROR(__xludf.DUMMYFUNCTION("""COMPUTED_VALUE"""),"land")</f>
        <v>land</v>
      </c>
      <c r="C7204" s="2" t="str">
        <f ca="1">IFERROR(__xludf.DUMMYFUNCTION("""COMPUTED_VALUE"""),"Landshare")</f>
        <v>Landshare</v>
      </c>
    </row>
    <row r="7205" spans="1:3" x14ac:dyDescent="0.25">
      <c r="A7205" s="2" t="str">
        <f ca="1">IFERROR(__xludf.DUMMYFUNCTION("""COMPUTED_VALUE"""),"landtorn-shard")</f>
        <v>landtorn-shard</v>
      </c>
      <c r="B7205" s="2" t="str">
        <f ca="1">IFERROR(__xludf.DUMMYFUNCTION("""COMPUTED_VALUE"""),"shard")</f>
        <v>shard</v>
      </c>
      <c r="C7205" s="2" t="str">
        <f ca="1">IFERROR(__xludf.DUMMYFUNCTION("""COMPUTED_VALUE"""),"Landtorn Shard")</f>
        <v>Landtorn Shard</v>
      </c>
    </row>
    <row r="7206" spans="1:3" x14ac:dyDescent="0.25">
      <c r="A7206" s="2" t="str">
        <f ca="1">IFERROR(__xludf.DUMMYFUNCTION("""COMPUTED_VALUE"""),"landwolf")</f>
        <v>landwolf</v>
      </c>
      <c r="B7206" s="2" t="str">
        <f ca="1">IFERROR(__xludf.DUMMYFUNCTION("""COMPUTED_VALUE"""),"wolf")</f>
        <v>wolf</v>
      </c>
      <c r="C7206" s="2" t="str">
        <f ca="1">IFERROR(__xludf.DUMMYFUNCTION("""COMPUTED_VALUE"""),"LandWolf")</f>
        <v>LandWolf</v>
      </c>
    </row>
    <row r="7207" spans="1:3" x14ac:dyDescent="0.25">
      <c r="A7207" s="2" t="str">
        <f ca="1">IFERROR(__xludf.DUMMYFUNCTION("""COMPUTED_VALUE"""),"landwolf-0x67")</f>
        <v>landwolf-0x67</v>
      </c>
      <c r="B7207" s="2" t="str">
        <f ca="1">IFERROR(__xludf.DUMMYFUNCTION("""COMPUTED_VALUE"""),"wolf")</f>
        <v>wolf</v>
      </c>
      <c r="C7207" s="2" t="str">
        <f ca="1">IFERROR(__xludf.DUMMYFUNCTION("""COMPUTED_VALUE"""),"LandWolf")</f>
        <v>LandWolf</v>
      </c>
    </row>
    <row r="7208" spans="1:3" x14ac:dyDescent="0.25">
      <c r="A7208" s="2" t="str">
        <f ca="1">IFERROR(__xludf.DUMMYFUNCTION("""COMPUTED_VALUE"""),"landwolf-2")</f>
        <v>landwolf-2</v>
      </c>
      <c r="B7208" s="2" t="str">
        <f ca="1">IFERROR(__xludf.DUMMYFUNCTION("""COMPUTED_VALUE"""),"wolf")</f>
        <v>wolf</v>
      </c>
      <c r="C7208" s="2" t="str">
        <f ca="1">IFERROR(__xludf.DUMMYFUNCTION("""COMPUTED_VALUE"""),"Landwolf")</f>
        <v>Landwolf</v>
      </c>
    </row>
    <row r="7209" spans="1:3" x14ac:dyDescent="0.25">
      <c r="A7209" s="2" t="str">
        <f ca="1">IFERROR(__xludf.DUMMYFUNCTION("""COMPUTED_VALUE"""),"landwolf-3")</f>
        <v>landwolf-3</v>
      </c>
      <c r="B7209" s="2" t="str">
        <f ca="1">IFERROR(__xludf.DUMMYFUNCTION("""COMPUTED_VALUE"""),"landwolf")</f>
        <v>landwolf</v>
      </c>
      <c r="C7209" s="2" t="str">
        <f ca="1">IFERROR(__xludf.DUMMYFUNCTION("""COMPUTED_VALUE"""),"LANDWOLF")</f>
        <v>LANDWOLF</v>
      </c>
    </row>
    <row r="7210" spans="1:3" x14ac:dyDescent="0.25">
      <c r="A7210" s="2" t="str">
        <f ca="1">IFERROR(__xludf.DUMMYFUNCTION("""COMPUTED_VALUE"""),"landwolf-base")</f>
        <v>landwolf-base</v>
      </c>
      <c r="B7210" s="2" t="str">
        <f ca="1">IFERROR(__xludf.DUMMYFUNCTION("""COMPUTED_VALUE"""),"wolf")</f>
        <v>wolf</v>
      </c>
      <c r="C7210" s="2" t="str">
        <f ca="1">IFERROR(__xludf.DUMMYFUNCTION("""COMPUTED_VALUE"""),"Landwolf")</f>
        <v>Landwolf</v>
      </c>
    </row>
    <row r="7211" spans="1:3" x14ac:dyDescent="0.25">
      <c r="A7211" s="2" t="str">
        <f ca="1">IFERROR(__xludf.DUMMYFUNCTION("""COMPUTED_VALUE"""),"landwolf-eth")</f>
        <v>landwolf-eth</v>
      </c>
      <c r="B7211" s="2" t="str">
        <f ca="1">IFERROR(__xludf.DUMMYFUNCTION("""COMPUTED_VALUE"""),"wolf")</f>
        <v>wolf</v>
      </c>
      <c r="C7211" s="2" t="str">
        <f ca="1">IFERROR(__xludf.DUMMYFUNCTION("""COMPUTED_VALUE"""),"Landwolf")</f>
        <v>Landwolf</v>
      </c>
    </row>
    <row r="7212" spans="1:3" x14ac:dyDescent="0.25">
      <c r="A7212" s="2" t="str">
        <f ca="1">IFERROR(__xludf.DUMMYFUNCTION("""COMPUTED_VALUE"""),"landwolf-on-avax")</f>
        <v>landwolf-on-avax</v>
      </c>
      <c r="B7212" s="2" t="str">
        <f ca="1">IFERROR(__xludf.DUMMYFUNCTION("""COMPUTED_VALUE"""),"wolf")</f>
        <v>wolf</v>
      </c>
      <c r="C7212" s="2" t="str">
        <f ca="1">IFERROR(__xludf.DUMMYFUNCTION("""COMPUTED_VALUE"""),"Landwolf on AVAX")</f>
        <v>Landwolf on AVAX</v>
      </c>
    </row>
    <row r="7213" spans="1:3" x14ac:dyDescent="0.25">
      <c r="A7213" s="2" t="str">
        <f ca="1">IFERROR(__xludf.DUMMYFUNCTION("""COMPUTED_VALUE"""),"land-wu")</f>
        <v>land-wu</v>
      </c>
      <c r="B7213" s="2" t="str">
        <f ca="1">IFERROR(__xludf.DUMMYFUNCTION("""COMPUTED_VALUE"""),"landwu")</f>
        <v>landwu</v>
      </c>
      <c r="C7213" s="2" t="str">
        <f ca="1">IFERROR(__xludf.DUMMYFUNCTION("""COMPUTED_VALUE"""),"Land Wu")</f>
        <v>Land Wu</v>
      </c>
    </row>
    <row r="7214" spans="1:3" x14ac:dyDescent="0.25">
      <c r="A7214" s="2" t="str">
        <f ca="1">IFERROR(__xludf.DUMMYFUNCTION("""COMPUTED_VALUE"""),"landx-governance-token")</f>
        <v>landx-governance-token</v>
      </c>
      <c r="B7214" s="2" t="str">
        <f ca="1">IFERROR(__xludf.DUMMYFUNCTION("""COMPUTED_VALUE"""),"lndx")</f>
        <v>lndx</v>
      </c>
      <c r="C7214" s="2" t="str">
        <f ca="1">IFERROR(__xludf.DUMMYFUNCTION("""COMPUTED_VALUE"""),"LandX Governance Token")</f>
        <v>LandX Governance Token</v>
      </c>
    </row>
    <row r="7215" spans="1:3" x14ac:dyDescent="0.25">
      <c r="A7215" s="2" t="str">
        <f ca="1">IFERROR(__xludf.DUMMYFUNCTION("""COMPUTED_VALUE"""),"lanify")</f>
        <v>lanify</v>
      </c>
      <c r="B7215" s="2" t="str">
        <f ca="1">IFERROR(__xludf.DUMMYFUNCTION("""COMPUTED_VALUE"""),"lan")</f>
        <v>lan</v>
      </c>
      <c r="C7215" s="2" t="str">
        <f ca="1">IFERROR(__xludf.DUMMYFUNCTION("""COMPUTED_VALUE"""),"Lanify")</f>
        <v>Lanify</v>
      </c>
    </row>
    <row r="7216" spans="1:3" x14ac:dyDescent="0.25">
      <c r="A7216" s="2" t="str">
        <f ca="1">IFERROR(__xludf.DUMMYFUNCTION("""COMPUTED_VALUE"""),"lan-network")</f>
        <v>lan-network</v>
      </c>
      <c r="B7216" s="2" t="str">
        <f ca="1">IFERROR(__xludf.DUMMYFUNCTION("""COMPUTED_VALUE"""),"lan")</f>
        <v>lan</v>
      </c>
      <c r="C7216" s="2" t="str">
        <f ca="1">IFERROR(__xludf.DUMMYFUNCTION("""COMPUTED_VALUE"""),"LAN Network")</f>
        <v>LAN Network</v>
      </c>
    </row>
    <row r="7217" spans="1:3" x14ac:dyDescent="0.25">
      <c r="A7217" s="2" t="str">
        <f ca="1">IFERROR(__xludf.DUMMYFUNCTION("""COMPUTED_VALUE"""),"lantern-staked-sol")</f>
        <v>lantern-staked-sol</v>
      </c>
      <c r="B7217" s="2" t="str">
        <f ca="1">IFERROR(__xludf.DUMMYFUNCTION("""COMPUTED_VALUE"""),"lanternsol")</f>
        <v>lanternsol</v>
      </c>
      <c r="C7217" s="2" t="str">
        <f ca="1">IFERROR(__xludf.DUMMYFUNCTION("""COMPUTED_VALUE"""),"Lantern Staked SOL")</f>
        <v>Lantern Staked SOL</v>
      </c>
    </row>
    <row r="7218" spans="1:3" x14ac:dyDescent="0.25">
      <c r="A7218" s="2" t="str">
        <f ca="1">IFERROR(__xludf.DUMMYFUNCTION("""COMPUTED_VALUE"""),"lapapuy")</f>
        <v>lapapuy</v>
      </c>
      <c r="B7218" s="2" t="str">
        <f ca="1">IFERROR(__xludf.DUMMYFUNCTION("""COMPUTED_VALUE"""),"lpp")</f>
        <v>lpp</v>
      </c>
      <c r="C7218" s="2" t="str">
        <f ca="1">IFERROR(__xludf.DUMMYFUNCTION("""COMPUTED_VALUE"""),"Lampapuy")</f>
        <v>Lampapuy</v>
      </c>
    </row>
    <row r="7219" spans="1:3" x14ac:dyDescent="0.25">
      <c r="A7219" s="2" t="str">
        <f ca="1">IFERROR(__xludf.DUMMYFUNCTION("""COMPUTED_VALUE"""),"la-peseta-2")</f>
        <v>la-peseta-2</v>
      </c>
      <c r="B7219" s="2" t="str">
        <f ca="1">IFERROR(__xludf.DUMMYFUNCTION("""COMPUTED_VALUE"""),"ptas")</f>
        <v>ptas</v>
      </c>
      <c r="C7219" s="2" t="str">
        <f ca="1">IFERROR(__xludf.DUMMYFUNCTION("""COMPUTED_VALUE"""),"La Peseta")</f>
        <v>La Peseta</v>
      </c>
    </row>
    <row r="7220" spans="1:3" x14ac:dyDescent="0.25">
      <c r="A7220" s="2" t="str">
        <f ca="1">IFERROR(__xludf.DUMMYFUNCTION("""COMPUTED_VALUE"""),"laqira-protocol")</f>
        <v>laqira-protocol</v>
      </c>
      <c r="B7220" s="2" t="str">
        <f ca="1">IFERROR(__xludf.DUMMYFUNCTION("""COMPUTED_VALUE"""),"lqr")</f>
        <v>lqr</v>
      </c>
      <c r="C7220" s="2" t="str">
        <f ca="1">IFERROR(__xludf.DUMMYFUNCTION("""COMPUTED_VALUE"""),"Laqira Protocol")</f>
        <v>Laqira Protocol</v>
      </c>
    </row>
    <row r="7221" spans="1:3" x14ac:dyDescent="0.25">
      <c r="A7221" s="2" t="str">
        <f ca="1">IFERROR(__xludf.DUMMYFUNCTION("""COMPUTED_VALUE"""),"larace")</f>
        <v>larace</v>
      </c>
      <c r="B7221" s="2" t="str">
        <f ca="1">IFERROR(__xludf.DUMMYFUNCTION("""COMPUTED_VALUE"""),"lar")</f>
        <v>lar</v>
      </c>
      <c r="C7221" s="2" t="str">
        <f ca="1">IFERROR(__xludf.DUMMYFUNCTION("""COMPUTED_VALUE"""),"LaRace")</f>
        <v>LaRace</v>
      </c>
    </row>
    <row r="7222" spans="1:3" x14ac:dyDescent="0.25">
      <c r="A7222" s="2" t="str">
        <f ca="1">IFERROR(__xludf.DUMMYFUNCTION("""COMPUTED_VALUE"""),"larissa-blockchain")</f>
        <v>larissa-blockchain</v>
      </c>
      <c r="B7222" s="2" t="str">
        <f ca="1">IFERROR(__xludf.DUMMYFUNCTION("""COMPUTED_VALUE"""),"lrs")</f>
        <v>lrs</v>
      </c>
      <c r="C7222" s="2" t="str">
        <f ca="1">IFERROR(__xludf.DUMMYFUNCTION("""COMPUTED_VALUE"""),"Larissa Blockchain")</f>
        <v>Larissa Blockchain</v>
      </c>
    </row>
    <row r="7223" spans="1:3" x14ac:dyDescent="0.25">
      <c r="A7223" s="2" t="str">
        <f ca="1">IFERROR(__xludf.DUMMYFUNCTION("""COMPUTED_VALUE"""),"larix")</f>
        <v>larix</v>
      </c>
      <c r="B7223" s="2" t="str">
        <f ca="1">IFERROR(__xludf.DUMMYFUNCTION("""COMPUTED_VALUE"""),"larix")</f>
        <v>larix</v>
      </c>
      <c r="C7223" s="2" t="str">
        <f ca="1">IFERROR(__xludf.DUMMYFUNCTION("""COMPUTED_VALUE"""),"Larix")</f>
        <v>Larix</v>
      </c>
    </row>
    <row r="7224" spans="1:3" x14ac:dyDescent="0.25">
      <c r="A7224" s="2" t="str">
        <f ca="1">IFERROR(__xludf.DUMMYFUNCTION("""COMPUTED_VALUE"""),"larry")</f>
        <v>larry</v>
      </c>
      <c r="B7224" s="2" t="str">
        <f ca="1">IFERROR(__xludf.DUMMYFUNCTION("""COMPUTED_VALUE"""),"larry")</f>
        <v>larry</v>
      </c>
      <c r="C7224" s="2" t="str">
        <f ca="1">IFERROR(__xludf.DUMMYFUNCTION("""COMPUTED_VALUE"""),"Larry")</f>
        <v>Larry</v>
      </c>
    </row>
    <row r="7225" spans="1:3" x14ac:dyDescent="0.25">
      <c r="A7225" s="2" t="str">
        <f ca="1">IFERROR(__xludf.DUMMYFUNCTION("""COMPUTED_VALUE"""),"laser-gas")</f>
        <v>laser-gas</v>
      </c>
      <c r="B7225" s="2" t="str">
        <f ca="1">IFERROR(__xludf.DUMMYFUNCTION("""COMPUTED_VALUE"""),"lgas")</f>
        <v>lgas</v>
      </c>
      <c r="C7225" s="2" t="str">
        <f ca="1">IFERROR(__xludf.DUMMYFUNCTION("""COMPUTED_VALUE"""),"Laser Gas")</f>
        <v>Laser Gas</v>
      </c>
    </row>
    <row r="7226" spans="1:3" x14ac:dyDescent="0.25">
      <c r="A7226" s="2" t="str">
        <f ca="1">IFERROR(__xludf.DUMMYFUNCTION("""COMPUTED_VALUE"""),"laser-shark")</f>
        <v>laser-shark</v>
      </c>
      <c r="B7226" s="2" t="str">
        <f ca="1">IFERROR(__xludf.DUMMYFUNCTION("""COMPUTED_VALUE"""),"ls")</f>
        <v>ls</v>
      </c>
      <c r="C7226" s="2" t="str">
        <f ca="1">IFERROR(__xludf.DUMMYFUNCTION("""COMPUTED_VALUE"""),"Laser Shark")</f>
        <v>Laser Shark</v>
      </c>
    </row>
    <row r="7227" spans="1:3" x14ac:dyDescent="0.25">
      <c r="A7227" s="2" t="str">
        <f ca="1">IFERROR(__xludf.DUMMYFUNCTION("""COMPUTED_VALUE"""),"last-memories")</f>
        <v>last-memories</v>
      </c>
      <c r="B7227" s="2" t="str">
        <f ca="1">IFERROR(__xludf.DUMMYFUNCTION("""COMPUTED_VALUE"""),"geek")</f>
        <v>geek</v>
      </c>
      <c r="C7227" s="2" t="str">
        <f ca="1">IFERROR(__xludf.DUMMYFUNCTION("""COMPUTED_VALUE"""),"Last Memories")</f>
        <v>Last Memories</v>
      </c>
    </row>
    <row r="7228" spans="1:3" x14ac:dyDescent="0.25">
      <c r="A7228" s="2" t="str">
        <f ca="1">IFERROR(__xludf.DUMMYFUNCTION("""COMPUTED_VALUE"""),"latoken")</f>
        <v>latoken</v>
      </c>
      <c r="B7228" s="2" t="str">
        <f ca="1">IFERROR(__xludf.DUMMYFUNCTION("""COMPUTED_VALUE"""),"la")</f>
        <v>la</v>
      </c>
      <c r="C7228" s="2" t="str">
        <f ca="1">IFERROR(__xludf.DUMMYFUNCTION("""COMPUTED_VALUE"""),"LA")</f>
        <v>LA</v>
      </c>
    </row>
    <row r="7229" spans="1:3" x14ac:dyDescent="0.25">
      <c r="A7229" s="2" t="str">
        <f ca="1">IFERROR(__xludf.DUMMYFUNCTION("""COMPUTED_VALUE"""),"latte")</f>
        <v>latte</v>
      </c>
      <c r="B7229" s="2" t="str">
        <f ca="1">IFERROR(__xludf.DUMMYFUNCTION("""COMPUTED_VALUE"""),"latte")</f>
        <v>latte</v>
      </c>
      <c r="C7229" s="2" t="str">
        <f ca="1">IFERROR(__xludf.DUMMYFUNCTION("""COMPUTED_VALUE"""),"Latte")</f>
        <v>Latte</v>
      </c>
    </row>
    <row r="7230" spans="1:3" x14ac:dyDescent="0.25">
      <c r="A7230" s="2" t="str">
        <f ca="1">IFERROR(__xludf.DUMMYFUNCTION("""COMPUTED_VALUE"""),"lattice-token")</f>
        <v>lattice-token</v>
      </c>
      <c r="B7230" s="2" t="str">
        <f ca="1">IFERROR(__xludf.DUMMYFUNCTION("""COMPUTED_VALUE"""),"ltx")</f>
        <v>ltx</v>
      </c>
      <c r="C7230" s="2" t="str">
        <f ca="1">IFERROR(__xludf.DUMMYFUNCTION("""COMPUTED_VALUE"""),"Lattice")</f>
        <v>Lattice</v>
      </c>
    </row>
    <row r="7231" spans="1:3" x14ac:dyDescent="0.25">
      <c r="A7231" s="2" t="str">
        <f ca="1">IFERROR(__xludf.DUMMYFUNCTION("""COMPUTED_VALUE"""),"launchblock")</f>
        <v>launchblock</v>
      </c>
      <c r="B7231" s="2" t="str">
        <f ca="1">IFERROR(__xludf.DUMMYFUNCTION("""COMPUTED_VALUE"""),"lbp")</f>
        <v>lbp</v>
      </c>
      <c r="C7231" s="2" t="str">
        <f ca="1">IFERROR(__xludf.DUMMYFUNCTION("""COMPUTED_VALUE"""),"LaunchBlock")</f>
        <v>LaunchBlock</v>
      </c>
    </row>
    <row r="7232" spans="1:3" x14ac:dyDescent="0.25">
      <c r="A7232" s="2" t="str">
        <f ca="1">IFERROR(__xludf.DUMMYFUNCTION("""COMPUTED_VALUE"""),"launchpool")</f>
        <v>launchpool</v>
      </c>
      <c r="B7232" s="2" t="str">
        <f ca="1">IFERROR(__xludf.DUMMYFUNCTION("""COMPUTED_VALUE"""),"lpool")</f>
        <v>lpool</v>
      </c>
      <c r="C7232" s="2" t="str">
        <f ca="1">IFERROR(__xludf.DUMMYFUNCTION("""COMPUTED_VALUE"""),"Launchpool")</f>
        <v>Launchpool</v>
      </c>
    </row>
    <row r="7233" spans="1:3" x14ac:dyDescent="0.25">
      <c r="A7233" s="2" t="str">
        <f ca="1">IFERROR(__xludf.DUMMYFUNCTION("""COMPUTED_VALUE"""),"launchr")</f>
        <v>launchr</v>
      </c>
      <c r="B7233" s="2" t="str">
        <f ca="1">IFERROR(__xludf.DUMMYFUNCTION("""COMPUTED_VALUE"""),"lcr")</f>
        <v>lcr</v>
      </c>
      <c r="C7233" s="2" t="str">
        <f ca="1">IFERROR(__xludf.DUMMYFUNCTION("""COMPUTED_VALUE"""),"LaunchR")</f>
        <v>LaunchR</v>
      </c>
    </row>
    <row r="7234" spans="1:3" x14ac:dyDescent="0.25">
      <c r="A7234" s="2" t="str">
        <f ca="1">IFERROR(__xludf.DUMMYFUNCTION("""COMPUTED_VALUE"""),"laurion-404")</f>
        <v>laurion-404</v>
      </c>
      <c r="B7234" s="2" t="str">
        <f ca="1">IFERROR(__xludf.DUMMYFUNCTION("""COMPUTED_VALUE"""),"laurion")</f>
        <v>laurion</v>
      </c>
      <c r="C7234" s="2" t="str">
        <f ca="1">IFERROR(__xludf.DUMMYFUNCTION("""COMPUTED_VALUE"""),"Laurion 404")</f>
        <v>Laurion 404</v>
      </c>
    </row>
    <row r="7235" spans="1:3" x14ac:dyDescent="0.25">
      <c r="A7235" s="2" t="str">
        <f ca="1">IFERROR(__xludf.DUMMYFUNCTION("""COMPUTED_VALUE"""),"lava")</f>
        <v>lava</v>
      </c>
      <c r="B7235" s="2" t="str">
        <f ca="1">IFERROR(__xludf.DUMMYFUNCTION("""COMPUTED_VALUE"""),"lava")</f>
        <v>lava</v>
      </c>
      <c r="C7235" s="2" t="str">
        <f ca="1">IFERROR(__xludf.DUMMYFUNCTION("""COMPUTED_VALUE"""),"Lava")</f>
        <v>Lava</v>
      </c>
    </row>
    <row r="7236" spans="1:3" x14ac:dyDescent="0.25">
      <c r="A7236" s="2" t="str">
        <f ca="1">IFERROR(__xludf.DUMMYFUNCTION("""COMPUTED_VALUE"""),"lavandos")</f>
        <v>lavandos</v>
      </c>
      <c r="B7236" s="2" t="str">
        <f ca="1">IFERROR(__xludf.DUMMYFUNCTION("""COMPUTED_VALUE"""),"lave")</f>
        <v>lave</v>
      </c>
      <c r="C7236" s="2" t="str">
        <f ca="1">IFERROR(__xludf.DUMMYFUNCTION("""COMPUTED_VALUE"""),"Lavandos")</f>
        <v>Lavandos</v>
      </c>
    </row>
    <row r="7237" spans="1:3" x14ac:dyDescent="0.25">
      <c r="A7237" s="2" t="str">
        <f ca="1">IFERROR(__xludf.DUMMYFUNCTION("""COMPUTED_VALUE"""),"lava-network")</f>
        <v>lava-network</v>
      </c>
      <c r="B7237" s="2" t="str">
        <f ca="1">IFERROR(__xludf.DUMMYFUNCTION("""COMPUTED_VALUE"""),"lava")</f>
        <v>lava</v>
      </c>
      <c r="C7237" s="2" t="str">
        <f ca="1">IFERROR(__xludf.DUMMYFUNCTION("""COMPUTED_VALUE"""),"Lava Network")</f>
        <v>Lava Network</v>
      </c>
    </row>
    <row r="7238" spans="1:3" x14ac:dyDescent="0.25">
      <c r="A7238" s="2" t="str">
        <f ca="1">IFERROR(__xludf.DUMMYFUNCTION("""COMPUTED_VALUE"""),"lavaswap")</f>
        <v>lavaswap</v>
      </c>
      <c r="B7238" s="2" t="str">
        <f ca="1">IFERROR(__xludf.DUMMYFUNCTION("""COMPUTED_VALUE"""),"lava")</f>
        <v>lava</v>
      </c>
      <c r="C7238" s="2" t="str">
        <f ca="1">IFERROR(__xludf.DUMMYFUNCTION("""COMPUTED_VALUE"""),"Lavaswap")</f>
        <v>Lavaswap</v>
      </c>
    </row>
    <row r="7239" spans="1:3" x14ac:dyDescent="0.25">
      <c r="A7239" s="2" t="str">
        <f ca="1">IFERROR(__xludf.DUMMYFUNCTION("""COMPUTED_VALUE"""),"lavita")</f>
        <v>lavita</v>
      </c>
      <c r="B7239" s="2" t="str">
        <f ca="1">IFERROR(__xludf.DUMMYFUNCTION("""COMPUTED_VALUE"""),"lavita")</f>
        <v>lavita</v>
      </c>
      <c r="C7239" s="2" t="str">
        <f ca="1">IFERROR(__xludf.DUMMYFUNCTION("""COMPUTED_VALUE"""),"Lavita")</f>
        <v>Lavita</v>
      </c>
    </row>
    <row r="7240" spans="1:3" x14ac:dyDescent="0.25">
      <c r="A7240" s="2" t="str">
        <f ca="1">IFERROR(__xludf.DUMMYFUNCTION("""COMPUTED_VALUE"""),"law")</f>
        <v>law</v>
      </c>
      <c r="B7240" s="2" t="str">
        <f ca="1">IFERROR(__xludf.DUMMYFUNCTION("""COMPUTED_VALUE"""),"law")</f>
        <v>law</v>
      </c>
      <c r="C7240" s="2" t="str">
        <f ca="1">IFERROR(__xludf.DUMMYFUNCTION("""COMPUTED_VALUE"""),"LAW")</f>
        <v>LAW</v>
      </c>
    </row>
    <row r="7241" spans="1:3" x14ac:dyDescent="0.25">
      <c r="A7241" s="2" t="str">
        <f ca="1">IFERROR(__xludf.DUMMYFUNCTION("""COMPUTED_VALUE"""),"law-blocks")</f>
        <v>law-blocks</v>
      </c>
      <c r="B7241" s="2" t="str">
        <f ca="1">IFERROR(__xludf.DUMMYFUNCTION("""COMPUTED_VALUE"""),"lbt")</f>
        <v>lbt</v>
      </c>
      <c r="C7241" s="2" t="str">
        <f ca="1">IFERROR(__xludf.DUMMYFUNCTION("""COMPUTED_VALUE"""),"Law Blocks")</f>
        <v>Law Blocks</v>
      </c>
    </row>
    <row r="7242" spans="1:3" x14ac:dyDescent="0.25">
      <c r="A7242" s="2" t="str">
        <f ca="1">IFERROR(__xludf.DUMMYFUNCTION("""COMPUTED_VALUE"""),"law-of-attraction")</f>
        <v>law-of-attraction</v>
      </c>
      <c r="B7242" s="2" t="str">
        <f ca="1">IFERROR(__xludf.DUMMYFUNCTION("""COMPUTED_VALUE"""),"loa")</f>
        <v>loa</v>
      </c>
      <c r="C7242" s="2" t="str">
        <f ca="1">IFERROR(__xludf.DUMMYFUNCTION("""COMPUTED_VALUE"""),"Law of Attraction")</f>
        <v>Law of Attraction</v>
      </c>
    </row>
    <row r="7243" spans="1:3" x14ac:dyDescent="0.25">
      <c r="A7243" s="2" t="str">
        <f ca="1">IFERROR(__xludf.DUMMYFUNCTION("""COMPUTED_VALUE"""),"layer2dao")</f>
        <v>layer2dao</v>
      </c>
      <c r="B7243" s="2" t="str">
        <f ca="1">IFERROR(__xludf.DUMMYFUNCTION("""COMPUTED_VALUE"""),"l2dao")</f>
        <v>l2dao</v>
      </c>
      <c r="C7243" s="2" t="str">
        <f ca="1">IFERROR(__xludf.DUMMYFUNCTION("""COMPUTED_VALUE"""),"Layer2DAO")</f>
        <v>Layer2DAO</v>
      </c>
    </row>
    <row r="7244" spans="1:3" x14ac:dyDescent="0.25">
      <c r="A7244" s="2" t="str">
        <f ca="1">IFERROR(__xludf.DUMMYFUNCTION("""COMPUTED_VALUE"""),"layer3")</f>
        <v>layer3</v>
      </c>
      <c r="B7244" s="2" t="str">
        <f ca="1">IFERROR(__xludf.DUMMYFUNCTION("""COMPUTED_VALUE"""),"l3")</f>
        <v>l3</v>
      </c>
      <c r="C7244" s="2" t="str">
        <f ca="1">IFERROR(__xludf.DUMMYFUNCTION("""COMPUTED_VALUE"""),"Layer3")</f>
        <v>Layer3</v>
      </c>
    </row>
    <row r="7245" spans="1:3" x14ac:dyDescent="0.25">
      <c r="A7245" s="2" t="str">
        <f ca="1">IFERROR(__xludf.DUMMYFUNCTION("""COMPUTED_VALUE"""),"layer4-network")</f>
        <v>layer4-network</v>
      </c>
      <c r="B7245" s="2" t="str">
        <f ca="1">IFERROR(__xludf.DUMMYFUNCTION("""COMPUTED_VALUE"""),"layer4")</f>
        <v>layer4</v>
      </c>
      <c r="C7245" s="2" t="str">
        <f ca="1">IFERROR(__xludf.DUMMYFUNCTION("""COMPUTED_VALUE"""),"Layer4 Network")</f>
        <v>Layer4 Network</v>
      </c>
    </row>
    <row r="7246" spans="1:3" x14ac:dyDescent="0.25">
      <c r="A7246" s="2" t="str">
        <f ca="1">IFERROR(__xludf.DUMMYFUNCTION("""COMPUTED_VALUE"""),"layerium")</f>
        <v>layerium</v>
      </c>
      <c r="B7246" s="2" t="str">
        <f ca="1">IFERROR(__xludf.DUMMYFUNCTION("""COMPUTED_VALUE"""),"lyum")</f>
        <v>lyum</v>
      </c>
      <c r="C7246" s="2" t="str">
        <f ca="1">IFERROR(__xludf.DUMMYFUNCTION("""COMPUTED_VALUE"""),"Layerium")</f>
        <v>Layerium</v>
      </c>
    </row>
    <row r="7247" spans="1:3" x14ac:dyDescent="0.25">
      <c r="A7247" s="2" t="str">
        <f ca="1">IFERROR(__xludf.DUMMYFUNCTION("""COMPUTED_VALUE"""),"layerk")</f>
        <v>layerk</v>
      </c>
      <c r="B7247" s="2" t="str">
        <f ca="1">IFERROR(__xludf.DUMMYFUNCTION("""COMPUTED_VALUE"""),"lyk")</f>
        <v>lyk</v>
      </c>
      <c r="C7247" s="2" t="str">
        <f ca="1">IFERROR(__xludf.DUMMYFUNCTION("""COMPUTED_VALUE"""),"LayerK")</f>
        <v>LayerK</v>
      </c>
    </row>
    <row r="7248" spans="1:3" x14ac:dyDescent="0.25">
      <c r="A7248" s="2" t="str">
        <f ca="1">IFERROR(__xludf.DUMMYFUNCTION("""COMPUTED_VALUE"""),"layernet")</f>
        <v>layernet</v>
      </c>
      <c r="B7248" s="2" t="str">
        <f ca="1">IFERROR(__xludf.DUMMYFUNCTION("""COMPUTED_VALUE"""),"net")</f>
        <v>net</v>
      </c>
      <c r="C7248" s="2" t="str">
        <f ca="1">IFERROR(__xludf.DUMMYFUNCTION("""COMPUTED_VALUE"""),"LayerNet")</f>
        <v>LayerNet</v>
      </c>
    </row>
    <row r="7249" spans="1:3" x14ac:dyDescent="0.25">
      <c r="A7249" s="2" t="str">
        <f ca="1">IFERROR(__xludf.DUMMYFUNCTION("""COMPUTED_VALUE"""),"layer-one-x")</f>
        <v>layer-one-x</v>
      </c>
      <c r="B7249" s="2" t="str">
        <f ca="1">IFERROR(__xludf.DUMMYFUNCTION("""COMPUTED_VALUE"""),"l1x")</f>
        <v>l1x</v>
      </c>
      <c r="C7249" s="2" t="str">
        <f ca="1">IFERROR(__xludf.DUMMYFUNCTION("""COMPUTED_VALUE"""),"Layer One X")</f>
        <v>Layer One X</v>
      </c>
    </row>
    <row r="7250" spans="1:3" x14ac:dyDescent="0.25">
      <c r="A7250" s="2" t="str">
        <f ca="1">IFERROR(__xludf.DUMMYFUNCTION("""COMPUTED_VALUE"""),"layerzero")</f>
        <v>layerzero</v>
      </c>
      <c r="B7250" s="2" t="str">
        <f ca="1">IFERROR(__xludf.DUMMYFUNCTION("""COMPUTED_VALUE"""),"zro")</f>
        <v>zro</v>
      </c>
      <c r="C7250" s="2" t="str">
        <f ca="1">IFERROR(__xludf.DUMMYFUNCTION("""COMPUTED_VALUE"""),"LayerZero")</f>
        <v>LayerZero</v>
      </c>
    </row>
    <row r="7251" spans="1:3" x14ac:dyDescent="0.25">
      <c r="A7251" s="2" t="str">
        <f ca="1">IFERROR(__xludf.DUMMYFUNCTION("""COMPUTED_VALUE"""),"layerzero-bridged-rseth-linea")</f>
        <v>layerzero-bridged-rseth-linea</v>
      </c>
      <c r="B7251" s="2" t="str">
        <f ca="1">IFERROR(__xludf.DUMMYFUNCTION("""COMPUTED_VALUE"""),"rseth")</f>
        <v>rseth</v>
      </c>
      <c r="C7251" s="2" t="str">
        <f ca="1">IFERROR(__xludf.DUMMYFUNCTION("""COMPUTED_VALUE"""),"KelpDAO Bridged rsETH (Linea)")</f>
        <v>KelpDAO Bridged rsETH (Linea)</v>
      </c>
    </row>
    <row r="7252" spans="1:3" x14ac:dyDescent="0.25">
      <c r="A7252" s="2" t="str">
        <f ca="1">IFERROR(__xludf.DUMMYFUNCTION("""COMPUTED_VALUE"""),"layerzero-bridged-usdc-aptos")</f>
        <v>layerzero-bridged-usdc-aptos</v>
      </c>
      <c r="B7252" s="2" t="str">
        <f ca="1">IFERROR(__xludf.DUMMYFUNCTION("""COMPUTED_VALUE"""),"zusdc")</f>
        <v>zusdc</v>
      </c>
      <c r="C7252" s="2" t="str">
        <f ca="1">IFERROR(__xludf.DUMMYFUNCTION("""COMPUTED_VALUE"""),"LayerZero Bridged USDC (Aptos)")</f>
        <v>LayerZero Bridged USDC (Aptos)</v>
      </c>
    </row>
    <row r="7253" spans="1:3" x14ac:dyDescent="0.25">
      <c r="A7253" s="2" t="str">
        <f ca="1">IFERROR(__xludf.DUMMYFUNCTION("""COMPUTED_VALUE"""),"layerzero-bridged-usdc-etherlink")</f>
        <v>layerzero-bridged-usdc-etherlink</v>
      </c>
      <c r="B7253" s="2" t="str">
        <f ca="1">IFERROR(__xludf.DUMMYFUNCTION("""COMPUTED_VALUE"""),"lzusdc")</f>
        <v>lzusdc</v>
      </c>
      <c r="C7253" s="2" t="str">
        <f ca="1">IFERROR(__xludf.DUMMYFUNCTION("""COMPUTED_VALUE"""),"LayerZero Bridged USDC (Etherlink)")</f>
        <v>LayerZero Bridged USDC (Etherlink)</v>
      </c>
    </row>
    <row r="7254" spans="1:3" x14ac:dyDescent="0.25">
      <c r="A7254" s="2" t="str">
        <f ca="1">IFERROR(__xludf.DUMMYFUNCTION("""COMPUTED_VALUE"""),"layerzero-bridged-usdt-aptos")</f>
        <v>layerzero-bridged-usdt-aptos</v>
      </c>
      <c r="B7254" s="2" t="str">
        <f ca="1">IFERROR(__xludf.DUMMYFUNCTION("""COMPUTED_VALUE"""),"zusdt")</f>
        <v>zusdt</v>
      </c>
      <c r="C7254" s="2" t="str">
        <f ca="1">IFERROR(__xludf.DUMMYFUNCTION("""COMPUTED_VALUE"""),"LayerZero Bridged USDT (Aptos)")</f>
        <v>LayerZero Bridged USDT (Aptos)</v>
      </c>
    </row>
    <row r="7255" spans="1:3" x14ac:dyDescent="0.25">
      <c r="A7255" s="2" t="str">
        <f ca="1">IFERROR(__xludf.DUMMYFUNCTION("""COMPUTED_VALUE"""),"layerzero-bridged-usdt-etherlink")</f>
        <v>layerzero-bridged-usdt-etherlink</v>
      </c>
      <c r="B7255" s="2" t="str">
        <f ca="1">IFERROR(__xludf.DUMMYFUNCTION("""COMPUTED_VALUE"""),"lzusdt")</f>
        <v>lzusdt</v>
      </c>
      <c r="C7255" s="2" t="str">
        <f ca="1">IFERROR(__xludf.DUMMYFUNCTION("""COMPUTED_VALUE"""),"LayerZero Bridged USDT (Etherlink)")</f>
        <v>LayerZero Bridged USDT (Etherlink)</v>
      </c>
    </row>
    <row r="7256" spans="1:3" x14ac:dyDescent="0.25">
      <c r="A7256" s="2" t="str">
        <f ca="1">IFERROR(__xludf.DUMMYFUNCTION("""COMPUTED_VALUE"""),"layerzero-bridged-weth-aptos")</f>
        <v>layerzero-bridged-weth-aptos</v>
      </c>
      <c r="B7256" s="2" t="str">
        <f ca="1">IFERROR(__xludf.DUMMYFUNCTION("""COMPUTED_VALUE"""),"weth")</f>
        <v>weth</v>
      </c>
      <c r="C7256" s="2" t="str">
        <f ca="1">IFERROR(__xludf.DUMMYFUNCTION("""COMPUTED_VALUE"""),"LayerZero Bridged WETH (Aptos)")</f>
        <v>LayerZero Bridged WETH (Aptos)</v>
      </c>
    </row>
    <row r="7257" spans="1:3" x14ac:dyDescent="0.25">
      <c r="A7257" s="2" t="str">
        <f ca="1">IFERROR(__xludf.DUMMYFUNCTION("""COMPUTED_VALUE"""),"layerzero-usdc")</f>
        <v>layerzero-usdc</v>
      </c>
      <c r="B7257" s="2" t="str">
        <f ca="1">IFERROR(__xludf.DUMMYFUNCTION("""COMPUTED_VALUE"""),"lzusdc")</f>
        <v>lzusdc</v>
      </c>
      <c r="C7257" s="2" t="str">
        <f ca="1">IFERROR(__xludf.DUMMYFUNCTION("""COMPUTED_VALUE"""),"LayerZero Bridged USDC (Fantom)")</f>
        <v>LayerZero Bridged USDC (Fantom)</v>
      </c>
    </row>
    <row r="7258" spans="1:3" x14ac:dyDescent="0.25">
      <c r="A7258" s="2" t="str">
        <f ca="1">IFERROR(__xludf.DUMMYFUNCTION("""COMPUTED_VALUE"""),"lazio-fan-token")</f>
        <v>lazio-fan-token</v>
      </c>
      <c r="B7258" s="2" t="str">
        <f ca="1">IFERROR(__xludf.DUMMYFUNCTION("""COMPUTED_VALUE"""),"lazio")</f>
        <v>lazio</v>
      </c>
      <c r="C7258" s="2" t="str">
        <f ca="1">IFERROR(__xludf.DUMMYFUNCTION("""COMPUTED_VALUE"""),"Lazio Fan Token")</f>
        <v>Lazio Fan Token</v>
      </c>
    </row>
    <row r="7259" spans="1:3" x14ac:dyDescent="0.25">
      <c r="A7259" s="2" t="str">
        <f ca="1">IFERROR(__xludf.DUMMYFUNCTION("""COMPUTED_VALUE"""),"lazycat")</f>
        <v>lazycat</v>
      </c>
      <c r="B7259" s="2" t="str">
        <f ca="1">IFERROR(__xludf.DUMMYFUNCTION("""COMPUTED_VALUE"""),"lazycat")</f>
        <v>lazycat</v>
      </c>
      <c r="C7259" s="2" t="str">
        <f ca="1">IFERROR(__xludf.DUMMYFUNCTION("""COMPUTED_VALUE"""),"LazyCat")</f>
        <v>LazyCat</v>
      </c>
    </row>
    <row r="7260" spans="1:3" x14ac:dyDescent="0.25">
      <c r="A7260" s="2" t="str">
        <f ca="1">IFERROR(__xludf.DUMMYFUNCTION("""COMPUTED_VALUE"""),"lbk")</f>
        <v>lbk</v>
      </c>
      <c r="B7260" s="2" t="str">
        <f ca="1">IFERROR(__xludf.DUMMYFUNCTION("""COMPUTED_VALUE"""),"lbk")</f>
        <v>lbk</v>
      </c>
      <c r="C7260" s="2" t="str">
        <f ca="1">IFERROR(__xludf.DUMMYFUNCTION("""COMPUTED_VALUE"""),"LBK")</f>
        <v>LBK</v>
      </c>
    </row>
    <row r="7261" spans="1:3" x14ac:dyDescent="0.25">
      <c r="A7261" s="2" t="str">
        <f ca="1">IFERROR(__xludf.DUMMYFUNCTION("""COMPUTED_VALUE"""),"lbry-credits")</f>
        <v>lbry-credits</v>
      </c>
      <c r="B7261" s="2" t="str">
        <f ca="1">IFERROR(__xludf.DUMMYFUNCTION("""COMPUTED_VALUE"""),"lbc")</f>
        <v>lbc</v>
      </c>
      <c r="C7261" s="2" t="str">
        <f ca="1">IFERROR(__xludf.DUMMYFUNCTION("""COMPUTED_VALUE"""),"LBRY Credits")</f>
        <v>LBRY Credits</v>
      </c>
    </row>
    <row r="7262" spans="1:3" x14ac:dyDescent="0.25">
      <c r="A7262" s="2" t="str">
        <f ca="1">IFERROR(__xludf.DUMMYFUNCTION("""COMPUTED_VALUE"""),"lcom")</f>
        <v>lcom</v>
      </c>
      <c r="B7262" s="2" t="str">
        <f ca="1">IFERROR(__xludf.DUMMYFUNCTION("""COMPUTED_VALUE"""),"lcom")</f>
        <v>lcom</v>
      </c>
      <c r="C7262" s="2" t="str">
        <f ca="1">IFERROR(__xludf.DUMMYFUNCTION("""COMPUTED_VALUE"""),"LCOM [OLD]")</f>
        <v>LCOM [OLD]</v>
      </c>
    </row>
    <row r="7263" spans="1:3" x14ac:dyDescent="0.25">
      <c r="A7263" s="2" t="str">
        <f ca="1">IFERROR(__xludf.DUMMYFUNCTION("""COMPUTED_VALUE"""),"lcx")</f>
        <v>lcx</v>
      </c>
      <c r="B7263" s="2" t="str">
        <f ca="1">IFERROR(__xludf.DUMMYFUNCTION("""COMPUTED_VALUE"""),"lcx")</f>
        <v>lcx</v>
      </c>
      <c r="C7263" s="2" t="str">
        <f ca="1">IFERROR(__xludf.DUMMYFUNCTION("""COMPUTED_VALUE"""),"LCX")</f>
        <v>LCX</v>
      </c>
    </row>
    <row r="7264" spans="1:3" x14ac:dyDescent="0.25">
      <c r="A7264" s="2" t="str">
        <f ca="1">IFERROR(__xludf.DUMMYFUNCTION("""COMPUTED_VALUE"""),"le7el")</f>
        <v>le7el</v>
      </c>
      <c r="B7264" s="2" t="str">
        <f ca="1">IFERROR(__xludf.DUMMYFUNCTION("""COMPUTED_VALUE"""),"l7l")</f>
        <v>l7l</v>
      </c>
      <c r="C7264" s="2" t="str">
        <f ca="1">IFERROR(__xludf.DUMMYFUNCTION("""COMPUTED_VALUE"""),"LE7EL")</f>
        <v>LE7EL</v>
      </c>
    </row>
    <row r="7265" spans="1:3" x14ac:dyDescent="0.25">
      <c r="A7265" s="2" t="str">
        <f ca="1">IFERROR(__xludf.DUMMYFUNCTION("""COMPUTED_VALUE"""),"league-of-ancients")</f>
        <v>league-of-ancients</v>
      </c>
      <c r="B7265" s="2" t="str">
        <f ca="1">IFERROR(__xludf.DUMMYFUNCTION("""COMPUTED_VALUE"""),"loa")</f>
        <v>loa</v>
      </c>
      <c r="C7265" s="2" t="str">
        <f ca="1">IFERROR(__xludf.DUMMYFUNCTION("""COMPUTED_VALUE"""),"League of Ancients")</f>
        <v>League of Ancients</v>
      </c>
    </row>
    <row r="7266" spans="1:3" x14ac:dyDescent="0.25">
      <c r="A7266" s="2" t="str">
        <f ca="1">IFERROR(__xludf.DUMMYFUNCTION("""COMPUTED_VALUE"""),"league-of-kingdoms")</f>
        <v>league-of-kingdoms</v>
      </c>
      <c r="B7266" s="2" t="str">
        <f ca="1">IFERROR(__xludf.DUMMYFUNCTION("""COMPUTED_VALUE"""),"loka")</f>
        <v>loka</v>
      </c>
      <c r="C7266" s="2" t="str">
        <f ca="1">IFERROR(__xludf.DUMMYFUNCTION("""COMPUTED_VALUE"""),"League of Kingdoms")</f>
        <v>League of Kingdoms</v>
      </c>
    </row>
    <row r="7267" spans="1:3" x14ac:dyDescent="0.25">
      <c r="A7267" s="2" t="str">
        <f ca="1">IFERROR(__xludf.DUMMYFUNCTION("""COMPUTED_VALUE"""),"leandro-lopes")</f>
        <v>leandro-lopes</v>
      </c>
      <c r="B7267" s="2" t="str">
        <f ca="1">IFERROR(__xludf.DUMMYFUNCTION("""COMPUTED_VALUE"""),"lopes")</f>
        <v>lopes</v>
      </c>
      <c r="C7267" s="2" t="str">
        <f ca="1">IFERROR(__xludf.DUMMYFUNCTION("""COMPUTED_VALUE"""),"Leandro Lopes")</f>
        <v>Leandro Lopes</v>
      </c>
    </row>
    <row r="7268" spans="1:3" x14ac:dyDescent="0.25">
      <c r="A7268" s="2" t="str">
        <f ca="1">IFERROR(__xludf.DUMMYFUNCTION("""COMPUTED_VALUE"""),"leash")</f>
        <v>leash</v>
      </c>
      <c r="B7268" s="2" t="str">
        <f ca="1">IFERROR(__xludf.DUMMYFUNCTION("""COMPUTED_VALUE"""),"leash")</f>
        <v>leash</v>
      </c>
      <c r="C7268" s="2" t="str">
        <f ca="1">IFERROR(__xludf.DUMMYFUNCTION("""COMPUTED_VALUE"""),"Doge Killer")</f>
        <v>Doge Killer</v>
      </c>
    </row>
    <row r="7269" spans="1:3" x14ac:dyDescent="0.25">
      <c r="A7269" s="2" t="str">
        <f ca="1">IFERROR(__xludf.DUMMYFUNCTION("""COMPUTED_VALUE"""),"le-bleu-elefant")</f>
        <v>le-bleu-elefant</v>
      </c>
      <c r="B7269" s="2" t="str">
        <f ca="1">IFERROR(__xludf.DUMMYFUNCTION("""COMPUTED_VALUE"""),"bleu")</f>
        <v>bleu</v>
      </c>
      <c r="C7269" s="2" t="str">
        <f ca="1">IFERROR(__xludf.DUMMYFUNCTION("""COMPUTED_VALUE"""),"Le Bleu Elefant")</f>
        <v>Le Bleu Elefant</v>
      </c>
    </row>
    <row r="7270" spans="1:3" x14ac:dyDescent="0.25">
      <c r="A7270" s="2" t="str">
        <f ca="1">IFERROR(__xludf.DUMMYFUNCTION("""COMPUTED_VALUE"""),"lecksis")</f>
        <v>lecksis</v>
      </c>
      <c r="B7270" s="2" t="str">
        <f ca="1">IFERROR(__xludf.DUMMYFUNCTION("""COMPUTED_VALUE"""),"leks")</f>
        <v>leks</v>
      </c>
      <c r="C7270" s="2" t="str">
        <f ca="1">IFERROR(__xludf.DUMMYFUNCTION("""COMPUTED_VALUE"""),"Lecksis")</f>
        <v>Lecksis</v>
      </c>
    </row>
    <row r="7271" spans="1:3" x14ac:dyDescent="0.25">
      <c r="A7271" s="2" t="str">
        <f ca="1">IFERROR(__xludf.DUMMYFUNCTION("""COMPUTED_VALUE"""),"ledger-ai")</f>
        <v>ledger-ai</v>
      </c>
      <c r="B7271" s="2" t="str">
        <f ca="1">IFERROR(__xludf.DUMMYFUNCTION("""COMPUTED_VALUE"""),"ledger")</f>
        <v>ledger</v>
      </c>
      <c r="C7271" s="2" t="str">
        <f ca="1">IFERROR(__xludf.DUMMYFUNCTION("""COMPUTED_VALUE"""),"Ledger AI")</f>
        <v>Ledger AI</v>
      </c>
    </row>
    <row r="7272" spans="1:3" x14ac:dyDescent="0.25">
      <c r="A7272" s="2" t="str">
        <f ca="1">IFERROR(__xludf.DUMMYFUNCTION("""COMPUTED_VALUE"""),"ledgis")</f>
        <v>ledgis</v>
      </c>
      <c r="B7272" s="2" t="str">
        <f ca="1">IFERROR(__xludf.DUMMYFUNCTION("""COMPUTED_VALUE"""),"led")</f>
        <v>led</v>
      </c>
      <c r="C7272" s="2" t="str">
        <f ca="1">IFERROR(__xludf.DUMMYFUNCTION("""COMPUTED_VALUE"""),"Ledgis")</f>
        <v>Ledgis</v>
      </c>
    </row>
    <row r="7273" spans="1:3" x14ac:dyDescent="0.25">
      <c r="A7273" s="2" t="str">
        <f ca="1">IFERROR(__xludf.DUMMYFUNCTION("""COMPUTED_VALUE"""),"ledgity-token")</f>
        <v>ledgity-token</v>
      </c>
      <c r="B7273" s="2" t="str">
        <f ca="1">IFERROR(__xludf.DUMMYFUNCTION("""COMPUTED_VALUE"""),"ldy")</f>
        <v>ldy</v>
      </c>
      <c r="C7273" s="2" t="str">
        <f ca="1">IFERROR(__xludf.DUMMYFUNCTION("""COMPUTED_VALUE"""),"Ledgity Token")</f>
        <v>Ledgity Token</v>
      </c>
    </row>
    <row r="7274" spans="1:3" x14ac:dyDescent="0.25">
      <c r="A7274" s="2" t="str">
        <f ca="1">IFERROR(__xludf.DUMMYFUNCTION("""COMPUTED_VALUE"""),"lee")</f>
        <v>lee</v>
      </c>
      <c r="B7274" s="2" t="str">
        <f ca="1">IFERROR(__xludf.DUMMYFUNCTION("""COMPUTED_VALUE"""),"lee")</f>
        <v>lee</v>
      </c>
      <c r="C7274" s="2" t="str">
        <f ca="1">IFERROR(__xludf.DUMMYFUNCTION("""COMPUTED_VALUE"""),"Lee")</f>
        <v>Lee</v>
      </c>
    </row>
    <row r="7275" spans="1:3" x14ac:dyDescent="0.25">
      <c r="A7275" s="2" t="str">
        <f ca="1">IFERROR(__xludf.DUMMYFUNCTION("""COMPUTED_VALUE"""),"leeds-united-fan-token")</f>
        <v>leeds-united-fan-token</v>
      </c>
      <c r="B7275" s="2" t="str">
        <f ca="1">IFERROR(__xludf.DUMMYFUNCTION("""COMPUTED_VALUE"""),"lufc")</f>
        <v>lufc</v>
      </c>
      <c r="C7275" s="2" t="str">
        <f ca="1">IFERROR(__xludf.DUMMYFUNCTION("""COMPUTED_VALUE"""),"Leeds United Fan Token")</f>
        <v>Leeds United Fan Token</v>
      </c>
    </row>
    <row r="7276" spans="1:3" x14ac:dyDescent="0.25">
      <c r="A7276" s="2" t="str">
        <f ca="1">IFERROR(__xludf.DUMMYFUNCTION("""COMPUTED_VALUE"""),"leeroy-jenkins")</f>
        <v>leeroy-jenkins</v>
      </c>
      <c r="B7276" s="2" t="str">
        <f ca="1">IFERROR(__xludf.DUMMYFUNCTION("""COMPUTED_VALUE"""),"leeroy")</f>
        <v>leeroy</v>
      </c>
      <c r="C7276" s="2" t="str">
        <f ca="1">IFERROR(__xludf.DUMMYFUNCTION("""COMPUTED_VALUE"""),"LEEROY JENKINS")</f>
        <v>LEEROY JENKINS</v>
      </c>
    </row>
    <row r="7277" spans="1:3" x14ac:dyDescent="0.25">
      <c r="A7277" s="2" t="str">
        <f ca="1">IFERROR(__xludf.DUMMYFUNCTION("""COMPUTED_VALUE"""),"leetswap-canto")</f>
        <v>leetswap-canto</v>
      </c>
      <c r="B7277" s="2" t="str">
        <f ca="1">IFERROR(__xludf.DUMMYFUNCTION("""COMPUTED_VALUE"""),"leet")</f>
        <v>leet</v>
      </c>
      <c r="C7277" s="2" t="str">
        <f ca="1">IFERROR(__xludf.DUMMYFUNCTION("""COMPUTED_VALUE"""),"LeetSwap (Canto)")</f>
        <v>LeetSwap (Canto)</v>
      </c>
    </row>
    <row r="7278" spans="1:3" x14ac:dyDescent="0.25">
      <c r="A7278" s="2" t="str">
        <f ca="1">IFERROR(__xludf.DUMMYFUNCTION("""COMPUTED_VALUE"""),"legacy-ichi")</f>
        <v>legacy-ichi</v>
      </c>
      <c r="B7278" s="2" t="str">
        <f ca="1">IFERROR(__xludf.DUMMYFUNCTION("""COMPUTED_VALUE"""),"ichi")</f>
        <v>ichi</v>
      </c>
      <c r="C7278" s="2" t="str">
        <f ca="1">IFERROR(__xludf.DUMMYFUNCTION("""COMPUTED_VALUE"""),"Legacy ICHI")</f>
        <v>Legacy ICHI</v>
      </c>
    </row>
    <row r="7279" spans="1:3" x14ac:dyDescent="0.25">
      <c r="A7279" s="2" t="str">
        <f ca="1">IFERROR(__xludf.DUMMYFUNCTION("""COMPUTED_VALUE"""),"legendary-meme")</f>
        <v>legendary-meme</v>
      </c>
      <c r="B7279" s="2" t="str">
        <f ca="1">IFERROR(__xludf.DUMMYFUNCTION("""COMPUTED_VALUE"""),"lme")</f>
        <v>lme</v>
      </c>
      <c r="C7279" s="2" t="str">
        <f ca="1">IFERROR(__xludf.DUMMYFUNCTION("""COMPUTED_VALUE"""),"Legendary MEME")</f>
        <v>Legendary MEME</v>
      </c>
    </row>
    <row r="7280" spans="1:3" x14ac:dyDescent="0.25">
      <c r="A7280" s="2" t="str">
        <f ca="1">IFERROR(__xludf.DUMMYFUNCTION("""COMPUTED_VALUE"""),"legend-of-annihilation")</f>
        <v>legend-of-annihilation</v>
      </c>
      <c r="B7280" s="2" t="str">
        <f ca="1">IFERROR(__xludf.DUMMYFUNCTION("""COMPUTED_VALUE"""),"loa")</f>
        <v>loa</v>
      </c>
      <c r="C7280" s="2" t="str">
        <f ca="1">IFERROR(__xludf.DUMMYFUNCTION("""COMPUTED_VALUE"""),"Legend of Annihilation")</f>
        <v>Legend of Annihilation</v>
      </c>
    </row>
    <row r="7281" spans="1:3" x14ac:dyDescent="0.25">
      <c r="A7281" s="2" t="str">
        <f ca="1">IFERROR(__xludf.DUMMYFUNCTION("""COMPUTED_VALUE"""),"legend-of-fantasy-war")</f>
        <v>legend-of-fantasy-war</v>
      </c>
      <c r="B7281" s="2" t="str">
        <f ca="1">IFERROR(__xludf.DUMMYFUNCTION("""COMPUTED_VALUE"""),"lfw")</f>
        <v>lfw</v>
      </c>
      <c r="C7281" s="2" t="str">
        <f ca="1">IFERROR(__xludf.DUMMYFUNCTION("""COMPUTED_VALUE"""),"Linked Finance World")</f>
        <v>Linked Finance World</v>
      </c>
    </row>
    <row r="7282" spans="1:3" x14ac:dyDescent="0.25">
      <c r="A7282" s="2" t="str">
        <f ca="1">IFERROR(__xludf.DUMMYFUNCTION("""COMPUTED_VALUE"""),"legends-of-elysium")</f>
        <v>legends-of-elysium</v>
      </c>
      <c r="B7282" s="2" t="str">
        <f ca="1">IFERROR(__xludf.DUMMYFUNCTION("""COMPUTED_VALUE"""),"loe")</f>
        <v>loe</v>
      </c>
      <c r="C7282" s="2" t="str">
        <f ca="1">IFERROR(__xludf.DUMMYFUNCTION("""COMPUTED_VALUE"""),"Legends of Elysium")</f>
        <v>Legends of Elysium</v>
      </c>
    </row>
    <row r="7283" spans="1:3" x14ac:dyDescent="0.25">
      <c r="A7283" s="2" t="str">
        <f ca="1">IFERROR(__xludf.DUMMYFUNCTION("""COMPUTED_VALUE"""),"legends-of-sol")</f>
        <v>legends-of-sol</v>
      </c>
      <c r="B7283" s="2" t="str">
        <f ca="1">IFERROR(__xludf.DUMMYFUNCTION("""COMPUTED_VALUE"""),"legend")</f>
        <v>legend</v>
      </c>
      <c r="C7283" s="2" t="str">
        <f ca="1">IFERROR(__xludf.DUMMYFUNCTION("""COMPUTED_VALUE"""),"Legends Of SOL")</f>
        <v>Legends Of SOL</v>
      </c>
    </row>
    <row r="7284" spans="1:3" x14ac:dyDescent="0.25">
      <c r="A7284" s="2" t="str">
        <f ca="1">IFERROR(__xludf.DUMMYFUNCTION("""COMPUTED_VALUE"""),"legendx")</f>
        <v>legendx</v>
      </c>
      <c r="B7284" s="2" t="str">
        <f ca="1">IFERROR(__xludf.DUMMYFUNCTION("""COMPUTED_VALUE"""),"lgndx")</f>
        <v>lgndx</v>
      </c>
      <c r="C7284" s="2" t="str">
        <f ca="1">IFERROR(__xludf.DUMMYFUNCTION("""COMPUTED_VALUE"""),"LegendX")</f>
        <v>LegendX</v>
      </c>
    </row>
    <row r="7285" spans="1:3" x14ac:dyDescent="0.25">
      <c r="A7285" s="2" t="str">
        <f ca="1">IFERROR(__xludf.DUMMYFUNCTION("""COMPUTED_VALUE"""),"legia-warsaw-fan-token")</f>
        <v>legia-warsaw-fan-token</v>
      </c>
      <c r="B7285" s="2" t="str">
        <f ca="1">IFERROR(__xludf.DUMMYFUNCTION("""COMPUTED_VALUE"""),"leg")</f>
        <v>leg</v>
      </c>
      <c r="C7285" s="2" t="str">
        <f ca="1">IFERROR(__xludf.DUMMYFUNCTION("""COMPUTED_VALUE"""),"Legia Warsaw Fan Token")</f>
        <v>Legia Warsaw Fan Token</v>
      </c>
    </row>
    <row r="7286" spans="1:3" x14ac:dyDescent="0.25">
      <c r="A7286" s="2" t="str">
        <f ca="1">IFERROR(__xludf.DUMMYFUNCTION("""COMPUTED_VALUE"""),"legion")</f>
        <v>legion</v>
      </c>
      <c r="B7286" s="2" t="str">
        <f ca="1">IFERROR(__xludf.DUMMYFUNCTION("""COMPUTED_VALUE"""),"legion")</f>
        <v>legion</v>
      </c>
      <c r="C7286" s="2" t="str">
        <f ca="1">IFERROR(__xludf.DUMMYFUNCTION("""COMPUTED_VALUE"""),"Legion")</f>
        <v>Legion</v>
      </c>
    </row>
    <row r="7287" spans="1:3" x14ac:dyDescent="0.25">
      <c r="A7287" s="2" t="str">
        <f ca="1">IFERROR(__xludf.DUMMYFUNCTION("""COMPUTED_VALUE"""),"legion-network")</f>
        <v>legion-network</v>
      </c>
      <c r="B7287" s="2" t="str">
        <f ca="1">IFERROR(__xludf.DUMMYFUNCTION("""COMPUTED_VALUE"""),"lgx")</f>
        <v>lgx</v>
      </c>
      <c r="C7287" s="2" t="str">
        <f ca="1">IFERROR(__xludf.DUMMYFUNCTION("""COMPUTED_VALUE"""),"Legion Network")</f>
        <v>Legion Network</v>
      </c>
    </row>
    <row r="7288" spans="1:3" x14ac:dyDescent="0.25">
      <c r="A7288" s="2" t="str">
        <f ca="1">IFERROR(__xludf.DUMMYFUNCTION("""COMPUTED_VALUE"""),"legion-ventures")</f>
        <v>legion-ventures</v>
      </c>
      <c r="B7288" s="2" t="str">
        <f ca="1">IFERROR(__xludf.DUMMYFUNCTION("""COMPUTED_VALUE"""),"$legion")</f>
        <v>$legion</v>
      </c>
      <c r="C7288" s="2" t="str">
        <f ca="1">IFERROR(__xludf.DUMMYFUNCTION("""COMPUTED_VALUE"""),"Legion Ventures")</f>
        <v>Legion Ventures</v>
      </c>
    </row>
    <row r="7289" spans="1:3" x14ac:dyDescent="0.25">
      <c r="A7289" s="2" t="str">
        <f ca="1">IFERROR(__xludf.DUMMYFUNCTION("""COMPUTED_VALUE"""),"lehman-brothers")</f>
        <v>lehman-brothers</v>
      </c>
      <c r="B7289" s="2" t="str">
        <f ca="1">IFERROR(__xludf.DUMMYFUNCTION("""COMPUTED_VALUE"""),"leh")</f>
        <v>leh</v>
      </c>
      <c r="C7289" s="2" t="str">
        <f ca="1">IFERROR(__xludf.DUMMYFUNCTION("""COMPUTED_VALUE"""),"Lehman Brothers")</f>
        <v>Lehman Brothers</v>
      </c>
    </row>
    <row r="7290" spans="1:3" x14ac:dyDescent="0.25">
      <c r="A7290" s="2" t="str">
        <f ca="1">IFERROR(__xludf.DUMMYFUNCTION("""COMPUTED_VALUE"""),"leia")</f>
        <v>leia</v>
      </c>
      <c r="B7290" s="2" t="str">
        <f ca="1">IFERROR(__xludf.DUMMYFUNCTION("""COMPUTED_VALUE"""),"leia")</f>
        <v>leia</v>
      </c>
      <c r="C7290" s="2" t="str">
        <f ca="1">IFERROR(__xludf.DUMMYFUNCTION("""COMPUTED_VALUE"""),"Leia")</f>
        <v>Leia</v>
      </c>
    </row>
    <row r="7291" spans="1:3" x14ac:dyDescent="0.25">
      <c r="A7291" s="2" t="str">
        <f ca="1">IFERROR(__xludf.DUMMYFUNCTION("""COMPUTED_VALUE"""),"leia-the-cat")</f>
        <v>leia-the-cat</v>
      </c>
      <c r="B7291" s="2" t="str">
        <f ca="1">IFERROR(__xludf.DUMMYFUNCTION("""COMPUTED_VALUE"""),"leia")</f>
        <v>leia</v>
      </c>
      <c r="C7291" s="2" t="str">
        <f ca="1">IFERROR(__xludf.DUMMYFUNCTION("""COMPUTED_VALUE"""),"Leia the Cat")</f>
        <v>Leia the Cat</v>
      </c>
    </row>
    <row r="7292" spans="1:3" x14ac:dyDescent="0.25">
      <c r="A7292" s="2" t="str">
        <f ca="1">IFERROR(__xludf.DUMMYFUNCTION("""COMPUTED_VALUE"""),"leicester-tigers-fan-token")</f>
        <v>leicester-tigers-fan-token</v>
      </c>
      <c r="B7292" s="2" t="str">
        <f ca="1">IFERROR(__xludf.DUMMYFUNCTION("""COMPUTED_VALUE"""),"tigers")</f>
        <v>tigers</v>
      </c>
      <c r="C7292" s="2" t="str">
        <f ca="1">IFERROR(__xludf.DUMMYFUNCTION("""COMPUTED_VALUE"""),"Leicester Tigers Fan Token")</f>
        <v>Leicester Tigers Fan Token</v>
      </c>
    </row>
    <row r="7293" spans="1:3" x14ac:dyDescent="0.25">
      <c r="A7293" s="2" t="str">
        <f ca="1">IFERROR(__xludf.DUMMYFUNCTION("""COMPUTED_VALUE"""),"leisuremeta")</f>
        <v>leisuremeta</v>
      </c>
      <c r="B7293" s="2" t="str">
        <f ca="1">IFERROR(__xludf.DUMMYFUNCTION("""COMPUTED_VALUE"""),"lm")</f>
        <v>lm</v>
      </c>
      <c r="C7293" s="2" t="str">
        <f ca="1">IFERROR(__xludf.DUMMYFUNCTION("""COMPUTED_VALUE"""),"LeisureMeta")</f>
        <v>LeisureMeta</v>
      </c>
    </row>
    <row r="7294" spans="1:3" x14ac:dyDescent="0.25">
      <c r="A7294" s="2" t="str">
        <f ca="1">IFERROR(__xludf.DUMMYFUNCTION("""COMPUTED_VALUE"""),"le-meow")</f>
        <v>le-meow</v>
      </c>
      <c r="B7294" s="2" t="str">
        <f ca="1">IFERROR(__xludf.DUMMYFUNCTION("""COMPUTED_VALUE"""),"lemeow")</f>
        <v>lemeow</v>
      </c>
      <c r="C7294" s="2" t="str">
        <f ca="1">IFERROR(__xludf.DUMMYFUNCTION("""COMPUTED_VALUE"""),"Le Meow")</f>
        <v>Le Meow</v>
      </c>
    </row>
    <row r="7295" spans="1:3" x14ac:dyDescent="0.25">
      <c r="A7295" s="2" t="str">
        <f ca="1">IFERROR(__xludf.DUMMYFUNCTION("""COMPUTED_VALUE"""),"lemochain")</f>
        <v>lemochain</v>
      </c>
      <c r="B7295" s="2" t="str">
        <f ca="1">IFERROR(__xludf.DUMMYFUNCTION("""COMPUTED_VALUE"""),"lemo")</f>
        <v>lemo</v>
      </c>
      <c r="C7295" s="2" t="str">
        <f ca="1">IFERROR(__xludf.DUMMYFUNCTION("""COMPUTED_VALUE"""),"LemoChain")</f>
        <v>LemoChain</v>
      </c>
    </row>
    <row r="7296" spans="1:3" x14ac:dyDescent="0.25">
      <c r="A7296" s="2" t="str">
        <f ca="1">IFERROR(__xludf.DUMMYFUNCTION("""COMPUTED_VALUE"""),"lemonchain")</f>
        <v>lemonchain</v>
      </c>
      <c r="B7296" s="2" t="str">
        <f ca="1">IFERROR(__xludf.DUMMYFUNCTION("""COMPUTED_VALUE"""),"lemc")</f>
        <v>lemc</v>
      </c>
      <c r="C7296" s="2" t="str">
        <f ca="1">IFERROR(__xludf.DUMMYFUNCTION("""COMPUTED_VALUE"""),"LemonChain")</f>
        <v>LemonChain</v>
      </c>
    </row>
    <row r="7297" spans="1:3" x14ac:dyDescent="0.25">
      <c r="A7297" s="2" t="str">
        <f ca="1">IFERROR(__xludf.DUMMYFUNCTION("""COMPUTED_VALUE"""),"lemond")</f>
        <v>lemond</v>
      </c>
      <c r="B7297" s="2" t="str">
        <f ca="1">IFERROR(__xludf.DUMMYFUNCTION("""COMPUTED_VALUE"""),"lemd")</f>
        <v>lemd</v>
      </c>
      <c r="C7297" s="2" t="str">
        <f ca="1">IFERROR(__xludf.DUMMYFUNCTION("""COMPUTED_VALUE"""),"Lemond")</f>
        <v>Lemond</v>
      </c>
    </row>
    <row r="7298" spans="1:3" x14ac:dyDescent="0.25">
      <c r="A7298" s="2" t="str">
        <f ca="1">IFERROR(__xludf.DUMMYFUNCTION("""COMPUTED_VALUE"""),"lemonrocks")</f>
        <v>lemonrocks</v>
      </c>
      <c r="B7298" s="2" t="str">
        <f ca="1">IFERROR(__xludf.DUMMYFUNCTION("""COMPUTED_VALUE"""),"lemon")</f>
        <v>lemon</v>
      </c>
      <c r="C7298" s="2" t="str">
        <f ca="1">IFERROR(__xludf.DUMMYFUNCTION("""COMPUTED_VALUE"""),"Lemonrocks")</f>
        <v>Lemonrocks</v>
      </c>
    </row>
    <row r="7299" spans="1:3" x14ac:dyDescent="0.25">
      <c r="A7299" s="2" t="str">
        <f ca="1">IFERROR(__xludf.DUMMYFUNCTION("""COMPUTED_VALUE"""),"lemon-terminal")</f>
        <v>lemon-terminal</v>
      </c>
      <c r="B7299" s="2" t="str">
        <f ca="1">IFERROR(__xludf.DUMMYFUNCTION("""COMPUTED_VALUE"""),"lemon")</f>
        <v>lemon</v>
      </c>
      <c r="C7299" s="2" t="str">
        <f ca="1">IFERROR(__xludf.DUMMYFUNCTION("""COMPUTED_VALUE"""),"Lemon Terminal")</f>
        <v>Lemon Terminal</v>
      </c>
    </row>
    <row r="7300" spans="1:3" x14ac:dyDescent="0.25">
      <c r="A7300" s="2" t="str">
        <f ca="1">IFERROR(__xludf.DUMMYFUNCTION("""COMPUTED_VALUE"""),"lemon-token")</f>
        <v>lemon-token</v>
      </c>
      <c r="B7300" s="2" t="str">
        <f ca="1">IFERROR(__xludf.DUMMYFUNCTION("""COMPUTED_VALUE"""),"lemn")</f>
        <v>lemn</v>
      </c>
      <c r="C7300" s="2" t="str">
        <f ca="1">IFERROR(__xludf.DUMMYFUNCTION("""COMPUTED_VALUE"""),"Crypto Lemon")</f>
        <v>Crypto Lemon</v>
      </c>
    </row>
    <row r="7301" spans="1:3" x14ac:dyDescent="0.25">
      <c r="A7301" s="2" t="str">
        <f ca="1">IFERROR(__xludf.DUMMYFUNCTION("""COMPUTED_VALUE"""),"lenard")</f>
        <v>lenard</v>
      </c>
      <c r="B7301" s="2" t="str">
        <f ca="1">IFERROR(__xludf.DUMMYFUNCTION("""COMPUTED_VALUE"""),"lenard")</f>
        <v>lenard</v>
      </c>
      <c r="C7301" s="2" t="str">
        <f ca="1">IFERROR(__xludf.DUMMYFUNCTION("""COMPUTED_VALUE"""),"Lenard")</f>
        <v>Lenard</v>
      </c>
    </row>
    <row r="7302" spans="1:3" x14ac:dyDescent="0.25">
      <c r="A7302" s="2" t="str">
        <f ca="1">IFERROR(__xludf.DUMMYFUNCTION("""COMPUTED_VALUE"""),"lendfi-finance")</f>
        <v>lendfi-finance</v>
      </c>
      <c r="B7302" s="2" t="str">
        <f ca="1">IFERROR(__xludf.DUMMYFUNCTION("""COMPUTED_VALUE"""),"lendfi")</f>
        <v>lendfi</v>
      </c>
      <c r="C7302" s="2" t="str">
        <f ca="1">IFERROR(__xludf.DUMMYFUNCTION("""COMPUTED_VALUE"""),"Lendfi Finance")</f>
        <v>Lendfi Finance</v>
      </c>
    </row>
    <row r="7303" spans="1:3" x14ac:dyDescent="0.25">
      <c r="A7303" s="2" t="str">
        <f ca="1">IFERROR(__xludf.DUMMYFUNCTION("""COMPUTED_VALUE"""),"lendle")</f>
        <v>lendle</v>
      </c>
      <c r="B7303" s="2" t="str">
        <f ca="1">IFERROR(__xludf.DUMMYFUNCTION("""COMPUTED_VALUE"""),"lend")</f>
        <v>lend</v>
      </c>
      <c r="C7303" s="2" t="str">
        <f ca="1">IFERROR(__xludf.DUMMYFUNCTION("""COMPUTED_VALUE"""),"Lendle")</f>
        <v>Lendle</v>
      </c>
    </row>
    <row r="7304" spans="1:3" x14ac:dyDescent="0.25">
      <c r="A7304" s="2" t="str">
        <f ca="1">IFERROR(__xludf.DUMMYFUNCTION("""COMPUTED_VALUE"""),"lends")</f>
        <v>lends</v>
      </c>
      <c r="B7304" s="2" t="str">
        <f ca="1">IFERROR(__xludf.DUMMYFUNCTION("""COMPUTED_VALUE"""),"lends")</f>
        <v>lends</v>
      </c>
      <c r="C7304" s="2" t="str">
        <f ca="1">IFERROR(__xludf.DUMMYFUNCTION("""COMPUTED_VALUE"""),"Lends")</f>
        <v>Lends</v>
      </c>
    </row>
    <row r="7305" spans="1:3" x14ac:dyDescent="0.25">
      <c r="A7305" s="2" t="str">
        <f ca="1">IFERROR(__xludf.DUMMYFUNCTION("""COMPUTED_VALUE"""),"lenny-face")</f>
        <v>lenny-face</v>
      </c>
      <c r="B7305" s="2" t="str">
        <f ca="1">IFERROR(__xludf.DUMMYFUNCTION("""COMPUTED_VALUE"""),"( ͡° ͜ʖ ͡°)")</f>
        <v>( ͡° ͜ʖ ͡°)</v>
      </c>
      <c r="C7305" s="2" t="str">
        <f ca="1">IFERROR(__xludf.DUMMYFUNCTION("""COMPUTED_VALUE"""),"Lenny Face")</f>
        <v>Lenny Face</v>
      </c>
    </row>
    <row r="7306" spans="1:3" x14ac:dyDescent="0.25">
      <c r="A7306" s="2" t="str">
        <f ca="1">IFERROR(__xludf.DUMMYFUNCTION("""COMPUTED_VALUE"""),"leoavax")</f>
        <v>leoavax</v>
      </c>
      <c r="B7306" s="2" t="str">
        <f ca="1">IFERROR(__xludf.DUMMYFUNCTION("""COMPUTED_VALUE"""),"leo")</f>
        <v>leo</v>
      </c>
      <c r="C7306" s="2" t="str">
        <f ca="1">IFERROR(__xludf.DUMMYFUNCTION("""COMPUTED_VALUE"""),"LeoAVAX")</f>
        <v>LeoAVAX</v>
      </c>
    </row>
    <row r="7307" spans="1:3" x14ac:dyDescent="0.25">
      <c r="A7307" s="2" t="str">
        <f ca="1">IFERROR(__xludf.DUMMYFUNCTION("""COMPUTED_VALUE"""),"leonard-the-lizard")</f>
        <v>leonard-the-lizard</v>
      </c>
      <c r="B7307" s="2" t="str">
        <f ca="1">IFERROR(__xludf.DUMMYFUNCTION("""COMPUTED_VALUE"""),"lenni")</f>
        <v>lenni</v>
      </c>
      <c r="C7307" s="2" t="str">
        <f ca="1">IFERROR(__xludf.DUMMYFUNCTION("""COMPUTED_VALUE"""),"Leonard The Lizard")</f>
        <v>Leonard The Lizard</v>
      </c>
    </row>
    <row r="7308" spans="1:3" x14ac:dyDescent="0.25">
      <c r="A7308" s="2" t="str">
        <f ca="1">IFERROR(__xludf.DUMMYFUNCTION("""COMPUTED_VALUE"""),"leonidasbilic")</f>
        <v>leonidasbilic</v>
      </c>
      <c r="B7308" s="2" t="str">
        <f ca="1">IFERROR(__xludf.DUMMYFUNCTION("""COMPUTED_VALUE"""),"lio")</f>
        <v>lio</v>
      </c>
      <c r="C7308" s="2" t="str">
        <f ca="1">IFERROR(__xludf.DUMMYFUNCTION("""COMPUTED_VALUE"""),"Leonidasbilic")</f>
        <v>Leonidasbilic</v>
      </c>
    </row>
    <row r="7309" spans="1:3" x14ac:dyDescent="0.25">
      <c r="A7309" s="2" t="str">
        <f ca="1">IFERROR(__xludf.DUMMYFUNCTION("""COMPUTED_VALUE"""),"leopard")</f>
        <v>leopard</v>
      </c>
      <c r="B7309" s="2" t="str">
        <f ca="1">IFERROR(__xludf.DUMMYFUNCTION("""COMPUTED_VALUE"""),"leopard")</f>
        <v>leopard</v>
      </c>
      <c r="C7309" s="2" t="str">
        <f ca="1">IFERROR(__xludf.DUMMYFUNCTION("""COMPUTED_VALUE"""),"Leopard")</f>
        <v>Leopard</v>
      </c>
    </row>
    <row r="7310" spans="1:3" x14ac:dyDescent="0.25">
      <c r="A7310" s="2" t="str">
        <f ca="1">IFERROR(__xludf.DUMMYFUNCTION("""COMPUTED_VALUE"""),"leopold")</f>
        <v>leopold</v>
      </c>
      <c r="B7310" s="2" t="str">
        <f ca="1">IFERROR(__xludf.DUMMYFUNCTION("""COMPUTED_VALUE"""),"leo")</f>
        <v>leo</v>
      </c>
      <c r="C7310" s="2" t="str">
        <f ca="1">IFERROR(__xludf.DUMMYFUNCTION("""COMPUTED_VALUE"""),"LEO")</f>
        <v>LEO</v>
      </c>
    </row>
    <row r="7311" spans="1:3" x14ac:dyDescent="0.25">
      <c r="A7311" s="2" t="str">
        <f ca="1">IFERROR(__xludf.DUMMYFUNCTION("""COMPUTED_VALUE"""),"leo-token")</f>
        <v>leo-token</v>
      </c>
      <c r="B7311" s="2" t="str">
        <f ca="1">IFERROR(__xludf.DUMMYFUNCTION("""COMPUTED_VALUE"""),"leo")</f>
        <v>leo</v>
      </c>
      <c r="C7311" s="2" t="str">
        <f ca="1">IFERROR(__xludf.DUMMYFUNCTION("""COMPUTED_VALUE"""),"LEO Token")</f>
        <v>LEO Token</v>
      </c>
    </row>
    <row r="7312" spans="1:3" x14ac:dyDescent="0.25">
      <c r="A7312" s="2" t="str">
        <f ca="1">IFERROR(__xludf.DUMMYFUNCTION("""COMPUTED_VALUE"""),"leox")</f>
        <v>leox</v>
      </c>
      <c r="B7312" s="2" t="str">
        <f ca="1">IFERROR(__xludf.DUMMYFUNCTION("""COMPUTED_VALUE"""),"leox")</f>
        <v>leox</v>
      </c>
      <c r="C7312" s="2" t="str">
        <f ca="1">IFERROR(__xludf.DUMMYFUNCTION("""COMPUTED_VALUE"""),"LEOX")</f>
        <v>LEOX</v>
      </c>
    </row>
    <row r="7313" spans="1:3" x14ac:dyDescent="0.25">
      <c r="A7313" s="2" t="str">
        <f ca="1">IFERROR(__xludf.DUMMYFUNCTION("""COMPUTED_VALUE"""),"leper")</f>
        <v>leper</v>
      </c>
      <c r="B7313" s="2" t="str">
        <f ca="1">IFERROR(__xludf.DUMMYFUNCTION("""COMPUTED_VALUE"""),"leper")</f>
        <v>leper</v>
      </c>
      <c r="C7313" s="2" t="str">
        <f ca="1">IFERROR(__xludf.DUMMYFUNCTION("""COMPUTED_VALUE"""),"LEPER")</f>
        <v>LEPER</v>
      </c>
    </row>
    <row r="7314" spans="1:3" x14ac:dyDescent="0.25">
      <c r="A7314" s="2" t="str">
        <f ca="1">IFERROR(__xludf.DUMMYFUNCTION("""COMPUTED_VALUE"""),"lernitas")</f>
        <v>lernitas</v>
      </c>
      <c r="B7314" s="2" t="str">
        <f ca="1">IFERROR(__xludf.DUMMYFUNCTION("""COMPUTED_VALUE"""),"2192")</f>
        <v>2192</v>
      </c>
      <c r="C7314" s="2" t="str">
        <f ca="1">IFERROR(__xludf.DUMMYFUNCTION("""COMPUTED_VALUE"""),"LERNITAS")</f>
        <v>LERNITAS</v>
      </c>
    </row>
    <row r="7315" spans="1:3" x14ac:dyDescent="0.25">
      <c r="A7315" s="2" t="str">
        <f ca="1">IFERROR(__xludf.DUMMYFUNCTION("""COMPUTED_VALUE"""),"lesbian-inu")</f>
        <v>lesbian-inu</v>
      </c>
      <c r="B7315" s="2" t="str">
        <f ca="1">IFERROR(__xludf.DUMMYFUNCTION("""COMPUTED_VALUE"""),"lesbian")</f>
        <v>lesbian</v>
      </c>
      <c r="C7315" s="2" t="str">
        <f ca="1">IFERROR(__xludf.DUMMYFUNCTION("""COMPUTED_VALUE"""),"Lesbian Inu")</f>
        <v>Lesbian Inu</v>
      </c>
    </row>
    <row r="7316" spans="1:3" x14ac:dyDescent="0.25">
      <c r="A7316" s="2" t="str">
        <f ca="1">IFERROR(__xludf.DUMMYFUNCTION("""COMPUTED_VALUE"""),"leslie")</f>
        <v>leslie</v>
      </c>
      <c r="B7316" s="2" t="str">
        <f ca="1">IFERROR(__xludf.DUMMYFUNCTION("""COMPUTED_VALUE"""),"leslie")</f>
        <v>leslie</v>
      </c>
      <c r="C7316" s="2" t="str">
        <f ca="1">IFERROR(__xludf.DUMMYFUNCTION("""COMPUTED_VALUE"""),"Leslie")</f>
        <v>Leslie</v>
      </c>
    </row>
    <row r="7317" spans="1:3" x14ac:dyDescent="0.25">
      <c r="A7317" s="2" t="str">
        <f ca="1">IFERROR(__xludf.DUMMYFUNCTION("""COMPUTED_VALUE"""),"lessfngas")</f>
        <v>lessfngas</v>
      </c>
      <c r="B7317" s="2" t="str">
        <f ca="1">IFERROR(__xludf.DUMMYFUNCTION("""COMPUTED_VALUE"""),"lfg")</f>
        <v>lfg</v>
      </c>
      <c r="C7317" s="2" t="str">
        <f ca="1">IFERROR(__xludf.DUMMYFUNCTION("""COMPUTED_VALUE"""),"LessFnGas")</f>
        <v>LessFnGas</v>
      </c>
    </row>
    <row r="7318" spans="1:3" x14ac:dyDescent="0.25">
      <c r="A7318" s="2" t="str">
        <f ca="1">IFERROR(__xludf.DUMMYFUNCTION("""COMPUTED_VALUE"""),"lethean")</f>
        <v>lethean</v>
      </c>
      <c r="B7318" s="2" t="str">
        <f ca="1">IFERROR(__xludf.DUMMYFUNCTION("""COMPUTED_VALUE"""),"lthn")</f>
        <v>lthn</v>
      </c>
      <c r="C7318" s="2" t="str">
        <f ca="1">IFERROR(__xludf.DUMMYFUNCTION("""COMPUTED_VALUE"""),"Lethean")</f>
        <v>Lethean</v>
      </c>
    </row>
    <row r="7319" spans="1:3" x14ac:dyDescent="0.25">
      <c r="A7319" s="2" t="str">
        <f ca="1">IFERROR(__xludf.DUMMYFUNCTION("""COMPUTED_VALUE"""),"let-him-cook")</f>
        <v>let-him-cook</v>
      </c>
      <c r="B7319" s="2" t="str">
        <f ca="1">IFERROR(__xludf.DUMMYFUNCTION("""COMPUTED_VALUE"""),"$cook")</f>
        <v>$cook</v>
      </c>
      <c r="C7319" s="2" t="str">
        <f ca="1">IFERROR(__xludf.DUMMYFUNCTION("""COMPUTED_VALUE"""),"Let Him Cook")</f>
        <v>Let Him Cook</v>
      </c>
    </row>
    <row r="7320" spans="1:3" x14ac:dyDescent="0.25">
      <c r="A7320" s="2" t="str">
        <f ca="1">IFERROR(__xludf.DUMMYFUNCTION("""COMPUTED_VALUE"""),"letscro")</f>
        <v>letscro</v>
      </c>
      <c r="B7320" s="2" t="str">
        <f ca="1">IFERROR(__xludf.DUMMYFUNCTION("""COMPUTED_VALUE"""),"lfc")</f>
        <v>lfc</v>
      </c>
      <c r="C7320" s="2" t="str">
        <f ca="1">IFERROR(__xludf.DUMMYFUNCTION("""COMPUTED_VALUE"""),"LetsCRO")</f>
        <v>LetsCRO</v>
      </c>
    </row>
    <row r="7321" spans="1:3" x14ac:dyDescent="0.25">
      <c r="A7321" s="2" t="str">
        <f ca="1">IFERROR(__xludf.DUMMYFUNCTION("""COMPUTED_VALUE"""),"let-s-get-hai")</f>
        <v>let-s-get-hai</v>
      </c>
      <c r="B7321" s="2" t="str">
        <f ca="1">IFERROR(__xludf.DUMMYFUNCTION("""COMPUTED_VALUE"""),"hai")</f>
        <v>hai</v>
      </c>
      <c r="C7321" s="2" t="str">
        <f ca="1">IFERROR(__xludf.DUMMYFUNCTION("""COMPUTED_VALUE"""),"Let's Get HAI")</f>
        <v>Let's Get HAI</v>
      </c>
    </row>
    <row r="7322" spans="1:3" x14ac:dyDescent="0.25">
      <c r="A7322" s="2" t="str">
        <f ca="1">IFERROR(__xludf.DUMMYFUNCTION("""COMPUTED_VALUE"""),"lets-go-brandon")</f>
        <v>lets-go-brandon</v>
      </c>
      <c r="B7322" s="2" t="str">
        <f ca="1">IFERROR(__xludf.DUMMYFUNCTION("""COMPUTED_VALUE"""),"letsgo")</f>
        <v>letsgo</v>
      </c>
      <c r="C7322" s="2" t="str">
        <f ca="1">IFERROR(__xludf.DUMMYFUNCTION("""COMPUTED_VALUE"""),"Lets Go Brandon")</f>
        <v>Lets Go Brandon</v>
      </c>
    </row>
    <row r="7323" spans="1:3" x14ac:dyDescent="0.25">
      <c r="A7323" s="2" t="str">
        <f ca="1">IFERROR(__xludf.DUMMYFUNCTION("""COMPUTED_VALUE"""),"levana-protocol")</f>
        <v>levana-protocol</v>
      </c>
      <c r="B7323" s="2" t="str">
        <f ca="1">IFERROR(__xludf.DUMMYFUNCTION("""COMPUTED_VALUE"""),"lvn")</f>
        <v>lvn</v>
      </c>
      <c r="C7323" s="2" t="str">
        <f ca="1">IFERROR(__xludf.DUMMYFUNCTION("""COMPUTED_VALUE"""),"Levana")</f>
        <v>Levana</v>
      </c>
    </row>
    <row r="7324" spans="1:3" x14ac:dyDescent="0.25">
      <c r="A7324" s="2" t="str">
        <f ca="1">IFERROR(__xludf.DUMMYFUNCTION("""COMPUTED_VALUE"""),"levante-ud-fan-token")</f>
        <v>levante-ud-fan-token</v>
      </c>
      <c r="B7324" s="2" t="str">
        <f ca="1">IFERROR(__xludf.DUMMYFUNCTION("""COMPUTED_VALUE"""),"lev")</f>
        <v>lev</v>
      </c>
      <c r="C7324" s="2" t="str">
        <f ca="1">IFERROR(__xludf.DUMMYFUNCTION("""COMPUTED_VALUE"""),"Levante U.D. Fan Token")</f>
        <v>Levante U.D. Fan Token</v>
      </c>
    </row>
    <row r="7325" spans="1:3" x14ac:dyDescent="0.25">
      <c r="A7325" s="2" t="str">
        <f ca="1">IFERROR(__xludf.DUMMYFUNCTION("""COMPUTED_VALUE"""),"level")</f>
        <v>level</v>
      </c>
      <c r="B7325" s="2" t="str">
        <f ca="1">IFERROR(__xludf.DUMMYFUNCTION("""COMPUTED_VALUE"""),"lvl")</f>
        <v>lvl</v>
      </c>
      <c r="C7325" s="2" t="str">
        <f ca="1">IFERROR(__xludf.DUMMYFUNCTION("""COMPUTED_VALUE"""),"Level")</f>
        <v>Level</v>
      </c>
    </row>
    <row r="7326" spans="1:3" x14ac:dyDescent="0.25">
      <c r="A7326" s="2" t="str">
        <f ca="1">IFERROR(__xludf.DUMMYFUNCTION("""COMPUTED_VALUE"""),"level-governance")</f>
        <v>level-governance</v>
      </c>
      <c r="B7326" s="2" t="str">
        <f ca="1">IFERROR(__xludf.DUMMYFUNCTION("""COMPUTED_VALUE"""),"lgo")</f>
        <v>lgo</v>
      </c>
      <c r="C7326" s="2" t="str">
        <f ca="1">IFERROR(__xludf.DUMMYFUNCTION("""COMPUTED_VALUE"""),"Level Governance")</f>
        <v>Level Governance</v>
      </c>
    </row>
    <row r="7327" spans="1:3" x14ac:dyDescent="0.25">
      <c r="A7327" s="2" t="str">
        <f ca="1">IFERROR(__xludf.DUMMYFUNCTION("""COMPUTED_VALUE"""),"lever")</f>
        <v>lever</v>
      </c>
      <c r="B7327" s="2" t="str">
        <f ca="1">IFERROR(__xludf.DUMMYFUNCTION("""COMPUTED_VALUE"""),"lever")</f>
        <v>lever</v>
      </c>
      <c r="C7327" s="2" t="str">
        <f ca="1">IFERROR(__xludf.DUMMYFUNCTION("""COMPUTED_VALUE"""),"LeverFi")</f>
        <v>LeverFi</v>
      </c>
    </row>
    <row r="7328" spans="1:3" x14ac:dyDescent="0.25">
      <c r="A7328" s="2" t="str">
        <f ca="1">IFERROR(__xludf.DUMMYFUNCTION("""COMPUTED_VALUE"""),"leveraged-cvx")</f>
        <v>leveraged-cvx</v>
      </c>
      <c r="B7328" s="2" t="str">
        <f ca="1">IFERROR(__xludf.DUMMYFUNCTION("""COMPUTED_VALUE"""),"xcvx")</f>
        <v>xcvx</v>
      </c>
      <c r="C7328" s="2" t="str">
        <f ca="1">IFERROR(__xludf.DUMMYFUNCTION("""COMPUTED_VALUE"""),"Leveraged CVX")</f>
        <v>Leveraged CVX</v>
      </c>
    </row>
    <row r="7329" spans="1:3" x14ac:dyDescent="0.25">
      <c r="A7329" s="2" t="str">
        <f ca="1">IFERROR(__xludf.DUMMYFUNCTION("""COMPUTED_VALUE"""),"leveraged-eeth")</f>
        <v>leveraged-eeth</v>
      </c>
      <c r="B7329" s="2" t="str">
        <f ca="1">IFERROR(__xludf.DUMMYFUNCTION("""COMPUTED_VALUE"""),"xeeth")</f>
        <v>xeeth</v>
      </c>
      <c r="C7329" s="2" t="str">
        <f ca="1">IFERROR(__xludf.DUMMYFUNCTION("""COMPUTED_VALUE"""),"Leveraged eETH")</f>
        <v>Leveraged eETH</v>
      </c>
    </row>
    <row r="7330" spans="1:3" x14ac:dyDescent="0.25">
      <c r="A7330" s="2" t="str">
        <f ca="1">IFERROR(__xludf.DUMMYFUNCTION("""COMPUTED_VALUE"""),"leveraged-ezeth")</f>
        <v>leveraged-ezeth</v>
      </c>
      <c r="B7330" s="2" t="str">
        <f ca="1">IFERROR(__xludf.DUMMYFUNCTION("""COMPUTED_VALUE"""),"xezeth")</f>
        <v>xezeth</v>
      </c>
      <c r="C7330" s="2" t="str">
        <f ca="1">IFERROR(__xludf.DUMMYFUNCTION("""COMPUTED_VALUE"""),"Leveraged ezETH")</f>
        <v>Leveraged ezETH</v>
      </c>
    </row>
    <row r="7331" spans="1:3" x14ac:dyDescent="0.25">
      <c r="A7331" s="2" t="str">
        <f ca="1">IFERROR(__xludf.DUMMYFUNCTION("""COMPUTED_VALUE"""),"leveraged-frxeth")</f>
        <v>leveraged-frxeth</v>
      </c>
      <c r="B7331" s="2" t="str">
        <f ca="1">IFERROR(__xludf.DUMMYFUNCTION("""COMPUTED_VALUE"""),"xfrxeth")</f>
        <v>xfrxeth</v>
      </c>
      <c r="C7331" s="2" t="str">
        <f ca="1">IFERROR(__xludf.DUMMYFUNCTION("""COMPUTED_VALUE"""),"Leveraged frxETH")</f>
        <v>Leveraged frxETH</v>
      </c>
    </row>
    <row r="7332" spans="1:3" x14ac:dyDescent="0.25">
      <c r="A7332" s="2" t="str">
        <f ca="1">IFERROR(__xludf.DUMMYFUNCTION("""COMPUTED_VALUE"""),"leveraged-steth")</f>
        <v>leveraged-steth</v>
      </c>
      <c r="B7332" s="2" t="str">
        <f ca="1">IFERROR(__xludf.DUMMYFUNCTION("""COMPUTED_VALUE"""),"xsteth")</f>
        <v>xsteth</v>
      </c>
      <c r="C7332" s="2" t="str">
        <f ca="1">IFERROR(__xludf.DUMMYFUNCTION("""COMPUTED_VALUE"""),"Leveraged stETH")</f>
        <v>Leveraged stETH</v>
      </c>
    </row>
    <row r="7333" spans="1:3" x14ac:dyDescent="0.25">
      <c r="A7333" s="2" t="str">
        <f ca="1">IFERROR(__xludf.DUMMYFUNCTION("""COMPUTED_VALUE"""),"leverage-wbtc")</f>
        <v>leverage-wbtc</v>
      </c>
      <c r="B7333" s="2" t="str">
        <f ca="1">IFERROR(__xludf.DUMMYFUNCTION("""COMPUTED_VALUE"""),"xwbtc")</f>
        <v>xwbtc</v>
      </c>
      <c r="C7333" s="2" t="str">
        <f ca="1">IFERROR(__xludf.DUMMYFUNCTION("""COMPUTED_VALUE"""),"Leverage WBTC")</f>
        <v>Leverage WBTC</v>
      </c>
    </row>
    <row r="7334" spans="1:3" x14ac:dyDescent="0.25">
      <c r="A7334" s="2" t="str">
        <f ca="1">IFERROR(__xludf.DUMMYFUNCTION("""COMPUTED_VALUE"""),"leverj-gluon")</f>
        <v>leverj-gluon</v>
      </c>
      <c r="B7334" s="2" t="str">
        <f ca="1">IFERROR(__xludf.DUMMYFUNCTION("""COMPUTED_VALUE"""),"l2")</f>
        <v>l2</v>
      </c>
      <c r="C7334" s="2" t="str">
        <f ca="1">IFERROR(__xludf.DUMMYFUNCTION("""COMPUTED_VALUE"""),"Leverj Gluon")</f>
        <v>Leverj Gluon</v>
      </c>
    </row>
    <row r="7335" spans="1:3" x14ac:dyDescent="0.25">
      <c r="A7335" s="2" t="str">
        <f ca="1">IFERROR(__xludf.DUMMYFUNCTION("""COMPUTED_VALUE"""),"lever-network")</f>
        <v>lever-network</v>
      </c>
      <c r="B7335" s="2" t="str">
        <f ca="1">IFERROR(__xludf.DUMMYFUNCTION("""COMPUTED_VALUE"""),"lev")</f>
        <v>lev</v>
      </c>
      <c r="C7335" s="2" t="str">
        <f ca="1">IFERROR(__xludf.DUMMYFUNCTION("""COMPUTED_VALUE"""),"Lever Network")</f>
        <v>Lever Network</v>
      </c>
    </row>
    <row r="7336" spans="1:3" x14ac:dyDescent="0.25">
      <c r="A7336" s="2" t="str">
        <f ca="1">IFERROR(__xludf.DUMMYFUNCTION("""COMPUTED_VALUE"""),"leviathan-points")</f>
        <v>leviathan-points</v>
      </c>
      <c r="B7336" s="2" t="str">
        <f ca="1">IFERROR(__xludf.DUMMYFUNCTION("""COMPUTED_VALUE"""),"squid")</f>
        <v>squid</v>
      </c>
      <c r="C7336" s="2" t="str">
        <f ca="1">IFERROR(__xludf.DUMMYFUNCTION("""COMPUTED_VALUE"""),"Leviathan Points")</f>
        <v>Leviathan Points</v>
      </c>
    </row>
    <row r="7337" spans="1:3" x14ac:dyDescent="0.25">
      <c r="A7337" s="2" t="str">
        <f ca="1">IFERROR(__xludf.DUMMYFUNCTION("""COMPUTED_VALUE"""),"lexa-ai")</f>
        <v>lexa-ai</v>
      </c>
      <c r="B7337" s="2" t="str">
        <f ca="1">IFERROR(__xludf.DUMMYFUNCTION("""COMPUTED_VALUE"""),"lexa")</f>
        <v>lexa</v>
      </c>
      <c r="C7337" s="2" t="str">
        <f ca="1">IFERROR(__xludf.DUMMYFUNCTION("""COMPUTED_VALUE"""),"LEXA AI")</f>
        <v>LEXA AI</v>
      </c>
    </row>
    <row r="7338" spans="1:3" x14ac:dyDescent="0.25">
      <c r="A7338" s="2" t="str">
        <f ca="1">IFERROR(__xludf.DUMMYFUNCTION("""COMPUTED_VALUE"""),"lexer-markets")</f>
        <v>lexer-markets</v>
      </c>
      <c r="B7338" s="2" t="str">
        <f ca="1">IFERROR(__xludf.DUMMYFUNCTION("""COMPUTED_VALUE"""),"lex")</f>
        <v>lex</v>
      </c>
      <c r="C7338" s="2" t="str">
        <f ca="1">IFERROR(__xludf.DUMMYFUNCTION("""COMPUTED_VALUE"""),"LEXER Markets")</f>
        <v>LEXER Markets</v>
      </c>
    </row>
    <row r="7339" spans="1:3" x14ac:dyDescent="0.25">
      <c r="A7339" s="2" t="str">
        <f ca="1">IFERROR(__xludf.DUMMYFUNCTION("""COMPUTED_VALUE"""),"lexiai")</f>
        <v>lexiai</v>
      </c>
      <c r="B7339" s="2" t="str">
        <f ca="1">IFERROR(__xludf.DUMMYFUNCTION("""COMPUTED_VALUE"""),"lexi")</f>
        <v>lexi</v>
      </c>
      <c r="C7339" s="2" t="str">
        <f ca="1">IFERROR(__xludf.DUMMYFUNCTION("""COMPUTED_VALUE"""),"LexiAI")</f>
        <v>LexiAI</v>
      </c>
    </row>
    <row r="7340" spans="1:3" x14ac:dyDescent="0.25">
      <c r="A7340" s="2" t="str">
        <f ca="1">IFERROR(__xludf.DUMMYFUNCTION("""COMPUTED_VALUE"""),"lfg")</f>
        <v>lfg</v>
      </c>
      <c r="B7340" s="2" t="str">
        <f ca="1">IFERROR(__xludf.DUMMYFUNCTION("""COMPUTED_VALUE"""),"@lfg")</f>
        <v>@lfg</v>
      </c>
      <c r="C7340" s="2" t="str">
        <f ca="1">IFERROR(__xludf.DUMMYFUNCTION("""COMPUTED_VALUE"""),"LFG")</f>
        <v>LFG</v>
      </c>
    </row>
    <row r="7341" spans="1:3" x14ac:dyDescent="0.25">
      <c r="A7341" s="2" t="str">
        <f ca="1">IFERROR(__xludf.DUMMYFUNCTION("""COMPUTED_VALUE"""),"lfgo")</f>
        <v>lfgo</v>
      </c>
      <c r="B7341" s="2" t="str">
        <f ca="1">IFERROR(__xludf.DUMMYFUNCTION("""COMPUTED_VALUE"""),"lfgo")</f>
        <v>lfgo</v>
      </c>
      <c r="C7341" s="2" t="str">
        <f ca="1">IFERROR(__xludf.DUMMYFUNCTION("""COMPUTED_VALUE"""),"LFGO")</f>
        <v>LFGO</v>
      </c>
    </row>
    <row r="7342" spans="1:3" x14ac:dyDescent="0.25">
      <c r="A7342" s="2" t="str">
        <f ca="1">IFERROR(__xludf.DUMMYFUNCTION("""COMPUTED_VALUE"""),"lfgswap-finance")</f>
        <v>lfgswap-finance</v>
      </c>
      <c r="B7342" s="2" t="str">
        <f ca="1">IFERROR(__xludf.DUMMYFUNCTION("""COMPUTED_VALUE"""),"lfg")</f>
        <v>lfg</v>
      </c>
      <c r="C7342" s="2" t="str">
        <f ca="1">IFERROR(__xludf.DUMMYFUNCTION("""COMPUTED_VALUE"""),"LFGSwap Finance")</f>
        <v>LFGSwap Finance</v>
      </c>
    </row>
    <row r="7343" spans="1:3" x14ac:dyDescent="0.25">
      <c r="A7343" s="2" t="str">
        <f ca="1">IFERROR(__xludf.DUMMYFUNCTION("""COMPUTED_VALUE"""),"lfgswap-finance-core")</f>
        <v>lfgswap-finance-core</v>
      </c>
      <c r="B7343" s="2" t="str">
        <f ca="1">IFERROR(__xludf.DUMMYFUNCTION("""COMPUTED_VALUE"""),"lfg")</f>
        <v>lfg</v>
      </c>
      <c r="C7343" s="2" t="str">
        <f ca="1">IFERROR(__xludf.DUMMYFUNCTION("""COMPUTED_VALUE"""),"LFGSwap Finance(CORE)")</f>
        <v>LFGSwap Finance(CORE)</v>
      </c>
    </row>
    <row r="7344" spans="1:3" x14ac:dyDescent="0.25">
      <c r="A7344" s="2" t="str">
        <f ca="1">IFERROR(__xludf.DUMMYFUNCTION("""COMPUTED_VALUE"""),"lfit")</f>
        <v>lfit</v>
      </c>
      <c r="B7344" s="2" t="str">
        <f ca="1">IFERROR(__xludf.DUMMYFUNCTION("""COMPUTED_VALUE"""),"lfit")</f>
        <v>lfit</v>
      </c>
      <c r="C7344" s="2" t="str">
        <f ca="1">IFERROR(__xludf.DUMMYFUNCTION("""COMPUTED_VALUE"""),"LFIT")</f>
        <v>LFIT</v>
      </c>
    </row>
    <row r="7345" spans="1:3" x14ac:dyDescent="0.25">
      <c r="A7345" s="2" t="str">
        <f ca="1">IFERROR(__xludf.DUMMYFUNCTION("""COMPUTED_VALUE"""),"lgcy-network")</f>
        <v>lgcy-network</v>
      </c>
      <c r="B7345" s="2" t="str">
        <f ca="1">IFERROR(__xludf.DUMMYFUNCTION("""COMPUTED_VALUE"""),"lgcy")</f>
        <v>lgcy</v>
      </c>
      <c r="C7345" s="2" t="str">
        <f ca="1">IFERROR(__xludf.DUMMYFUNCTION("""COMPUTED_VALUE"""),"LGCY Network")</f>
        <v>LGCY Network</v>
      </c>
    </row>
    <row r="7346" spans="1:3" x14ac:dyDescent="0.25">
      <c r="A7346" s="2" t="str">
        <f ca="1">IFERROR(__xludf.DUMMYFUNCTION("""COMPUTED_VALUE"""),"liberland-lld")</f>
        <v>liberland-lld</v>
      </c>
      <c r="B7346" s="2" t="str">
        <f ca="1">IFERROR(__xludf.DUMMYFUNCTION("""COMPUTED_VALUE"""),"lld")</f>
        <v>lld</v>
      </c>
      <c r="C7346" s="2" t="str">
        <f ca="1">IFERROR(__xludf.DUMMYFUNCTION("""COMPUTED_VALUE"""),"Liberland LLD")</f>
        <v>Liberland LLD</v>
      </c>
    </row>
    <row r="7347" spans="1:3" x14ac:dyDescent="0.25">
      <c r="A7347" s="2" t="str">
        <f ca="1">IFERROR(__xludf.DUMMYFUNCTION("""COMPUTED_VALUE"""),"liberland-merit")</f>
        <v>liberland-merit</v>
      </c>
      <c r="B7347" s="2" t="str">
        <f ca="1">IFERROR(__xludf.DUMMYFUNCTION("""COMPUTED_VALUE"""),"llm")</f>
        <v>llm</v>
      </c>
      <c r="C7347" s="2" t="str">
        <f ca="1">IFERROR(__xludf.DUMMYFUNCTION("""COMPUTED_VALUE"""),"Liberland Merit")</f>
        <v>Liberland Merit</v>
      </c>
    </row>
    <row r="7348" spans="1:3" x14ac:dyDescent="0.25">
      <c r="A7348" s="2" t="str">
        <f ca="1">IFERROR(__xludf.DUMMYFUNCTION("""COMPUTED_VALUE"""),"libero-financial")</f>
        <v>libero-financial</v>
      </c>
      <c r="B7348" s="2" t="str">
        <f ca="1">IFERROR(__xludf.DUMMYFUNCTION("""COMPUTED_VALUE"""),"libero")</f>
        <v>libero</v>
      </c>
      <c r="C7348" s="2" t="str">
        <f ca="1">IFERROR(__xludf.DUMMYFUNCTION("""COMPUTED_VALUE"""),"Libero Financial")</f>
        <v>Libero Financial</v>
      </c>
    </row>
    <row r="7349" spans="1:3" x14ac:dyDescent="0.25">
      <c r="A7349" s="2" t="str">
        <f ca="1">IFERROR(__xludf.DUMMYFUNCTION("""COMPUTED_VALUE"""),"libertai")</f>
        <v>libertai</v>
      </c>
      <c r="B7349" s="2" t="str">
        <f ca="1">IFERROR(__xludf.DUMMYFUNCTION("""COMPUTED_VALUE"""),"ltai")</f>
        <v>ltai</v>
      </c>
      <c r="C7349" s="2" t="str">
        <f ca="1">IFERROR(__xludf.DUMMYFUNCTION("""COMPUTED_VALUE"""),"LibertAI")</f>
        <v>LibertAI</v>
      </c>
    </row>
    <row r="7350" spans="1:3" x14ac:dyDescent="0.25">
      <c r="A7350" s="2" t="str">
        <f ca="1">IFERROR(__xludf.DUMMYFUNCTION("""COMPUTED_VALUE"""),"libertarian-dog")</f>
        <v>libertarian-dog</v>
      </c>
      <c r="B7350" s="2" t="str">
        <f ca="1">IFERROR(__xludf.DUMMYFUNCTION("""COMPUTED_VALUE"""),"liberta")</f>
        <v>liberta</v>
      </c>
      <c r="C7350" s="2" t="str">
        <f ca="1">IFERROR(__xludf.DUMMYFUNCTION("""COMPUTED_VALUE"""),"Libertarian Dog")</f>
        <v>Libertarian Dog</v>
      </c>
    </row>
    <row r="7351" spans="1:3" x14ac:dyDescent="0.25">
      <c r="A7351" s="2" t="str">
        <f ca="1">IFERROR(__xludf.DUMMYFUNCTION("""COMPUTED_VALUE"""),"libertum")</f>
        <v>libertum</v>
      </c>
      <c r="B7351" s="2" t="str">
        <f ca="1">IFERROR(__xludf.DUMMYFUNCTION("""COMPUTED_VALUE"""),"lbm")</f>
        <v>lbm</v>
      </c>
      <c r="C7351" s="2" t="str">
        <f ca="1">IFERROR(__xludf.DUMMYFUNCTION("""COMPUTED_VALUE"""),"Libertum")</f>
        <v>Libertum</v>
      </c>
    </row>
    <row r="7352" spans="1:3" x14ac:dyDescent="0.25">
      <c r="A7352" s="2" t="str">
        <f ca="1">IFERROR(__xludf.DUMMYFUNCTION("""COMPUTED_VALUE"""),"liberty-square-filth")</f>
        <v>liberty-square-filth</v>
      </c>
      <c r="B7352" s="2" t="str">
        <f ca="1">IFERROR(__xludf.DUMMYFUNCTION("""COMPUTED_VALUE"""),"flth")</f>
        <v>flth</v>
      </c>
      <c r="C7352" s="2" t="str">
        <f ca="1">IFERROR(__xludf.DUMMYFUNCTION("""COMPUTED_VALUE"""),"Liberty Square Filth")</f>
        <v>Liberty Square Filth</v>
      </c>
    </row>
    <row r="7353" spans="1:3" x14ac:dyDescent="0.25">
      <c r="A7353" s="2" t="str">
        <f ca="1">IFERROR(__xludf.DUMMYFUNCTION("""COMPUTED_VALUE"""),"libfi")</f>
        <v>libfi</v>
      </c>
      <c r="B7353" s="2" t="str">
        <f ca="1">IFERROR(__xludf.DUMMYFUNCTION("""COMPUTED_VALUE"""),"libx")</f>
        <v>libx</v>
      </c>
      <c r="C7353" s="2" t="str">
        <f ca="1">IFERROR(__xludf.DUMMYFUNCTION("""COMPUTED_VALUE"""),"Libfi")</f>
        <v>Libfi</v>
      </c>
    </row>
    <row r="7354" spans="1:3" x14ac:dyDescent="0.25">
      <c r="A7354" s="2" t="str">
        <f ca="1">IFERROR(__xludf.DUMMYFUNCTION("""COMPUTED_VALUE"""),"libra-3")</f>
        <v>libra-3</v>
      </c>
      <c r="B7354" s="2" t="str">
        <f ca="1">IFERROR(__xludf.DUMMYFUNCTION("""COMPUTED_VALUE"""),"libra")</f>
        <v>libra</v>
      </c>
      <c r="C7354" s="2" t="str">
        <f ca="1">IFERROR(__xludf.DUMMYFUNCTION("""COMPUTED_VALUE"""),"0L Network")</f>
        <v>0L Network</v>
      </c>
    </row>
    <row r="7355" spans="1:3" x14ac:dyDescent="0.25">
      <c r="A7355" s="2" t="str">
        <f ca="1">IFERROR(__xludf.DUMMYFUNCTION("""COMPUTED_VALUE"""),"libra-credit")</f>
        <v>libra-credit</v>
      </c>
      <c r="B7355" s="2" t="str">
        <f ca="1">IFERROR(__xludf.DUMMYFUNCTION("""COMPUTED_VALUE"""),"lba")</f>
        <v>lba</v>
      </c>
      <c r="C7355" s="2" t="str">
        <f ca="1">IFERROR(__xludf.DUMMYFUNCTION("""COMPUTED_VALUE"""),"Libra Credit")</f>
        <v>Libra Credit</v>
      </c>
    </row>
    <row r="7356" spans="1:3" x14ac:dyDescent="0.25">
      <c r="A7356" s="2" t="str">
        <f ca="1">IFERROR(__xludf.DUMMYFUNCTION("""COMPUTED_VALUE"""),"libra-incentix")</f>
        <v>libra-incentix</v>
      </c>
      <c r="B7356" s="2" t="str">
        <f ca="1">IFERROR(__xludf.DUMMYFUNCTION("""COMPUTED_VALUE"""),"lixx")</f>
        <v>lixx</v>
      </c>
      <c r="C7356" s="2" t="str">
        <f ca="1">IFERROR(__xludf.DUMMYFUNCTION("""COMPUTED_VALUE"""),"Libra Incentix")</f>
        <v>Libra Incentix</v>
      </c>
    </row>
    <row r="7357" spans="1:3" x14ac:dyDescent="0.25">
      <c r="A7357" s="2" t="str">
        <f ca="1">IFERROR(__xludf.DUMMYFUNCTION("""COMPUTED_VALUE"""),"libra-protocol")</f>
        <v>libra-protocol</v>
      </c>
      <c r="B7357" s="2" t="str">
        <f ca="1">IFERROR(__xludf.DUMMYFUNCTION("""COMPUTED_VALUE"""),"lbr")</f>
        <v>lbr</v>
      </c>
      <c r="C7357" s="2" t="str">
        <f ca="1">IFERROR(__xludf.DUMMYFUNCTION("""COMPUTED_VALUE"""),"Libra Protocol")</f>
        <v>Libra Protocol</v>
      </c>
    </row>
    <row r="7358" spans="1:3" x14ac:dyDescent="0.25">
      <c r="A7358" s="2" t="str">
        <f ca="1">IFERROR(__xludf.DUMMYFUNCTION("""COMPUTED_VALUE"""),"libra-protocol-2")</f>
        <v>libra-protocol-2</v>
      </c>
      <c r="B7358" s="2" t="str">
        <f ca="1">IFERROR(__xludf.DUMMYFUNCTION("""COMPUTED_VALUE"""),"libra")</f>
        <v>libra</v>
      </c>
      <c r="C7358" s="2" t="str">
        <f ca="1">IFERROR(__xludf.DUMMYFUNCTION("""COMPUTED_VALUE"""),"Libra Protocol")</f>
        <v>Libra Protocol</v>
      </c>
    </row>
    <row r="7359" spans="1:3" x14ac:dyDescent="0.25">
      <c r="A7359" s="2" t="str">
        <f ca="1">IFERROR(__xludf.DUMMYFUNCTION("""COMPUTED_VALUE"""),"libre")</f>
        <v>libre</v>
      </c>
      <c r="B7359" s="2" t="str">
        <f ca="1">IFERROR(__xludf.DUMMYFUNCTION("""COMPUTED_VALUE"""),"libre")</f>
        <v>libre</v>
      </c>
      <c r="C7359" s="2" t="str">
        <f ca="1">IFERROR(__xludf.DUMMYFUNCTION("""COMPUTED_VALUE"""),"Libre")</f>
        <v>Libre</v>
      </c>
    </row>
    <row r="7360" spans="1:3" x14ac:dyDescent="0.25">
      <c r="A7360" s="2" t="str">
        <f ca="1">IFERROR(__xludf.DUMMYFUNCTION("""COMPUTED_VALUE"""),"licker")</f>
        <v>licker</v>
      </c>
      <c r="B7360" s="2" t="str">
        <f ca="1">IFERROR(__xludf.DUMMYFUNCTION("""COMPUTED_VALUE"""),"licker")</f>
        <v>licker</v>
      </c>
      <c r="C7360" s="2" t="str">
        <f ca="1">IFERROR(__xludf.DUMMYFUNCTION("""COMPUTED_VALUE"""),"Licker")</f>
        <v>Licker</v>
      </c>
    </row>
    <row r="7361" spans="1:3" x14ac:dyDescent="0.25">
      <c r="A7361" s="2" t="str">
        <f ca="1">IFERROR(__xludf.DUMMYFUNCTION("""COMPUTED_VALUE"""),"lickgoat")</f>
        <v>lickgoat</v>
      </c>
      <c r="B7361" s="2" t="str">
        <f ca="1">IFERROR(__xludf.DUMMYFUNCTION("""COMPUTED_VALUE"""),"lick")</f>
        <v>lick</v>
      </c>
      <c r="C7361" s="2" t="str">
        <f ca="1">IFERROR(__xludf.DUMMYFUNCTION("""COMPUTED_VALUE"""),"LICKGOAT")</f>
        <v>LICKGOAT</v>
      </c>
    </row>
    <row r="7362" spans="1:3" x14ac:dyDescent="0.25">
      <c r="A7362" s="2" t="str">
        <f ca="1">IFERROR(__xludf.DUMMYFUNCTION("""COMPUTED_VALUE"""),"licore")</f>
        <v>licore</v>
      </c>
      <c r="B7362" s="2" t="str">
        <f ca="1">IFERROR(__xludf.DUMMYFUNCTION("""COMPUTED_VALUE"""),"licore")</f>
        <v>licore</v>
      </c>
      <c r="C7362" s="2" t="str">
        <f ca="1">IFERROR(__xludf.DUMMYFUNCTION("""COMPUTED_VALUE"""),"liCORE")</f>
        <v>liCORE</v>
      </c>
    </row>
    <row r="7363" spans="1:3" x14ac:dyDescent="0.25">
      <c r="A7363" s="2" t="str">
        <f ca="1">IFERROR(__xludf.DUMMYFUNCTION("""COMPUTED_VALUE"""),"lido-dao")</f>
        <v>lido-dao</v>
      </c>
      <c r="B7363" s="2" t="str">
        <f ca="1">IFERROR(__xludf.DUMMYFUNCTION("""COMPUTED_VALUE"""),"ldo")</f>
        <v>ldo</v>
      </c>
      <c r="C7363" s="2" t="str">
        <f ca="1">IFERROR(__xludf.DUMMYFUNCTION("""COMPUTED_VALUE"""),"Lido DAO")</f>
        <v>Lido DAO</v>
      </c>
    </row>
    <row r="7364" spans="1:3" x14ac:dyDescent="0.25">
      <c r="A7364" s="2" t="str">
        <f ca="1">IFERROR(__xludf.DUMMYFUNCTION("""COMPUTED_VALUE"""),"lido-dao-wormhole")</f>
        <v>lido-dao-wormhole</v>
      </c>
      <c r="B7364" s="2" t="str">
        <f ca="1">IFERROR(__xludf.DUMMYFUNCTION("""COMPUTED_VALUE"""),"ldo")</f>
        <v>ldo</v>
      </c>
      <c r="C7364" s="2" t="str">
        <f ca="1">IFERROR(__xludf.DUMMYFUNCTION("""COMPUTED_VALUE"""),"Lido DAO (Wormhole)")</f>
        <v>Lido DAO (Wormhole)</v>
      </c>
    </row>
    <row r="7365" spans="1:3" x14ac:dyDescent="0.25">
      <c r="A7365" s="2" t="str">
        <f ca="1">IFERROR(__xludf.DUMMYFUNCTION("""COMPUTED_VALUE"""),"lido-staked-matic")</f>
        <v>lido-staked-matic</v>
      </c>
      <c r="B7365" s="2" t="str">
        <f ca="1">IFERROR(__xludf.DUMMYFUNCTION("""COMPUTED_VALUE"""),"stmatic")</f>
        <v>stmatic</v>
      </c>
      <c r="C7365" s="2" t="str">
        <f ca="1">IFERROR(__xludf.DUMMYFUNCTION("""COMPUTED_VALUE"""),"Lido Staked Matic")</f>
        <v>Lido Staked Matic</v>
      </c>
    </row>
    <row r="7366" spans="1:3" x14ac:dyDescent="0.25">
      <c r="A7366" s="2" t="str">
        <f ca="1">IFERROR(__xludf.DUMMYFUNCTION("""COMPUTED_VALUE"""),"lido-staked-sol")</f>
        <v>lido-staked-sol</v>
      </c>
      <c r="B7366" s="2" t="str">
        <f ca="1">IFERROR(__xludf.DUMMYFUNCTION("""COMPUTED_VALUE"""),"stsol")</f>
        <v>stsol</v>
      </c>
      <c r="C7366" s="2" t="str">
        <f ca="1">IFERROR(__xludf.DUMMYFUNCTION("""COMPUTED_VALUE"""),"Lido Staked SOL")</f>
        <v>Lido Staked SOL</v>
      </c>
    </row>
    <row r="7367" spans="1:3" x14ac:dyDescent="0.25">
      <c r="A7367" s="2" t="str">
        <f ca="1">IFERROR(__xludf.DUMMYFUNCTION("""COMPUTED_VALUE"""),"lidya")</f>
        <v>lidya</v>
      </c>
      <c r="B7367" s="2" t="str">
        <f ca="1">IFERROR(__xludf.DUMMYFUNCTION("""COMPUTED_VALUE"""),"lidya")</f>
        <v>lidya</v>
      </c>
      <c r="C7367" s="2" t="str">
        <f ca="1">IFERROR(__xludf.DUMMYFUNCTION("""COMPUTED_VALUE"""),"Lidya")</f>
        <v>Lidya</v>
      </c>
    </row>
    <row r="7368" spans="1:3" x14ac:dyDescent="0.25">
      <c r="A7368" s="2" t="str">
        <f ca="1">IFERROR(__xludf.DUMMYFUNCTION("""COMPUTED_VALUE"""),"lien")</f>
        <v>lien</v>
      </c>
      <c r="B7368" s="2" t="str">
        <f ca="1">IFERROR(__xludf.DUMMYFUNCTION("""COMPUTED_VALUE"""),"lien")</f>
        <v>lien</v>
      </c>
      <c r="C7368" s="2" t="str">
        <f ca="1">IFERROR(__xludf.DUMMYFUNCTION("""COMPUTED_VALUE"""),"Lien")</f>
        <v>Lien</v>
      </c>
    </row>
    <row r="7369" spans="1:3" x14ac:dyDescent="0.25">
      <c r="A7369" s="2" t="str">
        <f ca="1">IFERROR(__xludf.DUMMYFUNCTION("""COMPUTED_VALUE"""),"lif3")</f>
        <v>lif3</v>
      </c>
      <c r="B7369" s="2" t="str">
        <f ca="1">IFERROR(__xludf.DUMMYFUNCTION("""COMPUTED_VALUE"""),"lif3")</f>
        <v>lif3</v>
      </c>
      <c r="C7369" s="2" t="str">
        <f ca="1">IFERROR(__xludf.DUMMYFUNCTION("""COMPUTED_VALUE"""),"LIF3 (OLD)")</f>
        <v>LIF3 (OLD)</v>
      </c>
    </row>
    <row r="7370" spans="1:3" x14ac:dyDescent="0.25">
      <c r="A7370" s="2" t="str">
        <f ca="1">IFERROR(__xludf.DUMMYFUNCTION("""COMPUTED_VALUE"""),"lif3-2")</f>
        <v>lif3-2</v>
      </c>
      <c r="B7370" s="2" t="str">
        <f ca="1">IFERROR(__xludf.DUMMYFUNCTION("""COMPUTED_VALUE"""),"lif3")</f>
        <v>lif3</v>
      </c>
      <c r="C7370" s="2" t="str">
        <f ca="1">IFERROR(__xludf.DUMMYFUNCTION("""COMPUTED_VALUE"""),"Lif3")</f>
        <v>Lif3</v>
      </c>
    </row>
    <row r="7371" spans="1:3" x14ac:dyDescent="0.25">
      <c r="A7371" s="2" t="str">
        <f ca="1">IFERROR(__xludf.DUMMYFUNCTION("""COMPUTED_VALUE"""),"lif3-lshare")</f>
        <v>lif3-lshare</v>
      </c>
      <c r="B7371" s="2" t="str">
        <f ca="1">IFERROR(__xludf.DUMMYFUNCTION("""COMPUTED_VALUE"""),"lshare")</f>
        <v>lshare</v>
      </c>
      <c r="C7371" s="2" t="str">
        <f ca="1">IFERROR(__xludf.DUMMYFUNCTION("""COMPUTED_VALUE"""),"LIF3 LSHARE (OLD)")</f>
        <v>LIF3 LSHARE (OLD)</v>
      </c>
    </row>
    <row r="7372" spans="1:3" x14ac:dyDescent="0.25">
      <c r="A7372" s="2" t="str">
        <f ca="1">IFERROR(__xludf.DUMMYFUNCTION("""COMPUTED_VALUE"""),"lif3-lshare-new")</f>
        <v>lif3-lshare-new</v>
      </c>
      <c r="B7372" s="2" t="str">
        <f ca="1">IFERROR(__xludf.DUMMYFUNCTION("""COMPUTED_VALUE"""),"lshare")</f>
        <v>lshare</v>
      </c>
      <c r="C7372" s="2" t="str">
        <f ca="1">IFERROR(__xludf.DUMMYFUNCTION("""COMPUTED_VALUE"""),"LIF3 LSHARE")</f>
        <v>LIF3 LSHARE</v>
      </c>
    </row>
    <row r="7373" spans="1:3" x14ac:dyDescent="0.25">
      <c r="A7373" s="2" t="str">
        <f ca="1">IFERROR(__xludf.DUMMYFUNCTION("""COMPUTED_VALUE"""),"lifebankchain")</f>
        <v>lifebankchain</v>
      </c>
      <c r="B7373" s="2" t="str">
        <f ca="1">IFERROR(__xludf.DUMMYFUNCTION("""COMPUTED_VALUE"""),"lbc")</f>
        <v>lbc</v>
      </c>
      <c r="C7373" s="2" t="str">
        <f ca="1">IFERROR(__xludf.DUMMYFUNCTION("""COMPUTED_VALUE"""),"LifeBankChain")</f>
        <v>LifeBankChain</v>
      </c>
    </row>
    <row r="7374" spans="1:3" x14ac:dyDescent="0.25">
      <c r="A7374" s="2" t="str">
        <f ca="1">IFERROR(__xludf.DUMMYFUNCTION("""COMPUTED_VALUE"""),"life-coin")</f>
        <v>life-coin</v>
      </c>
      <c r="B7374" s="2" t="str">
        <f ca="1">IFERROR(__xludf.DUMMYFUNCTION("""COMPUTED_VALUE"""),"lfc")</f>
        <v>lfc</v>
      </c>
      <c r="C7374" s="2" t="str">
        <f ca="1">IFERROR(__xludf.DUMMYFUNCTION("""COMPUTED_VALUE"""),"Supernova Shards Life Coin")</f>
        <v>Supernova Shards Life Coin</v>
      </c>
    </row>
    <row r="7375" spans="1:3" x14ac:dyDescent="0.25">
      <c r="A7375" s="2" t="str">
        <f ca="1">IFERROR(__xludf.DUMMYFUNCTION("""COMPUTED_VALUE"""),"life-coin-2")</f>
        <v>life-coin-2</v>
      </c>
      <c r="B7375" s="2" t="str">
        <f ca="1">IFERROR(__xludf.DUMMYFUNCTION("""COMPUTED_VALUE"""),"lifc")</f>
        <v>lifc</v>
      </c>
      <c r="C7375" s="2" t="str">
        <f ca="1">IFERROR(__xludf.DUMMYFUNCTION("""COMPUTED_VALUE"""),"Life Coin")</f>
        <v>Life Coin</v>
      </c>
    </row>
    <row r="7376" spans="1:3" x14ac:dyDescent="0.25">
      <c r="A7376" s="2" t="str">
        <f ca="1">IFERROR(__xludf.DUMMYFUNCTION("""COMPUTED_VALUE"""),"life-crypto")</f>
        <v>life-crypto</v>
      </c>
      <c r="B7376" s="2" t="str">
        <f ca="1">IFERROR(__xludf.DUMMYFUNCTION("""COMPUTED_VALUE"""),"life")</f>
        <v>life</v>
      </c>
      <c r="C7376" s="2" t="str">
        <f ca="1">IFERROR(__xludf.DUMMYFUNCTION("""COMPUTED_VALUE"""),"Life Crypto")</f>
        <v>Life Crypto</v>
      </c>
    </row>
    <row r="7377" spans="1:3" x14ac:dyDescent="0.25">
      <c r="A7377" s="2" t="str">
        <f ca="1">IFERROR(__xludf.DUMMYFUNCTION("""COMPUTED_VALUE"""),"lifeform")</f>
        <v>lifeform</v>
      </c>
      <c r="B7377" s="2" t="str">
        <f ca="1">IFERROR(__xludf.DUMMYFUNCTION("""COMPUTED_VALUE"""),"lft")</f>
        <v>lft</v>
      </c>
      <c r="C7377" s="2" t="str">
        <f ca="1">IFERROR(__xludf.DUMMYFUNCTION("""COMPUTED_VALUE"""),"Lifeform")</f>
        <v>Lifeform</v>
      </c>
    </row>
    <row r="7378" spans="1:3" x14ac:dyDescent="0.25">
      <c r="A7378" s="2" t="str">
        <f ca="1">IFERROR(__xludf.DUMMYFUNCTION("""COMPUTED_VALUE"""),"liferestart")</f>
        <v>liferestart</v>
      </c>
      <c r="B7378" s="2" t="str">
        <f ca="1">IFERROR(__xludf.DUMMYFUNCTION("""COMPUTED_VALUE"""),"efil")</f>
        <v>efil</v>
      </c>
      <c r="C7378" s="2" t="str">
        <f ca="1">IFERROR(__xludf.DUMMYFUNCTION("""COMPUTED_VALUE"""),"LifeRestart (Ordinals)")</f>
        <v>LifeRestart (Ordinals)</v>
      </c>
    </row>
    <row r="7379" spans="1:3" x14ac:dyDescent="0.25">
      <c r="A7379" s="2" t="str">
        <f ca="1">IFERROR(__xludf.DUMMYFUNCTION("""COMPUTED_VALUE"""),"lifinity")</f>
        <v>lifinity</v>
      </c>
      <c r="B7379" s="2" t="str">
        <f ca="1">IFERROR(__xludf.DUMMYFUNCTION("""COMPUTED_VALUE"""),"lfnty")</f>
        <v>lfnty</v>
      </c>
      <c r="C7379" s="2" t="str">
        <f ca="1">IFERROR(__xludf.DUMMYFUNCTION("""COMPUTED_VALUE"""),"Lifinity")</f>
        <v>Lifinity</v>
      </c>
    </row>
    <row r="7380" spans="1:3" x14ac:dyDescent="0.25">
      <c r="A7380" s="2" t="str">
        <f ca="1">IFERROR(__xludf.DUMMYFUNCTION("""COMPUTED_VALUE"""),"lift-dollar")</f>
        <v>lift-dollar</v>
      </c>
      <c r="B7380" s="2" t="str">
        <f ca="1">IFERROR(__xludf.DUMMYFUNCTION("""COMPUTED_VALUE"""),"usdl")</f>
        <v>usdl</v>
      </c>
      <c r="C7380" s="2" t="str">
        <f ca="1">IFERROR(__xludf.DUMMYFUNCTION("""COMPUTED_VALUE"""),"Lift Dollar")</f>
        <v>Lift Dollar</v>
      </c>
    </row>
    <row r="7381" spans="1:3" x14ac:dyDescent="0.25">
      <c r="A7381" s="2" t="str">
        <f ca="1">IFERROR(__xludf.DUMMYFUNCTION("""COMPUTED_VALUE"""),"lightcoin")</f>
        <v>lightcoin</v>
      </c>
      <c r="B7381" s="2" t="str">
        <f ca="1">IFERROR(__xludf.DUMMYFUNCTION("""COMPUTED_VALUE"""),"lhc")</f>
        <v>lhc</v>
      </c>
      <c r="C7381" s="2" t="str">
        <f ca="1">IFERROR(__xludf.DUMMYFUNCTION("""COMPUTED_VALUE"""),"Lightcoin")</f>
        <v>Lightcoin</v>
      </c>
    </row>
    <row r="7382" spans="1:3" x14ac:dyDescent="0.25">
      <c r="A7382" s="2" t="str">
        <f ca="1">IFERROR(__xludf.DUMMYFUNCTION("""COMPUTED_VALUE"""),"light-defi")</f>
        <v>light-defi</v>
      </c>
      <c r="B7382" s="2" t="str">
        <f ca="1">IFERROR(__xludf.DUMMYFUNCTION("""COMPUTED_VALUE"""),"light")</f>
        <v>light</v>
      </c>
      <c r="C7382" s="2" t="str">
        <f ca="1">IFERROR(__xludf.DUMMYFUNCTION("""COMPUTED_VALUE"""),"Light Defi")</f>
        <v>Light Defi</v>
      </c>
    </row>
    <row r="7383" spans="1:3" x14ac:dyDescent="0.25">
      <c r="A7383" s="2" t="str">
        <f ca="1">IFERROR(__xludf.DUMMYFUNCTION("""COMPUTED_VALUE"""),"lightlink")</f>
        <v>lightlink</v>
      </c>
      <c r="B7383" s="2" t="str">
        <f ca="1">IFERROR(__xludf.DUMMYFUNCTION("""COMPUTED_VALUE"""),"ll")</f>
        <v>ll</v>
      </c>
      <c r="C7383" s="2" t="str">
        <f ca="1">IFERROR(__xludf.DUMMYFUNCTION("""COMPUTED_VALUE"""),"LightLink")</f>
        <v>LightLink</v>
      </c>
    </row>
    <row r="7384" spans="1:3" x14ac:dyDescent="0.25">
      <c r="A7384" s="2" t="str">
        <f ca="1">IFERROR(__xludf.DUMMYFUNCTION("""COMPUTED_VALUE"""),"lightning-bitcoin")</f>
        <v>lightning-bitcoin</v>
      </c>
      <c r="B7384" s="2" t="str">
        <f ca="1">IFERROR(__xludf.DUMMYFUNCTION("""COMPUTED_VALUE"""),"lbtc")</f>
        <v>lbtc</v>
      </c>
      <c r="C7384" s="2" t="str">
        <f ca="1">IFERROR(__xludf.DUMMYFUNCTION("""COMPUTED_VALUE"""),"Lightning Bitcoin")</f>
        <v>Lightning Bitcoin</v>
      </c>
    </row>
    <row r="7385" spans="1:3" x14ac:dyDescent="0.25">
      <c r="A7385" s="2" t="str">
        <f ca="1">IFERROR(__xludf.DUMMYFUNCTION("""COMPUTED_VALUE"""),"lightning-protocol")</f>
        <v>lightning-protocol</v>
      </c>
      <c r="B7385" s="2" t="str">
        <f ca="1">IFERROR(__xludf.DUMMYFUNCTION("""COMPUTED_VALUE"""),"light")</f>
        <v>light</v>
      </c>
      <c r="C7385" s="2" t="str">
        <f ca="1">IFERROR(__xludf.DUMMYFUNCTION("""COMPUTED_VALUE"""),"Lightning Protocol")</f>
        <v>Lightning Protocol</v>
      </c>
    </row>
    <row r="7386" spans="1:3" x14ac:dyDescent="0.25">
      <c r="A7386" s="2" t="str">
        <f ca="1">IFERROR(__xludf.DUMMYFUNCTION("""COMPUTED_VALUE"""),"ligma-node")</f>
        <v>ligma-node</v>
      </c>
      <c r="B7386" s="2" t="str">
        <f ca="1">IFERROR(__xludf.DUMMYFUNCTION("""COMPUTED_VALUE"""),"ligma")</f>
        <v>ligma</v>
      </c>
      <c r="C7386" s="2" t="str">
        <f ca="1">IFERROR(__xludf.DUMMYFUNCTION("""COMPUTED_VALUE"""),"Ligma Node")</f>
        <v>Ligma Node</v>
      </c>
    </row>
    <row r="7387" spans="1:3" x14ac:dyDescent="0.25">
      <c r="A7387" s="2" t="str">
        <f ca="1">IFERROR(__xludf.DUMMYFUNCTION("""COMPUTED_VALUE"""),"ligo-ordinals")</f>
        <v>ligo-ordinals</v>
      </c>
      <c r="B7387" s="2" t="str">
        <f ca="1">IFERROR(__xludf.DUMMYFUNCTION("""COMPUTED_VALUE"""),"ligo")</f>
        <v>ligo</v>
      </c>
      <c r="C7387" s="2" t="str">
        <f ca="1">IFERROR(__xludf.DUMMYFUNCTION("""COMPUTED_VALUE"""),"Ligo (Ordinals)")</f>
        <v>Ligo (Ordinals)</v>
      </c>
    </row>
    <row r="7388" spans="1:3" x14ac:dyDescent="0.25">
      <c r="A7388" s="2" t="str">
        <f ca="1">IFERROR(__xludf.DUMMYFUNCTION("""COMPUTED_VALUE"""),"likecoin")</f>
        <v>likecoin</v>
      </c>
      <c r="B7388" s="2" t="str">
        <f ca="1">IFERROR(__xludf.DUMMYFUNCTION("""COMPUTED_VALUE"""),"like")</f>
        <v>like</v>
      </c>
      <c r="C7388" s="2" t="str">
        <f ca="1">IFERROR(__xludf.DUMMYFUNCTION("""COMPUTED_VALUE"""),"LikeCoin")</f>
        <v>LikeCoin</v>
      </c>
    </row>
    <row r="7389" spans="1:3" x14ac:dyDescent="0.25">
      <c r="A7389" s="2" t="str">
        <f ca="1">IFERROR(__xludf.DUMMYFUNCTION("""COMPUTED_VALUE"""),"lilai")</f>
        <v>lilai</v>
      </c>
      <c r="B7389" s="2" t="str">
        <f ca="1">IFERROR(__xludf.DUMMYFUNCTION("""COMPUTED_VALUE"""),"lilai")</f>
        <v>lilai</v>
      </c>
      <c r="C7389" s="2" t="str">
        <f ca="1">IFERROR(__xludf.DUMMYFUNCTION("""COMPUTED_VALUE"""),"LilAI")</f>
        <v>LilAI</v>
      </c>
    </row>
    <row r="7390" spans="1:3" x14ac:dyDescent="0.25">
      <c r="A7390" s="2" t="str">
        <f ca="1">IFERROR(__xludf.DUMMYFUNCTION("""COMPUTED_VALUE"""),"lil-bub-on-sol")</f>
        <v>lil-bub-on-sol</v>
      </c>
      <c r="B7390" s="2" t="str">
        <f ca="1">IFERROR(__xludf.DUMMYFUNCTION("""COMPUTED_VALUE"""),"bub")</f>
        <v>bub</v>
      </c>
      <c r="C7390" s="2" t="str">
        <f ca="1">IFERROR(__xludf.DUMMYFUNCTION("""COMPUTED_VALUE"""),"LIL BUB")</f>
        <v>LIL BUB</v>
      </c>
    </row>
    <row r="7391" spans="1:3" x14ac:dyDescent="0.25">
      <c r="A7391" s="2" t="str">
        <f ca="1">IFERROR(__xludf.DUMMYFUNCTION("""COMPUTED_VALUE"""),"lilcat")</f>
        <v>lilcat</v>
      </c>
      <c r="B7391" s="2" t="str">
        <f ca="1">IFERROR(__xludf.DUMMYFUNCTION("""COMPUTED_VALUE"""),"lilcat")</f>
        <v>lilcat</v>
      </c>
      <c r="C7391" s="2" t="str">
        <f ca="1">IFERROR(__xludf.DUMMYFUNCTION("""COMPUTED_VALUE"""),"lilcat")</f>
        <v>lilcat</v>
      </c>
    </row>
    <row r="7392" spans="1:3" x14ac:dyDescent="0.25">
      <c r="A7392" s="2" t="str">
        <f ca="1">IFERROR(__xludf.DUMMYFUNCTION("""COMPUTED_VALUE"""),"lillius")</f>
        <v>lillius</v>
      </c>
      <c r="B7392" s="2" t="str">
        <f ca="1">IFERROR(__xludf.DUMMYFUNCTION("""COMPUTED_VALUE"""),"llt")</f>
        <v>llt</v>
      </c>
      <c r="C7392" s="2" t="str">
        <f ca="1">IFERROR(__xludf.DUMMYFUNCTION("""COMPUTED_VALUE"""),"LILLIUS")</f>
        <v>LILLIUS</v>
      </c>
    </row>
    <row r="7393" spans="1:3" x14ac:dyDescent="0.25">
      <c r="A7393" s="2" t="str">
        <f ca="1">IFERROR(__xludf.DUMMYFUNCTION("""COMPUTED_VALUE"""),"lil-pump")</f>
        <v>lil-pump</v>
      </c>
      <c r="B7393" s="2" t="str">
        <f ca="1">IFERROR(__xludf.DUMMYFUNCTION("""COMPUTED_VALUE"""),"lilpump")</f>
        <v>lilpump</v>
      </c>
      <c r="C7393" s="2" t="str">
        <f ca="1">IFERROR(__xludf.DUMMYFUNCTION("""COMPUTED_VALUE"""),"Lil Pump")</f>
        <v>Lil Pump</v>
      </c>
    </row>
    <row r="7394" spans="1:3" x14ac:dyDescent="0.25">
      <c r="A7394" s="2" t="str">
        <f ca="1">IFERROR(__xludf.DUMMYFUNCTION("""COMPUTED_VALUE"""),"lime-cat")</f>
        <v>lime-cat</v>
      </c>
      <c r="B7394" s="2" t="str">
        <f ca="1">IFERROR(__xludf.DUMMYFUNCTION("""COMPUTED_VALUE"""),"lime")</f>
        <v>lime</v>
      </c>
      <c r="C7394" s="2" t="str">
        <f ca="1">IFERROR(__xludf.DUMMYFUNCTION("""COMPUTED_VALUE"""),"Lime Cat")</f>
        <v>Lime Cat</v>
      </c>
    </row>
    <row r="7395" spans="1:3" x14ac:dyDescent="0.25">
      <c r="A7395" s="2" t="str">
        <f ca="1">IFERROR(__xludf.DUMMYFUNCTION("""COMPUTED_VALUE"""),"limestone-network")</f>
        <v>limestone-network</v>
      </c>
      <c r="B7395" s="2" t="str">
        <f ca="1">IFERROR(__xludf.DUMMYFUNCTION("""COMPUTED_VALUE"""),"limex")</f>
        <v>limex</v>
      </c>
      <c r="C7395" s="2" t="str">
        <f ca="1">IFERROR(__xludf.DUMMYFUNCTION("""COMPUTED_VALUE"""),"Limestone Network")</f>
        <v>Limestone Network</v>
      </c>
    </row>
    <row r="7396" spans="1:3" x14ac:dyDescent="0.25">
      <c r="A7396" s="2" t="str">
        <f ca="1">IFERROR(__xludf.DUMMYFUNCTION("""COMPUTED_VALUE"""),"limewire-token")</f>
        <v>limewire-token</v>
      </c>
      <c r="B7396" s="2" t="str">
        <f ca="1">IFERROR(__xludf.DUMMYFUNCTION("""COMPUTED_VALUE"""),"lmwr")</f>
        <v>lmwr</v>
      </c>
      <c r="C7396" s="2" t="str">
        <f ca="1">IFERROR(__xludf.DUMMYFUNCTION("""COMPUTED_VALUE"""),"LimeWire")</f>
        <v>LimeWire</v>
      </c>
    </row>
    <row r="7397" spans="1:3" x14ac:dyDescent="0.25">
      <c r="A7397" s="2" t="str">
        <f ca="1">IFERROR(__xludf.DUMMYFUNCTION("""COMPUTED_VALUE"""),"limitless-network")</f>
        <v>limitless-network</v>
      </c>
      <c r="B7397" s="2" t="str">
        <f ca="1">IFERROR(__xludf.DUMMYFUNCTION("""COMPUTED_VALUE"""),"lnt")</f>
        <v>lnt</v>
      </c>
      <c r="C7397" s="2" t="str">
        <f ca="1">IFERROR(__xludf.DUMMYFUNCTION("""COMPUTED_VALUE"""),"Limitless Network")</f>
        <v>Limitless Network</v>
      </c>
    </row>
    <row r="7398" spans="1:3" x14ac:dyDescent="0.25">
      <c r="A7398" s="2" t="str">
        <f ca="1">IFERROR(__xludf.DUMMYFUNCTION("""COMPUTED_VALUE"""),"limocoin-swap")</f>
        <v>limocoin-swap</v>
      </c>
      <c r="B7398" s="2" t="str">
        <f ca="1">IFERROR(__xludf.DUMMYFUNCTION("""COMPUTED_VALUE"""),"lmcswap")</f>
        <v>lmcswap</v>
      </c>
      <c r="C7398" s="2" t="str">
        <f ca="1">IFERROR(__xludf.DUMMYFUNCTION("""COMPUTED_VALUE"""),"Limocoin Swap")</f>
        <v>Limocoin Swap</v>
      </c>
    </row>
    <row r="7399" spans="1:3" x14ac:dyDescent="0.25">
      <c r="A7399" s="2" t="str">
        <f ca="1">IFERROR(__xludf.DUMMYFUNCTION("""COMPUTED_VALUE"""),"limoncelloai")</f>
        <v>limoncelloai</v>
      </c>
      <c r="B7399" s="2" t="str">
        <f ca="1">IFERROR(__xludf.DUMMYFUNCTION("""COMPUTED_VALUE"""),"limon")</f>
        <v>limon</v>
      </c>
      <c r="C7399" s="2" t="str">
        <f ca="1">IFERROR(__xludf.DUMMYFUNCTION("""COMPUTED_VALUE"""),"LimoncelloAI")</f>
        <v>LimoncelloAI</v>
      </c>
    </row>
    <row r="7400" spans="1:3" x14ac:dyDescent="0.25">
      <c r="A7400" s="2" t="str">
        <f ca="1">IFERROR(__xludf.DUMMYFUNCTION("""COMPUTED_VALUE"""),"limoverse")</f>
        <v>limoverse</v>
      </c>
      <c r="B7400" s="2" t="str">
        <f ca="1">IFERROR(__xludf.DUMMYFUNCTION("""COMPUTED_VALUE"""),"limo")</f>
        <v>limo</v>
      </c>
      <c r="C7400" s="2" t="str">
        <f ca="1">IFERROR(__xludf.DUMMYFUNCTION("""COMPUTED_VALUE"""),"Limoverse")</f>
        <v>Limoverse</v>
      </c>
    </row>
    <row r="7401" spans="1:3" x14ac:dyDescent="0.25">
      <c r="A7401" s="2" t="str">
        <f ca="1">IFERROR(__xludf.DUMMYFUNCTION("""COMPUTED_VALUE"""),"lina")</f>
        <v>lina</v>
      </c>
      <c r="B7401" s="2" t="str">
        <f ca="1">IFERROR(__xludf.DUMMYFUNCTION("""COMPUTED_VALUE"""),"lina")</f>
        <v>lina</v>
      </c>
      <c r="C7401" s="2" t="str">
        <f ca="1">IFERROR(__xludf.DUMMYFUNCTION("""COMPUTED_VALUE"""),"LINA")</f>
        <v>LINA</v>
      </c>
    </row>
    <row r="7402" spans="1:3" x14ac:dyDescent="0.25">
      <c r="A7402" s="2" t="str">
        <f ca="1">IFERROR(__xludf.DUMMYFUNCTION("""COMPUTED_VALUE"""),"linda-2")</f>
        <v>linda-2</v>
      </c>
      <c r="B7402" s="2" t="str">
        <f ca="1">IFERROR(__xludf.DUMMYFUNCTION("""COMPUTED_VALUE"""),"linda")</f>
        <v>linda</v>
      </c>
      <c r="C7402" s="2" t="str">
        <f ca="1">IFERROR(__xludf.DUMMYFUNCTION("""COMPUTED_VALUE"""),"Linda")</f>
        <v>Linda</v>
      </c>
    </row>
    <row r="7403" spans="1:3" x14ac:dyDescent="0.25">
      <c r="A7403" s="2" t="str">
        <f ca="1">IFERROR(__xludf.DUMMYFUNCTION("""COMPUTED_VALUE"""),"lineabank")</f>
        <v>lineabank</v>
      </c>
      <c r="B7403" s="2" t="str">
        <f ca="1">IFERROR(__xludf.DUMMYFUNCTION("""COMPUTED_VALUE"""),"lab")</f>
        <v>lab</v>
      </c>
      <c r="C7403" s="2" t="str">
        <f ca="1">IFERROR(__xludf.DUMMYFUNCTION("""COMPUTED_VALUE"""),"LineaBank")</f>
        <v>LineaBank</v>
      </c>
    </row>
    <row r="7404" spans="1:3" x14ac:dyDescent="0.25">
      <c r="A7404" s="2" t="str">
        <f ca="1">IFERROR(__xludf.DUMMYFUNCTION("""COMPUTED_VALUE"""),"linea-bridged-ape-linea")</f>
        <v>linea-bridged-ape-linea</v>
      </c>
      <c r="B7404" s="2" t="str">
        <f ca="1">IFERROR(__xludf.DUMMYFUNCTION("""COMPUTED_VALUE"""),"ape")</f>
        <v>ape</v>
      </c>
      <c r="C7404" s="2" t="str">
        <f ca="1">IFERROR(__xludf.DUMMYFUNCTION("""COMPUTED_VALUE"""),"Linea Bridged APE (Linea)")</f>
        <v>Linea Bridged APE (Linea)</v>
      </c>
    </row>
    <row r="7405" spans="1:3" x14ac:dyDescent="0.25">
      <c r="A7405" s="2" t="str">
        <f ca="1">IFERROR(__xludf.DUMMYFUNCTION("""COMPUTED_VALUE"""),"linea-bridged-fxs-linea")</f>
        <v>linea-bridged-fxs-linea</v>
      </c>
      <c r="B7405" s="2" t="str">
        <f ca="1">IFERROR(__xludf.DUMMYFUNCTION("""COMPUTED_VALUE"""),"fxs")</f>
        <v>fxs</v>
      </c>
      <c r="C7405" s="2" t="str">
        <f ca="1">IFERROR(__xludf.DUMMYFUNCTION("""COMPUTED_VALUE"""),"Linea Bridged FXS (LInea)")</f>
        <v>Linea Bridged FXS (LInea)</v>
      </c>
    </row>
    <row r="7406" spans="1:3" x14ac:dyDescent="0.25">
      <c r="A7406" s="2" t="str">
        <f ca="1">IFERROR(__xludf.DUMMYFUNCTION("""COMPUTED_VALUE"""),"linea-bridged-gno-linea")</f>
        <v>linea-bridged-gno-linea</v>
      </c>
      <c r="B7406" s="2" t="str">
        <f ca="1">IFERROR(__xludf.DUMMYFUNCTION("""COMPUTED_VALUE"""),"gno")</f>
        <v>gno</v>
      </c>
      <c r="C7406" s="2" t="str">
        <f ca="1">IFERROR(__xludf.DUMMYFUNCTION("""COMPUTED_VALUE"""),"Linea Bridged GNO (Linea)")</f>
        <v>Linea Bridged GNO (Linea)</v>
      </c>
    </row>
    <row r="7407" spans="1:3" x14ac:dyDescent="0.25">
      <c r="A7407" s="2" t="str">
        <f ca="1">IFERROR(__xludf.DUMMYFUNCTION("""COMPUTED_VALUE"""),"linea-bridged-ldo-linea")</f>
        <v>linea-bridged-ldo-linea</v>
      </c>
      <c r="B7407" s="2" t="str">
        <f ca="1">IFERROR(__xludf.DUMMYFUNCTION("""COMPUTED_VALUE"""),"ldo")</f>
        <v>ldo</v>
      </c>
      <c r="C7407" s="2" t="str">
        <f ca="1">IFERROR(__xludf.DUMMYFUNCTION("""COMPUTED_VALUE"""),"Linea Bridged LDO (Linea)")</f>
        <v>Linea Bridged LDO (Linea)</v>
      </c>
    </row>
    <row r="7408" spans="1:3" x14ac:dyDescent="0.25">
      <c r="A7408" s="2" t="str">
        <f ca="1">IFERROR(__xludf.DUMMYFUNCTION("""COMPUTED_VALUE"""),"linea-bridged-link-linea")</f>
        <v>linea-bridged-link-linea</v>
      </c>
      <c r="B7408" s="2" t="str">
        <f ca="1">IFERROR(__xludf.DUMMYFUNCTION("""COMPUTED_VALUE"""),"link")</f>
        <v>link</v>
      </c>
      <c r="C7408" s="2" t="str">
        <f ca="1">IFERROR(__xludf.DUMMYFUNCTION("""COMPUTED_VALUE"""),"Linea Bridged LINK (Linea)")</f>
        <v>Linea Bridged LINK (Linea)</v>
      </c>
    </row>
    <row r="7409" spans="1:3" x14ac:dyDescent="0.25">
      <c r="A7409" s="2" t="str">
        <f ca="1">IFERROR(__xludf.DUMMYFUNCTION("""COMPUTED_VALUE"""),"linea-bridged-mkr-linea")</f>
        <v>linea-bridged-mkr-linea</v>
      </c>
      <c r="B7409" s="2" t="str">
        <f ca="1">IFERROR(__xludf.DUMMYFUNCTION("""COMPUTED_VALUE"""),"mkr")</f>
        <v>mkr</v>
      </c>
      <c r="C7409" s="2" t="str">
        <f ca="1">IFERROR(__xludf.DUMMYFUNCTION("""COMPUTED_VALUE"""),"Linea Bridged MKR (LInea)")</f>
        <v>Linea Bridged MKR (LInea)</v>
      </c>
    </row>
    <row r="7410" spans="1:3" x14ac:dyDescent="0.25">
      <c r="A7410" s="2" t="str">
        <f ca="1">IFERROR(__xludf.DUMMYFUNCTION("""COMPUTED_VALUE"""),"linea-bridged-pepe-linea")</f>
        <v>linea-bridged-pepe-linea</v>
      </c>
      <c r="B7410" s="2" t="str">
        <f ca="1">IFERROR(__xludf.DUMMYFUNCTION("""COMPUTED_VALUE"""),"pepe")</f>
        <v>pepe</v>
      </c>
      <c r="C7410" s="2" t="str">
        <f ca="1">IFERROR(__xludf.DUMMYFUNCTION("""COMPUTED_VALUE"""),"Linea Bridged PEPE (Linea)")</f>
        <v>Linea Bridged PEPE (Linea)</v>
      </c>
    </row>
    <row r="7411" spans="1:3" x14ac:dyDescent="0.25">
      <c r="A7411" s="2" t="str">
        <f ca="1">IFERROR(__xludf.DUMMYFUNCTION("""COMPUTED_VALUE"""),"linea-bridged-uni-linea")</f>
        <v>linea-bridged-uni-linea</v>
      </c>
      <c r="B7411" s="2" t="str">
        <f ca="1">IFERROR(__xludf.DUMMYFUNCTION("""COMPUTED_VALUE"""),"uni")</f>
        <v>uni</v>
      </c>
      <c r="C7411" s="2" t="str">
        <f ca="1">IFERROR(__xludf.DUMMYFUNCTION("""COMPUTED_VALUE"""),"Linea Bridged UNI (Linea)")</f>
        <v>Linea Bridged UNI (Linea)</v>
      </c>
    </row>
    <row r="7412" spans="1:3" x14ac:dyDescent="0.25">
      <c r="A7412" s="2" t="str">
        <f ca="1">IFERROR(__xludf.DUMMYFUNCTION("""COMPUTED_VALUE"""),"linea-bridged-wbtc-linea")</f>
        <v>linea-bridged-wbtc-linea</v>
      </c>
      <c r="B7412" s="2" t="str">
        <f ca="1">IFERROR(__xludf.DUMMYFUNCTION("""COMPUTED_VALUE"""),"wbtc")</f>
        <v>wbtc</v>
      </c>
      <c r="C7412" s="2" t="str">
        <f ca="1">IFERROR(__xludf.DUMMYFUNCTION("""COMPUTED_VALUE"""),"Linea Bridged WBTC (Linea)")</f>
        <v>Linea Bridged WBTC (Linea)</v>
      </c>
    </row>
    <row r="7413" spans="1:3" x14ac:dyDescent="0.25">
      <c r="A7413" s="2" t="str">
        <f ca="1">IFERROR(__xludf.DUMMYFUNCTION("""COMPUTED_VALUE"""),"linear")</f>
        <v>linear</v>
      </c>
      <c r="B7413" s="2" t="str">
        <f ca="1">IFERROR(__xludf.DUMMYFUNCTION("""COMPUTED_VALUE"""),"lina")</f>
        <v>lina</v>
      </c>
      <c r="C7413" s="2" t="str">
        <f ca="1">IFERROR(__xludf.DUMMYFUNCTION("""COMPUTED_VALUE"""),"Linear")</f>
        <v>Linear</v>
      </c>
    </row>
    <row r="7414" spans="1:3" x14ac:dyDescent="0.25">
      <c r="A7414" s="2" t="str">
        <f ca="1">IFERROR(__xludf.DUMMYFUNCTION("""COMPUTED_VALUE"""),"linear-protocol")</f>
        <v>linear-protocol</v>
      </c>
      <c r="B7414" s="2" t="str">
        <f ca="1">IFERROR(__xludf.DUMMYFUNCTION("""COMPUTED_VALUE"""),"linear")</f>
        <v>linear</v>
      </c>
      <c r="C7414" s="2" t="str">
        <f ca="1">IFERROR(__xludf.DUMMYFUNCTION("""COMPUTED_VALUE"""),"LiNEAR Protocol Staked NEAR")</f>
        <v>LiNEAR Protocol Staked NEAR</v>
      </c>
    </row>
    <row r="7415" spans="1:3" x14ac:dyDescent="0.25">
      <c r="A7415" s="2" t="str">
        <f ca="1">IFERROR(__xludf.DUMMYFUNCTION("""COMPUTED_VALUE"""),"linear-protocol-lnr")</f>
        <v>linear-protocol-lnr</v>
      </c>
      <c r="B7415" s="2" t="str">
        <f ca="1">IFERROR(__xludf.DUMMYFUNCTION("""COMPUTED_VALUE"""),"lnr")</f>
        <v>lnr</v>
      </c>
      <c r="C7415" s="2" t="str">
        <f ca="1">IFERROR(__xludf.DUMMYFUNCTION("""COMPUTED_VALUE"""),"LiNEAR Protocol LNR")</f>
        <v>LiNEAR Protocol LNR</v>
      </c>
    </row>
    <row r="7416" spans="1:3" x14ac:dyDescent="0.25">
      <c r="A7416" s="2" t="str">
        <f ca="1">IFERROR(__xludf.DUMMYFUNCTION("""COMPUTED_VALUE"""),"linea-voyage-xp")</f>
        <v>linea-voyage-xp</v>
      </c>
      <c r="B7416" s="2" t="str">
        <f ca="1">IFERROR(__xludf.DUMMYFUNCTION("""COMPUTED_VALUE"""),"lxp")</f>
        <v>lxp</v>
      </c>
      <c r="C7416" s="2" t="str">
        <f ca="1">IFERROR(__xludf.DUMMYFUNCTION("""COMPUTED_VALUE"""),"Linea Voyage XP")</f>
        <v>Linea Voyage XP</v>
      </c>
    </row>
    <row r="7417" spans="1:3" x14ac:dyDescent="0.25">
      <c r="A7417" s="2" t="str">
        <f ca="1">IFERROR(__xludf.DUMMYFUNCTION("""COMPUTED_VALUE"""),"linework-coin")</f>
        <v>linework-coin</v>
      </c>
      <c r="B7417" s="2" t="str">
        <f ca="1">IFERROR(__xludf.DUMMYFUNCTION("""COMPUTED_VALUE"""),"lwc")</f>
        <v>lwc</v>
      </c>
      <c r="C7417" s="2" t="str">
        <f ca="1">IFERROR(__xludf.DUMMYFUNCTION("""COMPUTED_VALUE"""),"Linework Coin")</f>
        <v>Linework Coin</v>
      </c>
    </row>
    <row r="7418" spans="1:3" x14ac:dyDescent="0.25">
      <c r="A7418" s="2" t="str">
        <f ca="1">IFERROR(__xludf.DUMMYFUNCTION("""COMPUTED_VALUE"""),"link")</f>
        <v>link</v>
      </c>
      <c r="B7418" s="2" t="str">
        <f ca="1">IFERROR(__xludf.DUMMYFUNCTION("""COMPUTED_VALUE"""),"fnsa")</f>
        <v>fnsa</v>
      </c>
      <c r="C7418" s="2" t="str">
        <f ca="1">IFERROR(__xludf.DUMMYFUNCTION("""COMPUTED_VALUE"""),"FINSCHIA")</f>
        <v>FINSCHIA</v>
      </c>
    </row>
    <row r="7419" spans="1:3" x14ac:dyDescent="0.25">
      <c r="A7419" s="2" t="str">
        <f ca="1">IFERROR(__xludf.DUMMYFUNCTION("""COMPUTED_VALUE"""),"linkcom")</f>
        <v>linkcom</v>
      </c>
      <c r="B7419" s="2" t="str">
        <f ca="1">IFERROR(__xludf.DUMMYFUNCTION("""COMPUTED_VALUE"""),"lcom")</f>
        <v>lcom</v>
      </c>
      <c r="C7419" s="2" t="str">
        <f ca="1">IFERROR(__xludf.DUMMYFUNCTION("""COMPUTED_VALUE"""),"LCOM")</f>
        <v>LCOM</v>
      </c>
    </row>
    <row r="7420" spans="1:3" x14ac:dyDescent="0.25">
      <c r="A7420" s="2" t="str">
        <f ca="1">IFERROR(__xludf.DUMMYFUNCTION("""COMPUTED_VALUE"""),"linkeye")</f>
        <v>linkeye</v>
      </c>
      <c r="B7420" s="2" t="str">
        <f ca="1">IFERROR(__xludf.DUMMYFUNCTION("""COMPUTED_VALUE"""),"let")</f>
        <v>let</v>
      </c>
      <c r="C7420" s="2" t="str">
        <f ca="1">IFERROR(__xludf.DUMMYFUNCTION("""COMPUTED_VALUE"""),"Linkeye")</f>
        <v>Linkeye</v>
      </c>
    </row>
    <row r="7421" spans="1:3" x14ac:dyDescent="0.25">
      <c r="A7421" s="2" t="str">
        <f ca="1">IFERROR(__xludf.DUMMYFUNCTION("""COMPUTED_VALUE"""),"linkfi")</f>
        <v>linkfi</v>
      </c>
      <c r="B7421" s="2" t="str">
        <f ca="1">IFERROR(__xludf.DUMMYFUNCTION("""COMPUTED_VALUE"""),"linkfi")</f>
        <v>linkfi</v>
      </c>
      <c r="C7421" s="2" t="str">
        <f ca="1">IFERROR(__xludf.DUMMYFUNCTION("""COMPUTED_VALUE"""),"LINKFI")</f>
        <v>LINKFI</v>
      </c>
    </row>
    <row r="7422" spans="1:3" x14ac:dyDescent="0.25">
      <c r="A7422" s="2" t="str">
        <f ca="1">IFERROR(__xludf.DUMMYFUNCTION("""COMPUTED_VALUE"""),"linkpool")</f>
        <v>linkpool</v>
      </c>
      <c r="B7422" s="2" t="str">
        <f ca="1">IFERROR(__xludf.DUMMYFUNCTION("""COMPUTED_VALUE"""),"lpl")</f>
        <v>lpl</v>
      </c>
      <c r="C7422" s="2" t="str">
        <f ca="1">IFERROR(__xludf.DUMMYFUNCTION("""COMPUTED_VALUE"""),"LinkPool")</f>
        <v>LinkPool</v>
      </c>
    </row>
    <row r="7423" spans="1:3" x14ac:dyDescent="0.25">
      <c r="A7423" s="2" t="str">
        <f ca="1">IFERROR(__xludf.DUMMYFUNCTION("""COMPUTED_VALUE"""),"links")</f>
        <v>links</v>
      </c>
      <c r="B7423" s="2" t="str">
        <f ca="1">IFERROR(__xludf.DUMMYFUNCTION("""COMPUTED_VALUE"""),"links")</f>
        <v>links</v>
      </c>
      <c r="C7423" s="2" t="str">
        <f ca="1">IFERROR(__xludf.DUMMYFUNCTION("""COMPUTED_VALUE"""),"Links")</f>
        <v>Links</v>
      </c>
    </row>
    <row r="7424" spans="1:3" x14ac:dyDescent="0.25">
      <c r="A7424" s="2" t="str">
        <f ca="1">IFERROR(__xludf.DUMMYFUNCTION("""COMPUTED_VALUE"""),"linktoa")</f>
        <v>linktoa</v>
      </c>
      <c r="B7424" s="2" t="str">
        <f ca="1">IFERROR(__xludf.DUMMYFUNCTION("""COMPUTED_VALUE"""),"ltao")</f>
        <v>ltao</v>
      </c>
      <c r="C7424" s="2" t="str">
        <f ca="1">IFERROR(__xludf.DUMMYFUNCTION("""COMPUTED_VALUE"""),"LinkTao")</f>
        <v>LinkTao</v>
      </c>
    </row>
    <row r="7425" spans="1:3" x14ac:dyDescent="0.25">
      <c r="A7425" s="2" t="str">
        <f ca="1">IFERROR(__xludf.DUMMYFUNCTION("""COMPUTED_VALUE"""),"link-yvault")</f>
        <v>link-yvault</v>
      </c>
      <c r="B7425" s="2" t="str">
        <f ca="1">IFERROR(__xludf.DUMMYFUNCTION("""COMPUTED_VALUE"""),"yvlink")</f>
        <v>yvlink</v>
      </c>
      <c r="C7425" s="2" t="str">
        <f ca="1">IFERROR(__xludf.DUMMYFUNCTION("""COMPUTED_VALUE"""),"LINK yVault")</f>
        <v>LINK yVault</v>
      </c>
    </row>
    <row r="7426" spans="1:3" x14ac:dyDescent="0.25">
      <c r="A7426" s="2" t="str">
        <f ca="1">IFERROR(__xludf.DUMMYFUNCTION("""COMPUTED_VALUE"""),"linq")</f>
        <v>linq</v>
      </c>
      <c r="B7426" s="2" t="str">
        <f ca="1">IFERROR(__xludf.DUMMYFUNCTION("""COMPUTED_VALUE"""),"linq")</f>
        <v>linq</v>
      </c>
      <c r="C7426" s="2" t="str">
        <f ca="1">IFERROR(__xludf.DUMMYFUNCTION("""COMPUTED_VALUE"""),"Linq")</f>
        <v>Linq</v>
      </c>
    </row>
    <row r="7427" spans="1:3" x14ac:dyDescent="0.25">
      <c r="A7427" s="2" t="str">
        <f ca="1">IFERROR(__xludf.DUMMYFUNCTION("""COMPUTED_VALUE"""),"linqai")</f>
        <v>linqai</v>
      </c>
      <c r="B7427" s="2" t="str">
        <f ca="1">IFERROR(__xludf.DUMMYFUNCTION("""COMPUTED_VALUE"""),"lnq")</f>
        <v>lnq</v>
      </c>
      <c r="C7427" s="2" t="str">
        <f ca="1">IFERROR(__xludf.DUMMYFUNCTION("""COMPUTED_VALUE"""),"LinqAI")</f>
        <v>LinqAI</v>
      </c>
    </row>
    <row r="7428" spans="1:3" x14ac:dyDescent="0.25">
      <c r="A7428" s="2" t="str">
        <f ca="1">IFERROR(__xludf.DUMMYFUNCTION("""COMPUTED_VALUE"""),"lion")</f>
        <v>lion</v>
      </c>
      <c r="B7428" s="2" t="str">
        <f ca="1">IFERROR(__xludf.DUMMYFUNCTION("""COMPUTED_VALUE"""),"lion")</f>
        <v>lion</v>
      </c>
      <c r="C7428" s="2" t="str">
        <f ca="1">IFERROR(__xludf.DUMMYFUNCTION("""COMPUTED_VALUE"""),"LION")</f>
        <v>LION</v>
      </c>
    </row>
    <row r="7429" spans="1:3" x14ac:dyDescent="0.25">
      <c r="A7429" s="2" t="str">
        <f ca="1">IFERROR(__xludf.DUMMYFUNCTION("""COMPUTED_VALUE"""),"lion-dao")</f>
        <v>lion-dao</v>
      </c>
      <c r="B7429" s="2" t="str">
        <f ca="1">IFERROR(__xludf.DUMMYFUNCTION("""COMPUTED_VALUE"""),"roar")</f>
        <v>roar</v>
      </c>
      <c r="C7429" s="2" t="str">
        <f ca="1">IFERROR(__xludf.DUMMYFUNCTION("""COMPUTED_VALUE"""),"Lion DAO")</f>
        <v>Lion DAO</v>
      </c>
    </row>
    <row r="7430" spans="1:3" x14ac:dyDescent="0.25">
      <c r="A7430" s="2" t="str">
        <f ca="1">IFERROR(__xludf.DUMMYFUNCTION("""COMPUTED_VALUE"""),"liondex")</f>
        <v>liondex</v>
      </c>
      <c r="B7430" s="2" t="str">
        <f ca="1">IFERROR(__xludf.DUMMYFUNCTION("""COMPUTED_VALUE"""),"lion")</f>
        <v>lion</v>
      </c>
      <c r="C7430" s="2" t="str">
        <f ca="1">IFERROR(__xludf.DUMMYFUNCTION("""COMPUTED_VALUE"""),"LionDEX")</f>
        <v>LionDEX</v>
      </c>
    </row>
    <row r="7431" spans="1:3" x14ac:dyDescent="0.25">
      <c r="A7431" s="2" t="str">
        <f ca="1">IFERROR(__xludf.DUMMYFUNCTION("""COMPUTED_VALUE"""),"lion-scrub-money-2")</f>
        <v>lion-scrub-money-2</v>
      </c>
      <c r="B7431" s="2" t="str">
        <f ca="1">IFERROR(__xludf.DUMMYFUNCTION("""COMPUTED_VALUE"""),"lion")</f>
        <v>lion</v>
      </c>
      <c r="C7431" s="2" t="str">
        <f ca="1">IFERROR(__xludf.DUMMYFUNCTION("""COMPUTED_VALUE"""),"Lion Scrub Money")</f>
        <v>Lion Scrub Money</v>
      </c>
    </row>
    <row r="7432" spans="1:3" x14ac:dyDescent="0.25">
      <c r="A7432" s="2" t="str">
        <f ca="1">IFERROR(__xludf.DUMMYFUNCTION("""COMPUTED_VALUE"""),"lion-token")</f>
        <v>lion-token</v>
      </c>
      <c r="B7432" s="2" t="str">
        <f ca="1">IFERROR(__xludf.DUMMYFUNCTION("""COMPUTED_VALUE"""),"lion")</f>
        <v>lion</v>
      </c>
      <c r="C7432" s="2" t="str">
        <f ca="1">IFERROR(__xludf.DUMMYFUNCTION("""COMPUTED_VALUE"""),"Lion")</f>
        <v>Lion</v>
      </c>
    </row>
    <row r="7433" spans="1:3" x14ac:dyDescent="0.25">
      <c r="A7433" s="2" t="str">
        <f ca="1">IFERROR(__xludf.DUMMYFUNCTION("""COMPUTED_VALUE"""),"liq-protocol")</f>
        <v>liq-protocol</v>
      </c>
      <c r="B7433" s="2" t="str">
        <f ca="1">IFERROR(__xludf.DUMMYFUNCTION("""COMPUTED_VALUE"""),"liq")</f>
        <v>liq</v>
      </c>
      <c r="C7433" s="2" t="str">
        <f ca="1">IFERROR(__xludf.DUMMYFUNCTION("""COMPUTED_VALUE"""),"LIQ Protocol")</f>
        <v>LIQ Protocol</v>
      </c>
    </row>
    <row r="7434" spans="1:3" x14ac:dyDescent="0.25">
      <c r="A7434" s="2" t="str">
        <f ca="1">IFERROR(__xludf.DUMMYFUNCTION("""COMPUTED_VALUE"""),"liquid-astr")</f>
        <v>liquid-astr</v>
      </c>
      <c r="B7434" s="2" t="str">
        <f ca="1">IFERROR(__xludf.DUMMYFUNCTION("""COMPUTED_VALUE"""),"nastr")</f>
        <v>nastr</v>
      </c>
      <c r="C7434" s="2" t="str">
        <f ca="1">IFERROR(__xludf.DUMMYFUNCTION("""COMPUTED_VALUE"""),"Liquid ASTR")</f>
        <v>Liquid ASTR</v>
      </c>
    </row>
    <row r="7435" spans="1:3" x14ac:dyDescent="0.25">
      <c r="A7435" s="2" t="str">
        <f ca="1">IFERROR(__xludf.DUMMYFUNCTION("""COMPUTED_VALUE"""),"liquid-atom")</f>
        <v>liquid-atom</v>
      </c>
      <c r="B7435" s="2" t="str">
        <f ca="1">IFERROR(__xludf.DUMMYFUNCTION("""COMPUTED_VALUE"""),"latom")</f>
        <v>latom</v>
      </c>
      <c r="C7435" s="2" t="str">
        <f ca="1">IFERROR(__xludf.DUMMYFUNCTION("""COMPUTED_VALUE"""),"Liquid ATOM")</f>
        <v>Liquid ATOM</v>
      </c>
    </row>
    <row r="7436" spans="1:3" x14ac:dyDescent="0.25">
      <c r="A7436" s="2" t="str">
        <f ca="1">IFERROR(__xludf.DUMMYFUNCTION("""COMPUTED_VALUE"""),"liquid-collectibles")</f>
        <v>liquid-collectibles</v>
      </c>
      <c r="B7436" s="2" t="str">
        <f ca="1">IFERROR(__xludf.DUMMYFUNCTION("""COMPUTED_VALUE"""),"lico")</f>
        <v>lico</v>
      </c>
      <c r="C7436" s="2" t="str">
        <f ca="1">IFERROR(__xludf.DUMMYFUNCTION("""COMPUTED_VALUE"""),"Liquid Collectibles")</f>
        <v>Liquid Collectibles</v>
      </c>
    </row>
    <row r="7437" spans="1:3" x14ac:dyDescent="0.25">
      <c r="A7437" s="2" t="str">
        <f ca="1">IFERROR(__xludf.DUMMYFUNCTION("""COMPUTED_VALUE"""),"liquid-cro")</f>
        <v>liquid-cro</v>
      </c>
      <c r="B7437" s="2" t="str">
        <f ca="1">IFERROR(__xludf.DUMMYFUNCTION("""COMPUTED_VALUE"""),"lcro")</f>
        <v>lcro</v>
      </c>
      <c r="C7437" s="2" t="str">
        <f ca="1">IFERROR(__xludf.DUMMYFUNCTION("""COMPUTED_VALUE"""),"Liquid CRO")</f>
        <v>Liquid CRO</v>
      </c>
    </row>
    <row r="7438" spans="1:3" x14ac:dyDescent="0.25">
      <c r="A7438" s="2" t="str">
        <f ca="1">IFERROR(__xludf.DUMMYFUNCTION("""COMPUTED_VALUE"""),"liquid-crypto")</f>
        <v>liquid-crypto</v>
      </c>
      <c r="B7438" s="2" t="str">
        <f ca="1">IFERROR(__xludf.DUMMYFUNCTION("""COMPUTED_VALUE"""),"lqdx")</f>
        <v>lqdx</v>
      </c>
      <c r="C7438" s="2" t="str">
        <f ca="1">IFERROR(__xludf.DUMMYFUNCTION("""COMPUTED_VALUE"""),"Reddex")</f>
        <v>Reddex</v>
      </c>
    </row>
    <row r="7439" spans="1:3" x14ac:dyDescent="0.25">
      <c r="A7439" s="2" t="str">
        <f ca="1">IFERROR(__xludf.DUMMYFUNCTION("""COMPUTED_VALUE"""),"liquiddriver")</f>
        <v>liquiddriver</v>
      </c>
      <c r="B7439" s="2" t="str">
        <f ca="1">IFERROR(__xludf.DUMMYFUNCTION("""COMPUTED_VALUE"""),"lqdr")</f>
        <v>lqdr</v>
      </c>
      <c r="C7439" s="2" t="str">
        <f ca="1">IFERROR(__xludf.DUMMYFUNCTION("""COMPUTED_VALUE"""),"LiquidDriver")</f>
        <v>LiquidDriver</v>
      </c>
    </row>
    <row r="7440" spans="1:3" x14ac:dyDescent="0.25">
      <c r="A7440" s="2" t="str">
        <f ca="1">IFERROR(__xludf.DUMMYFUNCTION("""COMPUTED_VALUE"""),"liquid-driver-liveretro")</f>
        <v>liquid-driver-liveretro</v>
      </c>
      <c r="B7440" s="2" t="str">
        <f ca="1">IFERROR(__xludf.DUMMYFUNCTION("""COMPUTED_VALUE"""),"liveretro")</f>
        <v>liveretro</v>
      </c>
      <c r="C7440" s="2" t="str">
        <f ca="1">IFERROR(__xludf.DUMMYFUNCTION("""COMPUTED_VALUE"""),"Liquid Driver liveRETRO")</f>
        <v>Liquid Driver liveRETRO</v>
      </c>
    </row>
    <row r="7441" spans="1:3" x14ac:dyDescent="0.25">
      <c r="A7441" s="2" t="str">
        <f ca="1">IFERROR(__xludf.DUMMYFUNCTION("""COMPUTED_VALUE"""),"liquid-driver-livethe")</f>
        <v>liquid-driver-livethe</v>
      </c>
      <c r="B7441" s="2" t="str">
        <f ca="1">IFERROR(__xludf.DUMMYFUNCTION("""COMPUTED_VALUE"""),"livethe")</f>
        <v>livethe</v>
      </c>
      <c r="C7441" s="2" t="str">
        <f ca="1">IFERROR(__xludf.DUMMYFUNCTION("""COMPUTED_VALUE"""),"Liquid Driver liveTHE")</f>
        <v>Liquid Driver liveTHE</v>
      </c>
    </row>
    <row r="7442" spans="1:3" x14ac:dyDescent="0.25">
      <c r="A7442" s="2" t="str">
        <f ca="1">IFERROR(__xludf.DUMMYFUNCTION("""COMPUTED_VALUE"""),"liquid-finance")</f>
        <v>liquid-finance</v>
      </c>
      <c r="B7442" s="2" t="str">
        <f ca="1">IFERROR(__xludf.DUMMYFUNCTION("""COMPUTED_VALUE"""),"liqd")</f>
        <v>liqd</v>
      </c>
      <c r="C7442" s="2" t="str">
        <f ca="1">IFERROR(__xludf.DUMMYFUNCTION("""COMPUTED_VALUE"""),"Liquid Finance")</f>
        <v>Liquid Finance</v>
      </c>
    </row>
    <row r="7443" spans="1:3" x14ac:dyDescent="0.25">
      <c r="A7443" s="2" t="str">
        <f ca="1">IFERROR(__xludf.DUMMYFUNCTION("""COMPUTED_VALUE"""),"liquid-finance-arch")</f>
        <v>liquid-finance-arch</v>
      </c>
      <c r="B7443" s="2" t="str">
        <f ca="1">IFERROR(__xludf.DUMMYFUNCTION("""COMPUTED_VALUE"""),"sarch")</f>
        <v>sarch</v>
      </c>
      <c r="C7443" s="2" t="str">
        <f ca="1">IFERROR(__xludf.DUMMYFUNCTION("""COMPUTED_VALUE"""),"Liquid Finance ARCH")</f>
        <v>Liquid Finance ARCH</v>
      </c>
    </row>
    <row r="7444" spans="1:3" x14ac:dyDescent="0.25">
      <c r="A7444" s="2" t="str">
        <f ca="1">IFERROR(__xludf.DUMMYFUNCTION("""COMPUTED_VALUE"""),"liquidifty")</f>
        <v>liquidifty</v>
      </c>
      <c r="B7444" s="2" t="str">
        <f ca="1">IFERROR(__xludf.DUMMYFUNCTION("""COMPUTED_VALUE"""),"lqt")</f>
        <v>lqt</v>
      </c>
      <c r="C7444" s="2" t="str">
        <f ca="1">IFERROR(__xludf.DUMMYFUNCTION("""COMPUTED_VALUE"""),"Lifty")</f>
        <v>Lifty</v>
      </c>
    </row>
    <row r="7445" spans="1:3" x14ac:dyDescent="0.25">
      <c r="A7445" s="2" t="str">
        <f ca="1">IFERROR(__xludf.DUMMYFUNCTION("""COMPUTED_VALUE"""),"liquidify-077fd783-dead-4809-b5a9-0d9876f6ea5c")</f>
        <v>liquidify-077fd783-dead-4809-b5a9-0d9876f6ea5c</v>
      </c>
      <c r="B7445" s="2" t="str">
        <f ca="1">IFERROR(__xludf.DUMMYFUNCTION("""COMPUTED_VALUE"""),"liquid")</f>
        <v>liquid</v>
      </c>
      <c r="C7445" s="2" t="str">
        <f ca="1">IFERROR(__xludf.DUMMYFUNCTION("""COMPUTED_VALUE"""),"Liquidify")</f>
        <v>Liquidify</v>
      </c>
    </row>
    <row r="7446" spans="1:3" x14ac:dyDescent="0.25">
      <c r="A7446" s="2" t="str">
        <f ca="1">IFERROR(__xludf.DUMMYFUNCTION("""COMPUTED_VALUE"""),"liquidium-token")</f>
        <v>liquidium-token</v>
      </c>
      <c r="B7446" s="2" t="str">
        <f ca="1">IFERROR(__xludf.DUMMYFUNCTION("""COMPUTED_VALUE"""),"liquidium (runes)")</f>
        <v>liquidium (runes)</v>
      </c>
      <c r="C7446" s="2" t="str">
        <f ca="1">IFERROR(__xludf.DUMMYFUNCTION("""COMPUTED_VALUE"""),"LIQUIDIUM•TOKEN")</f>
        <v>LIQUIDIUM•TOKEN</v>
      </c>
    </row>
    <row r="7447" spans="1:3" x14ac:dyDescent="0.25">
      <c r="A7447" s="2" t="str">
        <f ca="1">IFERROR(__xludf.DUMMYFUNCTION("""COMPUTED_VALUE"""),"liquid-ksm")</f>
        <v>liquid-ksm</v>
      </c>
      <c r="B7447" s="2" t="str">
        <f ca="1">IFERROR(__xludf.DUMMYFUNCTION("""COMPUTED_VALUE"""),"lksm")</f>
        <v>lksm</v>
      </c>
      <c r="C7447" s="2" t="str">
        <f ca="1">IFERROR(__xludf.DUMMYFUNCTION("""COMPUTED_VALUE"""),"Liquid KSM")</f>
        <v>Liquid KSM</v>
      </c>
    </row>
    <row r="7448" spans="1:3" x14ac:dyDescent="0.25">
      <c r="A7448" s="2" t="str">
        <f ca="1">IFERROR(__xludf.DUMMYFUNCTION("""COMPUTED_VALUE"""),"liquidlayer")</f>
        <v>liquidlayer</v>
      </c>
      <c r="B7448" s="2" t="str">
        <f ca="1">IFERROR(__xludf.DUMMYFUNCTION("""COMPUTED_VALUE"""),"lila")</f>
        <v>lila</v>
      </c>
      <c r="C7448" s="2" t="str">
        <f ca="1">IFERROR(__xludf.DUMMYFUNCTION("""COMPUTED_VALUE"""),"LiquidLayer")</f>
        <v>LiquidLayer</v>
      </c>
    </row>
    <row r="7449" spans="1:3" x14ac:dyDescent="0.25">
      <c r="A7449" s="2" t="str">
        <f ca="1">IFERROR(__xludf.DUMMYFUNCTION("""COMPUTED_VALUE"""),"liquid-loans")</f>
        <v>liquid-loans</v>
      </c>
      <c r="B7449" s="2" t="str">
        <f ca="1">IFERROR(__xludf.DUMMYFUNCTION("""COMPUTED_VALUE"""),"loan")</f>
        <v>loan</v>
      </c>
      <c r="C7449" s="2" t="str">
        <f ca="1">IFERROR(__xludf.DUMMYFUNCTION("""COMPUTED_VALUE"""),"Liquid Loans")</f>
        <v>Liquid Loans</v>
      </c>
    </row>
    <row r="7450" spans="1:3" x14ac:dyDescent="0.25">
      <c r="A7450" s="2" t="str">
        <f ca="1">IFERROR(__xludf.DUMMYFUNCTION("""COMPUTED_VALUE"""),"liquid-loans-usdl")</f>
        <v>liquid-loans-usdl</v>
      </c>
      <c r="B7450" s="2" t="str">
        <f ca="1">IFERROR(__xludf.DUMMYFUNCTION("""COMPUTED_VALUE"""),"usdl")</f>
        <v>usdl</v>
      </c>
      <c r="C7450" s="2" t="str">
        <f ca="1">IFERROR(__xludf.DUMMYFUNCTION("""COMPUTED_VALUE"""),"Liquid Loans USDL")</f>
        <v>Liquid Loans USDL</v>
      </c>
    </row>
    <row r="7451" spans="1:3" x14ac:dyDescent="0.25">
      <c r="A7451" s="2" t="str">
        <f ca="1">IFERROR(__xludf.DUMMYFUNCTION("""COMPUTED_VALUE"""),"liquid-mercury")</f>
        <v>liquid-mercury</v>
      </c>
      <c r="B7451" s="2" t="str">
        <f ca="1">IFERROR(__xludf.DUMMYFUNCTION("""COMPUTED_VALUE"""),"merc")</f>
        <v>merc</v>
      </c>
      <c r="C7451" s="2" t="str">
        <f ca="1">IFERROR(__xludf.DUMMYFUNCTION("""COMPUTED_VALUE"""),"Liquid Mercury")</f>
        <v>Liquid Mercury</v>
      </c>
    </row>
    <row r="7452" spans="1:3" x14ac:dyDescent="0.25">
      <c r="A7452" s="2" t="str">
        <f ca="1">IFERROR(__xludf.DUMMYFUNCTION("""COMPUTED_VALUE"""),"liquid-protocol")</f>
        <v>liquid-protocol</v>
      </c>
      <c r="B7452" s="2" t="str">
        <f ca="1">IFERROR(__xludf.DUMMYFUNCTION("""COMPUTED_VALUE"""),"lp")</f>
        <v>lp</v>
      </c>
      <c r="C7452" s="2" t="str">
        <f ca="1">IFERROR(__xludf.DUMMYFUNCTION("""COMPUTED_VALUE"""),"Liquid Protocol")</f>
        <v>Liquid Protocol</v>
      </c>
    </row>
    <row r="7453" spans="1:3" x14ac:dyDescent="0.25">
      <c r="A7453" s="2" t="str">
        <f ca="1">IFERROR(__xludf.DUMMYFUNCTION("""COMPUTED_VALUE"""),"liquid-savings-dai")</f>
        <v>liquid-savings-dai</v>
      </c>
      <c r="B7453" s="2" t="str">
        <f ca="1">IFERROR(__xludf.DUMMYFUNCTION("""COMPUTED_VALUE"""),"lsdai")</f>
        <v>lsdai</v>
      </c>
      <c r="C7453" s="2" t="str">
        <f ca="1">IFERROR(__xludf.DUMMYFUNCTION("""COMPUTED_VALUE"""),"Liquid Savings DAI")</f>
        <v>Liquid Savings DAI</v>
      </c>
    </row>
    <row r="7454" spans="1:3" x14ac:dyDescent="0.25">
      <c r="A7454" s="2" t="str">
        <f ca="1">IFERROR(__xludf.DUMMYFUNCTION("""COMPUTED_VALUE"""),"liquid-solana-derivative")</f>
        <v>liquid-solana-derivative</v>
      </c>
      <c r="B7454" s="2" t="str">
        <f ca="1">IFERROR(__xludf.DUMMYFUNCTION("""COMPUTED_VALUE"""),"lsd")</f>
        <v>lsd</v>
      </c>
      <c r="C7454" s="2" t="str">
        <f ca="1">IFERROR(__xludf.DUMMYFUNCTION("""COMPUTED_VALUE"""),"Liquid Solana Derivative")</f>
        <v>Liquid Solana Derivative</v>
      </c>
    </row>
    <row r="7455" spans="1:3" x14ac:dyDescent="0.25">
      <c r="A7455" s="2" t="str">
        <f ca="1">IFERROR(__xludf.DUMMYFUNCTION("""COMPUTED_VALUE"""),"liquid-staked-canto")</f>
        <v>liquid-staked-canto</v>
      </c>
      <c r="B7455" s="2" t="str">
        <f ca="1">IFERROR(__xludf.DUMMYFUNCTION("""COMPUTED_VALUE"""),"scanto")</f>
        <v>scanto</v>
      </c>
      <c r="C7455" s="2" t="str">
        <f ca="1">IFERROR(__xludf.DUMMYFUNCTION("""COMPUTED_VALUE"""),"Liquid Staked Canto")</f>
        <v>Liquid Staked Canto</v>
      </c>
    </row>
    <row r="7456" spans="1:3" x14ac:dyDescent="0.25">
      <c r="A7456" s="2" t="str">
        <f ca="1">IFERROR(__xludf.DUMMYFUNCTION("""COMPUTED_VALUE"""),"liquid-staked-ethereum")</f>
        <v>liquid-staked-ethereum</v>
      </c>
      <c r="B7456" s="2" t="str">
        <f ca="1">IFERROR(__xludf.DUMMYFUNCTION("""COMPUTED_VALUE"""),"lseth")</f>
        <v>lseth</v>
      </c>
      <c r="C7456" s="2" t="str">
        <f ca="1">IFERROR(__xludf.DUMMYFUNCTION("""COMPUTED_VALUE"""),"Liquid Staked ETH")</f>
        <v>Liquid Staked ETH</v>
      </c>
    </row>
    <row r="7457" spans="1:3" x14ac:dyDescent="0.25">
      <c r="A7457" s="2" t="str">
        <f ca="1">IFERROR(__xludf.DUMMYFUNCTION("""COMPUTED_VALUE"""),"liquid-staked-flow")</f>
        <v>liquid-staked-flow</v>
      </c>
      <c r="B7457" s="2" t="str">
        <f ca="1">IFERROR(__xludf.DUMMYFUNCTION("""COMPUTED_VALUE"""),"stflow")</f>
        <v>stflow</v>
      </c>
      <c r="C7457" s="2" t="str">
        <f ca="1">IFERROR(__xludf.DUMMYFUNCTION("""COMPUTED_VALUE"""),"Increment Staked FLOW")</f>
        <v>Increment Staked FLOW</v>
      </c>
    </row>
    <row r="7458" spans="1:3" x14ac:dyDescent="0.25">
      <c r="A7458" s="2" t="str">
        <f ca="1">IFERROR(__xludf.DUMMYFUNCTION("""COMPUTED_VALUE"""),"liquid-staked-fuse")</f>
        <v>liquid-staked-fuse</v>
      </c>
      <c r="B7458" s="2" t="str">
        <f ca="1">IFERROR(__xludf.DUMMYFUNCTION("""COMPUTED_VALUE"""),"sfuse")</f>
        <v>sfuse</v>
      </c>
      <c r="C7458" s="2" t="str">
        <f ca="1">IFERROR(__xludf.DUMMYFUNCTION("""COMPUTED_VALUE"""),"Liquid staked FUSE")</f>
        <v>Liquid staked FUSE</v>
      </c>
    </row>
    <row r="7459" spans="1:3" x14ac:dyDescent="0.25">
      <c r="A7459" s="2" t="str">
        <f ca="1">IFERROR(__xludf.DUMMYFUNCTION("""COMPUTED_VALUE"""),"liquid-staking-derivative")</f>
        <v>liquid-staking-derivative</v>
      </c>
      <c r="B7459" s="2" t="str">
        <f ca="1">IFERROR(__xludf.DUMMYFUNCTION("""COMPUTED_VALUE"""),"lsd")</f>
        <v>lsd</v>
      </c>
      <c r="C7459" s="2" t="str">
        <f ca="1">IFERROR(__xludf.DUMMYFUNCTION("""COMPUTED_VALUE"""),"Liquid Staking Derivative")</f>
        <v>Liquid Staking Derivative</v>
      </c>
    </row>
    <row r="7460" spans="1:3" x14ac:dyDescent="0.25">
      <c r="A7460" s="2" t="str">
        <f ca="1">IFERROR(__xludf.DUMMYFUNCTION("""COMPUTED_VALUE"""),"liquid-staking-dot")</f>
        <v>liquid-staking-dot</v>
      </c>
      <c r="B7460" s="2" t="str">
        <f ca="1">IFERROR(__xludf.DUMMYFUNCTION("""COMPUTED_VALUE"""),"ldot")</f>
        <v>ldot</v>
      </c>
      <c r="C7460" s="2" t="str">
        <f ca="1">IFERROR(__xludf.DUMMYFUNCTION("""COMPUTED_VALUE"""),"Liquid Staking Dot")</f>
        <v>Liquid Staking Dot</v>
      </c>
    </row>
    <row r="7461" spans="1:3" x14ac:dyDescent="0.25">
      <c r="A7461" s="2" t="str">
        <f ca="1">IFERROR(__xludf.DUMMYFUNCTION("""COMPUTED_VALUE"""),"liquid-staking-token")</f>
        <v>liquid-staking-token</v>
      </c>
      <c r="B7461" s="2" t="str">
        <f ca="1">IFERROR(__xludf.DUMMYFUNCTION("""COMPUTED_VALUE"""),"lst")</f>
        <v>lst</v>
      </c>
      <c r="C7461" s="2" t="str">
        <f ca="1">IFERROR(__xludf.DUMMYFUNCTION("""COMPUTED_VALUE"""),"Liquid Staking Token")</f>
        <v>Liquid Staking Token</v>
      </c>
    </row>
    <row r="7462" spans="1:3" x14ac:dyDescent="0.25">
      <c r="A7462" s="2" t="str">
        <f ca="1">IFERROR(__xludf.DUMMYFUNCTION("""COMPUTED_VALUE"""),"liquidswap-2")</f>
        <v>liquidswap-2</v>
      </c>
      <c r="B7462" s="2" t="str">
        <f ca="1">IFERROR(__xludf.DUMMYFUNCTION("""COMPUTED_VALUE"""),"lsd")</f>
        <v>lsd</v>
      </c>
      <c r="C7462" s="2" t="str">
        <f ca="1">IFERROR(__xludf.DUMMYFUNCTION("""COMPUTED_VALUE"""),"Liquidswap")</f>
        <v>Liquidswap</v>
      </c>
    </row>
    <row r="7463" spans="1:3" x14ac:dyDescent="0.25">
      <c r="A7463" s="2" t="str">
        <f ca="1">IFERROR(__xludf.DUMMYFUNCTION("""COMPUTED_VALUE"""),"liquidus")</f>
        <v>liquidus</v>
      </c>
      <c r="B7463" s="2" t="str">
        <f ca="1">IFERROR(__xludf.DUMMYFUNCTION("""COMPUTED_VALUE"""),"liq")</f>
        <v>liq</v>
      </c>
      <c r="C7463" s="2" t="str">
        <f ca="1">IFERROR(__xludf.DUMMYFUNCTION("""COMPUTED_VALUE"""),"Liquidus (Old)")</f>
        <v>Liquidus (Old)</v>
      </c>
    </row>
    <row r="7464" spans="1:3" x14ac:dyDescent="0.25">
      <c r="A7464" s="2" t="str">
        <f ca="1">IFERROR(__xludf.DUMMYFUNCTION("""COMPUTED_VALUE"""),"liquidus-2")</f>
        <v>liquidus-2</v>
      </c>
      <c r="B7464" s="2" t="str">
        <f ca="1">IFERROR(__xludf.DUMMYFUNCTION("""COMPUTED_VALUE"""),"liq")</f>
        <v>liq</v>
      </c>
      <c r="C7464" s="2" t="str">
        <f ca="1">IFERROR(__xludf.DUMMYFUNCTION("""COMPUTED_VALUE"""),"Liquidus")</f>
        <v>Liquidus</v>
      </c>
    </row>
    <row r="7465" spans="1:3" x14ac:dyDescent="0.25">
      <c r="A7465" s="2" t="str">
        <f ca="1">IFERROR(__xludf.DUMMYFUNCTION("""COMPUTED_VALUE"""),"liquify-network")</f>
        <v>liquify-network</v>
      </c>
      <c r="B7465" s="2" t="str">
        <f ca="1">IFERROR(__xludf.DUMMYFUNCTION("""COMPUTED_VALUE"""),"liquify")</f>
        <v>liquify</v>
      </c>
      <c r="C7465" s="2" t="str">
        <f ca="1">IFERROR(__xludf.DUMMYFUNCTION("""COMPUTED_VALUE"""),"Liquify Network")</f>
        <v>Liquify Network</v>
      </c>
    </row>
    <row r="7466" spans="1:3" x14ac:dyDescent="0.25">
      <c r="A7466" s="2" t="str">
        <f ca="1">IFERROR(__xludf.DUMMYFUNCTION("""COMPUTED_VALUE"""),"liquis")</f>
        <v>liquis</v>
      </c>
      <c r="B7466" s="2" t="str">
        <f ca="1">IFERROR(__xludf.DUMMYFUNCTION("""COMPUTED_VALUE"""),"liq")</f>
        <v>liq</v>
      </c>
      <c r="C7466" s="2" t="str">
        <f ca="1">IFERROR(__xludf.DUMMYFUNCTION("""COMPUTED_VALUE"""),"Liquis")</f>
        <v>Liquis</v>
      </c>
    </row>
    <row r="7467" spans="1:3" x14ac:dyDescent="0.25">
      <c r="A7467" s="2" t="str">
        <f ca="1">IFERROR(__xludf.DUMMYFUNCTION("""COMPUTED_VALUE"""),"liquity")</f>
        <v>liquity</v>
      </c>
      <c r="B7467" s="2" t="str">
        <f ca="1">IFERROR(__xludf.DUMMYFUNCTION("""COMPUTED_VALUE"""),"lqty")</f>
        <v>lqty</v>
      </c>
      <c r="C7467" s="2" t="str">
        <f ca="1">IFERROR(__xludf.DUMMYFUNCTION("""COMPUTED_VALUE"""),"Liquity")</f>
        <v>Liquity</v>
      </c>
    </row>
    <row r="7468" spans="1:3" x14ac:dyDescent="0.25">
      <c r="A7468" s="2" t="str">
        <f ca="1">IFERROR(__xludf.DUMMYFUNCTION("""COMPUTED_VALUE"""),"liquity-usd")</f>
        <v>liquity-usd</v>
      </c>
      <c r="B7468" s="2" t="str">
        <f ca="1">IFERROR(__xludf.DUMMYFUNCTION("""COMPUTED_VALUE"""),"lusd")</f>
        <v>lusd</v>
      </c>
      <c r="C7468" s="2" t="str">
        <f ca="1">IFERROR(__xludf.DUMMYFUNCTION("""COMPUTED_VALUE"""),"Liquity USD")</f>
        <v>Liquity USD</v>
      </c>
    </row>
    <row r="7469" spans="1:3" x14ac:dyDescent="0.25">
      <c r="A7469" s="2" t="str">
        <f ca="1">IFERROR(__xludf.DUMMYFUNCTION("""COMPUTED_VALUE"""),"liquor")</f>
        <v>liquor</v>
      </c>
      <c r="B7469" s="2" t="str">
        <f ca="1">IFERROR(__xludf.DUMMYFUNCTION("""COMPUTED_VALUE"""),"liq")</f>
        <v>liq</v>
      </c>
      <c r="C7469" s="2" t="str">
        <f ca="1">IFERROR(__xludf.DUMMYFUNCTION("""COMPUTED_VALUE"""),"Liquor")</f>
        <v>Liquor</v>
      </c>
    </row>
    <row r="7470" spans="1:3" x14ac:dyDescent="0.25">
      <c r="A7470" s="2" t="str">
        <f ca="1">IFERROR(__xludf.DUMMYFUNCTION("""COMPUTED_VALUE"""),"liqwid-finance")</f>
        <v>liqwid-finance</v>
      </c>
      <c r="B7470" s="2" t="str">
        <f ca="1">IFERROR(__xludf.DUMMYFUNCTION("""COMPUTED_VALUE"""),"lq")</f>
        <v>lq</v>
      </c>
      <c r="C7470" s="2" t="str">
        <f ca="1">IFERROR(__xludf.DUMMYFUNCTION("""COMPUTED_VALUE"""),"Liqwid Finance")</f>
        <v>Liqwid Finance</v>
      </c>
    </row>
    <row r="7471" spans="1:3" x14ac:dyDescent="0.25">
      <c r="A7471" s="2" t="str">
        <f ca="1">IFERROR(__xludf.DUMMYFUNCTION("""COMPUTED_VALUE"""),"lirat")</f>
        <v>lirat</v>
      </c>
      <c r="B7471" s="2" t="str">
        <f ca="1">IFERROR(__xludf.DUMMYFUNCTION("""COMPUTED_VALUE"""),"tryt")</f>
        <v>tryt</v>
      </c>
      <c r="C7471" s="2" t="str">
        <f ca="1">IFERROR(__xludf.DUMMYFUNCTION("""COMPUTED_VALUE"""),"LiraT")</f>
        <v>LiraT</v>
      </c>
    </row>
    <row r="7472" spans="1:3" x14ac:dyDescent="0.25">
      <c r="A7472" s="2" t="str">
        <f ca="1">IFERROR(__xludf.DUMMYFUNCTION("""COMPUTED_VALUE"""),"lisk")</f>
        <v>lisk</v>
      </c>
      <c r="B7472" s="2" t="str">
        <f ca="1">IFERROR(__xludf.DUMMYFUNCTION("""COMPUTED_VALUE"""),"lsk")</f>
        <v>lsk</v>
      </c>
      <c r="C7472" s="2" t="str">
        <f ca="1">IFERROR(__xludf.DUMMYFUNCTION("""COMPUTED_VALUE"""),"Lisk")</f>
        <v>Lisk</v>
      </c>
    </row>
    <row r="7473" spans="1:3" x14ac:dyDescent="0.25">
      <c r="A7473" s="2" t="str">
        <f ca="1">IFERROR(__xludf.DUMMYFUNCTION("""COMPUTED_VALUE"""),"lista")</f>
        <v>lista</v>
      </c>
      <c r="B7473" s="2" t="str">
        <f ca="1">IFERROR(__xludf.DUMMYFUNCTION("""COMPUTED_VALUE"""),"lista")</f>
        <v>lista</v>
      </c>
      <c r="C7473" s="2" t="str">
        <f ca="1">IFERROR(__xludf.DUMMYFUNCTION("""COMPUTED_VALUE"""),"Lista DAO")</f>
        <v>Lista DAO</v>
      </c>
    </row>
    <row r="7474" spans="1:3" x14ac:dyDescent="0.25">
      <c r="A7474" s="2" t="str">
        <f ca="1">IFERROR(__xludf.DUMMYFUNCTION("""COMPUTED_VALUE"""),"listr")</f>
        <v>listr</v>
      </c>
      <c r="B7474" s="2" t="str">
        <f ca="1">IFERROR(__xludf.DUMMYFUNCTION("""COMPUTED_VALUE"""),"listr")</f>
        <v>listr</v>
      </c>
      <c r="C7474" s="2" t="str">
        <f ca="1">IFERROR(__xludf.DUMMYFUNCTION("""COMPUTED_VALUE"""),"LISTR")</f>
        <v>LISTR</v>
      </c>
    </row>
    <row r="7475" spans="1:3" x14ac:dyDescent="0.25">
      <c r="A7475" s="2" t="str">
        <f ca="1">IFERROR(__xludf.DUMMYFUNCTION("""COMPUTED_VALUE"""),"lit")</f>
        <v>lit</v>
      </c>
      <c r="B7475" s="2" t="str">
        <f ca="1">IFERROR(__xludf.DUMMYFUNCTION("""COMPUTED_VALUE"""),"lit")</f>
        <v>lit</v>
      </c>
      <c r="C7475" s="2" t="str">
        <f ca="1">IFERROR(__xludf.DUMMYFUNCTION("""COMPUTED_VALUE"""),"LIT")</f>
        <v>LIT</v>
      </c>
    </row>
    <row r="7476" spans="1:3" x14ac:dyDescent="0.25">
      <c r="A7476" s="2" t="str">
        <f ca="1">IFERROR(__xludf.DUMMYFUNCTION("""COMPUTED_VALUE"""),"litcraft-fias")</f>
        <v>litcraft-fias</v>
      </c>
      <c r="B7476" s="2" t="str">
        <f ca="1">IFERROR(__xludf.DUMMYFUNCTION("""COMPUTED_VALUE"""),"fias")</f>
        <v>fias</v>
      </c>
      <c r="C7476" s="2" t="str">
        <f ca="1">IFERROR(__xludf.DUMMYFUNCTION("""COMPUTED_VALUE"""),"LitCraft FIAS")</f>
        <v>LitCraft FIAS</v>
      </c>
    </row>
    <row r="7477" spans="1:3" x14ac:dyDescent="0.25">
      <c r="A7477" s="2" t="str">
        <f ca="1">IFERROR(__xludf.DUMMYFUNCTION("""COMPUTED_VALUE"""),"lite")</f>
        <v>lite</v>
      </c>
      <c r="B7477" s="2" t="str">
        <f ca="1">IFERROR(__xludf.DUMMYFUNCTION("""COMPUTED_VALUE"""),"lite")</f>
        <v>lite</v>
      </c>
      <c r="C7477" s="2" t="str">
        <f ca="1">IFERROR(__xludf.DUMMYFUNCTION("""COMPUTED_VALUE"""),"LITE")</f>
        <v>LITE</v>
      </c>
    </row>
    <row r="7478" spans="1:3" x14ac:dyDescent="0.25">
      <c r="A7478" s="2" t="str">
        <f ca="1">IFERROR(__xludf.DUMMYFUNCTION("""COMPUTED_VALUE"""),"litecash")</f>
        <v>litecash</v>
      </c>
      <c r="B7478" s="2" t="str">
        <f ca="1">IFERROR(__xludf.DUMMYFUNCTION("""COMPUTED_VALUE"""),"cash")</f>
        <v>cash</v>
      </c>
      <c r="C7478" s="2" t="str">
        <f ca="1">IFERROR(__xludf.DUMMYFUNCTION("""COMPUTED_VALUE"""),"Litecash")</f>
        <v>Litecash</v>
      </c>
    </row>
    <row r="7479" spans="1:3" x14ac:dyDescent="0.25">
      <c r="A7479" s="2" t="str">
        <f ca="1">IFERROR(__xludf.DUMMYFUNCTION("""COMPUTED_VALUE"""),"litecoin")</f>
        <v>litecoin</v>
      </c>
      <c r="B7479" s="2" t="str">
        <f ca="1">IFERROR(__xludf.DUMMYFUNCTION("""COMPUTED_VALUE"""),"ltc")</f>
        <v>ltc</v>
      </c>
      <c r="C7479" s="2" t="str">
        <f ca="1">IFERROR(__xludf.DUMMYFUNCTION("""COMPUTED_VALUE"""),"Litecoin")</f>
        <v>Litecoin</v>
      </c>
    </row>
    <row r="7480" spans="1:3" x14ac:dyDescent="0.25">
      <c r="A7480" s="2" t="str">
        <f ca="1">IFERROR(__xludf.DUMMYFUNCTION("""COMPUTED_VALUE"""),"litecoin-cash")</f>
        <v>litecoin-cash</v>
      </c>
      <c r="B7480" s="2" t="str">
        <f ca="1">IFERROR(__xludf.DUMMYFUNCTION("""COMPUTED_VALUE"""),"lcc")</f>
        <v>lcc</v>
      </c>
      <c r="C7480" s="2" t="str">
        <f ca="1">IFERROR(__xludf.DUMMYFUNCTION("""COMPUTED_VALUE"""),"Litecoin Cash")</f>
        <v>Litecoin Cash</v>
      </c>
    </row>
    <row r="7481" spans="1:3" x14ac:dyDescent="0.25">
      <c r="A7481" s="2" t="str">
        <f ca="1">IFERROR(__xludf.DUMMYFUNCTION("""COMPUTED_VALUE"""),"litecoinz")</f>
        <v>litecoinz</v>
      </c>
      <c r="B7481" s="2" t="str">
        <f ca="1">IFERROR(__xludf.DUMMYFUNCTION("""COMPUTED_VALUE"""),"ltz")</f>
        <v>ltz</v>
      </c>
      <c r="C7481" s="2" t="str">
        <f ca="1">IFERROR(__xludf.DUMMYFUNCTION("""COMPUTED_VALUE"""),"LitecoinZ")</f>
        <v>LitecoinZ</v>
      </c>
    </row>
    <row r="7482" spans="1:3" x14ac:dyDescent="0.25">
      <c r="A7482" s="2" t="str">
        <f ca="1">IFERROR(__xludf.DUMMYFUNCTION("""COMPUTED_VALUE"""),"litedoge")</f>
        <v>litedoge</v>
      </c>
      <c r="B7482" s="2" t="str">
        <f ca="1">IFERROR(__xludf.DUMMYFUNCTION("""COMPUTED_VALUE"""),"ldoge")</f>
        <v>ldoge</v>
      </c>
      <c r="C7482" s="2" t="str">
        <f ca="1">IFERROR(__xludf.DUMMYFUNCTION("""COMPUTED_VALUE"""),"LiteDoge")</f>
        <v>LiteDoge</v>
      </c>
    </row>
    <row r="7483" spans="1:3" x14ac:dyDescent="0.25">
      <c r="A7483" s="2" t="str">
        <f ca="1">IFERROR(__xludf.DUMMYFUNCTION("""COMPUTED_VALUE"""),"litentry")</f>
        <v>litentry</v>
      </c>
      <c r="B7483" s="2" t="str">
        <f ca="1">IFERROR(__xludf.DUMMYFUNCTION("""COMPUTED_VALUE"""),"lit")</f>
        <v>lit</v>
      </c>
      <c r="C7483" s="2" t="str">
        <f ca="1">IFERROR(__xludf.DUMMYFUNCTION("""COMPUTED_VALUE"""),"Litentry")</f>
        <v>Litentry</v>
      </c>
    </row>
    <row r="7484" spans="1:3" x14ac:dyDescent="0.25">
      <c r="A7484" s="2" t="str">
        <f ca="1">IFERROR(__xludf.DUMMYFUNCTION("""COMPUTED_VALUE"""),"lithium-finance")</f>
        <v>lithium-finance</v>
      </c>
      <c r="B7484" s="2" t="str">
        <f ca="1">IFERROR(__xludf.DUMMYFUNCTION("""COMPUTED_VALUE"""),"lith")</f>
        <v>lith</v>
      </c>
      <c r="C7484" s="2" t="str">
        <f ca="1">IFERROR(__xludf.DUMMYFUNCTION("""COMPUTED_VALUE"""),"Lithium Finance")</f>
        <v>Lithium Finance</v>
      </c>
    </row>
    <row r="7485" spans="1:3" x14ac:dyDescent="0.25">
      <c r="A7485" s="2" t="str">
        <f ca="1">IFERROR(__xludf.DUMMYFUNCTION("""COMPUTED_VALUE"""),"lithium-ventures")</f>
        <v>lithium-ventures</v>
      </c>
      <c r="B7485" s="2" t="str">
        <f ca="1">IFERROR(__xludf.DUMMYFUNCTION("""COMPUTED_VALUE"""),"ions")</f>
        <v>ions</v>
      </c>
      <c r="C7485" s="2" t="str">
        <f ca="1">IFERROR(__xludf.DUMMYFUNCTION("""COMPUTED_VALUE"""),"Lithium Ventures")</f>
        <v>Lithium Ventures</v>
      </c>
    </row>
    <row r="7486" spans="1:3" x14ac:dyDescent="0.25">
      <c r="A7486" s="2" t="str">
        <f ca="1">IFERROR(__xludf.DUMMYFUNCTION("""COMPUTED_VALUE"""),"lithosphere")</f>
        <v>lithosphere</v>
      </c>
      <c r="B7486" s="2" t="str">
        <f ca="1">IFERROR(__xludf.DUMMYFUNCTION("""COMPUTED_VALUE"""),"litho")</f>
        <v>litho</v>
      </c>
      <c r="C7486" s="2" t="str">
        <f ca="1">IFERROR(__xludf.DUMMYFUNCTION("""COMPUTED_VALUE"""),"Lithosphere")</f>
        <v>Lithosphere</v>
      </c>
    </row>
    <row r="7487" spans="1:3" x14ac:dyDescent="0.25">
      <c r="A7487" s="2" t="str">
        <f ca="1">IFERROR(__xludf.DUMMYFUNCTION("""COMPUTED_VALUE"""),"litlab-games")</f>
        <v>litlab-games</v>
      </c>
      <c r="B7487" s="2" t="str">
        <f ca="1">IFERROR(__xludf.DUMMYFUNCTION("""COMPUTED_VALUE"""),"litt")</f>
        <v>litt</v>
      </c>
      <c r="C7487" s="2" t="str">
        <f ca="1">IFERROR(__xludf.DUMMYFUNCTION("""COMPUTED_VALUE"""),"LitLab Games")</f>
        <v>LitLab Games</v>
      </c>
    </row>
    <row r="7488" spans="1:3" x14ac:dyDescent="0.25">
      <c r="A7488" s="2" t="str">
        <f ca="1">IFERROR(__xludf.DUMMYFUNCTION("""COMPUTED_VALUE"""),"little-angry-bunny-v2")</f>
        <v>little-angry-bunny-v2</v>
      </c>
      <c r="B7488" s="2" t="str">
        <f ca="1">IFERROR(__xludf.DUMMYFUNCTION("""COMPUTED_VALUE"""),"lab-v2")</f>
        <v>lab-v2</v>
      </c>
      <c r="C7488" s="2" t="str">
        <f ca="1">IFERROR(__xludf.DUMMYFUNCTION("""COMPUTED_VALUE"""),"Little Angry Bunny v2")</f>
        <v>Little Angry Bunny v2</v>
      </c>
    </row>
    <row r="7489" spans="1:3" x14ac:dyDescent="0.25">
      <c r="A7489" s="2" t="str">
        <f ca="1">IFERROR(__xludf.DUMMYFUNCTION("""COMPUTED_VALUE"""),"little-bunny-rocket")</f>
        <v>little-bunny-rocket</v>
      </c>
      <c r="B7489" s="2" t="str">
        <f ca="1">IFERROR(__xludf.DUMMYFUNCTION("""COMPUTED_VALUE"""),"lbr")</f>
        <v>lbr</v>
      </c>
      <c r="C7489" s="2" t="str">
        <f ca="1">IFERROR(__xludf.DUMMYFUNCTION("""COMPUTED_VALUE"""),"Little Bunny Rocket")</f>
        <v>Little Bunny Rocket</v>
      </c>
    </row>
    <row r="7490" spans="1:3" x14ac:dyDescent="0.25">
      <c r="A7490" s="2" t="str">
        <f ca="1">IFERROR(__xludf.DUMMYFUNCTION("""COMPUTED_VALUE"""),"little-dragon")</f>
        <v>little-dragon</v>
      </c>
      <c r="B7490" s="2" t="str">
        <f ca="1">IFERROR(__xludf.DUMMYFUNCTION("""COMPUTED_VALUE"""),"1on8")</f>
        <v>1on8</v>
      </c>
      <c r="C7490" s="2" t="str">
        <f ca="1">IFERROR(__xludf.DUMMYFUNCTION("""COMPUTED_VALUE"""),"Little Dragon")</f>
        <v>Little Dragon</v>
      </c>
    </row>
    <row r="7491" spans="1:3" x14ac:dyDescent="0.25">
      <c r="A7491" s="2" t="str">
        <f ca="1">IFERROR(__xludf.DUMMYFUNCTION("""COMPUTED_VALUE"""),"littlemanyu")</f>
        <v>littlemanyu</v>
      </c>
      <c r="B7491" s="2" t="str">
        <f ca="1">IFERROR(__xludf.DUMMYFUNCTION("""COMPUTED_VALUE"""),"manyu")</f>
        <v>manyu</v>
      </c>
      <c r="C7491" s="2" t="str">
        <f ca="1">IFERROR(__xludf.DUMMYFUNCTION("""COMPUTED_VALUE"""),"littlemanyu")</f>
        <v>littlemanyu</v>
      </c>
    </row>
    <row r="7492" spans="1:3" x14ac:dyDescent="0.25">
      <c r="A7492" s="2" t="str">
        <f ca="1">IFERROR(__xludf.DUMMYFUNCTION("""COMPUTED_VALUE"""),"little-rabbit-v2")</f>
        <v>little-rabbit-v2</v>
      </c>
      <c r="B7492" s="2" t="str">
        <f ca="1">IFERROR(__xludf.DUMMYFUNCTION("""COMPUTED_VALUE"""),"ltrbt")</f>
        <v>ltrbt</v>
      </c>
      <c r="C7492" s="2" t="str">
        <f ca="1">IFERROR(__xludf.DUMMYFUNCTION("""COMPUTED_VALUE"""),"Little Rabbit V2")</f>
        <v>Little Rabbit V2</v>
      </c>
    </row>
    <row r="7493" spans="1:3" x14ac:dyDescent="0.25">
      <c r="A7493" s="2" t="str">
        <f ca="1">IFERROR(__xludf.DUMMYFUNCTION("""COMPUTED_VALUE"""),"little-ugly-duck")</f>
        <v>little-ugly-duck</v>
      </c>
      <c r="B7493" s="2" t="str">
        <f ca="1">IFERROR(__xludf.DUMMYFUNCTION("""COMPUTED_VALUE"""),"lud")</f>
        <v>lud</v>
      </c>
      <c r="C7493" s="2" t="str">
        <f ca="1">IFERROR(__xludf.DUMMYFUNCTION("""COMPUTED_VALUE"""),"Little Ugly Duck")</f>
        <v>Little Ugly Duck</v>
      </c>
    </row>
    <row r="7494" spans="1:3" x14ac:dyDescent="0.25">
      <c r="A7494" s="2" t="str">
        <f ca="1">IFERROR(__xludf.DUMMYFUNCTION("""COMPUTED_VALUE"""),"livegreen-coin")</f>
        <v>livegreen-coin</v>
      </c>
      <c r="B7494" s="2" t="str">
        <f ca="1">IFERROR(__xludf.DUMMYFUNCTION("""COMPUTED_VALUE"""),"lgc")</f>
        <v>lgc</v>
      </c>
      <c r="C7494" s="2" t="str">
        <f ca="1">IFERROR(__xludf.DUMMYFUNCTION("""COMPUTED_VALUE"""),"LiveGreen Coin")</f>
        <v>LiveGreen Coin</v>
      </c>
    </row>
    <row r="7495" spans="1:3" x14ac:dyDescent="0.25">
      <c r="A7495" s="2" t="str">
        <f ca="1">IFERROR(__xludf.DUMMYFUNCTION("""COMPUTED_VALUE"""),"livepeer")</f>
        <v>livepeer</v>
      </c>
      <c r="B7495" s="2" t="str">
        <f ca="1">IFERROR(__xludf.DUMMYFUNCTION("""COMPUTED_VALUE"""),"lpt")</f>
        <v>lpt</v>
      </c>
      <c r="C7495" s="2" t="str">
        <f ca="1">IFERROR(__xludf.DUMMYFUNCTION("""COMPUTED_VALUE"""),"Livepeer")</f>
        <v>Livepeer</v>
      </c>
    </row>
    <row r="7496" spans="1:3" x14ac:dyDescent="0.25">
      <c r="A7496" s="2" t="str">
        <f ca="1">IFERROR(__xludf.DUMMYFUNCTION("""COMPUTED_VALUE"""),"living-the-dream")</f>
        <v>living-the-dream</v>
      </c>
      <c r="B7496" s="2" t="str">
        <f ca="1">IFERROR(__xludf.DUMMYFUNCTION("""COMPUTED_VALUE"""),"ltd")</f>
        <v>ltd</v>
      </c>
      <c r="C7496" s="2" t="str">
        <f ca="1">IFERROR(__xludf.DUMMYFUNCTION("""COMPUTED_VALUE"""),"Living the Dream")</f>
        <v>Living the Dream</v>
      </c>
    </row>
    <row r="7497" spans="1:3" x14ac:dyDescent="0.25">
      <c r="A7497" s="2" t="str">
        <f ca="1">IFERROR(__xludf.DUMMYFUNCTION("""COMPUTED_VALUE"""),"liza-2")</f>
        <v>liza-2</v>
      </c>
      <c r="B7497" s="2" t="str">
        <f ca="1">IFERROR(__xludf.DUMMYFUNCTION("""COMPUTED_VALUE"""),"liza")</f>
        <v>liza</v>
      </c>
      <c r="C7497" s="2" t="str">
        <f ca="1">IFERROR(__xludf.DUMMYFUNCTION("""COMPUTED_VALUE"""),"LIZA")</f>
        <v>LIZA</v>
      </c>
    </row>
    <row r="7498" spans="1:3" x14ac:dyDescent="0.25">
      <c r="A7498" s="2" t="str">
        <f ca="1">IFERROR(__xludf.DUMMYFUNCTION("""COMPUTED_VALUE"""),"lizard")</f>
        <v>lizard</v>
      </c>
      <c r="B7498" s="2" t="str">
        <f ca="1">IFERROR(__xludf.DUMMYFUNCTION("""COMPUTED_VALUE"""),"lizard")</f>
        <v>lizard</v>
      </c>
      <c r="C7498" s="2" t="str">
        <f ca="1">IFERROR(__xludf.DUMMYFUNCTION("""COMPUTED_VALUE"""),"Lizard")</f>
        <v>Lizard</v>
      </c>
    </row>
    <row r="7499" spans="1:3" x14ac:dyDescent="0.25">
      <c r="A7499" s="2" t="str">
        <f ca="1">IFERROR(__xludf.DUMMYFUNCTION("""COMPUTED_VALUE"""),"llama")</f>
        <v>llama</v>
      </c>
      <c r="B7499" s="2" t="str">
        <f ca="1">IFERROR(__xludf.DUMMYFUNCTION("""COMPUTED_VALUE"""),"llama")</f>
        <v>llama</v>
      </c>
      <c r="C7499" s="2" t="str">
        <f ca="1">IFERROR(__xludf.DUMMYFUNCTION("""COMPUTED_VALUE"""),"Llama")</f>
        <v>Llama</v>
      </c>
    </row>
    <row r="7500" spans="1:3" x14ac:dyDescent="0.25">
      <c r="A7500" s="2" t="str">
        <f ca="1">IFERROR(__xludf.DUMMYFUNCTION("""COMPUTED_VALUE"""),"llm-eth")</f>
        <v>llm-eth</v>
      </c>
      <c r="B7500" s="2" t="str">
        <f ca="1">IFERROR(__xludf.DUMMYFUNCTION("""COMPUTED_VALUE"""),"llm")</f>
        <v>llm</v>
      </c>
      <c r="C7500" s="2" t="str">
        <f ca="1">IFERROR(__xludf.DUMMYFUNCTION("""COMPUTED_VALUE"""),"LLM.eth")</f>
        <v>LLM.eth</v>
      </c>
    </row>
    <row r="7501" spans="1:3" x14ac:dyDescent="0.25">
      <c r="A7501" s="2" t="str">
        <f ca="1">IFERROR(__xludf.DUMMYFUNCTION("""COMPUTED_VALUE"""),"lmeow")</f>
        <v>lmeow</v>
      </c>
      <c r="B7501" s="2" t="str">
        <f ca="1">IFERROR(__xludf.DUMMYFUNCTION("""COMPUTED_VALUE"""),"lmeow")</f>
        <v>lmeow</v>
      </c>
      <c r="C7501" s="2" t="str">
        <f ca="1">IFERROR(__xludf.DUMMYFUNCTION("""COMPUTED_VALUE"""),"lmeow")</f>
        <v>lmeow</v>
      </c>
    </row>
    <row r="7502" spans="1:3" x14ac:dyDescent="0.25">
      <c r="A7502" s="2" t="str">
        <f ca="1">IFERROR(__xludf.DUMMYFUNCTION("""COMPUTED_VALUE"""),"lmeow-2")</f>
        <v>lmeow-2</v>
      </c>
      <c r="B7502" s="2" t="str">
        <f ca="1">IFERROR(__xludf.DUMMYFUNCTION("""COMPUTED_VALUE"""),"lmeow")</f>
        <v>lmeow</v>
      </c>
      <c r="C7502" s="2" t="str">
        <f ca="1">IFERROR(__xludf.DUMMYFUNCTION("""COMPUTED_VALUE"""),"lmeow")</f>
        <v>lmeow</v>
      </c>
    </row>
    <row r="7503" spans="1:3" x14ac:dyDescent="0.25">
      <c r="A7503" s="2" t="str">
        <f ca="1">IFERROR(__xludf.DUMMYFUNCTION("""COMPUTED_VALUE"""),"lndry")</f>
        <v>lndry</v>
      </c>
      <c r="B7503" s="2" t="str">
        <f ca="1">IFERROR(__xludf.DUMMYFUNCTION("""COMPUTED_VALUE"""),"lndry")</f>
        <v>lndry</v>
      </c>
      <c r="C7503" s="2" t="str">
        <f ca="1">IFERROR(__xludf.DUMMYFUNCTION("""COMPUTED_VALUE"""),"LNDRY")</f>
        <v>LNDRY</v>
      </c>
    </row>
    <row r="7504" spans="1:3" x14ac:dyDescent="0.25">
      <c r="A7504" s="2" t="str">
        <f ca="1">IFERROR(__xludf.DUMMYFUNCTION("""COMPUTED_VALUE"""),"loafcat")</f>
        <v>loafcat</v>
      </c>
      <c r="B7504" s="2" t="str">
        <f ca="1">IFERROR(__xludf.DUMMYFUNCTION("""COMPUTED_VALUE"""),"loafcat")</f>
        <v>loafcat</v>
      </c>
      <c r="C7504" s="2" t="str">
        <f ca="1">IFERROR(__xludf.DUMMYFUNCTION("""COMPUTED_VALUE"""),"LOAFCAT")</f>
        <v>LOAFCAT</v>
      </c>
    </row>
    <row r="7505" spans="1:3" x14ac:dyDescent="0.25">
      <c r="A7505" s="2" t="str">
        <f ca="1">IFERROR(__xludf.DUMMYFUNCTION("""COMPUTED_VALUE"""),"loaf-cat")</f>
        <v>loaf-cat</v>
      </c>
      <c r="B7505" s="2" t="str">
        <f ca="1">IFERROR(__xludf.DUMMYFUNCTION("""COMPUTED_VALUE"""),"loaf")</f>
        <v>loaf</v>
      </c>
      <c r="C7505" s="2" t="str">
        <f ca="1">IFERROR(__xludf.DUMMYFUNCTION("""COMPUTED_VALUE"""),"LOAF CAT")</f>
        <v>LOAF CAT</v>
      </c>
    </row>
    <row r="7506" spans="1:3" x14ac:dyDescent="0.25">
      <c r="A7506" s="2" t="str">
        <f ca="1">IFERROR(__xludf.DUMMYFUNCTION("""COMPUTED_VALUE"""),"loaf-token")</f>
        <v>loaf-token</v>
      </c>
      <c r="B7506" s="2" t="str">
        <f ca="1">IFERROR(__xludf.DUMMYFUNCTION("""COMPUTED_VALUE"""),"loaf")</f>
        <v>loaf</v>
      </c>
      <c r="C7506" s="2" t="str">
        <f ca="1">IFERROR(__xludf.DUMMYFUNCTION("""COMPUTED_VALUE"""),"Loaf Token")</f>
        <v>Loaf Token</v>
      </c>
    </row>
    <row r="7507" spans="1:3" x14ac:dyDescent="0.25">
      <c r="A7507" s="2" t="str">
        <f ca="1">IFERROR(__xludf.DUMMYFUNCTION("""COMPUTED_VALUE"""),"lobo")</f>
        <v>lobo</v>
      </c>
      <c r="B7507" s="2" t="str">
        <f ca="1">IFERROR(__xludf.DUMMYFUNCTION("""COMPUTED_VALUE"""),"lobo")</f>
        <v>lobo</v>
      </c>
      <c r="C7507" s="2" t="str">
        <f ca="1">IFERROR(__xludf.DUMMYFUNCTION("""COMPUTED_VALUE"""),"LOBO")</f>
        <v>LOBO</v>
      </c>
    </row>
    <row r="7508" spans="1:3" x14ac:dyDescent="0.25">
      <c r="A7508" s="2" t="str">
        <f ca="1">IFERROR(__xludf.DUMMYFUNCTION("""COMPUTED_VALUE"""),"lobo-the-wolf-pup-runes")</f>
        <v>lobo-the-wolf-pup-runes</v>
      </c>
      <c r="B7508" s="2" t="str">
        <f ca="1">IFERROR(__xludf.DUMMYFUNCTION("""COMPUTED_VALUE"""),"lobo")</f>
        <v>lobo</v>
      </c>
      <c r="C7508" s="2" t="str">
        <f ca="1">IFERROR(__xludf.DUMMYFUNCTION("""COMPUTED_VALUE"""),"LOBO•THE•WOLF•PUP")</f>
        <v>LOBO•THE•WOLF•PUP</v>
      </c>
    </row>
    <row r="7509" spans="1:3" x14ac:dyDescent="0.25">
      <c r="A7509" s="2" t="str">
        <f ca="1">IFERROR(__xludf.DUMMYFUNCTION("""COMPUTED_VALUE"""),"lobster")</f>
        <v>lobster</v>
      </c>
      <c r="B7509" s="2" t="str">
        <f ca="1">IFERROR(__xludf.DUMMYFUNCTION("""COMPUTED_VALUE"""),"$lobster")</f>
        <v>$lobster</v>
      </c>
      <c r="C7509" s="2" t="str">
        <f ca="1">IFERROR(__xludf.DUMMYFUNCTION("""COMPUTED_VALUE"""),"LOBSTER")</f>
        <v>LOBSTER</v>
      </c>
    </row>
    <row r="7510" spans="1:3" x14ac:dyDescent="0.25">
      <c r="A7510" s="2" t="str">
        <f ca="1">IFERROR(__xludf.DUMMYFUNCTION("""COMPUTED_VALUE"""),"localcoinswap")</f>
        <v>localcoinswap</v>
      </c>
      <c r="B7510" s="2" t="str">
        <f ca="1">IFERROR(__xludf.DUMMYFUNCTION("""COMPUTED_VALUE"""),"lcs")</f>
        <v>lcs</v>
      </c>
      <c r="C7510" s="2" t="str">
        <f ca="1">IFERROR(__xludf.DUMMYFUNCTION("""COMPUTED_VALUE"""),"LocalCoinSwap")</f>
        <v>LocalCoinSwap</v>
      </c>
    </row>
    <row r="7511" spans="1:3" x14ac:dyDescent="0.25">
      <c r="A7511" s="2" t="str">
        <f ca="1">IFERROR(__xludf.DUMMYFUNCTION("""COMPUTED_VALUE"""),"local-money")</f>
        <v>local-money</v>
      </c>
      <c r="B7511" s="2" t="str">
        <f ca="1">IFERROR(__xludf.DUMMYFUNCTION("""COMPUTED_VALUE"""),"local")</f>
        <v>local</v>
      </c>
      <c r="C7511" s="2" t="str">
        <f ca="1">IFERROR(__xludf.DUMMYFUNCTION("""COMPUTED_VALUE"""),"Local Money")</f>
        <v>Local Money</v>
      </c>
    </row>
    <row r="7512" spans="1:3" x14ac:dyDescent="0.25">
      <c r="A7512" s="2" t="str">
        <f ca="1">IFERROR(__xludf.DUMMYFUNCTION("""COMPUTED_VALUE"""),"localtrade")</f>
        <v>localtrade</v>
      </c>
      <c r="B7512" s="2" t="str">
        <f ca="1">IFERROR(__xludf.DUMMYFUNCTION("""COMPUTED_VALUE"""),"ltt")</f>
        <v>ltt</v>
      </c>
      <c r="C7512" s="2" t="str">
        <f ca="1">IFERROR(__xludf.DUMMYFUNCTION("""COMPUTED_VALUE"""),"LocalTrade")</f>
        <v>LocalTrade</v>
      </c>
    </row>
    <row r="7513" spans="1:3" x14ac:dyDescent="0.25">
      <c r="A7513" s="2" t="str">
        <f ca="1">IFERROR(__xludf.DUMMYFUNCTION("""COMPUTED_VALUE"""),"locgame")</f>
        <v>locgame</v>
      </c>
      <c r="B7513" s="2" t="str">
        <f ca="1">IFERROR(__xludf.DUMMYFUNCTION("""COMPUTED_VALUE"""),"$locg")</f>
        <v>$locg</v>
      </c>
      <c r="C7513" s="2" t="str">
        <f ca="1">IFERROR(__xludf.DUMMYFUNCTION("""COMPUTED_VALUE"""),"LOCG")</f>
        <v>LOCG</v>
      </c>
    </row>
    <row r="7514" spans="1:3" x14ac:dyDescent="0.25">
      <c r="A7514" s="2" t="str">
        <f ca="1">IFERROR(__xludf.DUMMYFUNCTION("""COMPUTED_VALUE"""),"lockchain")</f>
        <v>lockchain</v>
      </c>
      <c r="B7514" s="2" t="str">
        <f ca="1">IFERROR(__xludf.DUMMYFUNCTION("""COMPUTED_VALUE"""),"loc")</f>
        <v>loc</v>
      </c>
      <c r="C7514" s="2" t="str">
        <f ca="1">IFERROR(__xludf.DUMMYFUNCTION("""COMPUTED_VALUE"""),"LockTrip")</f>
        <v>LockTrip</v>
      </c>
    </row>
    <row r="7515" spans="1:3" x14ac:dyDescent="0.25">
      <c r="A7515" s="2" t="str">
        <f ca="1">IFERROR(__xludf.DUMMYFUNCTION("""COMPUTED_VALUE"""),"lockheed-martin-inu")</f>
        <v>lockheed-martin-inu</v>
      </c>
      <c r="B7515" s="2" t="str">
        <f ca="1">IFERROR(__xludf.DUMMYFUNCTION("""COMPUTED_VALUE"""),"lmi")</f>
        <v>lmi</v>
      </c>
      <c r="C7515" s="2" t="str">
        <f ca="1">IFERROR(__xludf.DUMMYFUNCTION("""COMPUTED_VALUE"""),"Lockheed Martin Inu")</f>
        <v>Lockheed Martin Inu</v>
      </c>
    </row>
    <row r="7516" spans="1:3" x14ac:dyDescent="0.25">
      <c r="A7516" s="2" t="str">
        <f ca="1">IFERROR(__xludf.DUMMYFUNCTION("""COMPUTED_VALUE"""),"lock-in")</f>
        <v>lock-in</v>
      </c>
      <c r="B7516" s="2" t="str">
        <f ca="1">IFERROR(__xludf.DUMMYFUNCTION("""COMPUTED_VALUE"""),"lockin")</f>
        <v>lockin</v>
      </c>
      <c r="C7516" s="2" t="str">
        <f ca="1">IFERROR(__xludf.DUMMYFUNCTION("""COMPUTED_VALUE"""),"LOCK IN")</f>
        <v>LOCK IN</v>
      </c>
    </row>
    <row r="7517" spans="1:3" x14ac:dyDescent="0.25">
      <c r="A7517" s="2" t="str">
        <f ca="1">IFERROR(__xludf.DUMMYFUNCTION("""COMPUTED_VALUE"""),"lockness")</f>
        <v>lockness</v>
      </c>
      <c r="B7517" s="2" t="str">
        <f ca="1">IFERROR(__xludf.DUMMYFUNCTION("""COMPUTED_VALUE"""),"lkn")</f>
        <v>lkn</v>
      </c>
      <c r="C7517" s="2" t="str">
        <f ca="1">IFERROR(__xludf.DUMMYFUNCTION("""COMPUTED_VALUE"""),"Lockness")</f>
        <v>Lockness</v>
      </c>
    </row>
    <row r="7518" spans="1:3" x14ac:dyDescent="0.25">
      <c r="A7518" s="2" t="str">
        <f ca="1">IFERROR(__xludf.DUMMYFUNCTION("""COMPUTED_VALUE"""),"lockon-active-index")</f>
        <v>lockon-active-index</v>
      </c>
      <c r="B7518" s="2" t="str">
        <f ca="1">IFERROR(__xludf.DUMMYFUNCTION("""COMPUTED_VALUE"""),"lai")</f>
        <v>lai</v>
      </c>
      <c r="C7518" s="2" t="str">
        <f ca="1">IFERROR(__xludf.DUMMYFUNCTION("""COMPUTED_VALUE"""),"LOCKON Active Index")</f>
        <v>LOCKON Active Index</v>
      </c>
    </row>
    <row r="7519" spans="1:3" x14ac:dyDescent="0.25">
      <c r="A7519" s="2" t="str">
        <f ca="1">IFERROR(__xludf.DUMMYFUNCTION("""COMPUTED_VALUE"""),"lockon-passive-index")</f>
        <v>lockon-passive-index</v>
      </c>
      <c r="B7519" s="2" t="str">
        <f ca="1">IFERROR(__xludf.DUMMYFUNCTION("""COMPUTED_VALUE"""),"lpi")</f>
        <v>lpi</v>
      </c>
      <c r="C7519" s="2" t="str">
        <f ca="1">IFERROR(__xludf.DUMMYFUNCTION("""COMPUTED_VALUE"""),"LOCKON Passive Index")</f>
        <v>LOCKON Passive Index</v>
      </c>
    </row>
    <row r="7520" spans="1:3" x14ac:dyDescent="0.25">
      <c r="A7520" s="2" t="str">
        <f ca="1">IFERROR(__xludf.DUMMYFUNCTION("""COMPUTED_VALUE"""),"locus-chain")</f>
        <v>locus-chain</v>
      </c>
      <c r="B7520" s="2" t="str">
        <f ca="1">IFERROR(__xludf.DUMMYFUNCTION("""COMPUTED_VALUE"""),"locus")</f>
        <v>locus</v>
      </c>
      <c r="C7520" s="2" t="str">
        <f ca="1">IFERROR(__xludf.DUMMYFUNCTION("""COMPUTED_VALUE"""),"Locus Chain")</f>
        <v>Locus Chain</v>
      </c>
    </row>
    <row r="7521" spans="1:3" x14ac:dyDescent="0.25">
      <c r="A7521" s="2" t="str">
        <f ca="1">IFERROR(__xludf.DUMMYFUNCTION("""COMPUTED_VALUE"""),"locus-finance")</f>
        <v>locus-finance</v>
      </c>
      <c r="B7521" s="2" t="str">
        <f ca="1">IFERROR(__xludf.DUMMYFUNCTION("""COMPUTED_VALUE"""),"locus")</f>
        <v>locus</v>
      </c>
      <c r="C7521" s="2" t="str">
        <f ca="1">IFERROR(__xludf.DUMMYFUNCTION("""COMPUTED_VALUE"""),"Locus Finance")</f>
        <v>Locus Finance</v>
      </c>
    </row>
    <row r="7522" spans="1:3" x14ac:dyDescent="0.25">
      <c r="A7522" s="2" t="str">
        <f ca="1">IFERROR(__xludf.DUMMYFUNCTION("""COMPUTED_VALUE"""),"locust-pocus")</f>
        <v>locust-pocus</v>
      </c>
      <c r="B7522" s="2" t="str">
        <f ca="1">IFERROR(__xludf.DUMMYFUNCTION("""COMPUTED_VALUE"""),"cicada")</f>
        <v>cicada</v>
      </c>
      <c r="C7522" s="2" t="str">
        <f ca="1">IFERROR(__xludf.DUMMYFUNCTION("""COMPUTED_VALUE"""),"Locust Pocus")</f>
        <v>Locust Pocus</v>
      </c>
    </row>
    <row r="7523" spans="1:3" x14ac:dyDescent="0.25">
      <c r="A7523" s="2" t="str">
        <f ca="1">IFERROR(__xludf.DUMMYFUNCTION("""COMPUTED_VALUE"""),"lodestar")</f>
        <v>lodestar</v>
      </c>
      <c r="B7523" s="2" t="str">
        <f ca="1">IFERROR(__xludf.DUMMYFUNCTION("""COMPUTED_VALUE"""),"lode")</f>
        <v>lode</v>
      </c>
      <c r="C7523" s="2" t="str">
        <f ca="1">IFERROR(__xludf.DUMMYFUNCTION("""COMPUTED_VALUE"""),"Lodestar")</f>
        <v>Lodestar</v>
      </c>
    </row>
    <row r="7524" spans="1:3" x14ac:dyDescent="0.25">
      <c r="A7524" s="2" t="str">
        <f ca="1">IFERROR(__xludf.DUMMYFUNCTION("""COMPUTED_VALUE"""),"lode-token")</f>
        <v>lode-token</v>
      </c>
      <c r="B7524" s="2" t="str">
        <f ca="1">IFERROR(__xludf.DUMMYFUNCTION("""COMPUTED_VALUE"""),"lode")</f>
        <v>lode</v>
      </c>
      <c r="C7524" s="2" t="str">
        <f ca="1">IFERROR(__xludf.DUMMYFUNCTION("""COMPUTED_VALUE"""),"LODE Token")</f>
        <v>LODE Token</v>
      </c>
    </row>
    <row r="7525" spans="1:3" x14ac:dyDescent="0.25">
      <c r="A7525" s="2" t="str">
        <f ca="1">IFERROR(__xludf.DUMMYFUNCTION("""COMPUTED_VALUE"""),"logarithm-games")</f>
        <v>logarithm-games</v>
      </c>
      <c r="B7525" s="2" t="str">
        <f ca="1">IFERROR(__xludf.DUMMYFUNCTION("""COMPUTED_VALUE"""),"logg")</f>
        <v>logg</v>
      </c>
      <c r="C7525" s="2" t="str">
        <f ca="1">IFERROR(__xludf.DUMMYFUNCTION("""COMPUTED_VALUE"""),"Logarithm games")</f>
        <v>Logarithm games</v>
      </c>
    </row>
    <row r="7526" spans="1:3" x14ac:dyDescent="0.25">
      <c r="A7526" s="2" t="str">
        <f ca="1">IFERROR(__xludf.DUMMYFUNCTION("""COMPUTED_VALUE"""),"logx")</f>
        <v>logx</v>
      </c>
      <c r="B7526" s="2" t="str">
        <f ca="1">IFERROR(__xludf.DUMMYFUNCTION("""COMPUTED_VALUE"""),"logx")</f>
        <v>logx</v>
      </c>
      <c r="C7526" s="2" t="str">
        <f ca="1">IFERROR(__xludf.DUMMYFUNCTION("""COMPUTED_VALUE"""),"Legacy Of Game")</f>
        <v>Legacy Of Game</v>
      </c>
    </row>
    <row r="7527" spans="1:3" x14ac:dyDescent="0.25">
      <c r="A7527" s="2" t="str">
        <f ca="1">IFERROR(__xludf.DUMMYFUNCTION("""COMPUTED_VALUE"""),"logx-2")</f>
        <v>logx-2</v>
      </c>
      <c r="B7527" s="2" t="str">
        <f ca="1">IFERROR(__xludf.DUMMYFUNCTION("""COMPUTED_VALUE"""),"logx")</f>
        <v>logx</v>
      </c>
      <c r="C7527" s="2" t="str">
        <f ca="1">IFERROR(__xludf.DUMMYFUNCTION("""COMPUTED_VALUE"""),"LogX Network")</f>
        <v>LogX Network</v>
      </c>
    </row>
    <row r="7528" spans="1:3" x14ac:dyDescent="0.25">
      <c r="A7528" s="2" t="str">
        <f ca="1">IFERROR(__xludf.DUMMYFUNCTION("""COMPUTED_VALUE"""),"loki-network")</f>
        <v>loki-network</v>
      </c>
      <c r="B7528" s="2" t="str">
        <f ca="1">IFERROR(__xludf.DUMMYFUNCTION("""COMPUTED_VALUE"""),"oxen")</f>
        <v>oxen</v>
      </c>
      <c r="C7528" s="2" t="str">
        <f ca="1">IFERROR(__xludf.DUMMYFUNCTION("""COMPUTED_VALUE"""),"Oxen")</f>
        <v>Oxen</v>
      </c>
    </row>
    <row r="7529" spans="1:3" x14ac:dyDescent="0.25">
      <c r="A7529" s="2" t="str">
        <f ca="1">IFERROR(__xludf.DUMMYFUNCTION("""COMPUTED_VALUE"""),"lokr")</f>
        <v>lokr</v>
      </c>
      <c r="B7529" s="2" t="str">
        <f ca="1">IFERROR(__xludf.DUMMYFUNCTION("""COMPUTED_VALUE"""),"lkr")</f>
        <v>lkr</v>
      </c>
      <c r="C7529" s="2" t="str">
        <f ca="1">IFERROR(__xludf.DUMMYFUNCTION("""COMPUTED_VALUE"""),"Lokr")</f>
        <v>Lokr</v>
      </c>
    </row>
    <row r="7530" spans="1:3" x14ac:dyDescent="0.25">
      <c r="A7530" s="2" t="str">
        <f ca="1">IFERROR(__xludf.DUMMYFUNCTION("""COMPUTED_VALUE"""),"lol-2")</f>
        <v>lol-2</v>
      </c>
      <c r="B7530" s="2" t="str">
        <f ca="1">IFERROR(__xludf.DUMMYFUNCTION("""COMPUTED_VALUE"""),"lol")</f>
        <v>lol</v>
      </c>
      <c r="C7530" s="2" t="str">
        <f ca="1">IFERROR(__xludf.DUMMYFUNCTION("""COMPUTED_VALUE"""),"LOL")</f>
        <v>LOL</v>
      </c>
    </row>
    <row r="7531" spans="1:3" x14ac:dyDescent="0.25">
      <c r="A7531" s="2" t="str">
        <f ca="1">IFERROR(__xludf.DUMMYFUNCTION("""COMPUTED_VALUE"""),"lol-3")</f>
        <v>lol-3</v>
      </c>
      <c r="B7531" s="2" t="str">
        <f ca="1">IFERROR(__xludf.DUMMYFUNCTION("""COMPUTED_VALUE"""),"lol")</f>
        <v>lol</v>
      </c>
      <c r="C7531" s="2" t="str">
        <f ca="1">IFERROR(__xludf.DUMMYFUNCTION("""COMPUTED_VALUE"""),"LOL")</f>
        <v>LOL</v>
      </c>
    </row>
    <row r="7532" spans="1:3" x14ac:dyDescent="0.25">
      <c r="A7532" s="2" t="str">
        <f ca="1">IFERROR(__xludf.DUMMYFUNCTION("""COMPUTED_VALUE"""),"lola")</f>
        <v>lola</v>
      </c>
      <c r="B7532" s="2" t="str">
        <f ca="1">IFERROR(__xludf.DUMMYFUNCTION("""COMPUTED_VALUE"""),"lola")</f>
        <v>lola</v>
      </c>
      <c r="C7532" s="2" t="str">
        <f ca="1">IFERROR(__xludf.DUMMYFUNCTION("""COMPUTED_VALUE"""),"LOLA")</f>
        <v>LOLA</v>
      </c>
    </row>
    <row r="7533" spans="1:3" x14ac:dyDescent="0.25">
      <c r="A7533" s="2" t="str">
        <f ca="1">IFERROR(__xludf.DUMMYFUNCTION("""COMPUTED_VALUE"""),"lola-2")</f>
        <v>lola-2</v>
      </c>
      <c r="B7533" s="2" t="str">
        <f ca="1">IFERROR(__xludf.DUMMYFUNCTION("""COMPUTED_VALUE"""),"lola")</f>
        <v>lola</v>
      </c>
      <c r="C7533" s="2" t="str">
        <f ca="1">IFERROR(__xludf.DUMMYFUNCTION("""COMPUTED_VALUE"""),"Lola")</f>
        <v>Lola</v>
      </c>
    </row>
    <row r="7534" spans="1:3" x14ac:dyDescent="0.25">
      <c r="A7534" s="2" t="str">
        <f ca="1">IFERROR(__xludf.DUMMYFUNCTION("""COMPUTED_VALUE"""),"lola-cat")</f>
        <v>lola-cat</v>
      </c>
      <c r="B7534" s="2" t="str">
        <f ca="1">IFERROR(__xludf.DUMMYFUNCTION("""COMPUTED_VALUE"""),"$lola")</f>
        <v>$lola</v>
      </c>
      <c r="C7534" s="2" t="str">
        <f ca="1">IFERROR(__xludf.DUMMYFUNCTION("""COMPUTED_VALUE"""),"Lola Cat")</f>
        <v>Lola Cat</v>
      </c>
    </row>
    <row r="7535" spans="1:3" x14ac:dyDescent="0.25">
      <c r="A7535" s="2" t="str">
        <f ca="1">IFERROR(__xludf.DUMMYFUNCTION("""COMPUTED_VALUE"""),"lolcat")</f>
        <v>lolcat</v>
      </c>
      <c r="B7535" s="2" t="str">
        <f ca="1">IFERROR(__xludf.DUMMYFUNCTION("""COMPUTED_VALUE"""),"cats")</f>
        <v>cats</v>
      </c>
      <c r="C7535" s="2" t="str">
        <f ca="1">IFERROR(__xludf.DUMMYFUNCTION("""COMPUTED_VALUE"""),"Lolcat")</f>
        <v>Lolcat</v>
      </c>
    </row>
    <row r="7536" spans="1:3" x14ac:dyDescent="0.25">
      <c r="A7536" s="2" t="str">
        <f ca="1">IFERROR(__xludf.DUMMYFUNCTION("""COMPUTED_VALUE"""),"lolik-staked-ftn")</f>
        <v>lolik-staked-ftn</v>
      </c>
      <c r="B7536" s="2" t="str">
        <f ca="1">IFERROR(__xludf.DUMMYFUNCTION("""COMPUTED_VALUE"""),"stftn")</f>
        <v>stftn</v>
      </c>
      <c r="C7536" s="2" t="str">
        <f ca="1">IFERROR(__xludf.DUMMYFUNCTION("""COMPUTED_VALUE"""),"Lolik Staked FTN")</f>
        <v>Lolik Staked FTN</v>
      </c>
    </row>
    <row r="7537" spans="1:3" x14ac:dyDescent="0.25">
      <c r="A7537" s="2" t="str">
        <f ca="1">IFERROR(__xludf.DUMMYFUNCTION("""COMPUTED_VALUE"""),"lollybomb")</f>
        <v>lollybomb</v>
      </c>
      <c r="B7537" s="2" t="str">
        <f ca="1">IFERROR(__xludf.DUMMYFUNCTION("""COMPUTED_VALUE"""),"bomb")</f>
        <v>bomb</v>
      </c>
      <c r="C7537" s="2" t="str">
        <f ca="1">IFERROR(__xludf.DUMMYFUNCTION("""COMPUTED_VALUE"""),"LollyBomb")</f>
        <v>LollyBomb</v>
      </c>
    </row>
    <row r="7538" spans="1:3" x14ac:dyDescent="0.25">
      <c r="A7538" s="2" t="str">
        <f ca="1">IFERROR(__xludf.DUMMYFUNCTION("""COMPUTED_VALUE"""),"lombard-staked-btc")</f>
        <v>lombard-staked-btc</v>
      </c>
      <c r="B7538" s="2" t="str">
        <f ca="1">IFERROR(__xludf.DUMMYFUNCTION("""COMPUTED_VALUE"""),"lbtc")</f>
        <v>lbtc</v>
      </c>
      <c r="C7538" s="2" t="str">
        <f ca="1">IFERROR(__xludf.DUMMYFUNCTION("""COMPUTED_VALUE"""),"Lombard Staked BTC")</f>
        <v>Lombard Staked BTC</v>
      </c>
    </row>
    <row r="7539" spans="1:3" x14ac:dyDescent="0.25">
      <c r="A7539" s="2" t="str">
        <f ca="1">IFERROR(__xludf.DUMMYFUNCTION("""COMPUTED_VALUE"""),"londononsol")</f>
        <v>londononsol</v>
      </c>
      <c r="B7539" s="2" t="str">
        <f ca="1">IFERROR(__xludf.DUMMYFUNCTION("""COMPUTED_VALUE"""),"london")</f>
        <v>london</v>
      </c>
      <c r="C7539" s="2" t="str">
        <f ca="1">IFERROR(__xludf.DUMMYFUNCTION("""COMPUTED_VALUE"""),"LondonOnSol")</f>
        <v>LondonOnSol</v>
      </c>
    </row>
    <row r="7540" spans="1:3" x14ac:dyDescent="0.25">
      <c r="A7540" s="2" t="str">
        <f ca="1">IFERROR(__xludf.DUMMYFUNCTION("""COMPUTED_VALUE"""),"lonelyfans")</f>
        <v>lonelyfans</v>
      </c>
      <c r="B7540" s="2" t="str">
        <f ca="1">IFERROR(__xludf.DUMMYFUNCTION("""COMPUTED_VALUE"""),"lof")</f>
        <v>lof</v>
      </c>
      <c r="C7540" s="2" t="str">
        <f ca="1">IFERROR(__xludf.DUMMYFUNCTION("""COMPUTED_VALUE"""),"LonelyFans")</f>
        <v>LonelyFans</v>
      </c>
    </row>
    <row r="7541" spans="1:3" x14ac:dyDescent="0.25">
      <c r="A7541" s="2" t="str">
        <f ca="1">IFERROR(__xludf.DUMMYFUNCTION("""COMPUTED_VALUE"""),"long")</f>
        <v>long</v>
      </c>
      <c r="B7541" s="2" t="str">
        <f ca="1">IFERROR(__xludf.DUMMYFUNCTION("""COMPUTED_VALUE"""),"long")</f>
        <v>long</v>
      </c>
      <c r="C7541" s="2" t="str">
        <f ca="1">IFERROR(__xludf.DUMMYFUNCTION("""COMPUTED_VALUE"""),"LOONG")</f>
        <v>LOONG</v>
      </c>
    </row>
    <row r="7542" spans="1:3" x14ac:dyDescent="0.25">
      <c r="A7542" s="2" t="str">
        <f ca="1">IFERROR(__xludf.DUMMYFUNCTION("""COMPUTED_VALUE"""),"long-2")</f>
        <v>long-2</v>
      </c>
      <c r="B7542" s="2" t="str">
        <f ca="1">IFERROR(__xludf.DUMMYFUNCTION("""COMPUTED_VALUE"""),"long")</f>
        <v>long</v>
      </c>
      <c r="C7542" s="2" t="str">
        <f ca="1">IFERROR(__xludf.DUMMYFUNCTION("""COMPUTED_VALUE"""),"Long 龙")</f>
        <v>Long 龙</v>
      </c>
    </row>
    <row r="7543" spans="1:3" x14ac:dyDescent="0.25">
      <c r="A7543" s="2" t="str">
        <f ca="1">IFERROR(__xludf.DUMMYFUNCTION("""COMPUTED_VALUE"""),"long-3")</f>
        <v>long-3</v>
      </c>
      <c r="B7543" s="2" t="str">
        <f ca="1">IFERROR(__xludf.DUMMYFUNCTION("""COMPUTED_VALUE"""),"long")</f>
        <v>long</v>
      </c>
      <c r="C7543" s="2" t="str">
        <f ca="1">IFERROR(__xludf.DUMMYFUNCTION("""COMPUTED_VALUE"""),"Long")</f>
        <v>Long</v>
      </c>
    </row>
    <row r="7544" spans="1:3" x14ac:dyDescent="0.25">
      <c r="A7544" s="2" t="str">
        <f ca="1">IFERROR(__xludf.DUMMYFUNCTION("""COMPUTED_VALUE"""),"long-bitcoin")</f>
        <v>long-bitcoin</v>
      </c>
      <c r="B7544" s="2" t="str">
        <f ca="1">IFERROR(__xludf.DUMMYFUNCTION("""COMPUTED_VALUE"""),"long")</f>
        <v>long</v>
      </c>
      <c r="C7544" s="2" t="str">
        <f ca="1">IFERROR(__xludf.DUMMYFUNCTION("""COMPUTED_VALUE"""),"Long Bitcoin")</f>
        <v>Long Bitcoin</v>
      </c>
    </row>
    <row r="7545" spans="1:3" x14ac:dyDescent="0.25">
      <c r="A7545" s="2" t="str">
        <f ca="1">IFERROR(__xludf.DUMMYFUNCTION("""COMPUTED_VALUE"""),"long-boi")</f>
        <v>long-boi</v>
      </c>
      <c r="B7545" s="2" t="str">
        <f ca="1">IFERROR(__xludf.DUMMYFUNCTION("""COMPUTED_VALUE"""),"long")</f>
        <v>long</v>
      </c>
      <c r="C7545" s="2" t="str">
        <f ca="1">IFERROR(__xludf.DUMMYFUNCTION("""COMPUTED_VALUE"""),"long boi")</f>
        <v>long boi</v>
      </c>
    </row>
    <row r="7546" spans="1:3" x14ac:dyDescent="0.25">
      <c r="A7546" s="2" t="str">
        <f ca="1">IFERROR(__xludf.DUMMYFUNCTION("""COMPUTED_VALUE"""),"long-eth")</f>
        <v>long-eth</v>
      </c>
      <c r="B7546" s="2" t="str">
        <f ca="1">IFERROR(__xludf.DUMMYFUNCTION("""COMPUTED_VALUE"""),"long")</f>
        <v>long</v>
      </c>
      <c r="C7546" s="2" t="str">
        <f ca="1">IFERROR(__xludf.DUMMYFUNCTION("""COMPUTED_VALUE"""),"LONG (ETH)")</f>
        <v>LONG (ETH)</v>
      </c>
    </row>
    <row r="7547" spans="1:3" x14ac:dyDescent="0.25">
      <c r="A7547" s="2" t="str">
        <f ca="1">IFERROR(__xludf.DUMMYFUNCTION("""COMPUTED_VALUE"""),"longfu")</f>
        <v>longfu</v>
      </c>
      <c r="B7547" s="2" t="str">
        <f ca="1">IFERROR(__xludf.DUMMYFUNCTION("""COMPUTED_VALUE"""),"longfu")</f>
        <v>longfu</v>
      </c>
      <c r="C7547" s="2" t="str">
        <f ca="1">IFERROR(__xludf.DUMMYFUNCTION("""COMPUTED_VALUE"""),"longfu")</f>
        <v>longfu</v>
      </c>
    </row>
    <row r="7548" spans="1:3" x14ac:dyDescent="0.25">
      <c r="A7548" s="2" t="str">
        <f ca="1">IFERROR(__xludf.DUMMYFUNCTION("""COMPUTED_VALUE"""),"long-mao")</f>
        <v>long-mao</v>
      </c>
      <c r="B7548" s="2" t="str">
        <f ca="1">IFERROR(__xludf.DUMMYFUNCTION("""COMPUTED_VALUE"""),"lmao")</f>
        <v>lmao</v>
      </c>
      <c r="C7548" s="2" t="str">
        <f ca="1">IFERROR(__xludf.DUMMYFUNCTION("""COMPUTED_VALUE"""),"Long Mao")</f>
        <v>Long Mao</v>
      </c>
    </row>
    <row r="7549" spans="1:3" x14ac:dyDescent="0.25">
      <c r="A7549" s="2" t="str">
        <f ca="1">IFERROR(__xludf.DUMMYFUNCTION("""COMPUTED_VALUE"""),"long-nose-dog")</f>
        <v>long-nose-dog</v>
      </c>
      <c r="B7549" s="2" t="str">
        <f ca="1">IFERROR(__xludf.DUMMYFUNCTION("""COMPUTED_VALUE"""),"long")</f>
        <v>long</v>
      </c>
      <c r="C7549" s="2" t="str">
        <f ca="1">IFERROR(__xludf.DUMMYFUNCTION("""COMPUTED_VALUE"""),"Long Nose Dog")</f>
        <v>Long Nose Dog</v>
      </c>
    </row>
    <row r="7550" spans="1:3" x14ac:dyDescent="0.25">
      <c r="A7550" s="2" t="str">
        <f ca="1">IFERROR(__xludf.DUMMYFUNCTION("""COMPUTED_VALUE"""),"long-totem")</f>
        <v>long-totem</v>
      </c>
      <c r="B7550" s="2" t="str">
        <f ca="1">IFERROR(__xludf.DUMMYFUNCTION("""COMPUTED_VALUE"""),"long")</f>
        <v>long</v>
      </c>
      <c r="C7550" s="2" t="str">
        <f ca="1">IFERROR(__xludf.DUMMYFUNCTION("""COMPUTED_VALUE"""),"LONG TOTEM")</f>
        <v>LONG TOTEM</v>
      </c>
    </row>
    <row r="7551" spans="1:3" x14ac:dyDescent="0.25">
      <c r="A7551" s="2" t="str">
        <f ca="1">IFERROR(__xludf.DUMMYFUNCTION("""COMPUTED_VALUE"""),"lonk-on-near")</f>
        <v>lonk-on-near</v>
      </c>
      <c r="B7551" s="2" t="str">
        <f ca="1">IFERROR(__xludf.DUMMYFUNCTION("""COMPUTED_VALUE"""),"lonk")</f>
        <v>lonk</v>
      </c>
      <c r="C7551" s="2" t="str">
        <f ca="1">IFERROR(__xludf.DUMMYFUNCTION("""COMPUTED_VALUE"""),"Lonk")</f>
        <v>Lonk</v>
      </c>
    </row>
    <row r="7552" spans="1:3" x14ac:dyDescent="0.25">
      <c r="A7552" s="2" t="str">
        <f ca="1">IFERROR(__xludf.DUMMYFUNCTION("""COMPUTED_VALUE"""),"look-bro")</f>
        <v>look-bro</v>
      </c>
      <c r="B7552" s="2" t="str">
        <f ca="1">IFERROR(__xludf.DUMMYFUNCTION("""COMPUTED_VALUE"""),"look")</f>
        <v>look</v>
      </c>
      <c r="C7552" s="2" t="str">
        <f ca="1">IFERROR(__xludf.DUMMYFUNCTION("""COMPUTED_VALUE"""),"Look bro")</f>
        <v>Look bro</v>
      </c>
    </row>
    <row r="7553" spans="1:3" x14ac:dyDescent="0.25">
      <c r="A7553" s="2" t="str">
        <f ca="1">IFERROR(__xludf.DUMMYFUNCTION("""COMPUTED_VALUE"""),"lookscoin")</f>
        <v>lookscoin</v>
      </c>
      <c r="B7553" s="2" t="str">
        <f ca="1">IFERROR(__xludf.DUMMYFUNCTION("""COMPUTED_VALUE"""),"look")</f>
        <v>look</v>
      </c>
      <c r="C7553" s="2" t="str">
        <f ca="1">IFERROR(__xludf.DUMMYFUNCTION("""COMPUTED_VALUE"""),"LooksCoin")</f>
        <v>LooksCoin</v>
      </c>
    </row>
    <row r="7554" spans="1:3" x14ac:dyDescent="0.25">
      <c r="A7554" s="2" t="str">
        <f ca="1">IFERROR(__xludf.DUMMYFUNCTION("""COMPUTED_VALUE"""),"looksrare")</f>
        <v>looksrare</v>
      </c>
      <c r="B7554" s="2" t="str">
        <f ca="1">IFERROR(__xludf.DUMMYFUNCTION("""COMPUTED_VALUE"""),"looks")</f>
        <v>looks</v>
      </c>
      <c r="C7554" s="2" t="str">
        <f ca="1">IFERROR(__xludf.DUMMYFUNCTION("""COMPUTED_VALUE"""),"LooksRare")</f>
        <v>LooksRare</v>
      </c>
    </row>
    <row r="7555" spans="1:3" x14ac:dyDescent="0.25">
      <c r="A7555" s="2" t="str">
        <f ca="1">IFERROR(__xludf.DUMMYFUNCTION("""COMPUTED_VALUE"""),"loom")</f>
        <v>loom</v>
      </c>
      <c r="B7555" s="2" t="str">
        <f ca="1">IFERROR(__xludf.DUMMYFUNCTION("""COMPUTED_VALUE"""),"loom")</f>
        <v>loom</v>
      </c>
      <c r="C7555" s="2" t="str">
        <f ca="1">IFERROR(__xludf.DUMMYFUNCTION("""COMPUTED_VALUE"""),"Loom")</f>
        <v>Loom</v>
      </c>
    </row>
    <row r="7556" spans="1:3" x14ac:dyDescent="0.25">
      <c r="A7556" s="2" t="str">
        <f ca="1">IFERROR(__xludf.DUMMYFUNCTION("""COMPUTED_VALUE"""),"loom-network")</f>
        <v>loom-network</v>
      </c>
      <c r="B7556" s="2" t="str">
        <f ca="1">IFERROR(__xludf.DUMMYFUNCTION("""COMPUTED_VALUE"""),"loomold")</f>
        <v>loomold</v>
      </c>
      <c r="C7556" s="2" t="str">
        <f ca="1">IFERROR(__xludf.DUMMYFUNCTION("""COMPUTED_VALUE"""),"Loom Network (OLD)")</f>
        <v>Loom Network (OLD)</v>
      </c>
    </row>
    <row r="7557" spans="1:3" x14ac:dyDescent="0.25">
      <c r="A7557" s="2" t="str">
        <f ca="1">IFERROR(__xludf.DUMMYFUNCTION("""COMPUTED_VALUE"""),"loom-network-new")</f>
        <v>loom-network-new</v>
      </c>
      <c r="B7557" s="2" t="str">
        <f ca="1">IFERROR(__xludf.DUMMYFUNCTION("""COMPUTED_VALUE"""),"loom")</f>
        <v>loom</v>
      </c>
      <c r="C7557" s="2" t="str">
        <f ca="1">IFERROR(__xludf.DUMMYFUNCTION("""COMPUTED_VALUE"""),"Loom Network (NEW)")</f>
        <v>Loom Network (NEW)</v>
      </c>
    </row>
    <row r="7558" spans="1:3" x14ac:dyDescent="0.25">
      <c r="A7558" s="2" t="str">
        <f ca="1">IFERROR(__xludf.DUMMYFUNCTION("""COMPUTED_VALUE"""),"loong")</f>
        <v>loong</v>
      </c>
      <c r="B7558" s="2" t="str">
        <f ca="1">IFERROR(__xludf.DUMMYFUNCTION("""COMPUTED_VALUE"""),"loong")</f>
        <v>loong</v>
      </c>
      <c r="C7558" s="2" t="str">
        <f ca="1">IFERROR(__xludf.DUMMYFUNCTION("""COMPUTED_VALUE"""),"Loong")</f>
        <v>Loong</v>
      </c>
    </row>
    <row r="7559" spans="1:3" x14ac:dyDescent="0.25">
      <c r="A7559" s="2" t="str">
        <f ca="1">IFERROR(__xludf.DUMMYFUNCTION("""COMPUTED_VALUE"""),"loong-chenchen")</f>
        <v>loong-chenchen</v>
      </c>
      <c r="B7559" s="2" t="str">
        <f ca="1">IFERROR(__xludf.DUMMYFUNCTION("""COMPUTED_VALUE"""),"loong")</f>
        <v>loong</v>
      </c>
      <c r="C7559" s="2" t="str">
        <f ca="1">IFERROR(__xludf.DUMMYFUNCTION("""COMPUTED_VALUE"""),"Loong Chenchen")</f>
        <v>Loong Chenchen</v>
      </c>
    </row>
    <row r="7560" spans="1:3" x14ac:dyDescent="0.25">
      <c r="A7560" s="2" t="str">
        <f ca="1">IFERROR(__xludf.DUMMYFUNCTION("""COMPUTED_VALUE"""),"loon-network")</f>
        <v>loon-network</v>
      </c>
      <c r="B7560" s="2" t="str">
        <f ca="1">IFERROR(__xludf.DUMMYFUNCTION("""COMPUTED_VALUE"""),"loon")</f>
        <v>loon</v>
      </c>
      <c r="C7560" s="2" t="str">
        <f ca="1">IFERROR(__xludf.DUMMYFUNCTION("""COMPUTED_VALUE"""),"Loon Network")</f>
        <v>Loon Network</v>
      </c>
    </row>
    <row r="7561" spans="1:3" x14ac:dyDescent="0.25">
      <c r="A7561" s="2" t="str">
        <f ca="1">IFERROR(__xludf.DUMMYFUNCTION("""COMPUTED_VALUE"""),"loopnetwork")</f>
        <v>loopnetwork</v>
      </c>
      <c r="B7561" s="2" t="str">
        <f ca="1">IFERROR(__xludf.DUMMYFUNCTION("""COMPUTED_VALUE"""),"loop")</f>
        <v>loop</v>
      </c>
      <c r="C7561" s="2" t="str">
        <f ca="1">IFERROR(__xludf.DUMMYFUNCTION("""COMPUTED_VALUE"""),"LoopNetwork")</f>
        <v>LoopNetwork</v>
      </c>
    </row>
    <row r="7562" spans="1:3" x14ac:dyDescent="0.25">
      <c r="A7562" s="2" t="str">
        <f ca="1">IFERROR(__xludf.DUMMYFUNCTION("""COMPUTED_VALUE"""),"loop-of-infinity")</f>
        <v>loop-of-infinity</v>
      </c>
      <c r="B7562" s="2" t="str">
        <f ca="1">IFERROR(__xludf.DUMMYFUNCTION("""COMPUTED_VALUE"""),"loi")</f>
        <v>loi</v>
      </c>
      <c r="C7562" s="2" t="str">
        <f ca="1">IFERROR(__xludf.DUMMYFUNCTION("""COMPUTED_VALUE"""),"Loop Of Infinity")</f>
        <v>Loop Of Infinity</v>
      </c>
    </row>
    <row r="7563" spans="1:3" x14ac:dyDescent="0.25">
      <c r="A7563" s="2" t="str">
        <f ca="1">IFERROR(__xludf.DUMMYFUNCTION("""COMPUTED_VALUE"""),"loopring")</f>
        <v>loopring</v>
      </c>
      <c r="B7563" s="2" t="str">
        <f ca="1">IFERROR(__xludf.DUMMYFUNCTION("""COMPUTED_VALUE"""),"lrc")</f>
        <v>lrc</v>
      </c>
      <c r="C7563" s="2" t="str">
        <f ca="1">IFERROR(__xludf.DUMMYFUNCTION("""COMPUTED_VALUE"""),"Loopring")</f>
        <v>Loopring</v>
      </c>
    </row>
    <row r="7564" spans="1:3" x14ac:dyDescent="0.25">
      <c r="A7564" s="2" t="str">
        <f ca="1">IFERROR(__xludf.DUMMYFUNCTION("""COMPUTED_VALUE"""),"loopy")</f>
        <v>loopy</v>
      </c>
      <c r="B7564" s="2" t="str">
        <f ca="1">IFERROR(__xludf.DUMMYFUNCTION("""COMPUTED_VALUE"""),"loopy")</f>
        <v>loopy</v>
      </c>
      <c r="C7564" s="2" t="str">
        <f ca="1">IFERROR(__xludf.DUMMYFUNCTION("""COMPUTED_VALUE"""),"Loopy [OLD]")</f>
        <v>Loopy [OLD]</v>
      </c>
    </row>
    <row r="7565" spans="1:3" x14ac:dyDescent="0.25">
      <c r="A7565" s="2" t="str">
        <f ca="1">IFERROR(__xludf.DUMMYFUNCTION("""COMPUTED_VALUE"""),"loopy-sui")</f>
        <v>loopy-sui</v>
      </c>
      <c r="B7565" s="2" t="str">
        <f ca="1">IFERROR(__xludf.DUMMYFUNCTION("""COMPUTED_VALUE"""),"loopy")</f>
        <v>loopy</v>
      </c>
      <c r="C7565" s="2" t="str">
        <f ca="1">IFERROR(__xludf.DUMMYFUNCTION("""COMPUTED_VALUE"""),"LOOPY")</f>
        <v>LOOPY</v>
      </c>
    </row>
    <row r="7566" spans="1:3" x14ac:dyDescent="0.25">
      <c r="A7566" s="2" t="str">
        <f ca="1">IFERROR(__xludf.DUMMYFUNCTION("""COMPUTED_VALUE"""),"loot")</f>
        <v>loot</v>
      </c>
      <c r="B7566" s="2" t="str">
        <f ca="1">IFERROR(__xludf.DUMMYFUNCTION("""COMPUTED_VALUE"""),"loot")</f>
        <v>loot</v>
      </c>
      <c r="C7566" s="2" t="str">
        <f ca="1">IFERROR(__xludf.DUMMYFUNCTION("""COMPUTED_VALUE"""),"Lootex")</f>
        <v>Lootex</v>
      </c>
    </row>
    <row r="7567" spans="1:3" x14ac:dyDescent="0.25">
      <c r="A7567" s="2" t="str">
        <f ca="1">IFERROR(__xludf.DUMMYFUNCTION("""COMPUTED_VALUE"""),"lootbot")</f>
        <v>lootbot</v>
      </c>
      <c r="B7567" s="2" t="str">
        <f ca="1">IFERROR(__xludf.DUMMYFUNCTION("""COMPUTED_VALUE"""),"loot")</f>
        <v>loot</v>
      </c>
      <c r="C7567" s="2" t="str">
        <f ca="1">IFERROR(__xludf.DUMMYFUNCTION("""COMPUTED_VALUE"""),"LootBot")</f>
        <v>LootBot</v>
      </c>
    </row>
    <row r="7568" spans="1:3" x14ac:dyDescent="0.25">
      <c r="A7568" s="2" t="str">
        <f ca="1">IFERROR(__xludf.DUMMYFUNCTION("""COMPUTED_VALUE"""),"looted-network")</f>
        <v>looted-network</v>
      </c>
      <c r="B7568" s="2" t="str">
        <f ca="1">IFERROR(__xludf.DUMMYFUNCTION("""COMPUTED_VALUE"""),"loot")</f>
        <v>loot</v>
      </c>
      <c r="C7568" s="2" t="str">
        <f ca="1">IFERROR(__xludf.DUMMYFUNCTION("""COMPUTED_VALUE"""),"Looted Network")</f>
        <v>Looted Network</v>
      </c>
    </row>
    <row r="7569" spans="1:3" x14ac:dyDescent="0.25">
      <c r="A7569" s="2" t="str">
        <f ca="1">IFERROR(__xludf.DUMMYFUNCTION("""COMPUTED_VALUE"""),"looter")</f>
        <v>looter</v>
      </c>
      <c r="B7569" s="2" t="str">
        <f ca="1">IFERROR(__xludf.DUMMYFUNCTION("""COMPUTED_VALUE"""),"looter")</f>
        <v>looter</v>
      </c>
      <c r="C7569" s="2" t="str">
        <f ca="1">IFERROR(__xludf.DUMMYFUNCTION("""COMPUTED_VALUE"""),"Looter")</f>
        <v>Looter</v>
      </c>
    </row>
    <row r="7570" spans="1:3" x14ac:dyDescent="0.25">
      <c r="A7570" s="2" t="str">
        <f ca="1">IFERROR(__xludf.DUMMYFUNCTION("""COMPUTED_VALUE"""),"lopo")</f>
        <v>lopo</v>
      </c>
      <c r="B7570" s="2" t="str">
        <f ca="1">IFERROR(__xludf.DUMMYFUNCTION("""COMPUTED_VALUE"""),"lopo")</f>
        <v>lopo</v>
      </c>
      <c r="C7570" s="2" t="str">
        <f ca="1">IFERROR(__xludf.DUMMYFUNCTION("""COMPUTED_VALUE"""),"LOPO")</f>
        <v>LOPO</v>
      </c>
    </row>
    <row r="7571" spans="1:3" x14ac:dyDescent="0.25">
      <c r="A7571" s="2" t="str">
        <f ca="1">IFERROR(__xludf.DUMMYFUNCTION("""COMPUTED_VALUE"""),"lord-of-dragons")</f>
        <v>lord-of-dragons</v>
      </c>
      <c r="B7571" s="2" t="str">
        <f ca="1">IFERROR(__xludf.DUMMYFUNCTION("""COMPUTED_VALUE"""),"logt")</f>
        <v>logt</v>
      </c>
      <c r="C7571" s="2" t="str">
        <f ca="1">IFERROR(__xludf.DUMMYFUNCTION("""COMPUTED_VALUE"""),"Lord of Dragons")</f>
        <v>Lord of Dragons</v>
      </c>
    </row>
    <row r="7572" spans="1:3" x14ac:dyDescent="0.25">
      <c r="A7572" s="2" t="str">
        <f ca="1">IFERROR(__xludf.DUMMYFUNCTION("""COMPUTED_VALUE"""),"lord-of-sol")</f>
        <v>lord-of-sol</v>
      </c>
      <c r="B7572" s="2" t="str">
        <f ca="1">IFERROR(__xludf.DUMMYFUNCTION("""COMPUTED_VALUE"""),"los")</f>
        <v>los</v>
      </c>
      <c r="C7572" s="2" t="str">
        <f ca="1">IFERROR(__xludf.DUMMYFUNCTION("""COMPUTED_VALUE"""),"Lord Of SOL")</f>
        <v>Lord Of SOL</v>
      </c>
    </row>
    <row r="7573" spans="1:3" x14ac:dyDescent="0.25">
      <c r="A7573" s="2" t="str">
        <f ca="1">IFERROR(__xludf.DUMMYFUNCTION("""COMPUTED_VALUE"""),"lords")</f>
        <v>lords</v>
      </c>
      <c r="B7573" s="2" t="str">
        <f ca="1">IFERROR(__xludf.DUMMYFUNCTION("""COMPUTED_VALUE"""),"lords")</f>
        <v>lords</v>
      </c>
      <c r="C7573" s="2" t="str">
        <f ca="1">IFERROR(__xludf.DUMMYFUNCTION("""COMPUTED_VALUE"""),"LORDS")</f>
        <v>LORDS</v>
      </c>
    </row>
    <row r="7574" spans="1:3" x14ac:dyDescent="0.25">
      <c r="A7574" s="2" t="str">
        <f ca="1">IFERROR(__xludf.DUMMYFUNCTION("""COMPUTED_VALUE"""),"lormhole")</f>
        <v>lormhole</v>
      </c>
      <c r="B7574" s="2" t="str">
        <f ca="1">IFERROR(__xludf.DUMMYFUNCTION("""COMPUTED_VALUE"""),"l")</f>
        <v>l</v>
      </c>
      <c r="C7574" s="2" t="str">
        <f ca="1">IFERROR(__xludf.DUMMYFUNCTION("""COMPUTED_VALUE"""),"Lormhole")</f>
        <v>Lormhole</v>
      </c>
    </row>
    <row r="7575" spans="1:3" x14ac:dyDescent="0.25">
      <c r="A7575" s="2" t="str">
        <f ca="1">IFERROR(__xludf.DUMMYFUNCTION("""COMPUTED_VALUE"""),"loserchick-egg")</f>
        <v>loserchick-egg</v>
      </c>
      <c r="B7575" s="2" t="str">
        <f ca="1">IFERROR(__xludf.DUMMYFUNCTION("""COMPUTED_VALUE"""),"egg")</f>
        <v>egg</v>
      </c>
      <c r="C7575" s="2" t="str">
        <f ca="1">IFERROR(__xludf.DUMMYFUNCTION("""COMPUTED_VALUE"""),"LoserChick EGG")</f>
        <v>LoserChick EGG</v>
      </c>
    </row>
    <row r="7576" spans="1:3" x14ac:dyDescent="0.25">
      <c r="A7576" s="2" t="str">
        <f ca="1">IFERROR(__xludf.DUMMYFUNCTION("""COMPUTED_VALUE"""),"loser-coin")</f>
        <v>loser-coin</v>
      </c>
      <c r="B7576" s="2" t="str">
        <f ca="1">IFERROR(__xludf.DUMMYFUNCTION("""COMPUTED_VALUE"""),"lowb")</f>
        <v>lowb</v>
      </c>
      <c r="C7576" s="2" t="str">
        <f ca="1">IFERROR(__xludf.DUMMYFUNCTION("""COMPUTED_VALUE"""),"Loser Coin")</f>
        <v>Loser Coin</v>
      </c>
    </row>
    <row r="7577" spans="1:3" x14ac:dyDescent="0.25">
      <c r="A7577" s="2" t="str">
        <f ca="1">IFERROR(__xludf.DUMMYFUNCTION("""COMPUTED_VALUE"""),"lossless")</f>
        <v>lossless</v>
      </c>
      <c r="B7577" s="2" t="str">
        <f ca="1">IFERROR(__xludf.DUMMYFUNCTION("""COMPUTED_VALUE"""),"lss")</f>
        <v>lss</v>
      </c>
      <c r="C7577" s="2" t="str">
        <f ca="1">IFERROR(__xludf.DUMMYFUNCTION("""COMPUTED_VALUE"""),"Lossless")</f>
        <v>Lossless</v>
      </c>
    </row>
    <row r="7578" spans="1:3" x14ac:dyDescent="0.25">
      <c r="A7578" s="2" t="str">
        <f ca="1">IFERROR(__xludf.DUMMYFUNCTION("""COMPUTED_VALUE"""),"lost")</f>
        <v>lost</v>
      </c>
      <c r="B7578" s="2" t="str">
        <f ca="1">IFERROR(__xludf.DUMMYFUNCTION("""COMPUTED_VALUE"""),"lost")</f>
        <v>lost</v>
      </c>
      <c r="C7578" s="2" t="str">
        <f ca="1">IFERROR(__xludf.DUMMYFUNCTION("""COMPUTED_VALUE"""),"Lost")</f>
        <v>Lost</v>
      </c>
    </row>
    <row r="7579" spans="1:3" x14ac:dyDescent="0.25">
      <c r="A7579" s="2" t="str">
        <f ca="1">IFERROR(__xludf.DUMMYFUNCTION("""COMPUTED_VALUE"""),"lost-world")</f>
        <v>lost-world</v>
      </c>
      <c r="B7579" s="2" t="str">
        <f ca="1">IFERROR(__xludf.DUMMYFUNCTION("""COMPUTED_VALUE"""),"lost")</f>
        <v>lost</v>
      </c>
      <c r="C7579" s="2" t="str">
        <f ca="1">IFERROR(__xludf.DUMMYFUNCTION("""COMPUTED_VALUE"""),"Lost World")</f>
        <v>Lost World</v>
      </c>
    </row>
    <row r="7580" spans="1:3" x14ac:dyDescent="0.25">
      <c r="A7580" s="2" t="str">
        <f ca="1">IFERROR(__xludf.DUMMYFUNCTION("""COMPUTED_VALUE"""),"lotofomogrow")</f>
        <v>lotofomogrow</v>
      </c>
      <c r="B7580" s="2" t="str">
        <f ca="1">IFERROR(__xludf.DUMMYFUNCTION("""COMPUTED_VALUE"""),"lfg")</f>
        <v>lfg</v>
      </c>
      <c r="C7580" s="2" t="str">
        <f ca="1">IFERROR(__xludf.DUMMYFUNCTION("""COMPUTED_VALUE"""),"Lotofomogrow")</f>
        <v>Lotofomogrow</v>
      </c>
    </row>
    <row r="7581" spans="1:3" x14ac:dyDescent="0.25">
      <c r="A7581" s="2" t="str">
        <f ca="1">IFERROR(__xludf.DUMMYFUNCTION("""COMPUTED_VALUE"""),"lotty")</f>
        <v>lotty</v>
      </c>
      <c r="B7581" s="2" t="str">
        <f ca="1">IFERROR(__xludf.DUMMYFUNCTION("""COMPUTED_VALUE"""),"lotty")</f>
        <v>lotty</v>
      </c>
      <c r="C7581" s="2" t="str">
        <f ca="1">IFERROR(__xludf.DUMMYFUNCTION("""COMPUTED_VALUE"""),"Lotty")</f>
        <v>Lotty</v>
      </c>
    </row>
    <row r="7582" spans="1:3" x14ac:dyDescent="0.25">
      <c r="A7582" s="2" t="str">
        <f ca="1">IFERROR(__xludf.DUMMYFUNCTION("""COMPUTED_VALUE"""),"louder")</f>
        <v>louder</v>
      </c>
      <c r="B7582" s="2" t="str">
        <f ca="1">IFERROR(__xludf.DUMMYFUNCTION("""COMPUTED_VALUE"""),"louder")</f>
        <v>louder</v>
      </c>
      <c r="C7582" s="2" t="str">
        <f ca="1">IFERROR(__xludf.DUMMYFUNCTION("""COMPUTED_VALUE"""),"LOUDER")</f>
        <v>LOUDER</v>
      </c>
    </row>
    <row r="7583" spans="1:3" x14ac:dyDescent="0.25">
      <c r="A7583" s="2" t="str">
        <f ca="1">IFERROR(__xludf.DUMMYFUNCTION("""COMPUTED_VALUE"""),"louie-the-raccoon")</f>
        <v>louie-the-raccoon</v>
      </c>
      <c r="B7583" s="2" t="str">
        <f ca="1">IFERROR(__xludf.DUMMYFUNCTION("""COMPUTED_VALUE"""),"$louie")</f>
        <v>$louie</v>
      </c>
      <c r="C7583" s="2" t="str">
        <f ca="1">IFERROR(__xludf.DUMMYFUNCTION("""COMPUTED_VALUE"""),"Louie the Raccoon")</f>
        <v>Louie the Raccoon</v>
      </c>
    </row>
    <row r="7584" spans="1:3" x14ac:dyDescent="0.25">
      <c r="A7584" s="2" t="str">
        <f ca="1">IFERROR(__xludf.DUMMYFUNCTION("""COMPUTED_VALUE"""),"loulou")</f>
        <v>loulou</v>
      </c>
      <c r="B7584" s="2" t="str">
        <f ca="1">IFERROR(__xludf.DUMMYFUNCTION("""COMPUTED_VALUE"""),"loulou")</f>
        <v>loulou</v>
      </c>
      <c r="C7584" s="2" t="str">
        <f ca="1">IFERROR(__xludf.DUMMYFUNCTION("""COMPUTED_VALUE"""),"LOULOU")</f>
        <v>LOULOU</v>
      </c>
    </row>
    <row r="7585" spans="1:3" x14ac:dyDescent="0.25">
      <c r="A7585" s="2" t="str">
        <f ca="1">IFERROR(__xludf.DUMMYFUNCTION("""COMPUTED_VALUE"""),"loungem")</f>
        <v>loungem</v>
      </c>
      <c r="B7585" s="2" t="str">
        <f ca="1">IFERROR(__xludf.DUMMYFUNCTION("""COMPUTED_VALUE"""),"lzm")</f>
        <v>lzm</v>
      </c>
      <c r="C7585" s="2" t="str">
        <f ca="1">IFERROR(__xludf.DUMMYFUNCTION("""COMPUTED_VALUE"""),"LoungeM")</f>
        <v>LoungeM</v>
      </c>
    </row>
    <row r="7586" spans="1:3" x14ac:dyDescent="0.25">
      <c r="A7586" s="2" t="str">
        <f ca="1">IFERROR(__xludf.DUMMYFUNCTION("""COMPUTED_VALUE"""),"lovebit")</f>
        <v>lovebit</v>
      </c>
      <c r="B7586" s="2" t="str">
        <f ca="1">IFERROR(__xludf.DUMMYFUNCTION("""COMPUTED_VALUE"""),"lb")</f>
        <v>lb</v>
      </c>
      <c r="C7586" s="2" t="str">
        <f ca="1">IFERROR(__xludf.DUMMYFUNCTION("""COMPUTED_VALUE"""),"LoveBit")</f>
        <v>LoveBit</v>
      </c>
    </row>
    <row r="7587" spans="1:3" x14ac:dyDescent="0.25">
      <c r="A7587" s="2" t="str">
        <f ca="1">IFERROR(__xludf.DUMMYFUNCTION("""COMPUTED_VALUE"""),"lovechain-2")</f>
        <v>lovechain-2</v>
      </c>
      <c r="B7587" s="2" t="str">
        <f ca="1">IFERROR(__xludf.DUMMYFUNCTION("""COMPUTED_VALUE"""),"lci")</f>
        <v>lci</v>
      </c>
      <c r="C7587" s="2" t="str">
        <f ca="1">IFERROR(__xludf.DUMMYFUNCTION("""COMPUTED_VALUE"""),"LOVECHAIN")</f>
        <v>LOVECHAIN</v>
      </c>
    </row>
    <row r="7588" spans="1:3" x14ac:dyDescent="0.25">
      <c r="A7588" s="2" t="str">
        <f ca="1">IFERROR(__xludf.DUMMYFUNCTION("""COMPUTED_VALUE"""),"love-earn-enjoy")</f>
        <v>love-earn-enjoy</v>
      </c>
      <c r="B7588" s="2" t="str">
        <f ca="1">IFERROR(__xludf.DUMMYFUNCTION("""COMPUTED_VALUE"""),"lee")</f>
        <v>lee</v>
      </c>
      <c r="C7588" s="2" t="str">
        <f ca="1">IFERROR(__xludf.DUMMYFUNCTION("""COMPUTED_VALUE"""),"Love Earn Enjoy")</f>
        <v>Love Earn Enjoy</v>
      </c>
    </row>
    <row r="7589" spans="1:3" x14ac:dyDescent="0.25">
      <c r="A7589" s="2" t="str">
        <f ca="1">IFERROR(__xludf.DUMMYFUNCTION("""COMPUTED_VALUE"""),"love-hate-inu")</f>
        <v>love-hate-inu</v>
      </c>
      <c r="B7589" s="2" t="str">
        <f ca="1">IFERROR(__xludf.DUMMYFUNCTION("""COMPUTED_VALUE"""),"lhinu")</f>
        <v>lhinu</v>
      </c>
      <c r="C7589" s="2" t="str">
        <f ca="1">IFERROR(__xludf.DUMMYFUNCTION("""COMPUTED_VALUE"""),"Love Hate Inu")</f>
        <v>Love Hate Inu</v>
      </c>
    </row>
    <row r="7590" spans="1:3" x14ac:dyDescent="0.25">
      <c r="A7590" s="2" t="str">
        <f ca="1">IFERROR(__xludf.DUMMYFUNCTION("""COMPUTED_VALUE"""),"love-io")</f>
        <v>love-io</v>
      </c>
      <c r="B7590" s="2" t="str">
        <f ca="1">IFERROR(__xludf.DUMMYFUNCTION("""COMPUTED_VALUE"""),"love")</f>
        <v>love</v>
      </c>
      <c r="C7590" s="3" t="str">
        <f ca="1">IFERROR(__xludf.DUMMYFUNCTION("""COMPUTED_VALUE"""),"Love.io")</f>
        <v>Love.io</v>
      </c>
    </row>
    <row r="7591" spans="1:3" x14ac:dyDescent="0.25">
      <c r="A7591" s="2" t="str">
        <f ca="1">IFERROR(__xludf.DUMMYFUNCTION("""COMPUTED_VALUE"""),"lovely-inu-finance")</f>
        <v>lovely-inu-finance</v>
      </c>
      <c r="B7591" s="2" t="str">
        <f ca="1">IFERROR(__xludf.DUMMYFUNCTION("""COMPUTED_VALUE"""),"lovely")</f>
        <v>lovely</v>
      </c>
      <c r="C7591" s="2" t="str">
        <f ca="1">IFERROR(__xludf.DUMMYFUNCTION("""COMPUTED_VALUE"""),"Lovely Inu Finance")</f>
        <v>Lovely Inu Finance</v>
      </c>
    </row>
    <row r="7592" spans="1:3" x14ac:dyDescent="0.25">
      <c r="A7592" s="2" t="str">
        <f ca="1">IFERROR(__xludf.DUMMYFUNCTION("""COMPUTED_VALUE"""),"love-moli")</f>
        <v>love-moli</v>
      </c>
      <c r="B7592" s="2" t="str">
        <f ca="1">IFERROR(__xludf.DUMMYFUNCTION("""COMPUTED_VALUE"""),"moli")</f>
        <v>moli</v>
      </c>
      <c r="C7592" s="2" t="str">
        <f ca="1">IFERROR(__xludf.DUMMYFUNCTION("""COMPUTED_VALUE"""),"Love Moli")</f>
        <v>Love Moli</v>
      </c>
    </row>
    <row r="7593" spans="1:3" x14ac:dyDescent="0.25">
      <c r="A7593" s="2" t="str">
        <f ca="1">IFERROR(__xludf.DUMMYFUNCTION("""COMPUTED_VALUE"""),"love-monster")</f>
        <v>love-monster</v>
      </c>
      <c r="B7593" s="2" t="str">
        <f ca="1">IFERROR(__xludf.DUMMYFUNCTION("""COMPUTED_VALUE"""),"love")</f>
        <v>love</v>
      </c>
      <c r="C7593" s="2" t="str">
        <f ca="1">IFERROR(__xludf.DUMMYFUNCTION("""COMPUTED_VALUE"""),"Love Monster")</f>
        <v>Love Monster</v>
      </c>
    </row>
    <row r="7594" spans="1:3" x14ac:dyDescent="0.25">
      <c r="A7594" s="2" t="str">
        <f ca="1">IFERROR(__xludf.DUMMYFUNCTION("""COMPUTED_VALUE"""),"love-power-coin")</f>
        <v>love-power-coin</v>
      </c>
      <c r="B7594" s="2" t="str">
        <f ca="1">IFERROR(__xludf.DUMMYFUNCTION("""COMPUTED_VALUE"""),"love")</f>
        <v>love</v>
      </c>
      <c r="C7594" s="2" t="str">
        <f ca="1">IFERROR(__xludf.DUMMYFUNCTION("""COMPUTED_VALUE"""),"Love Power Coin")</f>
        <v>Love Power Coin</v>
      </c>
    </row>
    <row r="7595" spans="1:3" x14ac:dyDescent="0.25">
      <c r="A7595" s="2" t="str">
        <f ca="1">IFERROR(__xludf.DUMMYFUNCTION("""COMPUTED_VALUE"""),"lower")</f>
        <v>lower</v>
      </c>
      <c r="B7595" s="2" t="str">
        <f ca="1">IFERROR(__xludf.DUMMYFUNCTION("""COMPUTED_VALUE"""),"lower")</f>
        <v>lower</v>
      </c>
      <c r="C7595" s="2" t="str">
        <f ca="1">IFERROR(__xludf.DUMMYFUNCTION("""COMPUTED_VALUE"""),"lower")</f>
        <v>lower</v>
      </c>
    </row>
    <row r="7596" spans="1:3" x14ac:dyDescent="0.25">
      <c r="A7596" s="2" t="str">
        <f ca="1">IFERROR(__xludf.DUMMYFUNCTION("""COMPUTED_VALUE"""),"lowq")</f>
        <v>lowq</v>
      </c>
      <c r="B7596" s="2" t="str">
        <f ca="1">IFERROR(__xludf.DUMMYFUNCTION("""COMPUTED_VALUE"""),"lowq")</f>
        <v>lowq</v>
      </c>
      <c r="C7596" s="2" t="str">
        <f ca="1">IFERROR(__xludf.DUMMYFUNCTION("""COMPUTED_VALUE"""),"LowQ")</f>
        <v>LowQ</v>
      </c>
    </row>
    <row r="7597" spans="1:3" x14ac:dyDescent="0.25">
      <c r="A7597" s="2" t="str">
        <f ca="1">IFERROR(__xludf.DUMMYFUNCTION("""COMPUTED_VALUE"""),"low-quality-cat")</f>
        <v>low-quality-cat</v>
      </c>
      <c r="B7597" s="2" t="str">
        <f ca="1">IFERROR(__xludf.DUMMYFUNCTION("""COMPUTED_VALUE"""),"lqc")</f>
        <v>lqc</v>
      </c>
      <c r="C7597" s="2" t="str">
        <f ca="1">IFERROR(__xludf.DUMMYFUNCTION("""COMPUTED_VALUE"""),"Low Quality Cat")</f>
        <v>Low Quality Cat</v>
      </c>
    </row>
    <row r="7598" spans="1:3" x14ac:dyDescent="0.25">
      <c r="A7598" s="2" t="str">
        <f ca="1">IFERROR(__xludf.DUMMYFUNCTION("""COMPUTED_VALUE"""),"lox-network")</f>
        <v>lox-network</v>
      </c>
      <c r="B7598" s="2" t="str">
        <f ca="1">IFERROR(__xludf.DUMMYFUNCTION("""COMPUTED_VALUE"""),"lox")</f>
        <v>lox</v>
      </c>
      <c r="C7598" s="2" t="str">
        <f ca="1">IFERROR(__xludf.DUMMYFUNCTION("""COMPUTED_VALUE"""),"Lox Network")</f>
        <v>Lox Network</v>
      </c>
    </row>
    <row r="7599" spans="1:3" x14ac:dyDescent="0.25">
      <c r="A7599" s="2" t="str">
        <f ca="1">IFERROR(__xludf.DUMMYFUNCTION("""COMPUTED_VALUE"""),"lp-3pool-curve")</f>
        <v>lp-3pool-curve</v>
      </c>
      <c r="B7599" s="2" t="str">
        <f ca="1">IFERROR(__xludf.DUMMYFUNCTION("""COMPUTED_VALUE"""),"3crv")</f>
        <v>3crv</v>
      </c>
      <c r="C7599" s="2" t="str">
        <f ca="1">IFERROR(__xludf.DUMMYFUNCTION("""COMPUTED_VALUE"""),"LP 3pool Curve")</f>
        <v>LP 3pool Curve</v>
      </c>
    </row>
    <row r="7600" spans="1:3" x14ac:dyDescent="0.25">
      <c r="A7600" s="2" t="str">
        <f ca="1">IFERROR(__xludf.DUMMYFUNCTION("""COMPUTED_VALUE"""),"lp-renbtc-curve")</f>
        <v>lp-renbtc-curve</v>
      </c>
      <c r="B7600" s="2" t="str">
        <f ca="1">IFERROR(__xludf.DUMMYFUNCTION("""COMPUTED_VALUE"""),"renbtccurve")</f>
        <v>renbtccurve</v>
      </c>
      <c r="C7600" s="2" t="str">
        <f ca="1">IFERROR(__xludf.DUMMYFUNCTION("""COMPUTED_VALUE"""),"LP renBTC Curve")</f>
        <v>LP renBTC Curve</v>
      </c>
    </row>
    <row r="7601" spans="1:3" x14ac:dyDescent="0.25">
      <c r="A7601" s="2" t="str">
        <f ca="1">IFERROR(__xludf.DUMMYFUNCTION("""COMPUTED_VALUE"""),"lp-scurve")</f>
        <v>lp-scurve</v>
      </c>
      <c r="B7601" s="2" t="str">
        <f ca="1">IFERROR(__xludf.DUMMYFUNCTION("""COMPUTED_VALUE"""),"scurve")</f>
        <v>scurve</v>
      </c>
      <c r="C7601" s="2" t="str">
        <f ca="1">IFERROR(__xludf.DUMMYFUNCTION("""COMPUTED_VALUE"""),"LP-sCurve")</f>
        <v>LP-sCurve</v>
      </c>
    </row>
    <row r="7602" spans="1:3" x14ac:dyDescent="0.25">
      <c r="A7602" s="2" t="str">
        <f ca="1">IFERROR(__xludf.DUMMYFUNCTION("""COMPUTED_VALUE"""),"lp-yearn-crv-vault")</f>
        <v>lp-yearn-crv-vault</v>
      </c>
      <c r="B7602" s="2" t="str">
        <f ca="1">IFERROR(__xludf.DUMMYFUNCTION("""COMPUTED_VALUE"""),"lp-ycrv")</f>
        <v>lp-ycrv</v>
      </c>
      <c r="C7602" s="2" t="str">
        <f ca="1">IFERROR(__xludf.DUMMYFUNCTION("""COMPUTED_VALUE"""),"LP Yearn CRV Vault")</f>
        <v>LP Yearn CRV Vault</v>
      </c>
    </row>
    <row r="7603" spans="1:3" x14ac:dyDescent="0.25">
      <c r="A7603" s="2" t="str">
        <f ca="1">IFERROR(__xludf.DUMMYFUNCTION("""COMPUTED_VALUE"""),"lsdx-finance")</f>
        <v>lsdx-finance</v>
      </c>
      <c r="B7603" s="2" t="str">
        <f ca="1">IFERROR(__xludf.DUMMYFUNCTION("""COMPUTED_VALUE"""),"lsd")</f>
        <v>lsd</v>
      </c>
      <c r="C7603" s="2" t="str">
        <f ca="1">IFERROR(__xludf.DUMMYFUNCTION("""COMPUTED_VALUE"""),"LSDx Finance")</f>
        <v>LSDx Finance</v>
      </c>
    </row>
    <row r="7604" spans="1:3" x14ac:dyDescent="0.25">
      <c r="A7604" s="2" t="str">
        <f ca="1">IFERROR(__xludf.DUMMYFUNCTION("""COMPUTED_VALUE"""),"lto-network")</f>
        <v>lto-network</v>
      </c>
      <c r="B7604" s="2" t="str">
        <f ca="1">IFERROR(__xludf.DUMMYFUNCTION("""COMPUTED_VALUE"""),"lto")</f>
        <v>lto</v>
      </c>
      <c r="C7604" s="2" t="str">
        <f ca="1">IFERROR(__xludf.DUMMYFUNCTION("""COMPUTED_VALUE"""),"LTO Network")</f>
        <v>LTO Network</v>
      </c>
    </row>
    <row r="7605" spans="1:3" x14ac:dyDescent="0.25">
      <c r="A7605" s="2" t="str">
        <f ca="1">IFERROR(__xludf.DUMMYFUNCTION("""COMPUTED_VALUE"""),"lua-balancing-token")</f>
        <v>lua-balancing-token</v>
      </c>
      <c r="B7605" s="2" t="str">
        <f ca="1">IFERROR(__xludf.DUMMYFUNCTION("""COMPUTED_VALUE"""),"luab")</f>
        <v>luab</v>
      </c>
      <c r="C7605" s="2" t="str">
        <f ca="1">IFERROR(__xludf.DUMMYFUNCTION("""COMPUTED_VALUE"""),"LUA Balancing Token")</f>
        <v>LUA Balancing Token</v>
      </c>
    </row>
    <row r="7606" spans="1:3" x14ac:dyDescent="0.25">
      <c r="A7606" s="2" t="str">
        <f ca="1">IFERROR(__xludf.DUMMYFUNCTION("""COMPUTED_VALUE"""),"lua-token")</f>
        <v>lua-token</v>
      </c>
      <c r="B7606" s="2" t="str">
        <f ca="1">IFERROR(__xludf.DUMMYFUNCTION("""COMPUTED_VALUE"""),"lua")</f>
        <v>lua</v>
      </c>
      <c r="C7606" s="2" t="str">
        <f ca="1">IFERROR(__xludf.DUMMYFUNCTION("""COMPUTED_VALUE"""),"LuaSwap")</f>
        <v>LuaSwap</v>
      </c>
    </row>
    <row r="7607" spans="1:3" x14ac:dyDescent="0.25">
      <c r="A7607" s="2" t="str">
        <f ca="1">IFERROR(__xludf.DUMMYFUNCTION("""COMPUTED_VALUE"""),"lube")</f>
        <v>lube</v>
      </c>
      <c r="B7607" s="2" t="str">
        <f ca="1">IFERROR(__xludf.DUMMYFUNCTION("""COMPUTED_VALUE"""),"lube")</f>
        <v>lube</v>
      </c>
      <c r="C7607" s="2" t="str">
        <f ca="1">IFERROR(__xludf.DUMMYFUNCTION("""COMPUTED_VALUE"""),"LUBE")</f>
        <v>LUBE</v>
      </c>
    </row>
    <row r="7608" spans="1:3" x14ac:dyDescent="0.25">
      <c r="A7608" s="2" t="str">
        <f ca="1">IFERROR(__xludf.DUMMYFUNCTION("""COMPUTED_VALUE"""),"luca")</f>
        <v>luca</v>
      </c>
      <c r="B7608" s="2" t="str">
        <f ca="1">IFERROR(__xludf.DUMMYFUNCTION("""COMPUTED_VALUE"""),"luca")</f>
        <v>luca</v>
      </c>
      <c r="C7608" s="2" t="str">
        <f ca="1">IFERROR(__xludf.DUMMYFUNCTION("""COMPUTED_VALUE"""),"LUCA")</f>
        <v>LUCA</v>
      </c>
    </row>
    <row r="7609" spans="1:3" x14ac:dyDescent="0.25">
      <c r="A7609" s="2" t="str">
        <f ca="1">IFERROR(__xludf.DUMMYFUNCTION("""COMPUTED_VALUE"""),"lucha")</f>
        <v>lucha</v>
      </c>
      <c r="B7609" s="2" t="str">
        <f ca="1">IFERROR(__xludf.DUMMYFUNCTION("""COMPUTED_VALUE"""),"lucha")</f>
        <v>lucha</v>
      </c>
      <c r="C7609" s="2" t="str">
        <f ca="1">IFERROR(__xludf.DUMMYFUNCTION("""COMPUTED_VALUE"""),"Lucha")</f>
        <v>Lucha</v>
      </c>
    </row>
    <row r="7610" spans="1:3" x14ac:dyDescent="0.25">
      <c r="A7610" s="2" t="str">
        <f ca="1">IFERROR(__xludf.DUMMYFUNCTION("""COMPUTED_VALUE"""),"luci")</f>
        <v>luci</v>
      </c>
      <c r="B7610" s="2" t="str">
        <f ca="1">IFERROR(__xludf.DUMMYFUNCTION("""COMPUTED_VALUE"""),"luci")</f>
        <v>luci</v>
      </c>
      <c r="C7610" s="2" t="str">
        <f ca="1">IFERROR(__xludf.DUMMYFUNCTION("""COMPUTED_VALUE"""),"LUCI")</f>
        <v>LUCI</v>
      </c>
    </row>
    <row r="7611" spans="1:3" x14ac:dyDescent="0.25">
      <c r="A7611" s="2" t="str">
        <f ca="1">IFERROR(__xludf.DUMMYFUNCTION("""COMPUTED_VALUE"""),"lucidao")</f>
        <v>lucidao</v>
      </c>
      <c r="B7611" s="2" t="str">
        <f ca="1">IFERROR(__xludf.DUMMYFUNCTION("""COMPUTED_VALUE"""),"lcd")</f>
        <v>lcd</v>
      </c>
      <c r="C7611" s="2" t="str">
        <f ca="1">IFERROR(__xludf.DUMMYFUNCTION("""COMPUTED_VALUE"""),"Lucidao")</f>
        <v>Lucidao</v>
      </c>
    </row>
    <row r="7612" spans="1:3" x14ac:dyDescent="0.25">
      <c r="A7612" s="2" t="str">
        <f ca="1">IFERROR(__xludf.DUMMYFUNCTION("""COMPUTED_VALUE"""),"lucky7")</f>
        <v>lucky7</v>
      </c>
      <c r="B7612" s="2" t="str">
        <f ca="1">IFERROR(__xludf.DUMMYFUNCTION("""COMPUTED_VALUE"""),"7")</f>
        <v>7</v>
      </c>
      <c r="C7612" s="2" t="str">
        <f ca="1">IFERROR(__xludf.DUMMYFUNCTION("""COMPUTED_VALUE"""),"Lucky7")</f>
        <v>Lucky7</v>
      </c>
    </row>
    <row r="7613" spans="1:3" x14ac:dyDescent="0.25">
      <c r="A7613" s="2" t="str">
        <f ca="1">IFERROR(__xludf.DUMMYFUNCTION("""COMPUTED_VALUE"""),"luckybird")</f>
        <v>luckybird</v>
      </c>
      <c r="B7613" s="2" t="str">
        <f ca="1">IFERROR(__xludf.DUMMYFUNCTION("""COMPUTED_VALUE"""),"bird")</f>
        <v>bird</v>
      </c>
      <c r="C7613" s="2" t="str">
        <f ca="1">IFERROR(__xludf.DUMMYFUNCTION("""COMPUTED_VALUE"""),"LuckyBird")</f>
        <v>LuckyBird</v>
      </c>
    </row>
    <row r="7614" spans="1:3" x14ac:dyDescent="0.25">
      <c r="A7614" s="2" t="str">
        <f ca="1">IFERROR(__xludf.DUMMYFUNCTION("""COMPUTED_VALUE"""),"lucky-block")</f>
        <v>lucky-block</v>
      </c>
      <c r="B7614" s="2" t="str">
        <f ca="1">IFERROR(__xludf.DUMMYFUNCTION("""COMPUTED_VALUE"""),"lblock")</f>
        <v>lblock</v>
      </c>
      <c r="C7614" s="2" t="str">
        <f ca="1">IFERROR(__xludf.DUMMYFUNCTION("""COMPUTED_VALUE"""),"Lucky Block")</f>
        <v>Lucky Block</v>
      </c>
    </row>
    <row r="7615" spans="1:3" x14ac:dyDescent="0.25">
      <c r="A7615" s="2" t="str">
        <f ca="1">IFERROR(__xludf.DUMMYFUNCTION("""COMPUTED_VALUE"""),"lucky-coin")</f>
        <v>lucky-coin</v>
      </c>
      <c r="B7615" s="2" t="str">
        <f ca="1">IFERROR(__xludf.DUMMYFUNCTION("""COMPUTED_VALUE"""),"lucky")</f>
        <v>lucky</v>
      </c>
      <c r="C7615" s="2" t="str">
        <f ca="1">IFERROR(__xludf.DUMMYFUNCTION("""COMPUTED_VALUE"""),"Lucky Coin")</f>
        <v>Lucky Coin</v>
      </c>
    </row>
    <row r="7616" spans="1:3" x14ac:dyDescent="0.25">
      <c r="A7616" s="2" t="str">
        <f ca="1">IFERROR(__xludf.DUMMYFUNCTION("""COMPUTED_VALUE"""),"luckyinu")</f>
        <v>luckyinu</v>
      </c>
      <c r="B7616" s="2" t="str">
        <f ca="1">IFERROR(__xludf.DUMMYFUNCTION("""COMPUTED_VALUE"""),"lucky")</f>
        <v>lucky</v>
      </c>
      <c r="C7616" s="2" t="str">
        <f ca="1">IFERROR(__xludf.DUMMYFUNCTION("""COMPUTED_VALUE"""),"Luckyinu")</f>
        <v>Luckyinu</v>
      </c>
    </row>
    <row r="7617" spans="1:3" x14ac:dyDescent="0.25">
      <c r="A7617" s="2" t="str">
        <f ca="1">IFERROR(__xludf.DUMMYFUNCTION("""COMPUTED_VALUE"""),"lucky-mio")</f>
        <v>lucky-mio</v>
      </c>
      <c r="B7617" s="2" t="str">
        <f ca="1">IFERROR(__xludf.DUMMYFUNCTION("""COMPUTED_VALUE"""),"lmi")</f>
        <v>lmi</v>
      </c>
      <c r="C7617" s="2" t="str">
        <f ca="1">IFERROR(__xludf.DUMMYFUNCTION("""COMPUTED_VALUE"""),"Lucky Mio")</f>
        <v>Lucky Mio</v>
      </c>
    </row>
    <row r="7618" spans="1:3" x14ac:dyDescent="0.25">
      <c r="A7618" s="2" t="str">
        <f ca="1">IFERROR(__xludf.DUMMYFUNCTION("""COMPUTED_VALUE"""),"lucky-roo")</f>
        <v>lucky-roo</v>
      </c>
      <c r="B7618" s="2" t="str">
        <f ca="1">IFERROR(__xludf.DUMMYFUNCTION("""COMPUTED_VALUE"""),"roo")</f>
        <v>roo</v>
      </c>
      <c r="C7618" s="2" t="str">
        <f ca="1">IFERROR(__xludf.DUMMYFUNCTION("""COMPUTED_VALUE"""),"Lucky Roo")</f>
        <v>Lucky Roo</v>
      </c>
    </row>
    <row r="7619" spans="1:3" x14ac:dyDescent="0.25">
      <c r="A7619" s="2" t="str">
        <f ca="1">IFERROR(__xludf.DUMMYFUNCTION("""COMPUTED_VALUE"""),"luckysleprecoin")</f>
        <v>luckysleprecoin</v>
      </c>
      <c r="B7619" s="2" t="str">
        <f ca="1">IFERROR(__xludf.DUMMYFUNCTION("""COMPUTED_VALUE"""),"luckyslp")</f>
        <v>luckyslp</v>
      </c>
      <c r="C7619" s="2" t="str">
        <f ca="1">IFERROR(__xludf.DUMMYFUNCTION("""COMPUTED_VALUE"""),"LuckysLeprecoin")</f>
        <v>LuckysLeprecoin</v>
      </c>
    </row>
    <row r="7620" spans="1:3" x14ac:dyDescent="0.25">
      <c r="A7620" s="2" t="str">
        <f ca="1">IFERROR(__xludf.DUMMYFUNCTION("""COMPUTED_VALUE"""),"luckytoad")</f>
        <v>luckytoad</v>
      </c>
      <c r="B7620" s="2" t="str">
        <f ca="1">IFERROR(__xludf.DUMMYFUNCTION("""COMPUTED_VALUE"""),"toad")</f>
        <v>toad</v>
      </c>
      <c r="C7620" s="2" t="str">
        <f ca="1">IFERROR(__xludf.DUMMYFUNCTION("""COMPUTED_VALUE"""),"LuckyToad")</f>
        <v>LuckyToad</v>
      </c>
    </row>
    <row r="7621" spans="1:3" x14ac:dyDescent="0.25">
      <c r="A7621" s="2" t="str">
        <f ca="1">IFERROR(__xludf.DUMMYFUNCTION("""COMPUTED_VALUE"""),"lucretius")</f>
        <v>lucretius</v>
      </c>
      <c r="B7621" s="2" t="str">
        <f ca="1">IFERROR(__xludf.DUMMYFUNCTION("""COMPUTED_VALUE"""),"luc")</f>
        <v>luc</v>
      </c>
      <c r="C7621" s="2" t="str">
        <f ca="1">IFERROR(__xludf.DUMMYFUNCTION("""COMPUTED_VALUE"""),"Lucretius")</f>
        <v>Lucretius</v>
      </c>
    </row>
    <row r="7622" spans="1:3" x14ac:dyDescent="0.25">
      <c r="A7622" s="2" t="str">
        <f ca="1">IFERROR(__xludf.DUMMYFUNCTION("""COMPUTED_VALUE"""),"lucrosus-capital")</f>
        <v>lucrosus-capital</v>
      </c>
      <c r="B7622" s="2" t="str">
        <f ca="1">IFERROR(__xludf.DUMMYFUNCTION("""COMPUTED_VALUE"""),"$luca")</f>
        <v>$luca</v>
      </c>
      <c r="C7622" s="2" t="str">
        <f ca="1">IFERROR(__xludf.DUMMYFUNCTION("""COMPUTED_VALUE"""),"Lucrosus Capital")</f>
        <v>Lucrosus Capital</v>
      </c>
    </row>
    <row r="7623" spans="1:3" x14ac:dyDescent="0.25">
      <c r="A7623" s="2" t="str">
        <f ca="1">IFERROR(__xludf.DUMMYFUNCTION("""COMPUTED_VALUE"""),"lueygi")</f>
        <v>lueygi</v>
      </c>
      <c r="B7623" s="2" t="str">
        <f ca="1">IFERROR(__xludf.DUMMYFUNCTION("""COMPUTED_VALUE"""),"lueygi")</f>
        <v>lueygi</v>
      </c>
      <c r="C7623" s="2" t="str">
        <f ca="1">IFERROR(__xludf.DUMMYFUNCTION("""COMPUTED_VALUE"""),"Lueygi")</f>
        <v>Lueygi</v>
      </c>
    </row>
    <row r="7624" spans="1:3" x14ac:dyDescent="0.25">
      <c r="A7624" s="2" t="str">
        <f ca="1">IFERROR(__xludf.DUMMYFUNCTION("""COMPUTED_VALUE"""),"luffy-inu")</f>
        <v>luffy-inu</v>
      </c>
      <c r="B7624" s="2" t="str">
        <f ca="1">IFERROR(__xludf.DUMMYFUNCTION("""COMPUTED_VALUE"""),"luffy")</f>
        <v>luffy</v>
      </c>
      <c r="C7624" s="2" t="str">
        <f ca="1">IFERROR(__xludf.DUMMYFUNCTION("""COMPUTED_VALUE"""),"Luffy")</f>
        <v>Luffy</v>
      </c>
    </row>
    <row r="7625" spans="1:3" x14ac:dyDescent="0.25">
      <c r="A7625" s="2" t="str">
        <f ca="1">IFERROR(__xludf.DUMMYFUNCTION("""COMPUTED_VALUE"""),"lukso-token")</f>
        <v>lukso-token</v>
      </c>
      <c r="B7625" s="2" t="str">
        <f ca="1">IFERROR(__xludf.DUMMYFUNCTION("""COMPUTED_VALUE"""),"lyxe")</f>
        <v>lyxe</v>
      </c>
      <c r="C7625" s="2" t="str">
        <f ca="1">IFERROR(__xludf.DUMMYFUNCTION("""COMPUTED_VALUE"""),"LUKSO [OLD]")</f>
        <v>LUKSO [OLD]</v>
      </c>
    </row>
    <row r="7626" spans="1:3" x14ac:dyDescent="0.25">
      <c r="A7626" s="2" t="str">
        <f ca="1">IFERROR(__xludf.DUMMYFUNCTION("""COMPUTED_VALUE"""),"lukso-token-2")</f>
        <v>lukso-token-2</v>
      </c>
      <c r="B7626" s="2" t="str">
        <f ca="1">IFERROR(__xludf.DUMMYFUNCTION("""COMPUTED_VALUE"""),"lyx")</f>
        <v>lyx</v>
      </c>
      <c r="C7626" s="2" t="str">
        <f ca="1">IFERROR(__xludf.DUMMYFUNCTION("""COMPUTED_VALUE"""),"LUKSO")</f>
        <v>LUKSO</v>
      </c>
    </row>
    <row r="7627" spans="1:3" x14ac:dyDescent="0.25">
      <c r="A7627" s="2" t="str">
        <f ca="1">IFERROR(__xludf.DUMMYFUNCTION("""COMPUTED_VALUE"""),"lumenswap")</f>
        <v>lumenswap</v>
      </c>
      <c r="B7627" s="2" t="str">
        <f ca="1">IFERROR(__xludf.DUMMYFUNCTION("""COMPUTED_VALUE"""),"lsp")</f>
        <v>lsp</v>
      </c>
      <c r="C7627" s="2" t="str">
        <f ca="1">IFERROR(__xludf.DUMMYFUNCTION("""COMPUTED_VALUE"""),"Lumenswap")</f>
        <v>Lumenswap</v>
      </c>
    </row>
    <row r="7628" spans="1:3" x14ac:dyDescent="0.25">
      <c r="A7628" s="2" t="str">
        <f ca="1">IFERROR(__xludf.DUMMYFUNCTION("""COMPUTED_VALUE"""),"lumerin")</f>
        <v>lumerin</v>
      </c>
      <c r="B7628" s="2" t="str">
        <f ca="1">IFERROR(__xludf.DUMMYFUNCTION("""COMPUTED_VALUE"""),"lmr")</f>
        <v>lmr</v>
      </c>
      <c r="C7628" s="2" t="str">
        <f ca="1">IFERROR(__xludf.DUMMYFUNCTION("""COMPUTED_VALUE"""),"Lumerin")</f>
        <v>Lumerin</v>
      </c>
    </row>
    <row r="7629" spans="1:3" x14ac:dyDescent="0.25">
      <c r="A7629" s="2" t="str">
        <f ca="1">IFERROR(__xludf.DUMMYFUNCTION("""COMPUTED_VALUE"""),"lumi")</f>
        <v>lumi</v>
      </c>
      <c r="B7629" s="2" t="str">
        <f ca="1">IFERROR(__xludf.DUMMYFUNCTION("""COMPUTED_VALUE"""),"lumi")</f>
        <v>lumi</v>
      </c>
      <c r="C7629" s="2" t="str">
        <f ca="1">IFERROR(__xludf.DUMMYFUNCTION("""COMPUTED_VALUE"""),"LUMI")</f>
        <v>LUMI</v>
      </c>
    </row>
    <row r="7630" spans="1:3" x14ac:dyDescent="0.25">
      <c r="A7630" s="2" t="str">
        <f ca="1">IFERROR(__xludf.DUMMYFUNCTION("""COMPUTED_VALUE"""),"lumi-2")</f>
        <v>lumi-2</v>
      </c>
      <c r="B7630" s="2" t="str">
        <f ca="1">IFERROR(__xludf.DUMMYFUNCTION("""COMPUTED_VALUE"""),"$lumi")</f>
        <v>$lumi</v>
      </c>
      <c r="C7630" s="2" t="str">
        <f ca="1">IFERROR(__xludf.DUMMYFUNCTION("""COMPUTED_VALUE"""),"LUMI")</f>
        <v>LUMI</v>
      </c>
    </row>
    <row r="7631" spans="1:3" x14ac:dyDescent="0.25">
      <c r="A7631" s="2" t="str">
        <f ca="1">IFERROR(__xludf.DUMMYFUNCTION("""COMPUTED_VALUE"""),"lumichill")</f>
        <v>lumichill</v>
      </c>
      <c r="B7631" s="2" t="str">
        <f ca="1">IFERROR(__xludf.DUMMYFUNCTION("""COMPUTED_VALUE"""),"chill")</f>
        <v>chill</v>
      </c>
      <c r="C7631" s="2" t="str">
        <f ca="1">IFERROR(__xludf.DUMMYFUNCTION("""COMPUTED_VALUE"""),"LumiChill")</f>
        <v>LumiChill</v>
      </c>
    </row>
    <row r="7632" spans="1:3" x14ac:dyDescent="0.25">
      <c r="A7632" s="2" t="str">
        <f ca="1">IFERROR(__xludf.DUMMYFUNCTION("""COMPUTED_VALUE"""),"lumi-credits")</f>
        <v>lumi-credits</v>
      </c>
      <c r="B7632" s="2" t="str">
        <f ca="1">IFERROR(__xludf.DUMMYFUNCTION("""COMPUTED_VALUE"""),"lumi")</f>
        <v>lumi</v>
      </c>
      <c r="C7632" s="2" t="str">
        <f ca="1">IFERROR(__xludf.DUMMYFUNCTION("""COMPUTED_VALUE"""),"LUMI Credits")</f>
        <v>LUMI Credits</v>
      </c>
    </row>
    <row r="7633" spans="1:3" x14ac:dyDescent="0.25">
      <c r="A7633" s="2" t="str">
        <f ca="1">IFERROR(__xludf.DUMMYFUNCTION("""COMPUTED_VALUE"""),"lumi-finance")</f>
        <v>lumi-finance</v>
      </c>
      <c r="B7633" s="2" t="str">
        <f ca="1">IFERROR(__xludf.DUMMYFUNCTION("""COMPUTED_VALUE"""),"lua")</f>
        <v>lua</v>
      </c>
      <c r="C7633" s="2" t="str">
        <f ca="1">IFERROR(__xludf.DUMMYFUNCTION("""COMPUTED_VALUE"""),"Lumi Finance")</f>
        <v>Lumi Finance</v>
      </c>
    </row>
    <row r="7634" spans="1:3" x14ac:dyDescent="0.25">
      <c r="A7634" s="2" t="str">
        <f ca="1">IFERROR(__xludf.DUMMYFUNCTION("""COMPUTED_VALUE"""),"lumi-finance-governance-token")</f>
        <v>lumi-finance-governance-token</v>
      </c>
      <c r="B7634" s="2" t="str">
        <f ca="1">IFERROR(__xludf.DUMMYFUNCTION("""COMPUTED_VALUE"""),"luag")</f>
        <v>luag</v>
      </c>
      <c r="C7634" s="2" t="str">
        <f ca="1">IFERROR(__xludf.DUMMYFUNCTION("""COMPUTED_VALUE"""),"Lumi Finance Governance Token")</f>
        <v>Lumi Finance Governance Token</v>
      </c>
    </row>
    <row r="7635" spans="1:3" x14ac:dyDescent="0.25">
      <c r="A7635" s="2" t="str">
        <f ca="1">IFERROR(__xludf.DUMMYFUNCTION("""COMPUTED_VALUE"""),"lumi-finance-luausd")</f>
        <v>lumi-finance-luausd</v>
      </c>
      <c r="B7635" s="2" t="str">
        <f ca="1">IFERROR(__xludf.DUMMYFUNCTION("""COMPUTED_VALUE"""),"luausd")</f>
        <v>luausd</v>
      </c>
      <c r="C7635" s="2" t="str">
        <f ca="1">IFERROR(__xludf.DUMMYFUNCTION("""COMPUTED_VALUE"""),"Lumi Finance LUAUSD")</f>
        <v>Lumi Finance LUAUSD</v>
      </c>
    </row>
    <row r="7636" spans="1:3" x14ac:dyDescent="0.25">
      <c r="A7636" s="2" t="str">
        <f ca="1">IFERROR(__xludf.DUMMYFUNCTION("""COMPUTED_VALUE"""),"lumiiitoken")</f>
        <v>lumiiitoken</v>
      </c>
      <c r="B7636" s="2" t="str">
        <f ca="1">IFERROR(__xludf.DUMMYFUNCTION("""COMPUTED_VALUE"""),"lumiii")</f>
        <v>lumiii</v>
      </c>
      <c r="C7636" s="2" t="str">
        <f ca="1">IFERROR(__xludf.DUMMYFUNCTION("""COMPUTED_VALUE"""),"Lumiii")</f>
        <v>Lumiii</v>
      </c>
    </row>
    <row r="7637" spans="1:3" x14ac:dyDescent="0.25">
      <c r="A7637" s="2" t="str">
        <f ca="1">IFERROR(__xludf.DUMMYFUNCTION("""COMPUTED_VALUE"""),"lumin")</f>
        <v>lumin</v>
      </c>
      <c r="B7637" s="2" t="str">
        <f ca="1">IFERROR(__xludf.DUMMYFUNCTION("""COMPUTED_VALUE"""),"lumin")</f>
        <v>lumin</v>
      </c>
      <c r="C7637" s="2" t="str">
        <f ca="1">IFERROR(__xludf.DUMMYFUNCTION("""COMPUTED_VALUE"""),"Lumin")</f>
        <v>Lumin</v>
      </c>
    </row>
    <row r="7638" spans="1:3" x14ac:dyDescent="0.25">
      <c r="A7638" s="2" t="str">
        <f ca="1">IFERROR(__xludf.DUMMYFUNCTION("""COMPUTED_VALUE"""),"luminai")</f>
        <v>luminai</v>
      </c>
      <c r="B7638" s="2" t="str">
        <f ca="1">IFERROR(__xludf.DUMMYFUNCTION("""COMPUTED_VALUE"""),"lumai")</f>
        <v>lumai</v>
      </c>
      <c r="C7638" s="2" t="str">
        <f ca="1">IFERROR(__xludf.DUMMYFUNCTION("""COMPUTED_VALUE"""),"LuminAi")</f>
        <v>LuminAi</v>
      </c>
    </row>
    <row r="7639" spans="1:3" x14ac:dyDescent="0.25">
      <c r="A7639" s="2" t="str">
        <f ca="1">IFERROR(__xludf.DUMMYFUNCTION("""COMPUTED_VALUE"""),"lumishare")</f>
        <v>lumishare</v>
      </c>
      <c r="B7639" s="2" t="str">
        <f ca="1">IFERROR(__xludf.DUMMYFUNCTION("""COMPUTED_VALUE"""),"lumi")</f>
        <v>lumi</v>
      </c>
      <c r="C7639" s="2" t="str">
        <f ca="1">IFERROR(__xludf.DUMMYFUNCTION("""COMPUTED_VALUE"""),"Lumishare")</f>
        <v>Lumishare</v>
      </c>
    </row>
    <row r="7640" spans="1:3" x14ac:dyDescent="0.25">
      <c r="A7640" s="2" t="str">
        <f ca="1">IFERROR(__xludf.DUMMYFUNCTION("""COMPUTED_VALUE"""),"lumiterra-totem-404")</f>
        <v>lumiterra-totem-404</v>
      </c>
      <c r="B7640" s="2" t="str">
        <f ca="1">IFERROR(__xludf.DUMMYFUNCTION("""COMPUTED_VALUE"""),"ltm04")</f>
        <v>ltm04</v>
      </c>
      <c r="C7640" s="2" t="str">
        <f ca="1">IFERROR(__xludf.DUMMYFUNCTION("""COMPUTED_VALUE"""),"LumiTerra Totem 404")</f>
        <v>LumiTerra Totem 404</v>
      </c>
    </row>
    <row r="7641" spans="1:3" x14ac:dyDescent="0.25">
      <c r="A7641" s="2" t="str">
        <f ca="1">IFERROR(__xludf.DUMMYFUNCTION("""COMPUTED_VALUE"""),"lumi-to-da-moon")</f>
        <v>lumi-to-da-moon</v>
      </c>
      <c r="B7641" s="2" t="str">
        <f ca="1">IFERROR(__xludf.DUMMYFUNCTION("""COMPUTED_VALUE"""),"ludamoon")</f>
        <v>ludamoon</v>
      </c>
      <c r="C7641" s="2" t="str">
        <f ca="1">IFERROR(__xludf.DUMMYFUNCTION("""COMPUTED_VALUE"""),"Lumi to da moon")</f>
        <v>Lumi to da moon</v>
      </c>
    </row>
    <row r="7642" spans="1:3" x14ac:dyDescent="0.25">
      <c r="A7642" s="2" t="str">
        <f ca="1">IFERROR(__xludf.DUMMYFUNCTION("""COMPUTED_VALUE"""),"lum-network")</f>
        <v>lum-network</v>
      </c>
      <c r="B7642" s="2" t="str">
        <f ca="1">IFERROR(__xludf.DUMMYFUNCTION("""COMPUTED_VALUE"""),"lum")</f>
        <v>lum</v>
      </c>
      <c r="C7642" s="2" t="str">
        <f ca="1">IFERROR(__xludf.DUMMYFUNCTION("""COMPUTED_VALUE"""),"Lum Network")</f>
        <v>Lum Network</v>
      </c>
    </row>
    <row r="7643" spans="1:3" x14ac:dyDescent="0.25">
      <c r="A7643" s="2" t="str">
        <f ca="1">IFERROR(__xludf.DUMMYFUNCTION("""COMPUTED_VALUE"""),"lumoscoin")</f>
        <v>lumoscoin</v>
      </c>
      <c r="B7643" s="2" t="str">
        <f ca="1">IFERROR(__xludf.DUMMYFUNCTION("""COMPUTED_VALUE"""),"lumos")</f>
        <v>lumos</v>
      </c>
      <c r="C7643" s="2" t="str">
        <f ca="1">IFERROR(__xludf.DUMMYFUNCTION("""COMPUTED_VALUE"""),"Lumos")</f>
        <v>Lumos</v>
      </c>
    </row>
    <row r="7644" spans="1:3" x14ac:dyDescent="0.25">
      <c r="A7644" s="2" t="str">
        <f ca="1">IFERROR(__xludf.DUMMYFUNCTION("""COMPUTED_VALUE"""),"lumox-studio")</f>
        <v>lumox-studio</v>
      </c>
      <c r="B7644" s="2" t="str">
        <f ca="1">IFERROR(__xludf.DUMMYFUNCTION("""COMPUTED_VALUE"""),"lumox")</f>
        <v>lumox</v>
      </c>
      <c r="C7644" s="2" t="str">
        <f ca="1">IFERROR(__xludf.DUMMYFUNCTION("""COMPUTED_VALUE"""),"Lumox Studio")</f>
        <v>Lumox Studio</v>
      </c>
    </row>
    <row r="7645" spans="1:3" x14ac:dyDescent="0.25">
      <c r="A7645" s="2" t="str">
        <f ca="1">IFERROR(__xludf.DUMMYFUNCTION("""COMPUTED_VALUE"""),"luna28")</f>
        <v>luna28</v>
      </c>
      <c r="B7645" s="2" t="str">
        <f ca="1">IFERROR(__xludf.DUMMYFUNCTION("""COMPUTED_VALUE"""),"$luna")</f>
        <v>$luna</v>
      </c>
      <c r="C7645" s="2" t="str">
        <f ca="1">IFERROR(__xludf.DUMMYFUNCTION("""COMPUTED_VALUE"""),"Luna28")</f>
        <v>Luna28</v>
      </c>
    </row>
    <row r="7646" spans="1:3" x14ac:dyDescent="0.25">
      <c r="A7646" s="2" t="str">
        <f ca="1">IFERROR(__xludf.DUMMYFUNCTION("""COMPUTED_VALUE"""),"lunachow")</f>
        <v>lunachow</v>
      </c>
      <c r="B7646" s="2" t="str">
        <f ca="1">IFERROR(__xludf.DUMMYFUNCTION("""COMPUTED_VALUE"""),"luchow")</f>
        <v>luchow</v>
      </c>
      <c r="C7646" s="2" t="str">
        <f ca="1">IFERROR(__xludf.DUMMYFUNCTION("""COMPUTED_VALUE"""),"LunaChow")</f>
        <v>LunaChow</v>
      </c>
    </row>
    <row r="7647" spans="1:3" x14ac:dyDescent="0.25">
      <c r="A7647" s="2" t="str">
        <f ca="1">IFERROR(__xludf.DUMMYFUNCTION("""COMPUTED_VALUE"""),"lunadoge")</f>
        <v>lunadoge</v>
      </c>
      <c r="B7647" s="2" t="str">
        <f ca="1">IFERROR(__xludf.DUMMYFUNCTION("""COMPUTED_VALUE"""),"loge")</f>
        <v>loge</v>
      </c>
      <c r="C7647" s="2" t="str">
        <f ca="1">IFERROR(__xludf.DUMMYFUNCTION("""COMPUTED_VALUE"""),"LunaDoge")</f>
        <v>LunaDoge</v>
      </c>
    </row>
    <row r="7648" spans="1:3" x14ac:dyDescent="0.25">
      <c r="A7648" s="2" t="str">
        <f ca="1">IFERROR(__xludf.DUMMYFUNCTION("""COMPUTED_VALUE"""),"lunafi")</f>
        <v>lunafi</v>
      </c>
      <c r="B7648" s="2" t="str">
        <f ca="1">IFERROR(__xludf.DUMMYFUNCTION("""COMPUTED_VALUE"""),"lfi")</f>
        <v>lfi</v>
      </c>
      <c r="C7648" s="2" t="str">
        <f ca="1">IFERROR(__xludf.DUMMYFUNCTION("""COMPUTED_VALUE"""),"Lunafi")</f>
        <v>Lunafi</v>
      </c>
    </row>
    <row r="7649" spans="1:3" x14ac:dyDescent="0.25">
      <c r="A7649" s="2" t="str">
        <f ca="1">IFERROR(__xludf.DUMMYFUNCTION("""COMPUTED_VALUE"""),"lunagens")</f>
        <v>lunagens</v>
      </c>
      <c r="B7649" s="2" t="str">
        <f ca="1">IFERROR(__xludf.DUMMYFUNCTION("""COMPUTED_VALUE"""),"lung")</f>
        <v>lung</v>
      </c>
      <c r="C7649" s="2" t="str">
        <f ca="1">IFERROR(__xludf.DUMMYFUNCTION("""COMPUTED_VALUE"""),"LunaGens")</f>
        <v>LunaGens</v>
      </c>
    </row>
    <row r="7650" spans="1:3" x14ac:dyDescent="0.25">
      <c r="A7650" s="2" t="str">
        <f ca="1">IFERROR(__xludf.DUMMYFUNCTION("""COMPUTED_VALUE"""),"luna-inu")</f>
        <v>luna-inu</v>
      </c>
      <c r="B7650" s="2" t="str">
        <f ca="1">IFERROR(__xludf.DUMMYFUNCTION("""COMPUTED_VALUE"""),"linu")</f>
        <v>linu</v>
      </c>
      <c r="C7650" s="2" t="str">
        <f ca="1">IFERROR(__xludf.DUMMYFUNCTION("""COMPUTED_VALUE"""),"Luna Inu")</f>
        <v>Luna Inu</v>
      </c>
    </row>
    <row r="7651" spans="1:3" x14ac:dyDescent="0.25">
      <c r="A7651" s="2" t="str">
        <f ca="1">IFERROR(__xludf.DUMMYFUNCTION("""COMPUTED_VALUE"""),"lunar-2")</f>
        <v>lunar-2</v>
      </c>
      <c r="B7651" s="2" t="str">
        <f ca="1">IFERROR(__xludf.DUMMYFUNCTION("""COMPUTED_VALUE"""),"lnr")</f>
        <v>lnr</v>
      </c>
      <c r="C7651" s="2" t="str">
        <f ca="1">IFERROR(__xludf.DUMMYFUNCTION("""COMPUTED_VALUE"""),"Lunar")</f>
        <v>Lunar</v>
      </c>
    </row>
    <row r="7652" spans="1:3" x14ac:dyDescent="0.25">
      <c r="A7652" s="2" t="str">
        <f ca="1">IFERROR(__xludf.DUMMYFUNCTION("""COMPUTED_VALUE"""),"lunar-3")</f>
        <v>lunar-3</v>
      </c>
      <c r="B7652" s="2" t="str">
        <f ca="1">IFERROR(__xludf.DUMMYFUNCTION("""COMPUTED_VALUE"""),"lunar")</f>
        <v>lunar</v>
      </c>
      <c r="C7652" s="2" t="str">
        <f ca="1">IFERROR(__xludf.DUMMYFUNCTION("""COMPUTED_VALUE"""),"Lunar")</f>
        <v>Lunar</v>
      </c>
    </row>
    <row r="7653" spans="1:3" x14ac:dyDescent="0.25">
      <c r="A7653" s="2" t="str">
        <f ca="1">IFERROR(__xludf.DUMMYFUNCTION("""COMPUTED_VALUE"""),"lunarium")</f>
        <v>lunarium</v>
      </c>
      <c r="B7653" s="2" t="str">
        <f ca="1">IFERROR(__xludf.DUMMYFUNCTION("""COMPUTED_VALUE"""),"xln")</f>
        <v>xln</v>
      </c>
      <c r="C7653" s="2" t="str">
        <f ca="1">IFERROR(__xludf.DUMMYFUNCTION("""COMPUTED_VALUE"""),"Lunarium")</f>
        <v>Lunarium</v>
      </c>
    </row>
    <row r="7654" spans="1:3" x14ac:dyDescent="0.25">
      <c r="A7654" s="2" t="str">
        <f ca="1">IFERROR(__xludf.DUMMYFUNCTION("""COMPUTED_VALUE"""),"lunarlens")</f>
        <v>lunarlens</v>
      </c>
      <c r="B7654" s="2" t="str">
        <f ca="1">IFERROR(__xludf.DUMMYFUNCTION("""COMPUTED_VALUE"""),"lunarlens")</f>
        <v>lunarlens</v>
      </c>
      <c r="C7654" s="2" t="str">
        <f ca="1">IFERROR(__xludf.DUMMYFUNCTION("""COMPUTED_VALUE"""),"Lunarlens")</f>
        <v>Lunarlens</v>
      </c>
    </row>
    <row r="7655" spans="1:3" x14ac:dyDescent="0.25">
      <c r="A7655" s="2" t="str">
        <f ca="1">IFERROR(__xludf.DUMMYFUNCTION("""COMPUTED_VALUE"""),"luna-rush")</f>
        <v>luna-rush</v>
      </c>
      <c r="B7655" s="2" t="str">
        <f ca="1">IFERROR(__xludf.DUMMYFUNCTION("""COMPUTED_VALUE"""),"lus")</f>
        <v>lus</v>
      </c>
      <c r="C7655" s="2" t="str">
        <f ca="1">IFERROR(__xludf.DUMMYFUNCTION("""COMPUTED_VALUE"""),"Luna Rush")</f>
        <v>Luna Rush</v>
      </c>
    </row>
    <row r="7656" spans="1:3" x14ac:dyDescent="0.25">
      <c r="A7656" s="2" t="str">
        <f ca="1">IFERROR(__xludf.DUMMYFUNCTION("""COMPUTED_VALUE"""),"lunatics")</f>
        <v>lunatics</v>
      </c>
      <c r="B7656" s="2" t="str">
        <f ca="1">IFERROR(__xludf.DUMMYFUNCTION("""COMPUTED_VALUE"""),"lunat")</f>
        <v>lunat</v>
      </c>
      <c r="C7656" s="2" t="str">
        <f ca="1">IFERROR(__xludf.DUMMYFUNCTION("""COMPUTED_VALUE"""),"Lunatics")</f>
        <v>Lunatics</v>
      </c>
    </row>
    <row r="7657" spans="1:3" x14ac:dyDescent="0.25">
      <c r="A7657" s="2" t="str">
        <f ca="1">IFERROR(__xludf.DUMMYFUNCTION("""COMPUTED_VALUE"""),"luna-wormhole")</f>
        <v>luna-wormhole</v>
      </c>
      <c r="B7657" s="2" t="str">
        <f ca="1">IFERROR(__xludf.DUMMYFUNCTION("""COMPUTED_VALUE"""),"lunc")</f>
        <v>lunc</v>
      </c>
      <c r="C7657" s="2" t="str">
        <f ca="1">IFERROR(__xludf.DUMMYFUNCTION("""COMPUTED_VALUE"""),"Terra Classic (Wormhole)")</f>
        <v>Terra Classic (Wormhole)</v>
      </c>
    </row>
    <row r="7658" spans="1:3" x14ac:dyDescent="0.25">
      <c r="A7658" s="2" t="str">
        <f ca="1">IFERROR(__xludf.DUMMYFUNCTION("""COMPUTED_VALUE"""),"luncarmy")</f>
        <v>luncarmy</v>
      </c>
      <c r="B7658" s="2" t="str">
        <f ca="1">IFERROR(__xludf.DUMMYFUNCTION("""COMPUTED_VALUE"""),"luncarmy")</f>
        <v>luncarmy</v>
      </c>
      <c r="C7658" s="2" t="str">
        <f ca="1">IFERROR(__xludf.DUMMYFUNCTION("""COMPUTED_VALUE"""),"LUNCARMY")</f>
        <v>LUNCARMY</v>
      </c>
    </row>
    <row r="7659" spans="1:3" x14ac:dyDescent="0.25">
      <c r="A7659" s="2" t="str">
        <f ca="1">IFERROR(__xludf.DUMMYFUNCTION("""COMPUTED_VALUE"""),"lunchdao")</f>
        <v>lunchdao</v>
      </c>
      <c r="B7659" s="2" t="str">
        <f ca="1">IFERROR(__xludf.DUMMYFUNCTION("""COMPUTED_VALUE"""),"lunch")</f>
        <v>lunch</v>
      </c>
      <c r="C7659" s="2" t="str">
        <f ca="1">IFERROR(__xludf.DUMMYFUNCTION("""COMPUTED_VALUE"""),"LunchDAO")</f>
        <v>LunchDAO</v>
      </c>
    </row>
    <row r="7660" spans="1:3" x14ac:dyDescent="0.25">
      <c r="A7660" s="2" t="str">
        <f ca="1">IFERROR(__xludf.DUMMYFUNCTION("""COMPUTED_VALUE"""),"luneko")</f>
        <v>luneko</v>
      </c>
      <c r="B7660" s="2" t="str">
        <f ca="1">IFERROR(__xludf.DUMMYFUNCTION("""COMPUTED_VALUE"""),"lune")</f>
        <v>lune</v>
      </c>
      <c r="C7660" s="2" t="str">
        <f ca="1">IFERROR(__xludf.DUMMYFUNCTION("""COMPUTED_VALUE"""),"Luneko")</f>
        <v>Luneko</v>
      </c>
    </row>
    <row r="7661" spans="1:3" x14ac:dyDescent="0.25">
      <c r="A7661" s="2" t="str">
        <f ca="1">IFERROR(__xludf.DUMMYFUNCTION("""COMPUTED_VALUE"""),"lunex")</f>
        <v>lunex</v>
      </c>
      <c r="B7661" s="2" t="str">
        <f ca="1">IFERROR(__xludf.DUMMYFUNCTION("""COMPUTED_VALUE"""),"lnex")</f>
        <v>lnex</v>
      </c>
      <c r="C7661" s="2" t="str">
        <f ca="1">IFERROR(__xludf.DUMMYFUNCTION("""COMPUTED_VALUE"""),"Lunex Network")</f>
        <v>Lunex Network</v>
      </c>
    </row>
    <row r="7662" spans="1:3" x14ac:dyDescent="0.25">
      <c r="A7662" s="2" t="str">
        <f ca="1">IFERROR(__xludf.DUMMYFUNCTION("""COMPUTED_VALUE"""),"lunr-token")</f>
        <v>lunr-token</v>
      </c>
      <c r="B7662" s="2" t="str">
        <f ca="1">IFERROR(__xludf.DUMMYFUNCTION("""COMPUTED_VALUE"""),"lunr")</f>
        <v>lunr</v>
      </c>
      <c r="C7662" s="2" t="str">
        <f ca="1">IFERROR(__xludf.DUMMYFUNCTION("""COMPUTED_VALUE"""),"LunarCrush")</f>
        <v>LunarCrush</v>
      </c>
    </row>
    <row r="7663" spans="1:3" x14ac:dyDescent="0.25">
      <c r="A7663" s="2" t="str">
        <f ca="1">IFERROR(__xludf.DUMMYFUNCTION("""COMPUTED_VALUE"""),"lunyr")</f>
        <v>lunyr</v>
      </c>
      <c r="B7663" s="2" t="str">
        <f ca="1">IFERROR(__xludf.DUMMYFUNCTION("""COMPUTED_VALUE"""),"lun")</f>
        <v>lun</v>
      </c>
      <c r="C7663" s="2" t="str">
        <f ca="1">IFERROR(__xludf.DUMMYFUNCTION("""COMPUTED_VALUE"""),"Lunyr")</f>
        <v>Lunyr</v>
      </c>
    </row>
    <row r="7664" spans="1:3" x14ac:dyDescent="0.25">
      <c r="A7664" s="2" t="str">
        <f ca="1">IFERROR(__xludf.DUMMYFUNCTION("""COMPUTED_VALUE"""),"lusd")</f>
        <v>lusd</v>
      </c>
      <c r="B7664" s="2" t="str">
        <f ca="1">IFERROR(__xludf.DUMMYFUNCTION("""COMPUTED_VALUE"""),"lusd")</f>
        <v>lusd</v>
      </c>
      <c r="C7664" s="2" t="str">
        <f ca="1">IFERROR(__xludf.DUMMYFUNCTION("""COMPUTED_VALUE"""),"LUSD [OLD]")</f>
        <v>LUSD [OLD]</v>
      </c>
    </row>
    <row r="7665" spans="1:3" x14ac:dyDescent="0.25">
      <c r="A7665" s="2" t="str">
        <f ca="1">IFERROR(__xludf.DUMMYFUNCTION("""COMPUTED_VALUE"""),"lusd-2")</f>
        <v>lusd-2</v>
      </c>
      <c r="B7665" s="2" t="str">
        <f ca="1">IFERROR(__xludf.DUMMYFUNCTION("""COMPUTED_VALUE"""),"lusd")</f>
        <v>lusd</v>
      </c>
      <c r="C7665" s="2" t="str">
        <f ca="1">IFERROR(__xludf.DUMMYFUNCTION("""COMPUTED_VALUE"""),"LUSD")</f>
        <v>LUSD</v>
      </c>
    </row>
    <row r="7666" spans="1:3" x14ac:dyDescent="0.25">
      <c r="A7666" s="2" t="str">
        <f ca="1">IFERROR(__xludf.DUMMYFUNCTION("""COMPUTED_VALUE"""),"lusd-yvault")</f>
        <v>lusd-yvault</v>
      </c>
      <c r="B7666" s="2" t="str">
        <f ca="1">IFERROR(__xludf.DUMMYFUNCTION("""COMPUTED_VALUE"""),"yvlusd")</f>
        <v>yvlusd</v>
      </c>
      <c r="C7666" s="2" t="str">
        <f ca="1">IFERROR(__xludf.DUMMYFUNCTION("""COMPUTED_VALUE"""),"LUSD yVault")</f>
        <v>LUSD yVault</v>
      </c>
    </row>
    <row r="7667" spans="1:3" x14ac:dyDescent="0.25">
      <c r="A7667" s="2" t="str">
        <f ca="1">IFERROR(__xludf.DUMMYFUNCTION("""COMPUTED_VALUE"""),"lush-ai")</f>
        <v>lush-ai</v>
      </c>
      <c r="B7667" s="2" t="str">
        <f ca="1">IFERROR(__xludf.DUMMYFUNCTION("""COMPUTED_VALUE"""),"lush")</f>
        <v>lush</v>
      </c>
      <c r="C7667" s="2" t="str">
        <f ca="1">IFERROR(__xludf.DUMMYFUNCTION("""COMPUTED_VALUE"""),"LushAI")</f>
        <v>LushAI</v>
      </c>
    </row>
    <row r="7668" spans="1:3" x14ac:dyDescent="0.25">
      <c r="A7668" s="2" t="str">
        <f ca="1">IFERROR(__xludf.DUMMYFUNCTION("""COMPUTED_VALUE"""),"luv")</f>
        <v>luv</v>
      </c>
      <c r="B7668" s="2" t="str">
        <f ca="1">IFERROR(__xludf.DUMMYFUNCTION("""COMPUTED_VALUE"""),"luv")</f>
        <v>luv</v>
      </c>
      <c r="C7668" s="2" t="str">
        <f ca="1">IFERROR(__xludf.DUMMYFUNCTION("""COMPUTED_VALUE"""),"LUV")</f>
        <v>LUV</v>
      </c>
    </row>
    <row r="7669" spans="1:3" x14ac:dyDescent="0.25">
      <c r="A7669" s="2" t="str">
        <f ca="1">IFERROR(__xludf.DUMMYFUNCTION("""COMPUTED_VALUE"""),"lux-bio-exchange-coin")</f>
        <v>lux-bio-exchange-coin</v>
      </c>
      <c r="B7669" s="2" t="str">
        <f ca="1">IFERROR(__xludf.DUMMYFUNCTION("""COMPUTED_VALUE"""),"lbxc")</f>
        <v>lbxc</v>
      </c>
      <c r="C7669" s="2" t="str">
        <f ca="1">IFERROR(__xludf.DUMMYFUNCTION("""COMPUTED_VALUE"""),"LUX BIO EXCHANGE COIN")</f>
        <v>LUX BIO EXCHANGE COIN</v>
      </c>
    </row>
    <row r="7670" spans="1:3" x14ac:dyDescent="0.25">
      <c r="A7670" s="2" t="str">
        <f ca="1">IFERROR(__xludf.DUMMYFUNCTION("""COMPUTED_VALUE"""),"luxcoin")</f>
        <v>luxcoin</v>
      </c>
      <c r="B7670" s="2" t="str">
        <f ca="1">IFERROR(__xludf.DUMMYFUNCTION("""COMPUTED_VALUE"""),"lux")</f>
        <v>lux</v>
      </c>
      <c r="C7670" s="2" t="str">
        <f ca="1">IFERROR(__xludf.DUMMYFUNCTION("""COMPUTED_VALUE"""),"LUXCoin")</f>
        <v>LUXCoin</v>
      </c>
    </row>
    <row r="7671" spans="1:3" x14ac:dyDescent="0.25">
      <c r="A7671" s="2" t="str">
        <f ca="1">IFERROR(__xludf.DUMMYFUNCTION("""COMPUTED_VALUE"""),"luxkingtech")</f>
        <v>luxkingtech</v>
      </c>
      <c r="B7671" s="2" t="str">
        <f ca="1">IFERROR(__xludf.DUMMYFUNCTION("""COMPUTED_VALUE"""),"lkt")</f>
        <v>lkt</v>
      </c>
      <c r="C7671" s="2" t="str">
        <f ca="1">IFERROR(__xludf.DUMMYFUNCTION("""COMPUTED_VALUE"""),"LuxKingTech")</f>
        <v>LuxKingTech</v>
      </c>
    </row>
    <row r="7672" spans="1:3" x14ac:dyDescent="0.25">
      <c r="A7672" s="2" t="str">
        <f ca="1">IFERROR(__xludf.DUMMYFUNCTION("""COMPUTED_VALUE"""),"luxury-travel-token")</f>
        <v>luxury-travel-token</v>
      </c>
      <c r="B7672" s="2" t="str">
        <f ca="1">IFERROR(__xludf.DUMMYFUNCTION("""COMPUTED_VALUE"""),"ltt")</f>
        <v>ltt</v>
      </c>
      <c r="C7672" s="2" t="str">
        <f ca="1">IFERROR(__xludf.DUMMYFUNCTION("""COMPUTED_VALUE"""),"Luxury Travel Token")</f>
        <v>Luxury Travel Token</v>
      </c>
    </row>
    <row r="7673" spans="1:3" x14ac:dyDescent="0.25">
      <c r="A7673" s="2" t="str">
        <f ca="1">IFERROR(__xludf.DUMMYFUNCTION("""COMPUTED_VALUE"""),"luxy")</f>
        <v>luxy</v>
      </c>
      <c r="B7673" s="2" t="str">
        <f ca="1">IFERROR(__xludf.DUMMYFUNCTION("""COMPUTED_VALUE"""),"luxy")</f>
        <v>luxy</v>
      </c>
      <c r="C7673" s="2" t="str">
        <f ca="1">IFERROR(__xludf.DUMMYFUNCTION("""COMPUTED_VALUE"""),"Luxy")</f>
        <v>Luxy</v>
      </c>
    </row>
    <row r="7674" spans="1:3" x14ac:dyDescent="0.25">
      <c r="A7674" s="2" t="str">
        <f ca="1">IFERROR(__xludf.DUMMYFUNCTION("""COMPUTED_VALUE"""),"lvusd")</f>
        <v>lvusd</v>
      </c>
      <c r="B7674" s="2" t="str">
        <f ca="1">IFERROR(__xludf.DUMMYFUNCTION("""COMPUTED_VALUE"""),"lvusd")</f>
        <v>lvusd</v>
      </c>
      <c r="C7674" s="2" t="str">
        <f ca="1">IFERROR(__xludf.DUMMYFUNCTION("""COMPUTED_VALUE"""),"lvUSD")</f>
        <v>lvUSD</v>
      </c>
    </row>
    <row r="7675" spans="1:3" x14ac:dyDescent="0.25">
      <c r="A7675" s="2" t="str">
        <f ca="1">IFERROR(__xludf.DUMMYFUNCTION("""COMPUTED_VALUE"""),"lxly-bridged-usdc-astar-zkevm")</f>
        <v>lxly-bridged-usdc-astar-zkevm</v>
      </c>
      <c r="B7675" s="2" t="str">
        <f ca="1">IFERROR(__xludf.DUMMYFUNCTION("""COMPUTED_VALUE"""),"usdc")</f>
        <v>usdc</v>
      </c>
      <c r="C7675" s="2" t="str">
        <f ca="1">IFERROR(__xludf.DUMMYFUNCTION("""COMPUTED_VALUE"""),"Astar zkEVM Bridged USDC (Astar zkEVM)")</f>
        <v>Astar zkEVM Bridged USDC (Astar zkEVM)</v>
      </c>
    </row>
    <row r="7676" spans="1:3" x14ac:dyDescent="0.25">
      <c r="A7676" s="2" t="str">
        <f ca="1">IFERROR(__xludf.DUMMYFUNCTION("""COMPUTED_VALUE"""),"lxly-bridged-usdt-astar-zkevm")</f>
        <v>lxly-bridged-usdt-astar-zkevm</v>
      </c>
      <c r="B7676" s="2" t="str">
        <f ca="1">IFERROR(__xludf.DUMMYFUNCTION("""COMPUTED_VALUE"""),"usdt")</f>
        <v>usdt</v>
      </c>
      <c r="C7676" s="2" t="str">
        <f ca="1">IFERROR(__xludf.DUMMYFUNCTION("""COMPUTED_VALUE"""),"LxLy Bridged USDT (Astar zkEVM)")</f>
        <v>LxLy Bridged USDT (Astar zkEVM)</v>
      </c>
    </row>
    <row r="7677" spans="1:3" x14ac:dyDescent="0.25">
      <c r="A7677" s="2" t="str">
        <f ca="1">IFERROR(__xludf.DUMMYFUNCTION("""COMPUTED_VALUE"""),"lybra-finance")</f>
        <v>lybra-finance</v>
      </c>
      <c r="B7677" s="2" t="str">
        <f ca="1">IFERROR(__xludf.DUMMYFUNCTION("""COMPUTED_VALUE"""),"lbr")</f>
        <v>lbr</v>
      </c>
      <c r="C7677" s="2" t="str">
        <f ca="1">IFERROR(__xludf.DUMMYFUNCTION("""COMPUTED_VALUE"""),"Lybra")</f>
        <v>Lybra</v>
      </c>
    </row>
    <row r="7678" spans="1:3" x14ac:dyDescent="0.25">
      <c r="A7678" s="2" t="str">
        <f ca="1">IFERROR(__xludf.DUMMYFUNCTION("""COMPUTED_VALUE"""),"lydia-finance")</f>
        <v>lydia-finance</v>
      </c>
      <c r="B7678" s="2" t="str">
        <f ca="1">IFERROR(__xludf.DUMMYFUNCTION("""COMPUTED_VALUE"""),"lyd")</f>
        <v>lyd</v>
      </c>
      <c r="C7678" s="2" t="str">
        <f ca="1">IFERROR(__xludf.DUMMYFUNCTION("""COMPUTED_VALUE"""),"Lydia Finance")</f>
        <v>Lydia Finance</v>
      </c>
    </row>
    <row r="7679" spans="1:3" x14ac:dyDescent="0.25">
      <c r="A7679" s="2" t="str">
        <f ca="1">IFERROR(__xludf.DUMMYFUNCTION("""COMPUTED_VALUE"""),"lyfe-2")</f>
        <v>lyfe-2</v>
      </c>
      <c r="B7679" s="2" t="str">
        <f ca="1">IFERROR(__xludf.DUMMYFUNCTION("""COMPUTED_VALUE"""),"lyfe")</f>
        <v>lyfe</v>
      </c>
      <c r="C7679" s="2" t="str">
        <f ca="1">IFERROR(__xludf.DUMMYFUNCTION("""COMPUTED_VALUE"""),"Lyfe")</f>
        <v>Lyfe</v>
      </c>
    </row>
    <row r="7680" spans="1:3" x14ac:dyDescent="0.25">
      <c r="A7680" s="2" t="str">
        <f ca="1">IFERROR(__xludf.DUMMYFUNCTION("""COMPUTED_VALUE"""),"lyfebloc")</f>
        <v>lyfebloc</v>
      </c>
      <c r="B7680" s="2" t="str">
        <f ca="1">IFERROR(__xludf.DUMMYFUNCTION("""COMPUTED_VALUE"""),"lbt")</f>
        <v>lbt</v>
      </c>
      <c r="C7680" s="2" t="str">
        <f ca="1">IFERROR(__xludf.DUMMYFUNCTION("""COMPUTED_VALUE"""),"Lyfebloc")</f>
        <v>Lyfebloc</v>
      </c>
    </row>
    <row r="7681" spans="1:3" x14ac:dyDescent="0.25">
      <c r="A7681" s="2" t="str">
        <f ca="1">IFERROR(__xludf.DUMMYFUNCTION("""COMPUTED_VALUE"""),"lyfe-gold")</f>
        <v>lyfe-gold</v>
      </c>
      <c r="B7681" s="2" t="str">
        <f ca="1">IFERROR(__xludf.DUMMYFUNCTION("""COMPUTED_VALUE"""),"lgold")</f>
        <v>lgold</v>
      </c>
      <c r="C7681" s="2" t="str">
        <f ca="1">IFERROR(__xludf.DUMMYFUNCTION("""COMPUTED_VALUE"""),"Lyfe Gold")</f>
        <v>Lyfe Gold</v>
      </c>
    </row>
    <row r="7682" spans="1:3" x14ac:dyDescent="0.25">
      <c r="A7682" s="2" t="str">
        <f ca="1">IFERROR(__xludf.DUMMYFUNCTION("""COMPUTED_VALUE"""),"lympo")</f>
        <v>lympo</v>
      </c>
      <c r="B7682" s="2" t="str">
        <f ca="1">IFERROR(__xludf.DUMMYFUNCTION("""COMPUTED_VALUE"""),"lym")</f>
        <v>lym</v>
      </c>
      <c r="C7682" s="2" t="str">
        <f ca="1">IFERROR(__xludf.DUMMYFUNCTION("""COMPUTED_VALUE"""),"Lympo")</f>
        <v>Lympo</v>
      </c>
    </row>
    <row r="7683" spans="1:3" x14ac:dyDescent="0.25">
      <c r="A7683" s="2" t="str">
        <f ca="1">IFERROR(__xludf.DUMMYFUNCTION("""COMPUTED_VALUE"""),"lympo-market-token")</f>
        <v>lympo-market-token</v>
      </c>
      <c r="B7683" s="2" t="str">
        <f ca="1">IFERROR(__xludf.DUMMYFUNCTION("""COMPUTED_VALUE"""),"lmt")</f>
        <v>lmt</v>
      </c>
      <c r="C7683" s="2" t="str">
        <f ca="1">IFERROR(__xludf.DUMMYFUNCTION("""COMPUTED_VALUE"""),"Lympo Market")</f>
        <v>Lympo Market</v>
      </c>
    </row>
    <row r="7684" spans="1:3" x14ac:dyDescent="0.25">
      <c r="A7684" s="2" t="str">
        <f ca="1">IFERROR(__xludf.DUMMYFUNCTION("""COMPUTED_VALUE"""),"lyncoin")</f>
        <v>lyncoin</v>
      </c>
      <c r="B7684" s="2" t="str">
        <f ca="1">IFERROR(__xludf.DUMMYFUNCTION("""COMPUTED_VALUE"""),"lcn")</f>
        <v>lcn</v>
      </c>
      <c r="C7684" s="2" t="str">
        <f ca="1">IFERROR(__xludf.DUMMYFUNCTION("""COMPUTED_VALUE"""),"Lyncoin")</f>
        <v>Lyncoin</v>
      </c>
    </row>
    <row r="7685" spans="1:3" x14ac:dyDescent="0.25">
      <c r="A7685" s="2" t="str">
        <f ca="1">IFERROR(__xludf.DUMMYFUNCTION("""COMPUTED_VALUE"""),"lynex")</f>
        <v>lynex</v>
      </c>
      <c r="B7685" s="2" t="str">
        <f ca="1">IFERROR(__xludf.DUMMYFUNCTION("""COMPUTED_VALUE"""),"lynx")</f>
        <v>lynx</v>
      </c>
      <c r="C7685" s="2" t="str">
        <f ca="1">IFERROR(__xludf.DUMMYFUNCTION("""COMPUTED_VALUE"""),"Lynex")</f>
        <v>Lynex</v>
      </c>
    </row>
    <row r="7686" spans="1:3" x14ac:dyDescent="0.25">
      <c r="A7686" s="2" t="str">
        <f ca="1">IFERROR(__xludf.DUMMYFUNCTION("""COMPUTED_VALUE"""),"lynx")</f>
        <v>lynx</v>
      </c>
      <c r="B7686" s="2" t="str">
        <f ca="1">IFERROR(__xludf.DUMMYFUNCTION("""COMPUTED_VALUE"""),"lynx")</f>
        <v>lynx</v>
      </c>
      <c r="C7686" s="2" t="str">
        <f ca="1">IFERROR(__xludf.DUMMYFUNCTION("""COMPUTED_VALUE"""),"Lynx")</f>
        <v>Lynx</v>
      </c>
    </row>
    <row r="7687" spans="1:3" x14ac:dyDescent="0.25">
      <c r="A7687" s="2" t="str">
        <f ca="1">IFERROR(__xludf.DUMMYFUNCTION("""COMPUTED_VALUE"""),"lyptus-token")</f>
        <v>lyptus-token</v>
      </c>
      <c r="B7687" s="2" t="str">
        <f ca="1">IFERROR(__xludf.DUMMYFUNCTION("""COMPUTED_VALUE"""),"lyptus")</f>
        <v>lyptus</v>
      </c>
      <c r="C7687" s="2" t="str">
        <f ca="1">IFERROR(__xludf.DUMMYFUNCTION("""COMPUTED_VALUE"""),"Lyptus")</f>
        <v>Lyptus</v>
      </c>
    </row>
    <row r="7688" spans="1:3" x14ac:dyDescent="0.25">
      <c r="A7688" s="2" t="str">
        <f ca="1">IFERROR(__xludf.DUMMYFUNCTION("""COMPUTED_VALUE"""),"lyra-2")</f>
        <v>lyra-2</v>
      </c>
      <c r="B7688" s="2" t="str">
        <f ca="1">IFERROR(__xludf.DUMMYFUNCTION("""COMPUTED_VALUE"""),"lyra")</f>
        <v>lyra</v>
      </c>
      <c r="C7688" s="2" t="str">
        <f ca="1">IFERROR(__xludf.DUMMYFUNCTION("""COMPUTED_VALUE"""),"Lyra")</f>
        <v>Lyra</v>
      </c>
    </row>
    <row r="7689" spans="1:3" x14ac:dyDescent="0.25">
      <c r="A7689" s="2" t="str">
        <f ca="1">IFERROR(__xludf.DUMMYFUNCTION("""COMPUTED_VALUE"""),"lyra-finance")</f>
        <v>lyra-finance</v>
      </c>
      <c r="B7689" s="2" t="str">
        <f ca="1">IFERROR(__xludf.DUMMYFUNCTION("""COMPUTED_VALUE"""),"lyra")</f>
        <v>lyra</v>
      </c>
      <c r="C7689" s="2" t="str">
        <f ca="1">IFERROR(__xludf.DUMMYFUNCTION("""COMPUTED_VALUE"""),"Lyra Finance")</f>
        <v>Lyra Finance</v>
      </c>
    </row>
    <row r="7690" spans="1:3" x14ac:dyDescent="0.25">
      <c r="A7690" s="2" t="str">
        <f ca="1">IFERROR(__xludf.DUMMYFUNCTION("""COMPUTED_VALUE"""),"lyvely")</f>
        <v>lyvely</v>
      </c>
      <c r="B7690" s="2" t="str">
        <f ca="1">IFERROR(__xludf.DUMMYFUNCTION("""COMPUTED_VALUE"""),"lvly")</f>
        <v>lvly</v>
      </c>
      <c r="C7690" s="2" t="str">
        <f ca="1">IFERROR(__xludf.DUMMYFUNCTION("""COMPUTED_VALUE"""),"Lyvely")</f>
        <v>Lyvely</v>
      </c>
    </row>
    <row r="7691" spans="1:3" x14ac:dyDescent="0.25">
      <c r="A7691" s="2" t="str">
        <f ca="1">IFERROR(__xludf.DUMMYFUNCTION("""COMPUTED_VALUE"""),"lyzi")</f>
        <v>lyzi</v>
      </c>
      <c r="B7691" s="2" t="str">
        <f ca="1">IFERROR(__xludf.DUMMYFUNCTION("""COMPUTED_VALUE"""),"lyzi")</f>
        <v>lyzi</v>
      </c>
      <c r="C7691" s="2" t="str">
        <f ca="1">IFERROR(__xludf.DUMMYFUNCTION("""COMPUTED_VALUE"""),"Lyzi")</f>
        <v>Lyzi</v>
      </c>
    </row>
    <row r="7692" spans="1:3" x14ac:dyDescent="0.25">
      <c r="A7692" s="2" t="str">
        <f ca="1">IFERROR(__xludf.DUMMYFUNCTION("""COMPUTED_VALUE"""),"m2")</f>
        <v>m2</v>
      </c>
      <c r="B7692" s="2" t="str">
        <f ca="1">IFERROR(__xludf.DUMMYFUNCTION("""COMPUTED_VALUE"""),"m2")</f>
        <v>m2</v>
      </c>
      <c r="C7692" s="2" t="str">
        <f ca="1">IFERROR(__xludf.DUMMYFUNCTION("""COMPUTED_VALUE"""),"M2")</f>
        <v>M2</v>
      </c>
    </row>
    <row r="7693" spans="1:3" x14ac:dyDescent="0.25">
      <c r="A7693" s="2" t="str">
        <f ca="1">IFERROR(__xludf.DUMMYFUNCTION("""COMPUTED_VALUE"""),"m-2")</f>
        <v>m-2</v>
      </c>
      <c r="B7693" s="2" t="str">
        <f ca="1">IFERROR(__xludf.DUMMYFUNCTION("""COMPUTED_VALUE"""),"m")</f>
        <v>m</v>
      </c>
      <c r="C7693" s="2" t="str">
        <f ca="1">IFERROR(__xludf.DUMMYFUNCTION("""COMPUTED_VALUE"""),"M")</f>
        <v>M</v>
      </c>
    </row>
    <row r="7694" spans="1:3" x14ac:dyDescent="0.25">
      <c r="A7694" s="2" t="str">
        <f ca="1">IFERROR(__xludf.DUMMYFUNCTION("""COMPUTED_VALUE"""),"m2-global-wealth-limited-mmx")</f>
        <v>m2-global-wealth-limited-mmx</v>
      </c>
      <c r="B7694" s="2" t="str">
        <f ca="1">IFERROR(__xludf.DUMMYFUNCTION("""COMPUTED_VALUE"""),"mmx")</f>
        <v>mmx</v>
      </c>
      <c r="C7694" s="2" t="str">
        <f ca="1">IFERROR(__xludf.DUMMYFUNCTION("""COMPUTED_VALUE"""),"MMX")</f>
        <v>MMX</v>
      </c>
    </row>
    <row r="7695" spans="1:3" x14ac:dyDescent="0.25">
      <c r="A7695" s="2" t="str">
        <f ca="1">IFERROR(__xludf.DUMMYFUNCTION("""COMPUTED_VALUE"""),"maal-chain")</f>
        <v>maal-chain</v>
      </c>
      <c r="B7695" s="2" t="str">
        <f ca="1">IFERROR(__xludf.DUMMYFUNCTION("""COMPUTED_VALUE"""),"maal")</f>
        <v>maal</v>
      </c>
      <c r="C7695" s="2" t="str">
        <f ca="1">IFERROR(__xludf.DUMMYFUNCTION("""COMPUTED_VALUE"""),"Maal Chain")</f>
        <v>Maal Chain</v>
      </c>
    </row>
    <row r="7696" spans="1:3" x14ac:dyDescent="0.25">
      <c r="A7696" s="2" t="str">
        <f ca="1">IFERROR(__xludf.DUMMYFUNCTION("""COMPUTED_VALUE"""),"macaronswap")</f>
        <v>macaronswap</v>
      </c>
      <c r="B7696" s="2" t="str">
        <f ca="1">IFERROR(__xludf.DUMMYFUNCTION("""COMPUTED_VALUE"""),"mcrn")</f>
        <v>mcrn</v>
      </c>
      <c r="C7696" s="2" t="str">
        <f ca="1">IFERROR(__xludf.DUMMYFUNCTION("""COMPUTED_VALUE"""),"MacaronSwap")</f>
        <v>MacaronSwap</v>
      </c>
    </row>
    <row r="7697" spans="1:3" x14ac:dyDescent="0.25">
      <c r="A7697" s="2" t="str">
        <f ca="1">IFERROR(__xludf.DUMMYFUNCTION("""COMPUTED_VALUE"""),"machi")</f>
        <v>machi</v>
      </c>
      <c r="B7697" s="2" t="str">
        <f ca="1">IFERROR(__xludf.DUMMYFUNCTION("""COMPUTED_VALUE"""),"machi")</f>
        <v>machi</v>
      </c>
      <c r="C7697" s="2" t="str">
        <f ca="1">IFERROR(__xludf.DUMMYFUNCTION("""COMPUTED_VALUE"""),"MACHI")</f>
        <v>MACHI</v>
      </c>
    </row>
    <row r="7698" spans="1:3" x14ac:dyDescent="0.25">
      <c r="A7698" s="2" t="str">
        <f ca="1">IFERROR(__xludf.DUMMYFUNCTION("""COMPUTED_VALUE"""),"mackerel-2")</f>
        <v>mackerel-2</v>
      </c>
      <c r="B7698" s="2" t="str">
        <f ca="1">IFERROR(__xludf.DUMMYFUNCTION("""COMPUTED_VALUE"""),"macke")</f>
        <v>macke</v>
      </c>
      <c r="C7698" s="2" t="str">
        <f ca="1">IFERROR(__xludf.DUMMYFUNCTION("""COMPUTED_VALUE"""),"Mackerel")</f>
        <v>Mackerel</v>
      </c>
    </row>
    <row r="7699" spans="1:3" x14ac:dyDescent="0.25">
      <c r="A7699" s="2" t="str">
        <f ca="1">IFERROR(__xludf.DUMMYFUNCTION("""COMPUTED_VALUE"""),"mackerel-packs-runes")</f>
        <v>mackerel-packs-runes</v>
      </c>
      <c r="B7699" s="2" t="str">
        <f ca="1">IFERROR(__xludf.DUMMYFUNCTION("""COMPUTED_VALUE"""),"macks")</f>
        <v>macks</v>
      </c>
      <c r="C7699" s="2" t="str">
        <f ca="1">IFERROR(__xludf.DUMMYFUNCTION("""COMPUTED_VALUE"""),"MACKEREL•PACKS (Runes)")</f>
        <v>MACKEREL•PACKS (Runes)</v>
      </c>
    </row>
    <row r="7700" spans="1:3" x14ac:dyDescent="0.25">
      <c r="A7700" s="2" t="str">
        <f ca="1">IFERROR(__xludf.DUMMYFUNCTION("""COMPUTED_VALUE"""),"mad")</f>
        <v>mad</v>
      </c>
      <c r="B7700" s="2" t="str">
        <f ca="1">IFERROR(__xludf.DUMMYFUNCTION("""COMPUTED_VALUE"""),"mad")</f>
        <v>mad</v>
      </c>
      <c r="C7700" s="2" t="str">
        <f ca="1">IFERROR(__xludf.DUMMYFUNCTION("""COMPUTED_VALUE"""),"MAD")</f>
        <v>MAD</v>
      </c>
    </row>
    <row r="7701" spans="1:3" x14ac:dyDescent="0.25">
      <c r="A7701" s="2" t="str">
        <f ca="1">IFERROR(__xludf.DUMMYFUNCTION("""COMPUTED_VALUE"""),"mad-2")</f>
        <v>mad-2</v>
      </c>
      <c r="B7701" s="2" t="str">
        <f ca="1">IFERROR(__xludf.DUMMYFUNCTION("""COMPUTED_VALUE"""),"mad")</f>
        <v>mad</v>
      </c>
      <c r="C7701" s="2" t="str">
        <f ca="1">IFERROR(__xludf.DUMMYFUNCTION("""COMPUTED_VALUE"""),"MAD")</f>
        <v>MAD</v>
      </c>
    </row>
    <row r="7702" spans="1:3" x14ac:dyDescent="0.25">
      <c r="A7702" s="2" t="str">
        <f ca="1">IFERROR(__xludf.DUMMYFUNCTION("""COMPUTED_VALUE"""),"madai")</f>
        <v>madai</v>
      </c>
      <c r="B7702" s="2" t="str">
        <f ca="1">IFERROR(__xludf.DUMMYFUNCTION("""COMPUTED_VALUE"""),"madai")</f>
        <v>madai</v>
      </c>
      <c r="C7702" s="2" t="str">
        <f ca="1">IFERROR(__xludf.DUMMYFUNCTION("""COMPUTED_VALUE"""),"Morpho-Aave Dai Stablecoin")</f>
        <v>Morpho-Aave Dai Stablecoin</v>
      </c>
    </row>
    <row r="7703" spans="1:3" x14ac:dyDescent="0.25">
      <c r="A7703" s="2" t="str">
        <f ca="1">IFERROR(__xludf.DUMMYFUNCTION("""COMPUTED_VALUE"""),"mad-bears-club-2")</f>
        <v>mad-bears-club-2</v>
      </c>
      <c r="B7703" s="2" t="str">
        <f ca="1">IFERROR(__xludf.DUMMYFUNCTION("""COMPUTED_VALUE"""),"mbc")</f>
        <v>mbc</v>
      </c>
      <c r="C7703" s="2" t="str">
        <f ca="1">IFERROR(__xludf.DUMMYFUNCTION("""COMPUTED_VALUE"""),"Mad Bears Club")</f>
        <v>Mad Bears Club</v>
      </c>
    </row>
    <row r="7704" spans="1:3" x14ac:dyDescent="0.25">
      <c r="A7704" s="2" t="str">
        <f ca="1">IFERROR(__xludf.DUMMYFUNCTION("""COMPUTED_VALUE"""),"mad-bucks")</f>
        <v>mad-bucks</v>
      </c>
      <c r="B7704" s="2" t="str">
        <f ca="1">IFERROR(__xludf.DUMMYFUNCTION("""COMPUTED_VALUE"""),"mad")</f>
        <v>mad</v>
      </c>
      <c r="C7704" s="2" t="str">
        <f ca="1">IFERROR(__xludf.DUMMYFUNCTION("""COMPUTED_VALUE"""),"MAD Bucks")</f>
        <v>MAD Bucks</v>
      </c>
    </row>
    <row r="7705" spans="1:3" x14ac:dyDescent="0.25">
      <c r="A7705" s="2" t="str">
        <f ca="1">IFERROR(__xludf.DUMMYFUNCTION("""COMPUTED_VALUE"""),"madhouse")</f>
        <v>madhouse</v>
      </c>
      <c r="B7705" s="2" t="str">
        <f ca="1">IFERROR(__xludf.DUMMYFUNCTION("""COMPUTED_VALUE"""),"mad")</f>
        <v>mad</v>
      </c>
      <c r="C7705" s="2" t="str">
        <f ca="1">IFERROR(__xludf.DUMMYFUNCTION("""COMPUTED_VALUE"""),"Madhouse")</f>
        <v>Madhouse</v>
      </c>
    </row>
    <row r="7706" spans="1:3" x14ac:dyDescent="0.25">
      <c r="A7706" s="2" t="str">
        <f ca="1">IFERROR(__xludf.DUMMYFUNCTION("""COMPUTED_VALUE"""),"madlad")</f>
        <v>madlad</v>
      </c>
      <c r="B7706" s="2" t="str">
        <f ca="1">IFERROR(__xludf.DUMMYFUNCTION("""COMPUTED_VALUE"""),"mad")</f>
        <v>mad</v>
      </c>
      <c r="C7706" s="2" t="str">
        <f ca="1">IFERROR(__xludf.DUMMYFUNCTION("""COMPUTED_VALUE"""),"MADLAD")</f>
        <v>MADLAD</v>
      </c>
    </row>
    <row r="7707" spans="1:3" x14ac:dyDescent="0.25">
      <c r="A7707" s="2" t="str">
        <f ca="1">IFERROR(__xludf.DUMMYFUNCTION("""COMPUTED_VALUE"""),"mad-meerkat-etf")</f>
        <v>mad-meerkat-etf</v>
      </c>
      <c r="B7707" s="2" t="str">
        <f ca="1">IFERROR(__xludf.DUMMYFUNCTION("""COMPUTED_VALUE"""),"metf")</f>
        <v>metf</v>
      </c>
      <c r="C7707" s="2" t="str">
        <f ca="1">IFERROR(__xludf.DUMMYFUNCTION("""COMPUTED_VALUE"""),"Mad Meerkat ETF")</f>
        <v>Mad Meerkat ETF</v>
      </c>
    </row>
    <row r="7708" spans="1:3" x14ac:dyDescent="0.25">
      <c r="A7708" s="2" t="str">
        <f ca="1">IFERROR(__xludf.DUMMYFUNCTION("""COMPUTED_VALUE"""),"mad-meerkat-optimizer")</f>
        <v>mad-meerkat-optimizer</v>
      </c>
      <c r="B7708" s="2" t="str">
        <f ca="1">IFERROR(__xludf.DUMMYFUNCTION("""COMPUTED_VALUE"""),"mmo")</f>
        <v>mmo</v>
      </c>
      <c r="C7708" s="2" t="str">
        <f ca="1">IFERROR(__xludf.DUMMYFUNCTION("""COMPUTED_VALUE"""),"Mad Meerkat Optimizer")</f>
        <v>Mad Meerkat Optimizer</v>
      </c>
    </row>
    <row r="7709" spans="1:3" x14ac:dyDescent="0.25">
      <c r="A7709" s="2" t="str">
        <f ca="1">IFERROR(__xludf.DUMMYFUNCTION("""COMPUTED_VALUE"""),"mad-pepe")</f>
        <v>mad-pepe</v>
      </c>
      <c r="B7709" s="2" t="str">
        <f ca="1">IFERROR(__xludf.DUMMYFUNCTION("""COMPUTED_VALUE"""),"madpepe")</f>
        <v>madpepe</v>
      </c>
      <c r="C7709" s="2" t="str">
        <f ca="1">IFERROR(__xludf.DUMMYFUNCTION("""COMPUTED_VALUE"""),"Mad Pepe")</f>
        <v>Mad Pepe</v>
      </c>
    </row>
    <row r="7710" spans="1:3" x14ac:dyDescent="0.25">
      <c r="A7710" s="2" t="str">
        <f ca="1">IFERROR(__xludf.DUMMYFUNCTION("""COMPUTED_VALUE"""),"mad-scientists")</f>
        <v>mad-scientists</v>
      </c>
      <c r="B7710" s="2" t="str">
        <f ca="1">IFERROR(__xludf.DUMMYFUNCTION("""COMPUTED_VALUE"""),"lab")</f>
        <v>lab</v>
      </c>
      <c r="C7710" s="2" t="str">
        <f ca="1">IFERROR(__xludf.DUMMYFUNCTION("""COMPUTED_VALUE"""),"Mad Scientists")</f>
        <v>Mad Scientists</v>
      </c>
    </row>
    <row r="7711" spans="1:3" x14ac:dyDescent="0.25">
      <c r="A7711" s="2" t="str">
        <f ca="1">IFERROR(__xludf.DUMMYFUNCTION("""COMPUTED_VALUE"""),"madskullz-bnz")</f>
        <v>madskullz-bnz</v>
      </c>
      <c r="B7711" s="2" t="str">
        <f ca="1">IFERROR(__xludf.DUMMYFUNCTION("""COMPUTED_VALUE"""),"bnz")</f>
        <v>bnz</v>
      </c>
      <c r="C7711" s="2" t="str">
        <f ca="1">IFERROR(__xludf.DUMMYFUNCTION("""COMPUTED_VALUE"""),"MadSkullz BNZ")</f>
        <v>MadSkullz BNZ</v>
      </c>
    </row>
    <row r="7712" spans="1:3" x14ac:dyDescent="0.25">
      <c r="A7712" s="2" t="str">
        <f ca="1">IFERROR(__xludf.DUMMYFUNCTION("""COMPUTED_VALUE"""),"mad-usd")</f>
        <v>mad-usd</v>
      </c>
      <c r="B7712" s="2" t="str">
        <f ca="1">IFERROR(__xludf.DUMMYFUNCTION("""COMPUTED_VALUE"""),"musd")</f>
        <v>musd</v>
      </c>
      <c r="C7712" s="2" t="str">
        <f ca="1">IFERROR(__xludf.DUMMYFUNCTION("""COMPUTED_VALUE"""),"Mad USD")</f>
        <v>Mad USD</v>
      </c>
    </row>
    <row r="7713" spans="1:3" x14ac:dyDescent="0.25">
      <c r="A7713" s="2" t="str">
        <f ca="1">IFERROR(__xludf.DUMMYFUNCTION("""COMPUTED_VALUE"""),"mad-viking-games-token")</f>
        <v>mad-viking-games-token</v>
      </c>
      <c r="B7713" s="2" t="str">
        <f ca="1">IFERROR(__xludf.DUMMYFUNCTION("""COMPUTED_VALUE"""),"mvg")</f>
        <v>mvg</v>
      </c>
      <c r="C7713" s="2" t="str">
        <f ca="1">IFERROR(__xludf.DUMMYFUNCTION("""COMPUTED_VALUE"""),"Mad Viking Games Token")</f>
        <v>Mad Viking Games Token</v>
      </c>
    </row>
    <row r="7714" spans="1:3" x14ac:dyDescent="0.25">
      <c r="A7714" s="2" t="str">
        <f ca="1">IFERROR(__xludf.DUMMYFUNCTION("""COMPUTED_VALUE"""),"madworld")</f>
        <v>madworld</v>
      </c>
      <c r="B7714" s="2" t="str">
        <f ca="1">IFERROR(__xludf.DUMMYFUNCTION("""COMPUTED_VALUE"""),"umad")</f>
        <v>umad</v>
      </c>
      <c r="C7714" s="2" t="str">
        <f ca="1">IFERROR(__xludf.DUMMYFUNCTION("""COMPUTED_VALUE"""),"MADworld")</f>
        <v>MADworld</v>
      </c>
    </row>
    <row r="7715" spans="1:3" x14ac:dyDescent="0.25">
      <c r="A7715" s="2" t="str">
        <f ca="1">IFERROR(__xludf.DUMMYFUNCTION("""COMPUTED_VALUE"""),"maek-amuraca-graet-agun")</f>
        <v>maek-amuraca-graet-agun</v>
      </c>
      <c r="B7715" s="2" t="str">
        <f ca="1">IFERROR(__xludf.DUMMYFUNCTION("""COMPUTED_VALUE"""),"maga")</f>
        <v>maga</v>
      </c>
      <c r="C7715" s="2" t="str">
        <f ca="1">IFERROR(__xludf.DUMMYFUNCTION("""COMPUTED_VALUE"""),"Maek Amuraca Graet Agun")</f>
        <v>Maek Amuraca Graet Agun</v>
      </c>
    </row>
    <row r="7716" spans="1:3" x14ac:dyDescent="0.25">
      <c r="A7716" s="2" t="str">
        <f ca="1">IFERROR(__xludf.DUMMYFUNCTION("""COMPUTED_VALUE"""),"maga")</f>
        <v>maga</v>
      </c>
      <c r="B7716" s="2" t="str">
        <f ca="1">IFERROR(__xludf.DUMMYFUNCTION("""COMPUTED_VALUE"""),"trump")</f>
        <v>trump</v>
      </c>
      <c r="C7716" s="2" t="str">
        <f ca="1">IFERROR(__xludf.DUMMYFUNCTION("""COMPUTED_VALUE"""),"MAGA")</f>
        <v>MAGA</v>
      </c>
    </row>
    <row r="7717" spans="1:3" x14ac:dyDescent="0.25">
      <c r="A7717" s="2" t="str">
        <f ca="1">IFERROR(__xludf.DUMMYFUNCTION("""COMPUTED_VALUE"""),"maga-2")</f>
        <v>maga-2</v>
      </c>
      <c r="B7717" s="2" t="str">
        <f ca="1">IFERROR(__xludf.DUMMYFUNCTION("""COMPUTED_VALUE"""),"trump")</f>
        <v>trump</v>
      </c>
      <c r="C7717" s="2" t="str">
        <f ca="1">IFERROR(__xludf.DUMMYFUNCTION("""COMPUTED_VALUE"""),"MAGA")</f>
        <v>MAGA</v>
      </c>
    </row>
    <row r="7718" spans="1:3" x14ac:dyDescent="0.25">
      <c r="A7718" s="2" t="str">
        <f ca="1">IFERROR(__xludf.DUMMYFUNCTION("""COMPUTED_VALUE"""),"maga-again")</f>
        <v>maga-again</v>
      </c>
      <c r="B7718" s="2" t="str">
        <f ca="1">IFERROR(__xludf.DUMMYFUNCTION("""COMPUTED_VALUE"""),"magaa")</f>
        <v>magaa</v>
      </c>
      <c r="C7718" s="2" t="str">
        <f ca="1">IFERROR(__xludf.DUMMYFUNCTION("""COMPUTED_VALUE"""),"MAGA Again")</f>
        <v>MAGA Again</v>
      </c>
    </row>
    <row r="7719" spans="1:3" x14ac:dyDescent="0.25">
      <c r="A7719" s="2" t="str">
        <f ca="1">IFERROR(__xludf.DUMMYFUNCTION("""COMPUTED_VALUE"""),"maga-coin")</f>
        <v>maga-coin</v>
      </c>
      <c r="B7719" s="2" t="str">
        <f ca="1">IFERROR(__xludf.DUMMYFUNCTION("""COMPUTED_VALUE"""),"maga")</f>
        <v>maga</v>
      </c>
      <c r="C7719" s="2" t="str">
        <f ca="1">IFERROR(__xludf.DUMMYFUNCTION("""COMPUTED_VALUE"""),"MAGA Coin BSC")</f>
        <v>MAGA Coin BSC</v>
      </c>
    </row>
    <row r="7720" spans="1:3" x14ac:dyDescent="0.25">
      <c r="A7720" s="2" t="str">
        <f ca="1">IFERROR(__xludf.DUMMYFUNCTION("""COMPUTED_VALUE"""),"maga-coin-eth")</f>
        <v>maga-coin-eth</v>
      </c>
      <c r="B7720" s="2" t="str">
        <f ca="1">IFERROR(__xludf.DUMMYFUNCTION("""COMPUTED_VALUE"""),"maga")</f>
        <v>maga</v>
      </c>
      <c r="C7720" s="2" t="str">
        <f ca="1">IFERROR(__xludf.DUMMYFUNCTION("""COMPUTED_VALUE"""),"MAGA Coin ETH")</f>
        <v>MAGA Coin ETH</v>
      </c>
    </row>
    <row r="7721" spans="1:3" x14ac:dyDescent="0.25">
      <c r="A7721" s="2" t="str">
        <f ca="1">IFERROR(__xludf.DUMMYFUNCTION("""COMPUTED_VALUE"""),"maga-doge")</f>
        <v>maga-doge</v>
      </c>
      <c r="B7721" s="2" t="str">
        <f ca="1">IFERROR(__xludf.DUMMYFUNCTION("""COMPUTED_VALUE"""),"magadoge")</f>
        <v>magadoge</v>
      </c>
      <c r="C7721" s="2" t="str">
        <f ca="1">IFERROR(__xludf.DUMMYFUNCTION("""COMPUTED_VALUE"""),"MAGA DOGE")</f>
        <v>MAGA DOGE</v>
      </c>
    </row>
    <row r="7722" spans="1:3" x14ac:dyDescent="0.25">
      <c r="A7722" s="2" t="str">
        <f ca="1">IFERROR(__xludf.DUMMYFUNCTION("""COMPUTED_VALUE"""),"maga-fight-for-trump")</f>
        <v>maga-fight-for-trump</v>
      </c>
      <c r="B7722" s="2" t="str">
        <f ca="1">IFERROR(__xludf.DUMMYFUNCTION("""COMPUTED_VALUE"""),"trumpcoin")</f>
        <v>trumpcoin</v>
      </c>
      <c r="C7722" s="2" t="str">
        <f ca="1">IFERROR(__xludf.DUMMYFUNCTION("""COMPUTED_VALUE"""),"MAGA: Fight for Trump")</f>
        <v>MAGA: Fight for Trump</v>
      </c>
    </row>
    <row r="7723" spans="1:3" x14ac:dyDescent="0.25">
      <c r="A7723" s="2" t="str">
        <f ca="1">IFERROR(__xludf.DUMMYFUNCTION("""COMPUTED_VALUE"""),"maga-hat")</f>
        <v>maga-hat</v>
      </c>
      <c r="B7723" s="2" t="str">
        <f ca="1">IFERROR(__xludf.DUMMYFUNCTION("""COMPUTED_VALUE"""),"maga")</f>
        <v>maga</v>
      </c>
      <c r="C7723" s="2" t="str">
        <f ca="1">IFERROR(__xludf.DUMMYFUNCTION("""COMPUTED_VALUE"""),"MAGA Hat")</f>
        <v>MAGA Hat</v>
      </c>
    </row>
    <row r="7724" spans="1:3" x14ac:dyDescent="0.25">
      <c r="A7724" s="2" t="str">
        <f ca="1">IFERROR(__xludf.DUMMYFUNCTION("""COMPUTED_VALUE"""),"magaiba")</f>
        <v>magaiba</v>
      </c>
      <c r="B7724" s="2" t="str">
        <f ca="1">IFERROR(__xludf.DUMMYFUNCTION("""COMPUTED_VALUE"""),"magaiba")</f>
        <v>magaiba</v>
      </c>
      <c r="C7724" s="2" t="str">
        <f ca="1">IFERROR(__xludf.DUMMYFUNCTION("""COMPUTED_VALUE"""),"MAGAIBA")</f>
        <v>MAGAIBA</v>
      </c>
    </row>
    <row r="7725" spans="1:3" x14ac:dyDescent="0.25">
      <c r="A7725" s="2" t="str">
        <f ca="1">IFERROR(__xludf.DUMMYFUNCTION("""COMPUTED_VALUE"""),"maga-pepe")</f>
        <v>maga-pepe</v>
      </c>
      <c r="B7725" s="2" t="str">
        <f ca="1">IFERROR(__xludf.DUMMYFUNCTION("""COMPUTED_VALUE"""),"magapepe")</f>
        <v>magapepe</v>
      </c>
      <c r="C7725" s="2" t="str">
        <f ca="1">IFERROR(__xludf.DUMMYFUNCTION("""COMPUTED_VALUE"""),"MAGA PEPE")</f>
        <v>MAGA PEPE</v>
      </c>
    </row>
    <row r="7726" spans="1:3" x14ac:dyDescent="0.25">
      <c r="A7726" s="2" t="str">
        <f ca="1">IFERROR(__xludf.DUMMYFUNCTION("""COMPUTED_VALUE"""),"maga-pepe-2")</f>
        <v>maga-pepe-2</v>
      </c>
      <c r="B7726" s="2" t="str">
        <f ca="1">IFERROR(__xludf.DUMMYFUNCTION("""COMPUTED_VALUE"""),"mape")</f>
        <v>mape</v>
      </c>
      <c r="C7726" s="2" t="str">
        <f ca="1">IFERROR(__xludf.DUMMYFUNCTION("""COMPUTED_VALUE"""),"MAGA Pepe")</f>
        <v>MAGA Pepe</v>
      </c>
    </row>
    <row r="7727" spans="1:3" x14ac:dyDescent="0.25">
      <c r="A7727" s="2" t="str">
        <f ca="1">IFERROR(__xludf.DUMMYFUNCTION("""COMPUTED_VALUE"""),"maga-pepe-eth")</f>
        <v>maga-pepe-eth</v>
      </c>
      <c r="B7727" s="2" t="str">
        <f ca="1">IFERROR(__xludf.DUMMYFUNCTION("""COMPUTED_VALUE"""),"magapepe")</f>
        <v>magapepe</v>
      </c>
      <c r="C7727" s="2" t="str">
        <f ca="1">IFERROR(__xludf.DUMMYFUNCTION("""COMPUTED_VALUE"""),"MAGA PEPE (ETH)")</f>
        <v>MAGA PEPE (ETH)</v>
      </c>
    </row>
    <row r="7728" spans="1:3" x14ac:dyDescent="0.25">
      <c r="A7728" s="2" t="str">
        <f ca="1">IFERROR(__xludf.DUMMYFUNCTION("""COMPUTED_VALUE"""),"maga-shiba")</f>
        <v>maga-shiba</v>
      </c>
      <c r="B7728" s="2" t="str">
        <f ca="1">IFERROR(__xludf.DUMMYFUNCTION("""COMPUTED_VALUE"""),"magashib")</f>
        <v>magashib</v>
      </c>
      <c r="C7728" s="2" t="str">
        <f ca="1">IFERROR(__xludf.DUMMYFUNCTION("""COMPUTED_VALUE"""),"MAGA SHIBA")</f>
        <v>MAGA SHIBA</v>
      </c>
    </row>
    <row r="7729" spans="1:3" x14ac:dyDescent="0.25">
      <c r="A7729" s="2" t="str">
        <f ca="1">IFERROR(__xludf.DUMMYFUNCTION("""COMPUTED_VALUE"""),"maga-trump")</f>
        <v>maga-trump</v>
      </c>
      <c r="B7729" s="2" t="str">
        <f ca="1">IFERROR(__xludf.DUMMYFUNCTION("""COMPUTED_VALUE"""),"magatrump")</f>
        <v>magatrump</v>
      </c>
      <c r="C7729" s="2" t="str">
        <f ca="1">IFERROR(__xludf.DUMMYFUNCTION("""COMPUTED_VALUE"""),"MAGA Trump")</f>
        <v>MAGA Trump</v>
      </c>
    </row>
    <row r="7730" spans="1:3" x14ac:dyDescent="0.25">
      <c r="A7730" s="2" t="str">
        <f ca="1">IFERROR(__xludf.DUMMYFUNCTION("""COMPUTED_VALUE"""),"maga-vp")</f>
        <v>maga-vp</v>
      </c>
      <c r="B7730" s="2" t="str">
        <f ca="1">IFERROR(__xludf.DUMMYFUNCTION("""COMPUTED_VALUE"""),"mvp")</f>
        <v>mvp</v>
      </c>
      <c r="C7730" s="2" t="str">
        <f ca="1">IFERROR(__xludf.DUMMYFUNCTION("""COMPUTED_VALUE"""),"MAGA VP")</f>
        <v>MAGA VP</v>
      </c>
    </row>
    <row r="7731" spans="1:3" x14ac:dyDescent="0.25">
      <c r="A7731" s="2" t="str">
        <f ca="1">IFERROR(__xludf.DUMMYFUNCTION("""COMPUTED_VALUE"""),"magawincat")</f>
        <v>magawincat</v>
      </c>
      <c r="B7731" s="2" t="str">
        <f ca="1">IFERROR(__xludf.DUMMYFUNCTION("""COMPUTED_VALUE"""),"mawc")</f>
        <v>mawc</v>
      </c>
      <c r="C7731" s="2" t="str">
        <f ca="1">IFERROR(__xludf.DUMMYFUNCTION("""COMPUTED_VALUE"""),"Magawincat")</f>
        <v>Magawincat</v>
      </c>
    </row>
    <row r="7732" spans="1:3" x14ac:dyDescent="0.25">
      <c r="A7732" s="2" t="str">
        <f ca="1">IFERROR(__xludf.DUMMYFUNCTION("""COMPUTED_VALUE"""),"mage")</f>
        <v>mage</v>
      </c>
      <c r="B7732" s="2" t="str">
        <f ca="1">IFERROR(__xludf.DUMMYFUNCTION("""COMPUTED_VALUE"""),"mage")</f>
        <v>mage</v>
      </c>
      <c r="C7732" s="2" t="str">
        <f ca="1">IFERROR(__xludf.DUMMYFUNCTION("""COMPUTED_VALUE"""),"Mage")</f>
        <v>Mage</v>
      </c>
    </row>
    <row r="7733" spans="1:3" x14ac:dyDescent="0.25">
      <c r="A7733" s="2" t="str">
        <f ca="1">IFERROR(__xludf.DUMMYFUNCTION("""COMPUTED_VALUE"""),"magic")</f>
        <v>magic</v>
      </c>
      <c r="B7733" s="2" t="str">
        <f ca="1">IFERROR(__xludf.DUMMYFUNCTION("""COMPUTED_VALUE"""),"magic")</f>
        <v>magic</v>
      </c>
      <c r="C7733" s="2" t="str">
        <f ca="1">IFERROR(__xludf.DUMMYFUNCTION("""COMPUTED_VALUE"""),"Magic")</f>
        <v>Magic</v>
      </c>
    </row>
    <row r="7734" spans="1:3" x14ac:dyDescent="0.25">
      <c r="A7734" s="2" t="str">
        <f ca="1">IFERROR(__xludf.DUMMYFUNCTION("""COMPUTED_VALUE"""),"magical-blocks")</f>
        <v>magical-blocks</v>
      </c>
      <c r="B7734" s="2" t="str">
        <f ca="1">IFERROR(__xludf.DUMMYFUNCTION("""COMPUTED_VALUE"""),"mblk")</f>
        <v>mblk</v>
      </c>
      <c r="C7734" s="2" t="str">
        <f ca="1">IFERROR(__xludf.DUMMYFUNCTION("""COMPUTED_VALUE"""),"Magical Blocks")</f>
        <v>Magical Blocks</v>
      </c>
    </row>
    <row r="7735" spans="1:3" x14ac:dyDescent="0.25">
      <c r="A7735" s="2" t="str">
        <f ca="1">IFERROR(__xludf.DUMMYFUNCTION("""COMPUTED_VALUE"""),"magicaltux")</f>
        <v>magicaltux</v>
      </c>
      <c r="B7735" s="2" t="str">
        <f ca="1">IFERROR(__xludf.DUMMYFUNCTION("""COMPUTED_VALUE"""),"tux")</f>
        <v>tux</v>
      </c>
      <c r="C7735" s="2" t="str">
        <f ca="1">IFERROR(__xludf.DUMMYFUNCTION("""COMPUTED_VALUE"""),"Magicaltux")</f>
        <v>Magicaltux</v>
      </c>
    </row>
    <row r="7736" spans="1:3" x14ac:dyDescent="0.25">
      <c r="A7736" s="2" t="str">
        <f ca="1">IFERROR(__xludf.DUMMYFUNCTION("""COMPUTED_VALUE"""),"magic-beasties")</f>
        <v>magic-beasties</v>
      </c>
      <c r="B7736" s="2" t="str">
        <f ca="1">IFERROR(__xludf.DUMMYFUNCTION("""COMPUTED_VALUE"""),"bsts")</f>
        <v>bsts</v>
      </c>
      <c r="C7736" s="2" t="str">
        <f ca="1">IFERROR(__xludf.DUMMYFUNCTION("""COMPUTED_VALUE"""),"Magic Beasties")</f>
        <v>Magic Beasties</v>
      </c>
    </row>
    <row r="7737" spans="1:3" x14ac:dyDescent="0.25">
      <c r="A7737" s="2" t="str">
        <f ca="1">IFERROR(__xludf.DUMMYFUNCTION("""COMPUTED_VALUE"""),"magic-carpet-ride")</f>
        <v>magic-carpet-ride</v>
      </c>
      <c r="B7737" s="2" t="str">
        <f ca="1">IFERROR(__xludf.DUMMYFUNCTION("""COMPUTED_VALUE"""),"magic")</f>
        <v>magic</v>
      </c>
      <c r="C7737" s="2" t="str">
        <f ca="1">IFERROR(__xludf.DUMMYFUNCTION("""COMPUTED_VALUE"""),"Magic Carpet Ride")</f>
        <v>Magic Carpet Ride</v>
      </c>
    </row>
    <row r="7738" spans="1:3" x14ac:dyDescent="0.25">
      <c r="A7738" s="2" t="str">
        <f ca="1">IFERROR(__xludf.DUMMYFUNCTION("""COMPUTED_VALUE"""),"magiccraft")</f>
        <v>magiccraft</v>
      </c>
      <c r="B7738" s="2" t="str">
        <f ca="1">IFERROR(__xludf.DUMMYFUNCTION("""COMPUTED_VALUE"""),"mcrt")</f>
        <v>mcrt</v>
      </c>
      <c r="C7738" s="2" t="str">
        <f ca="1">IFERROR(__xludf.DUMMYFUNCTION("""COMPUTED_VALUE"""),"MagicCraft")</f>
        <v>MagicCraft</v>
      </c>
    </row>
    <row r="7739" spans="1:3" x14ac:dyDescent="0.25">
      <c r="A7739" s="2" t="str">
        <f ca="1">IFERROR(__xludf.DUMMYFUNCTION("""COMPUTED_VALUE"""),"magic-crystal")</f>
        <v>magic-crystal</v>
      </c>
      <c r="B7739" s="2" t="str">
        <f ca="1">IFERROR(__xludf.DUMMYFUNCTION("""COMPUTED_VALUE"""),"mc")</f>
        <v>mc</v>
      </c>
      <c r="C7739" s="2" t="str">
        <f ca="1">IFERROR(__xludf.DUMMYFUNCTION("""COMPUTED_VALUE"""),"Magic Crystal")</f>
        <v>Magic Crystal</v>
      </c>
    </row>
    <row r="7740" spans="1:3" x14ac:dyDescent="0.25">
      <c r="A7740" s="2" t="str">
        <f ca="1">IFERROR(__xludf.DUMMYFUNCTION("""COMPUTED_VALUE"""),"magic-cube")</f>
        <v>magic-cube</v>
      </c>
      <c r="B7740" s="2" t="str">
        <f ca="1">IFERROR(__xludf.DUMMYFUNCTION("""COMPUTED_VALUE"""),"mcc")</f>
        <v>mcc</v>
      </c>
      <c r="C7740" s="2" t="str">
        <f ca="1">IFERROR(__xludf.DUMMYFUNCTION("""COMPUTED_VALUE"""),"Magic Cube Coin")</f>
        <v>Magic Cube Coin</v>
      </c>
    </row>
    <row r="7741" spans="1:3" x14ac:dyDescent="0.25">
      <c r="A7741" s="2" t="str">
        <f ca="1">IFERROR(__xludf.DUMMYFUNCTION("""COMPUTED_VALUE"""),"magicglp")</f>
        <v>magicglp</v>
      </c>
      <c r="B7741" s="2" t="str">
        <f ca="1">IFERROR(__xludf.DUMMYFUNCTION("""COMPUTED_VALUE"""),"magicglp")</f>
        <v>magicglp</v>
      </c>
      <c r="C7741" s="2" t="str">
        <f ca="1">IFERROR(__xludf.DUMMYFUNCTION("""COMPUTED_VALUE"""),"MagicGLP")</f>
        <v>MagicGLP</v>
      </c>
    </row>
    <row r="7742" spans="1:3" x14ac:dyDescent="0.25">
      <c r="A7742" s="2" t="str">
        <f ca="1">IFERROR(__xludf.DUMMYFUNCTION("""COMPUTED_VALUE"""),"magic-internet-cash")</f>
        <v>magic-internet-cash</v>
      </c>
      <c r="B7742" s="2" t="str">
        <f ca="1">IFERROR(__xludf.DUMMYFUNCTION("""COMPUTED_VALUE"""),"mic")</f>
        <v>mic</v>
      </c>
      <c r="C7742" s="2" t="str">
        <f ca="1">IFERROR(__xludf.DUMMYFUNCTION("""COMPUTED_VALUE"""),"Magic Internet Cash")</f>
        <v>Magic Internet Cash</v>
      </c>
    </row>
    <row r="7743" spans="1:3" x14ac:dyDescent="0.25">
      <c r="A7743" s="2" t="str">
        <f ca="1">IFERROR(__xludf.DUMMYFUNCTION("""COMPUTED_VALUE"""),"magic-internet-money")</f>
        <v>magic-internet-money</v>
      </c>
      <c r="B7743" s="2" t="str">
        <f ca="1">IFERROR(__xludf.DUMMYFUNCTION("""COMPUTED_VALUE"""),"mim")</f>
        <v>mim</v>
      </c>
      <c r="C7743" s="2" t="str">
        <f ca="1">IFERROR(__xludf.DUMMYFUNCTION("""COMPUTED_VALUE"""),"Magic Internet Money (Ethereum)")</f>
        <v>Magic Internet Money (Ethereum)</v>
      </c>
    </row>
    <row r="7744" spans="1:3" x14ac:dyDescent="0.25">
      <c r="A7744" s="2" t="str">
        <f ca="1">IFERROR(__xludf.DUMMYFUNCTION("""COMPUTED_VALUE"""),"magic-internet-money-arbitrum")</f>
        <v>magic-internet-money-arbitrum</v>
      </c>
      <c r="B7744" s="2" t="str">
        <f ca="1">IFERROR(__xludf.DUMMYFUNCTION("""COMPUTED_VALUE"""),"mim")</f>
        <v>mim</v>
      </c>
      <c r="C7744" s="2" t="str">
        <f ca="1">IFERROR(__xludf.DUMMYFUNCTION("""COMPUTED_VALUE"""),"Magic Internet Money (Arbitrum)")</f>
        <v>Magic Internet Money (Arbitrum)</v>
      </c>
    </row>
    <row r="7745" spans="1:3" x14ac:dyDescent="0.25">
      <c r="A7745" s="2" t="str">
        <f ca="1">IFERROR(__xludf.DUMMYFUNCTION("""COMPUTED_VALUE"""),"magic-internet-money-avalanche")</f>
        <v>magic-internet-money-avalanche</v>
      </c>
      <c r="B7745" s="2" t="str">
        <f ca="1">IFERROR(__xludf.DUMMYFUNCTION("""COMPUTED_VALUE"""),"mim")</f>
        <v>mim</v>
      </c>
      <c r="C7745" s="2" t="str">
        <f ca="1">IFERROR(__xludf.DUMMYFUNCTION("""COMPUTED_VALUE"""),"Magic Internet Money (Avalanche)")</f>
        <v>Magic Internet Money (Avalanche)</v>
      </c>
    </row>
    <row r="7746" spans="1:3" x14ac:dyDescent="0.25">
      <c r="A7746" s="2" t="str">
        <f ca="1">IFERROR(__xludf.DUMMYFUNCTION("""COMPUTED_VALUE"""),"magic-internet-money-base")</f>
        <v>magic-internet-money-base</v>
      </c>
      <c r="B7746" s="2" t="str">
        <f ca="1">IFERROR(__xludf.DUMMYFUNCTION("""COMPUTED_VALUE"""),"mim")</f>
        <v>mim</v>
      </c>
      <c r="C7746" s="2" t="str">
        <f ca="1">IFERROR(__xludf.DUMMYFUNCTION("""COMPUTED_VALUE"""),"Magic Internet Money (Base)")</f>
        <v>Magic Internet Money (Base)</v>
      </c>
    </row>
    <row r="7747" spans="1:3" x14ac:dyDescent="0.25">
      <c r="A7747" s="2" t="str">
        <f ca="1">IFERROR(__xludf.DUMMYFUNCTION("""COMPUTED_VALUE"""),"magic-internet-money-blast")</f>
        <v>magic-internet-money-blast</v>
      </c>
      <c r="B7747" s="2" t="str">
        <f ca="1">IFERROR(__xludf.DUMMYFUNCTION("""COMPUTED_VALUE"""),"mim")</f>
        <v>mim</v>
      </c>
      <c r="C7747" s="2" t="str">
        <f ca="1">IFERROR(__xludf.DUMMYFUNCTION("""COMPUTED_VALUE"""),"Magic Internet Money (Blast)")</f>
        <v>Magic Internet Money (Blast)</v>
      </c>
    </row>
    <row r="7748" spans="1:3" x14ac:dyDescent="0.25">
      <c r="A7748" s="2" t="str">
        <f ca="1">IFERROR(__xludf.DUMMYFUNCTION("""COMPUTED_VALUE"""),"magic-internet-money-bsc")</f>
        <v>magic-internet-money-bsc</v>
      </c>
      <c r="B7748" s="2" t="str">
        <f ca="1">IFERROR(__xludf.DUMMYFUNCTION("""COMPUTED_VALUE"""),"mim")</f>
        <v>mim</v>
      </c>
      <c r="C7748" s="2" t="str">
        <f ca="1">IFERROR(__xludf.DUMMYFUNCTION("""COMPUTED_VALUE"""),"Magic Internet Money (BSC)")</f>
        <v>Magic Internet Money (BSC)</v>
      </c>
    </row>
    <row r="7749" spans="1:3" x14ac:dyDescent="0.25">
      <c r="A7749" s="2" t="str">
        <f ca="1">IFERROR(__xludf.DUMMYFUNCTION("""COMPUTED_VALUE"""),"magic-internet-money-fantom")</f>
        <v>magic-internet-money-fantom</v>
      </c>
      <c r="B7749" s="2" t="str">
        <f ca="1">IFERROR(__xludf.DUMMYFUNCTION("""COMPUTED_VALUE"""),"mim")</f>
        <v>mim</v>
      </c>
      <c r="C7749" s="2" t="str">
        <f ca="1">IFERROR(__xludf.DUMMYFUNCTION("""COMPUTED_VALUE"""),"Magic Internet Money (Fantom)")</f>
        <v>Magic Internet Money (Fantom)</v>
      </c>
    </row>
    <row r="7750" spans="1:3" x14ac:dyDescent="0.25">
      <c r="A7750" s="2" t="str">
        <f ca="1">IFERROR(__xludf.DUMMYFUNCTION("""COMPUTED_VALUE"""),"magic-internet-money-kava")</f>
        <v>magic-internet-money-kava</v>
      </c>
      <c r="B7750" s="2" t="str">
        <f ca="1">IFERROR(__xludf.DUMMYFUNCTION("""COMPUTED_VALUE"""),"mim")</f>
        <v>mim</v>
      </c>
      <c r="C7750" s="2" t="str">
        <f ca="1">IFERROR(__xludf.DUMMYFUNCTION("""COMPUTED_VALUE"""),"Magic Internet Money (Kava)")</f>
        <v>Magic Internet Money (Kava)</v>
      </c>
    </row>
    <row r="7751" spans="1:3" x14ac:dyDescent="0.25">
      <c r="A7751" s="2" t="str">
        <f ca="1">IFERROR(__xludf.DUMMYFUNCTION("""COMPUTED_VALUE"""),"magic-internet-money-linea")</f>
        <v>magic-internet-money-linea</v>
      </c>
      <c r="B7751" s="2" t="str">
        <f ca="1">IFERROR(__xludf.DUMMYFUNCTION("""COMPUTED_VALUE"""),"mim")</f>
        <v>mim</v>
      </c>
      <c r="C7751" s="2" t="str">
        <f ca="1">IFERROR(__xludf.DUMMYFUNCTION("""COMPUTED_VALUE"""),"Magic Internet Money (Linea)")</f>
        <v>Magic Internet Money (Linea)</v>
      </c>
    </row>
    <row r="7752" spans="1:3" x14ac:dyDescent="0.25">
      <c r="A7752" s="2" t="str">
        <f ca="1">IFERROR(__xludf.DUMMYFUNCTION("""COMPUTED_VALUE"""),"magic-internet-money-meme")</f>
        <v>magic-internet-money-meme</v>
      </c>
      <c r="B7752" s="2" t="str">
        <f ca="1">IFERROR(__xludf.DUMMYFUNCTION("""COMPUTED_VALUE"""),"mim")</f>
        <v>mim</v>
      </c>
      <c r="C7752" s="2" t="str">
        <f ca="1">IFERROR(__xludf.DUMMYFUNCTION("""COMPUTED_VALUE"""),"Magic Internet Money (Meme)")</f>
        <v>Magic Internet Money (Meme)</v>
      </c>
    </row>
    <row r="7753" spans="1:3" x14ac:dyDescent="0.25">
      <c r="A7753" s="2" t="str">
        <f ca="1">IFERROR(__xludf.DUMMYFUNCTION("""COMPUTED_VALUE"""),"magic-internet-money-moonriver")</f>
        <v>magic-internet-money-moonriver</v>
      </c>
      <c r="B7753" s="2" t="str">
        <f ca="1">IFERROR(__xludf.DUMMYFUNCTION("""COMPUTED_VALUE"""),"mim")</f>
        <v>mim</v>
      </c>
      <c r="C7753" s="2" t="str">
        <f ca="1">IFERROR(__xludf.DUMMYFUNCTION("""COMPUTED_VALUE"""),"Magic Internet Money (Moonriver)")</f>
        <v>Magic Internet Money (Moonriver)</v>
      </c>
    </row>
    <row r="7754" spans="1:3" x14ac:dyDescent="0.25">
      <c r="A7754" s="2" t="str">
        <f ca="1">IFERROR(__xludf.DUMMYFUNCTION("""COMPUTED_VALUE"""),"magic-internet-money-optimism")</f>
        <v>magic-internet-money-optimism</v>
      </c>
      <c r="B7754" s="2" t="str">
        <f ca="1">IFERROR(__xludf.DUMMYFUNCTION("""COMPUTED_VALUE"""),"mim")</f>
        <v>mim</v>
      </c>
      <c r="C7754" s="2" t="str">
        <f ca="1">IFERROR(__xludf.DUMMYFUNCTION("""COMPUTED_VALUE"""),"Magic Internet Money (Optimism)")</f>
        <v>Magic Internet Money (Optimism)</v>
      </c>
    </row>
    <row r="7755" spans="1:3" x14ac:dyDescent="0.25">
      <c r="A7755" s="2" t="str">
        <f ca="1">IFERROR(__xludf.DUMMYFUNCTION("""COMPUTED_VALUE"""),"magic-internet-money-polygon")</f>
        <v>magic-internet-money-polygon</v>
      </c>
      <c r="B7755" s="2" t="str">
        <f ca="1">IFERROR(__xludf.DUMMYFUNCTION("""COMPUTED_VALUE"""),"mim")</f>
        <v>mim</v>
      </c>
      <c r="C7755" s="2" t="str">
        <f ca="1">IFERROR(__xludf.DUMMYFUNCTION("""COMPUTED_VALUE"""),"Magic Internet Money (Polygon)")</f>
        <v>Magic Internet Money (Polygon)</v>
      </c>
    </row>
    <row r="7756" spans="1:3" x14ac:dyDescent="0.25">
      <c r="A7756" s="2" t="str">
        <f ca="1">IFERROR(__xludf.DUMMYFUNCTION("""COMPUTED_VALUE"""),"magic-lum")</f>
        <v>magic-lum</v>
      </c>
      <c r="B7756" s="2" t="str">
        <f ca="1">IFERROR(__xludf.DUMMYFUNCTION("""COMPUTED_VALUE"""),"mlum")</f>
        <v>mlum</v>
      </c>
      <c r="C7756" s="2" t="str">
        <f ca="1">IFERROR(__xludf.DUMMYFUNCTION("""COMPUTED_VALUE"""),"Magic LUM")</f>
        <v>Magic LUM</v>
      </c>
    </row>
    <row r="7757" spans="1:3" x14ac:dyDescent="0.25">
      <c r="A7757" s="2" t="str">
        <f ca="1">IFERROR(__xludf.DUMMYFUNCTION("""COMPUTED_VALUE"""),"magic-power")</f>
        <v>magic-power</v>
      </c>
      <c r="B7757" s="2" t="str">
        <f ca="1">IFERROR(__xludf.DUMMYFUNCTION("""COMPUTED_VALUE"""),"mgp")</f>
        <v>mgp</v>
      </c>
      <c r="C7757" s="2" t="str">
        <f ca="1">IFERROR(__xludf.DUMMYFUNCTION("""COMPUTED_VALUE"""),"Magic Power")</f>
        <v>Magic Power</v>
      </c>
    </row>
    <row r="7758" spans="1:3" x14ac:dyDescent="0.25">
      <c r="A7758" s="2" t="str">
        <f ca="1">IFERROR(__xludf.DUMMYFUNCTION("""COMPUTED_VALUE"""),"magicring")</f>
        <v>magicring</v>
      </c>
      <c r="B7758" s="2" t="str">
        <f ca="1">IFERROR(__xludf.DUMMYFUNCTION("""COMPUTED_VALUE"""),"mring")</f>
        <v>mring</v>
      </c>
      <c r="C7758" s="2" t="str">
        <f ca="1">IFERROR(__xludf.DUMMYFUNCTION("""COMPUTED_VALUE"""),"MagicRing")</f>
        <v>MagicRing</v>
      </c>
    </row>
    <row r="7759" spans="1:3" x14ac:dyDescent="0.25">
      <c r="A7759" s="2" t="str">
        <f ca="1">IFERROR(__xludf.DUMMYFUNCTION("""COMPUTED_VALUE"""),"magic-square")</f>
        <v>magic-square</v>
      </c>
      <c r="B7759" s="2" t="str">
        <f ca="1">IFERROR(__xludf.DUMMYFUNCTION("""COMPUTED_VALUE"""),"sqr")</f>
        <v>sqr</v>
      </c>
      <c r="C7759" s="2" t="str">
        <f ca="1">IFERROR(__xludf.DUMMYFUNCTION("""COMPUTED_VALUE"""),"Magic Square")</f>
        <v>Magic Square</v>
      </c>
    </row>
    <row r="7760" spans="1:3" x14ac:dyDescent="0.25">
      <c r="A7760" s="2" t="str">
        <f ca="1">IFERROR(__xludf.DUMMYFUNCTION("""COMPUTED_VALUE"""),"magic-token")</f>
        <v>magic-token</v>
      </c>
      <c r="B7760" s="2" t="str">
        <f ca="1">IFERROR(__xludf.DUMMYFUNCTION("""COMPUTED_VALUE"""),"magic")</f>
        <v>magic</v>
      </c>
      <c r="C7760" s="2" t="str">
        <f ca="1">IFERROR(__xludf.DUMMYFUNCTION("""COMPUTED_VALUE"""),"MagicLand")</f>
        <v>MagicLand</v>
      </c>
    </row>
    <row r="7761" spans="1:3" x14ac:dyDescent="0.25">
      <c r="A7761" s="2" t="str">
        <f ca="1">IFERROR(__xludf.DUMMYFUNCTION("""COMPUTED_VALUE"""),"magic-yearn-share")</f>
        <v>magic-yearn-share</v>
      </c>
      <c r="B7761" s="2" t="str">
        <f ca="1">IFERROR(__xludf.DUMMYFUNCTION("""COMPUTED_VALUE"""),"mys")</f>
        <v>mys</v>
      </c>
      <c r="C7761" s="2" t="str">
        <f ca="1">IFERROR(__xludf.DUMMYFUNCTION("""COMPUTED_VALUE"""),"Magic Yearn Share")</f>
        <v>Magic Yearn Share</v>
      </c>
    </row>
    <row r="7762" spans="1:3" x14ac:dyDescent="0.25">
      <c r="A7762" s="2" t="str">
        <f ca="1">IFERROR(__xludf.DUMMYFUNCTION("""COMPUTED_VALUE"""),"magik")</f>
        <v>magik</v>
      </c>
      <c r="B7762" s="2" t="str">
        <f ca="1">IFERROR(__xludf.DUMMYFUNCTION("""COMPUTED_VALUE"""),"magik")</f>
        <v>magik</v>
      </c>
      <c r="C7762" s="2" t="str">
        <f ca="1">IFERROR(__xludf.DUMMYFUNCTION("""COMPUTED_VALUE"""),"Magik")</f>
        <v>Magik</v>
      </c>
    </row>
    <row r="7763" spans="1:3" x14ac:dyDescent="0.25">
      <c r="A7763" s="2" t="str">
        <f ca="1">IFERROR(__xludf.DUMMYFUNCTION("""COMPUTED_VALUE"""),"magikal-ai")</f>
        <v>magikal-ai</v>
      </c>
      <c r="B7763" s="2" t="str">
        <f ca="1">IFERROR(__xludf.DUMMYFUNCTION("""COMPUTED_VALUE"""),"mgkl")</f>
        <v>mgkl</v>
      </c>
      <c r="C7763" s="3" t="str">
        <f ca="1">IFERROR(__xludf.DUMMYFUNCTION("""COMPUTED_VALUE"""),"MAGIKAL.ai")</f>
        <v>MAGIKAL.ai</v>
      </c>
    </row>
    <row r="7764" spans="1:3" x14ac:dyDescent="0.25">
      <c r="A7764" s="2" t="str">
        <f ca="1">IFERROR(__xludf.DUMMYFUNCTION("""COMPUTED_VALUE"""),"magma")</f>
        <v>magma</v>
      </c>
      <c r="B7764" s="2" t="str">
        <f ca="1">IFERROR(__xludf.DUMMYFUNCTION("""COMPUTED_VALUE"""),"magma")</f>
        <v>magma</v>
      </c>
      <c r="C7764" s="2" t="str">
        <f ca="1">IFERROR(__xludf.DUMMYFUNCTION("""COMPUTED_VALUE"""),"Magma")</f>
        <v>Magma</v>
      </c>
    </row>
    <row r="7765" spans="1:3" x14ac:dyDescent="0.25">
      <c r="A7765" s="2" t="str">
        <f ca="1">IFERROR(__xludf.DUMMYFUNCTION("""COMPUTED_VALUE"""),"magma-staked-monad")</f>
        <v>magma-staked-monad</v>
      </c>
      <c r="B7765" s="2" t="str">
        <f ca="1">IFERROR(__xludf.DUMMYFUNCTION("""COMPUTED_VALUE"""),"gmonad")</f>
        <v>gmonad</v>
      </c>
      <c r="C7765" s="2" t="str">
        <f ca="1">IFERROR(__xludf.DUMMYFUNCTION("""COMPUTED_VALUE"""),"Magma Staked Monad")</f>
        <v>Magma Staked Monad</v>
      </c>
    </row>
    <row r="7766" spans="1:3" x14ac:dyDescent="0.25">
      <c r="A7766" s="2" t="str">
        <f ca="1">IFERROR(__xludf.DUMMYFUNCTION("""COMPUTED_VALUE"""),"magnate-finance")</f>
        <v>magnate-finance</v>
      </c>
      <c r="B7766" s="2" t="str">
        <f ca="1">IFERROR(__xludf.DUMMYFUNCTION("""COMPUTED_VALUE"""),"mag")</f>
        <v>mag</v>
      </c>
      <c r="C7766" s="2" t="str">
        <f ca="1">IFERROR(__xludf.DUMMYFUNCTION("""COMPUTED_VALUE"""),"Magnate Finance")</f>
        <v>Magnate Finance</v>
      </c>
    </row>
    <row r="7767" spans="1:3" x14ac:dyDescent="0.25">
      <c r="A7767" s="2" t="str">
        <f ca="1">IFERROR(__xludf.DUMMYFUNCTION("""COMPUTED_VALUE"""),"magnetgold")</f>
        <v>magnetgold</v>
      </c>
      <c r="B7767" s="2" t="str">
        <f ca="1">IFERROR(__xludf.DUMMYFUNCTION("""COMPUTED_VALUE"""),"mtg")</f>
        <v>mtg</v>
      </c>
      <c r="C7767" s="2" t="str">
        <f ca="1">IFERROR(__xludf.DUMMYFUNCTION("""COMPUTED_VALUE"""),"MagnetGold")</f>
        <v>MagnetGold</v>
      </c>
    </row>
    <row r="7768" spans="1:3" x14ac:dyDescent="0.25">
      <c r="A7768" s="2" t="str">
        <f ca="1">IFERROR(__xludf.DUMMYFUNCTION("""COMPUTED_VALUE"""),"magnetic")</f>
        <v>magnetic</v>
      </c>
      <c r="B7768" s="2" t="str">
        <f ca="1">IFERROR(__xludf.DUMMYFUNCTION("""COMPUTED_VALUE"""),"mag")</f>
        <v>mag</v>
      </c>
      <c r="C7768" s="2" t="str">
        <f ca="1">IFERROR(__xludf.DUMMYFUNCTION("""COMPUTED_VALUE"""),"Magnetic")</f>
        <v>Magnetic</v>
      </c>
    </row>
    <row r="7769" spans="1:3" x14ac:dyDescent="0.25">
      <c r="A7769" s="2" t="str">
        <f ca="1">IFERROR(__xludf.DUMMYFUNCTION("""COMPUTED_VALUE"""),"magnify-cash")</f>
        <v>magnify-cash</v>
      </c>
      <c r="B7769" s="2" t="str">
        <f ca="1">IFERROR(__xludf.DUMMYFUNCTION("""COMPUTED_VALUE"""),"mag")</f>
        <v>mag</v>
      </c>
      <c r="C7769" s="2" t="str">
        <f ca="1">IFERROR(__xludf.DUMMYFUNCTION("""COMPUTED_VALUE"""),"Magnify Cash")</f>
        <v>Magnify Cash</v>
      </c>
    </row>
    <row r="7770" spans="1:3" x14ac:dyDescent="0.25">
      <c r="A7770" s="2" t="str">
        <f ca="1">IFERROR(__xludf.DUMMYFUNCTION("""COMPUTED_VALUE"""),"magnum-2")</f>
        <v>magnum-2</v>
      </c>
      <c r="B7770" s="2" t="str">
        <f ca="1">IFERROR(__xludf.DUMMYFUNCTION("""COMPUTED_VALUE"""),"mag")</f>
        <v>mag</v>
      </c>
      <c r="C7770" s="2" t="str">
        <f ca="1">IFERROR(__xludf.DUMMYFUNCTION("""COMPUTED_VALUE"""),"Magnum")</f>
        <v>Magnum</v>
      </c>
    </row>
    <row r="7771" spans="1:3" x14ac:dyDescent="0.25">
      <c r="A7771" s="2" t="str">
        <f ca="1">IFERROR(__xludf.DUMMYFUNCTION("""COMPUTED_VALUE"""),"magnus")</f>
        <v>magnus</v>
      </c>
      <c r="B7771" s="2" t="str">
        <f ca="1">IFERROR(__xludf.DUMMYFUNCTION("""COMPUTED_VALUE"""),"mag")</f>
        <v>mag</v>
      </c>
      <c r="C7771" s="2" t="str">
        <f ca="1">IFERROR(__xludf.DUMMYFUNCTION("""COMPUTED_VALUE"""),"Magnus")</f>
        <v>Magnus</v>
      </c>
    </row>
    <row r="7772" spans="1:3" x14ac:dyDescent="0.25">
      <c r="A7772" s="2" t="str">
        <f ca="1">IFERROR(__xludf.DUMMYFUNCTION("""COMPUTED_VALUE"""),"magpie")</f>
        <v>magpie</v>
      </c>
      <c r="B7772" s="2" t="str">
        <f ca="1">IFERROR(__xludf.DUMMYFUNCTION("""COMPUTED_VALUE"""),"mgp")</f>
        <v>mgp</v>
      </c>
      <c r="C7772" s="2" t="str">
        <f ca="1">IFERROR(__xludf.DUMMYFUNCTION("""COMPUTED_VALUE"""),"Magpie")</f>
        <v>Magpie</v>
      </c>
    </row>
    <row r="7773" spans="1:3" x14ac:dyDescent="0.25">
      <c r="A7773" s="2" t="str">
        <f ca="1">IFERROR(__xludf.DUMMYFUNCTION("""COMPUTED_VALUE"""),"mahabibi-bin-solman")</f>
        <v>mahabibi-bin-solman</v>
      </c>
      <c r="B7773" s="2" t="str">
        <f ca="1">IFERROR(__xludf.DUMMYFUNCTION("""COMPUTED_VALUE"""),"mbs")</f>
        <v>mbs</v>
      </c>
      <c r="C7773" s="2" t="str">
        <f ca="1">IFERROR(__xludf.DUMMYFUNCTION("""COMPUTED_VALUE"""),"Mahabibi Bin Solman")</f>
        <v>Mahabibi Bin Solman</v>
      </c>
    </row>
    <row r="7774" spans="1:3" x14ac:dyDescent="0.25">
      <c r="A7774" s="2" t="str">
        <f ca="1">IFERROR(__xludf.DUMMYFUNCTION("""COMPUTED_VALUE"""),"mahadao")</f>
        <v>mahadao</v>
      </c>
      <c r="B7774" s="2" t="str">
        <f ca="1">IFERROR(__xludf.DUMMYFUNCTION("""COMPUTED_VALUE"""),"maha")</f>
        <v>maha</v>
      </c>
      <c r="C7774" s="2" t="str">
        <f ca="1">IFERROR(__xludf.DUMMYFUNCTION("""COMPUTED_VALUE"""),"Maha")</f>
        <v>Maha</v>
      </c>
    </row>
    <row r="7775" spans="1:3" x14ac:dyDescent="0.25">
      <c r="A7775" s="2" t="str">
        <f ca="1">IFERROR(__xludf.DUMMYFUNCTION("""COMPUTED_VALUE"""),"maia")</f>
        <v>maia</v>
      </c>
      <c r="B7775" s="2" t="str">
        <f ca="1">IFERROR(__xludf.DUMMYFUNCTION("""COMPUTED_VALUE"""),"maia")</f>
        <v>maia</v>
      </c>
      <c r="C7775" s="2" t="str">
        <f ca="1">IFERROR(__xludf.DUMMYFUNCTION("""COMPUTED_VALUE"""),"Maia")</f>
        <v>Maia</v>
      </c>
    </row>
    <row r="7776" spans="1:3" x14ac:dyDescent="0.25">
      <c r="A7776" s="2" t="str">
        <f ca="1">IFERROR(__xludf.DUMMYFUNCTION("""COMPUTED_VALUE"""),"mai-arbitrum")</f>
        <v>mai-arbitrum</v>
      </c>
      <c r="B7776" s="2" t="str">
        <f ca="1">IFERROR(__xludf.DUMMYFUNCTION("""COMPUTED_VALUE"""),"mimatic")</f>
        <v>mimatic</v>
      </c>
      <c r="C7776" s="2" t="str">
        <f ca="1">IFERROR(__xludf.DUMMYFUNCTION("""COMPUTED_VALUE"""),"MAI (Arbitrum)")</f>
        <v>MAI (Arbitrum)</v>
      </c>
    </row>
    <row r="7777" spans="1:3" x14ac:dyDescent="0.25">
      <c r="A7777" s="2" t="str">
        <f ca="1">IFERROR(__xludf.DUMMYFUNCTION("""COMPUTED_VALUE"""),"maiar-dex")</f>
        <v>maiar-dex</v>
      </c>
      <c r="B7777" s="2" t="str">
        <f ca="1">IFERROR(__xludf.DUMMYFUNCTION("""COMPUTED_VALUE"""),"mex")</f>
        <v>mex</v>
      </c>
      <c r="C7777" s="2" t="str">
        <f ca="1">IFERROR(__xludf.DUMMYFUNCTION("""COMPUTED_VALUE"""),"xExchange")</f>
        <v>xExchange</v>
      </c>
    </row>
    <row r="7778" spans="1:3" x14ac:dyDescent="0.25">
      <c r="A7778" s="2" t="str">
        <f ca="1">IFERROR(__xludf.DUMMYFUNCTION("""COMPUTED_VALUE"""),"mai-avalanche")</f>
        <v>mai-avalanche</v>
      </c>
      <c r="B7778" s="2" t="str">
        <f ca="1">IFERROR(__xludf.DUMMYFUNCTION("""COMPUTED_VALUE"""),"mimatic")</f>
        <v>mimatic</v>
      </c>
      <c r="C7778" s="2" t="str">
        <f ca="1">IFERROR(__xludf.DUMMYFUNCTION("""COMPUTED_VALUE"""),"MAI (Avalanche)")</f>
        <v>MAI (Avalanche)</v>
      </c>
    </row>
    <row r="7779" spans="1:3" x14ac:dyDescent="0.25">
      <c r="A7779" s="2" t="str">
        <f ca="1">IFERROR(__xludf.DUMMYFUNCTION("""COMPUTED_VALUE"""),"mai-base")</f>
        <v>mai-base</v>
      </c>
      <c r="B7779" s="2" t="str">
        <f ca="1">IFERROR(__xludf.DUMMYFUNCTION("""COMPUTED_VALUE"""),"mimatic")</f>
        <v>mimatic</v>
      </c>
      <c r="C7779" s="2" t="str">
        <f ca="1">IFERROR(__xludf.DUMMYFUNCTION("""COMPUTED_VALUE"""),"MAI (Base)")</f>
        <v>MAI (Base)</v>
      </c>
    </row>
    <row r="7780" spans="1:3" x14ac:dyDescent="0.25">
      <c r="A7780" s="2" t="str">
        <f ca="1">IFERROR(__xludf.DUMMYFUNCTION("""COMPUTED_VALUE"""),"mai-bsc")</f>
        <v>mai-bsc</v>
      </c>
      <c r="B7780" s="2" t="str">
        <f ca="1">IFERROR(__xludf.DUMMYFUNCTION("""COMPUTED_VALUE"""),"mimatic")</f>
        <v>mimatic</v>
      </c>
      <c r="C7780" s="2" t="str">
        <f ca="1">IFERROR(__xludf.DUMMYFUNCTION("""COMPUTED_VALUE"""),"MAI (BSC)")</f>
        <v>MAI (BSC)</v>
      </c>
    </row>
    <row r="7781" spans="1:3" x14ac:dyDescent="0.25">
      <c r="A7781" s="2" t="str">
        <f ca="1">IFERROR(__xludf.DUMMYFUNCTION("""COMPUTED_VALUE"""),"mai-cronos")</f>
        <v>mai-cronos</v>
      </c>
      <c r="B7781" s="2" t="str">
        <f ca="1">IFERROR(__xludf.DUMMYFUNCTION("""COMPUTED_VALUE"""),"mimatic")</f>
        <v>mimatic</v>
      </c>
      <c r="C7781" s="2" t="str">
        <f ca="1">IFERROR(__xludf.DUMMYFUNCTION("""COMPUTED_VALUE"""),"MAI (Cronos)")</f>
        <v>MAI (Cronos)</v>
      </c>
    </row>
    <row r="7782" spans="1:3" x14ac:dyDescent="0.25">
      <c r="A7782" s="2" t="str">
        <f ca="1">IFERROR(__xludf.DUMMYFUNCTION("""COMPUTED_VALUE"""),"maidaan")</f>
        <v>maidaan</v>
      </c>
      <c r="B7782" s="2" t="str">
        <f ca="1">IFERROR(__xludf.DUMMYFUNCTION("""COMPUTED_VALUE"""),"mdn")</f>
        <v>mdn</v>
      </c>
      <c r="C7782" s="2" t="str">
        <f ca="1">IFERROR(__xludf.DUMMYFUNCTION("""COMPUTED_VALUE"""),"Maidaan")</f>
        <v>Maidaan</v>
      </c>
    </row>
    <row r="7783" spans="1:3" x14ac:dyDescent="0.25">
      <c r="A7783" s="2" t="str">
        <f ca="1">IFERROR(__xludf.DUMMYFUNCTION("""COMPUTED_VALUE"""),"maidsafecoin")</f>
        <v>maidsafecoin</v>
      </c>
      <c r="B7783" s="2" t="str">
        <f ca="1">IFERROR(__xludf.DUMMYFUNCTION("""COMPUTED_VALUE"""),"emaid")</f>
        <v>emaid</v>
      </c>
      <c r="C7783" s="2" t="str">
        <f ca="1">IFERROR(__xludf.DUMMYFUNCTION("""COMPUTED_VALUE"""),"MaidSafeCoin")</f>
        <v>MaidSafeCoin</v>
      </c>
    </row>
    <row r="7784" spans="1:3" x14ac:dyDescent="0.25">
      <c r="A7784" s="2" t="str">
        <f ca="1">IFERROR(__xludf.DUMMYFUNCTION("""COMPUTED_VALUE"""),"maidsafecoin-token")</f>
        <v>maidsafecoin-token</v>
      </c>
      <c r="B7784" s="2" t="str">
        <f ca="1">IFERROR(__xludf.DUMMYFUNCTION("""COMPUTED_VALUE"""),"maid")</f>
        <v>maid</v>
      </c>
      <c r="C7784" s="2" t="str">
        <f ca="1">IFERROR(__xludf.DUMMYFUNCTION("""COMPUTED_VALUE"""),"Maidsafecoin Token")</f>
        <v>Maidsafecoin Token</v>
      </c>
    </row>
    <row r="7785" spans="1:3" x14ac:dyDescent="0.25">
      <c r="A7785" s="2" t="str">
        <f ca="1">IFERROR(__xludf.DUMMYFUNCTION("""COMPUTED_VALUE"""),"mai-fantom")</f>
        <v>mai-fantom</v>
      </c>
      <c r="B7785" s="2" t="str">
        <f ca="1">IFERROR(__xludf.DUMMYFUNCTION("""COMPUTED_VALUE"""),"mimatic")</f>
        <v>mimatic</v>
      </c>
      <c r="C7785" s="2" t="str">
        <f ca="1">IFERROR(__xludf.DUMMYFUNCTION("""COMPUTED_VALUE"""),"MAI (Fantom)")</f>
        <v>MAI (Fantom)</v>
      </c>
    </row>
    <row r="7786" spans="1:3" x14ac:dyDescent="0.25">
      <c r="A7786" s="2" t="str">
        <f ca="1">IFERROR(__xludf.DUMMYFUNCTION("""COMPUTED_VALUE"""),"mai-kava")</f>
        <v>mai-kava</v>
      </c>
      <c r="B7786" s="2" t="str">
        <f ca="1">IFERROR(__xludf.DUMMYFUNCTION("""COMPUTED_VALUE"""),"mimatic")</f>
        <v>mimatic</v>
      </c>
      <c r="C7786" s="2" t="str">
        <f ca="1">IFERROR(__xludf.DUMMYFUNCTION("""COMPUTED_VALUE"""),"MAI (Kava)")</f>
        <v>MAI (Kava)</v>
      </c>
    </row>
    <row r="7787" spans="1:3" x14ac:dyDescent="0.25">
      <c r="A7787" s="2" t="str">
        <f ca="1">IFERROR(__xludf.DUMMYFUNCTION("""COMPUTED_VALUE"""),"mai-linea")</f>
        <v>mai-linea</v>
      </c>
      <c r="B7787" s="2" t="str">
        <f ca="1">IFERROR(__xludf.DUMMYFUNCTION("""COMPUTED_VALUE"""),"mimatic")</f>
        <v>mimatic</v>
      </c>
      <c r="C7787" s="2" t="str">
        <f ca="1">IFERROR(__xludf.DUMMYFUNCTION("""COMPUTED_VALUE"""),"MAI (Linea)")</f>
        <v>MAI (Linea)</v>
      </c>
    </row>
    <row r="7788" spans="1:3" x14ac:dyDescent="0.25">
      <c r="A7788" s="2" t="str">
        <f ca="1">IFERROR(__xludf.DUMMYFUNCTION("""COMPUTED_VALUE"""),"main")</f>
        <v>main</v>
      </c>
      <c r="B7788" s="2" t="str">
        <f ca="1">IFERROR(__xludf.DUMMYFUNCTION("""COMPUTED_VALUE"""),"main")</f>
        <v>main</v>
      </c>
      <c r="C7788" s="2" t="str">
        <f ca="1">IFERROR(__xludf.DUMMYFUNCTION("""COMPUTED_VALUE"""),"Main")</f>
        <v>Main</v>
      </c>
    </row>
    <row r="7789" spans="1:3" x14ac:dyDescent="0.25">
      <c r="A7789" s="2" t="str">
        <f ca="1">IFERROR(__xludf.DUMMYFUNCTION("""COMPUTED_VALUE"""),"mainframe")</f>
        <v>mainframe</v>
      </c>
      <c r="B7789" s="2" t="str">
        <f ca="1">IFERROR(__xludf.DUMMYFUNCTION("""COMPUTED_VALUE"""),"mft")</f>
        <v>mft</v>
      </c>
      <c r="C7789" s="2" t="str">
        <f ca="1">IFERROR(__xludf.DUMMYFUNCTION("""COMPUTED_VALUE"""),"Mainframe")</f>
        <v>Mainframe</v>
      </c>
    </row>
    <row r="7790" spans="1:3" x14ac:dyDescent="0.25">
      <c r="A7790" s="2" t="str">
        <f ca="1">IFERROR(__xludf.DUMMYFUNCTION("""COMPUTED_VALUE"""),"mainnetz")</f>
        <v>mainnetz</v>
      </c>
      <c r="B7790" s="2" t="str">
        <f ca="1">IFERROR(__xludf.DUMMYFUNCTION("""COMPUTED_VALUE"""),"netz")</f>
        <v>netz</v>
      </c>
      <c r="C7790" s="2" t="str">
        <f ca="1">IFERROR(__xludf.DUMMYFUNCTION("""COMPUTED_VALUE"""),"MainnetZ")</f>
        <v>MainnetZ</v>
      </c>
    </row>
    <row r="7791" spans="1:3" x14ac:dyDescent="0.25">
      <c r="A7791" s="2" t="str">
        <f ca="1">IFERROR(__xludf.DUMMYFUNCTION("""COMPUTED_VALUE"""),"mainstream-for-the-underground")</f>
        <v>mainstream-for-the-underground</v>
      </c>
      <c r="B7791" s="2" t="str">
        <f ca="1">IFERROR(__xludf.DUMMYFUNCTION("""COMPUTED_VALUE"""),"mftu")</f>
        <v>mftu</v>
      </c>
      <c r="C7791" s="2" t="str">
        <f ca="1">IFERROR(__xludf.DUMMYFUNCTION("""COMPUTED_VALUE"""),"Mainstream For The Underground")</f>
        <v>Mainstream For The Underground</v>
      </c>
    </row>
    <row r="7792" spans="1:3" x14ac:dyDescent="0.25">
      <c r="A7792" s="2" t="str">
        <f ca="1">IFERROR(__xludf.DUMMYFUNCTION("""COMPUTED_VALUE"""),"mai-optimism")</f>
        <v>mai-optimism</v>
      </c>
      <c r="B7792" s="2" t="str">
        <f ca="1">IFERROR(__xludf.DUMMYFUNCTION("""COMPUTED_VALUE"""),"mimatic")</f>
        <v>mimatic</v>
      </c>
      <c r="C7792" s="2" t="str">
        <f ca="1">IFERROR(__xludf.DUMMYFUNCTION("""COMPUTED_VALUE"""),"MAI (Optimism)")</f>
        <v>MAI (Optimism)</v>
      </c>
    </row>
    <row r="7793" spans="1:3" x14ac:dyDescent="0.25">
      <c r="A7793" s="2" t="str">
        <f ca="1">IFERROR(__xludf.DUMMYFUNCTION("""COMPUTED_VALUE"""),"mai-solana")</f>
        <v>mai-solana</v>
      </c>
      <c r="B7793" s="2" t="str">
        <f ca="1">IFERROR(__xludf.DUMMYFUNCTION("""COMPUTED_VALUE"""),"mimatic")</f>
        <v>mimatic</v>
      </c>
      <c r="C7793" s="2" t="str">
        <f ca="1">IFERROR(__xludf.DUMMYFUNCTION("""COMPUTED_VALUE"""),"MAI (Solana)")</f>
        <v>MAI (Solana)</v>
      </c>
    </row>
    <row r="7794" spans="1:3" x14ac:dyDescent="0.25">
      <c r="A7794" s="2" t="str">
        <f ca="1">IFERROR(__xludf.DUMMYFUNCTION("""COMPUTED_VALUE"""),"majin")</f>
        <v>majin</v>
      </c>
      <c r="B7794" s="2" t="str">
        <f ca="1">IFERROR(__xludf.DUMMYFUNCTION("""COMPUTED_VALUE"""),"majin")</f>
        <v>majin</v>
      </c>
      <c r="C7794" s="2" t="str">
        <f ca="1">IFERROR(__xludf.DUMMYFUNCTION("""COMPUTED_VALUE"""),"Majin")</f>
        <v>Majin</v>
      </c>
    </row>
    <row r="7795" spans="1:3" x14ac:dyDescent="0.25">
      <c r="A7795" s="2" t="str">
        <f ca="1">IFERROR(__xludf.DUMMYFUNCTION("""COMPUTED_VALUE"""),"majo")</f>
        <v>majo</v>
      </c>
      <c r="B7795" s="2" t="str">
        <f ca="1">IFERROR(__xludf.DUMMYFUNCTION("""COMPUTED_VALUE"""),"majo")</f>
        <v>majo</v>
      </c>
      <c r="C7795" s="2" t="str">
        <f ca="1">IFERROR(__xludf.DUMMYFUNCTION("""COMPUTED_VALUE"""),"Majo")</f>
        <v>Majo</v>
      </c>
    </row>
    <row r="7796" spans="1:3" x14ac:dyDescent="0.25">
      <c r="A7796" s="2" t="str">
        <f ca="1">IFERROR(__xludf.DUMMYFUNCTION("""COMPUTED_VALUE"""),"major-dog")</f>
        <v>major-dog</v>
      </c>
      <c r="B7796" s="2" t="str">
        <f ca="1">IFERROR(__xludf.DUMMYFUNCTION("""COMPUTED_VALUE"""),"major")</f>
        <v>major</v>
      </c>
      <c r="C7796" s="2" t="str">
        <f ca="1">IFERROR(__xludf.DUMMYFUNCTION("""COMPUTED_VALUE"""),"Major Dog")</f>
        <v>Major Dog</v>
      </c>
    </row>
    <row r="7797" spans="1:3" x14ac:dyDescent="0.25">
      <c r="A7797" s="2" t="str">
        <f ca="1">IFERROR(__xludf.DUMMYFUNCTION("""COMPUTED_VALUE"""),"majority-blockchain")</f>
        <v>majority-blockchain</v>
      </c>
      <c r="B7797" s="2" t="str">
        <f ca="1">IFERROR(__xludf.DUMMYFUNCTION("""COMPUTED_VALUE"""),"tmc")</f>
        <v>tmc</v>
      </c>
      <c r="C7797" s="2" t="str">
        <f ca="1">IFERROR(__xludf.DUMMYFUNCTION("""COMPUTED_VALUE"""),"Majority Blockchain")</f>
        <v>Majority Blockchain</v>
      </c>
    </row>
    <row r="7798" spans="1:3" x14ac:dyDescent="0.25">
      <c r="A7798" s="2" t="str">
        <f ca="1">IFERROR(__xludf.DUMMYFUNCTION("""COMPUTED_VALUE"""),"make-america-based-again")</f>
        <v>make-america-based-again</v>
      </c>
      <c r="B7798" s="2" t="str">
        <f ca="1">IFERROR(__xludf.DUMMYFUNCTION("""COMPUTED_VALUE"""),"based")</f>
        <v>based</v>
      </c>
      <c r="C7798" s="2" t="str">
        <f ca="1">IFERROR(__xludf.DUMMYFUNCTION("""COMPUTED_VALUE"""),"Make America Based Again")</f>
        <v>Make America Based Again</v>
      </c>
    </row>
    <row r="7799" spans="1:3" x14ac:dyDescent="0.25">
      <c r="A7799" s="2" t="str">
        <f ca="1">IFERROR(__xludf.DUMMYFUNCTION("""COMPUTED_VALUE"""),"make-ethereum-great-again")</f>
        <v>make-ethereum-great-again</v>
      </c>
      <c r="B7799" s="2" t="str">
        <f ca="1">IFERROR(__xludf.DUMMYFUNCTION("""COMPUTED_VALUE"""),"$mega")</f>
        <v>$mega</v>
      </c>
      <c r="C7799" s="2" t="str">
        <f ca="1">IFERROR(__xludf.DUMMYFUNCTION("""COMPUTED_VALUE"""),"Make Ethereum Great Again")</f>
        <v>Make Ethereum Great Again</v>
      </c>
    </row>
    <row r="7800" spans="1:3" x14ac:dyDescent="0.25">
      <c r="A7800" s="2" t="str">
        <f ca="1">IFERROR(__xludf.DUMMYFUNCTION("""COMPUTED_VALUE"""),"make-eth-great-again")</f>
        <v>make-eth-great-again</v>
      </c>
      <c r="B7800" s="2" t="str">
        <f ca="1">IFERROR(__xludf.DUMMYFUNCTION("""COMPUTED_VALUE"""),"mega")</f>
        <v>mega</v>
      </c>
      <c r="C7800" s="2" t="str">
        <f ca="1">IFERROR(__xludf.DUMMYFUNCTION("""COMPUTED_VALUE"""),"Make ETH Great Again")</f>
        <v>Make ETH Great Again</v>
      </c>
    </row>
    <row r="7801" spans="1:3" x14ac:dyDescent="0.25">
      <c r="A7801" s="2" t="str">
        <f ca="1">IFERROR(__xludf.DUMMYFUNCTION("""COMPUTED_VALUE"""),"make-frens")</f>
        <v>make-frens</v>
      </c>
      <c r="B7801" s="2" t="str">
        <f ca="1">IFERROR(__xludf.DUMMYFUNCTION("""COMPUTED_VALUE"""),"$mf")</f>
        <v>$mf</v>
      </c>
      <c r="C7801" s="2" t="str">
        <f ca="1">IFERROR(__xludf.DUMMYFUNCTION("""COMPUTED_VALUE"""),"Make Frens")</f>
        <v>Make Frens</v>
      </c>
    </row>
    <row r="7802" spans="1:3" x14ac:dyDescent="0.25">
      <c r="A7802" s="2" t="str">
        <f ca="1">IFERROR(__xludf.DUMMYFUNCTION("""COMPUTED_VALUE"""),"maker")</f>
        <v>maker</v>
      </c>
      <c r="B7802" s="2" t="str">
        <f ca="1">IFERROR(__xludf.DUMMYFUNCTION("""COMPUTED_VALUE"""),"mkr")</f>
        <v>mkr</v>
      </c>
      <c r="C7802" s="2" t="str">
        <f ca="1">IFERROR(__xludf.DUMMYFUNCTION("""COMPUTED_VALUE"""),"Maker")</f>
        <v>Maker</v>
      </c>
    </row>
    <row r="7803" spans="1:3" x14ac:dyDescent="0.25">
      <c r="A7803" s="2" t="str">
        <f ca="1">IFERROR(__xludf.DUMMYFUNCTION("""COMPUTED_VALUE"""),"makerdao-arbitrum-bridged-dai-arbitrum-one")</f>
        <v>makerdao-arbitrum-bridged-dai-arbitrum-one</v>
      </c>
      <c r="B7803" s="2" t="str">
        <f ca="1">IFERROR(__xludf.DUMMYFUNCTION("""COMPUTED_VALUE"""),"dai")</f>
        <v>dai</v>
      </c>
      <c r="C7803" s="2" t="str">
        <f ca="1">IFERROR(__xludf.DUMMYFUNCTION("""COMPUTED_VALUE"""),"MakerDAO Arbitrum Bridged DAI (Arbitrum One)")</f>
        <v>MakerDAO Arbitrum Bridged DAI (Arbitrum One)</v>
      </c>
    </row>
    <row r="7804" spans="1:3" x14ac:dyDescent="0.25">
      <c r="A7804" s="2" t="str">
        <f ca="1">IFERROR(__xludf.DUMMYFUNCTION("""COMPUTED_VALUE"""),"makerdao-arbitrum-nova-dai-bridge-arbitrum-nova")</f>
        <v>makerdao-arbitrum-nova-dai-bridge-arbitrum-nova</v>
      </c>
      <c r="B7804" s="2" t="str">
        <f ca="1">IFERROR(__xludf.DUMMYFUNCTION("""COMPUTED_VALUE"""),"dai")</f>
        <v>dai</v>
      </c>
      <c r="C7804" s="2" t="str">
        <f ca="1">IFERROR(__xludf.DUMMYFUNCTION("""COMPUTED_VALUE"""),"MakerDAO Arbitrum Nova DAI Bridge (Arbitrum Nova)")</f>
        <v>MakerDAO Arbitrum Nova DAI Bridge (Arbitrum Nova)</v>
      </c>
    </row>
    <row r="7805" spans="1:3" x14ac:dyDescent="0.25">
      <c r="A7805" s="2" t="str">
        <f ca="1">IFERROR(__xludf.DUMMYFUNCTION("""COMPUTED_VALUE"""),"makerdao-optimism-bridged-dai-optimism")</f>
        <v>makerdao-optimism-bridged-dai-optimism</v>
      </c>
      <c r="B7805" s="2" t="str">
        <f ca="1">IFERROR(__xludf.DUMMYFUNCTION("""COMPUTED_VALUE"""),"dai")</f>
        <v>dai</v>
      </c>
      <c r="C7805" s="2" t="str">
        <f ca="1">IFERROR(__xludf.DUMMYFUNCTION("""COMPUTED_VALUE"""),"MakerDAO Optimism Bridged DAI (Optimism)")</f>
        <v>MakerDAO Optimism Bridged DAI (Optimism)</v>
      </c>
    </row>
    <row r="7806" spans="1:3" x14ac:dyDescent="0.25">
      <c r="A7806" s="2" t="str">
        <f ca="1">IFERROR(__xludf.DUMMYFUNCTION("""COMPUTED_VALUE"""),"maker-flip")</f>
        <v>maker-flip</v>
      </c>
      <c r="B7806" s="2" t="str">
        <f ca="1">IFERROR(__xludf.DUMMYFUNCTION("""COMPUTED_VALUE"""),"mkf")</f>
        <v>mkf</v>
      </c>
      <c r="C7806" s="2" t="str">
        <f ca="1">IFERROR(__xludf.DUMMYFUNCTION("""COMPUTED_VALUE"""),"Maker Flip")</f>
        <v>Maker Flip</v>
      </c>
    </row>
    <row r="7807" spans="1:3" x14ac:dyDescent="0.25">
      <c r="A7807" s="2" t="str">
        <f ca="1">IFERROR(__xludf.DUMMYFUNCTION("""COMPUTED_VALUE"""),"makerx")</f>
        <v>makerx</v>
      </c>
      <c r="B7807" s="2" t="str">
        <f ca="1">IFERROR(__xludf.DUMMYFUNCTION("""COMPUTED_VALUE"""),"mkx")</f>
        <v>mkx</v>
      </c>
      <c r="C7807" s="2" t="str">
        <f ca="1">IFERROR(__xludf.DUMMYFUNCTION("""COMPUTED_VALUE"""),"MakerX")</f>
        <v>MakerX</v>
      </c>
    </row>
    <row r="7808" spans="1:3" x14ac:dyDescent="0.25">
      <c r="A7808" s="2" t="str">
        <f ca="1">IFERROR(__xludf.DUMMYFUNCTION("""COMPUTED_VALUE"""),"make-solana-great-again")</f>
        <v>make-solana-great-again</v>
      </c>
      <c r="B7808" s="2" t="str">
        <f ca="1">IFERROR(__xludf.DUMMYFUNCTION("""COMPUTED_VALUE"""),"$trump")</f>
        <v>$trump</v>
      </c>
      <c r="C7808" s="2" t="str">
        <f ca="1">IFERROR(__xludf.DUMMYFUNCTION("""COMPUTED_VALUE"""),"Make Solana Great Again")</f>
        <v>Make Solana Great Again</v>
      </c>
    </row>
    <row r="7809" spans="1:3" x14ac:dyDescent="0.25">
      <c r="A7809" s="2" t="str">
        <f ca="1">IFERROR(__xludf.DUMMYFUNCTION("""COMPUTED_VALUE"""),"malinka")</f>
        <v>malinka</v>
      </c>
      <c r="B7809" s="2" t="str">
        <f ca="1">IFERROR(__xludf.DUMMYFUNCTION("""COMPUTED_VALUE"""),"mlnk")</f>
        <v>mlnk</v>
      </c>
      <c r="C7809" s="2" t="str">
        <f ca="1">IFERROR(__xludf.DUMMYFUNCTION("""COMPUTED_VALUE"""),"Malinka")</f>
        <v>Malinka</v>
      </c>
    </row>
    <row r="7810" spans="1:3" x14ac:dyDescent="0.25">
      <c r="A7810" s="2" t="str">
        <f ca="1">IFERROR(__xludf.DUMMYFUNCTION("""COMPUTED_VALUE"""),"malou")</f>
        <v>malou</v>
      </c>
      <c r="B7810" s="2" t="str">
        <f ca="1">IFERROR(__xludf.DUMMYFUNCTION("""COMPUTED_VALUE"""),"never")</f>
        <v>never</v>
      </c>
      <c r="C7810" s="2" t="str">
        <f ca="1">IFERROR(__xludf.DUMMYFUNCTION("""COMPUTED_VALUE"""),"MALOU")</f>
        <v>MALOU</v>
      </c>
    </row>
    <row r="7811" spans="1:3" x14ac:dyDescent="0.25">
      <c r="A7811" s="2" t="str">
        <f ca="1">IFERROR(__xludf.DUMMYFUNCTION("""COMPUTED_VALUE"""),"mamba")</f>
        <v>mamba</v>
      </c>
      <c r="B7811" s="2" t="str">
        <f ca="1">IFERROR(__xludf.DUMMYFUNCTION("""COMPUTED_VALUE"""),"mamba")</f>
        <v>mamba</v>
      </c>
      <c r="C7811" s="2" t="str">
        <f ca="1">IFERROR(__xludf.DUMMYFUNCTION("""COMPUTED_VALUE"""),"Mamba")</f>
        <v>Mamba</v>
      </c>
    </row>
    <row r="7812" spans="1:3" x14ac:dyDescent="0.25">
      <c r="A7812" s="2" t="str">
        <f ca="1">IFERROR(__xludf.DUMMYFUNCTION("""COMPUTED_VALUE"""),"mami")</f>
        <v>mami</v>
      </c>
      <c r="B7812" s="2" t="str">
        <f ca="1">IFERROR(__xludf.DUMMYFUNCTION("""COMPUTED_VALUE"""),"mami")</f>
        <v>mami</v>
      </c>
      <c r="C7812" s="2" t="str">
        <f ca="1">IFERROR(__xludf.DUMMYFUNCTION("""COMPUTED_VALUE"""),"Mami")</f>
        <v>Mami</v>
      </c>
    </row>
    <row r="7813" spans="1:3" x14ac:dyDescent="0.25">
      <c r="A7813" s="2" t="str">
        <f ca="1">IFERROR(__xludf.DUMMYFUNCTION("""COMPUTED_VALUE"""),"mammoth-2")</f>
        <v>mammoth-2</v>
      </c>
      <c r="B7813" s="2" t="str">
        <f ca="1">IFERROR(__xludf.DUMMYFUNCTION("""COMPUTED_VALUE"""),"wooly")</f>
        <v>wooly</v>
      </c>
      <c r="C7813" s="2" t="str">
        <f ca="1">IFERROR(__xludf.DUMMYFUNCTION("""COMPUTED_VALUE"""),"Mammoth")</f>
        <v>Mammoth</v>
      </c>
    </row>
    <row r="7814" spans="1:3" x14ac:dyDescent="0.25">
      <c r="A7814" s="2" t="str">
        <f ca="1">IFERROR(__xludf.DUMMYFUNCTION("""COMPUTED_VALUE"""),"mammothai")</f>
        <v>mammothai</v>
      </c>
      <c r="B7814" s="2" t="str">
        <f ca="1">IFERROR(__xludf.DUMMYFUNCTION("""COMPUTED_VALUE"""),"mamai")</f>
        <v>mamai</v>
      </c>
      <c r="C7814" s="2" t="str">
        <f ca="1">IFERROR(__xludf.DUMMYFUNCTION("""COMPUTED_VALUE"""),"MammothAI")</f>
        <v>MammothAI</v>
      </c>
    </row>
    <row r="7815" spans="1:3" x14ac:dyDescent="0.25">
      <c r="A7815" s="2" t="str">
        <f ca="1">IFERROR(__xludf.DUMMYFUNCTION("""COMPUTED_VALUE"""),"manchester-city-fan-token")</f>
        <v>manchester-city-fan-token</v>
      </c>
      <c r="B7815" s="2" t="str">
        <f ca="1">IFERROR(__xludf.DUMMYFUNCTION("""COMPUTED_VALUE"""),"city")</f>
        <v>city</v>
      </c>
      <c r="C7815" s="2" t="str">
        <f ca="1">IFERROR(__xludf.DUMMYFUNCTION("""COMPUTED_VALUE"""),"Manchester City Fan Token")</f>
        <v>Manchester City Fan Token</v>
      </c>
    </row>
    <row r="7816" spans="1:3" x14ac:dyDescent="0.25">
      <c r="A7816" s="2" t="str">
        <f ca="1">IFERROR(__xludf.DUMMYFUNCTION("""COMPUTED_VALUE"""),"mancium")</f>
        <v>mancium</v>
      </c>
      <c r="B7816" s="2" t="str">
        <f ca="1">IFERROR(__xludf.DUMMYFUNCTION("""COMPUTED_VALUE"""),"manc")</f>
        <v>manc</v>
      </c>
      <c r="C7816" s="2" t="str">
        <f ca="1">IFERROR(__xludf.DUMMYFUNCTION("""COMPUTED_VALUE"""),"Mancium")</f>
        <v>Mancium</v>
      </c>
    </row>
    <row r="7817" spans="1:3" x14ac:dyDescent="0.25">
      <c r="A7817" s="2" t="str">
        <f ca="1">IFERROR(__xludf.DUMMYFUNCTION("""COMPUTED_VALUE"""),"mandala-exchange-token")</f>
        <v>mandala-exchange-token</v>
      </c>
      <c r="B7817" s="2" t="str">
        <f ca="1">IFERROR(__xludf.DUMMYFUNCTION("""COMPUTED_VALUE"""),"mdx")</f>
        <v>mdx</v>
      </c>
      <c r="C7817" s="2" t="str">
        <f ca="1">IFERROR(__xludf.DUMMYFUNCTION("""COMPUTED_VALUE"""),"Mandala Exchange")</f>
        <v>Mandala Exchange</v>
      </c>
    </row>
    <row r="7818" spans="1:3" x14ac:dyDescent="0.25">
      <c r="A7818" s="2" t="str">
        <f ca="1">IFERROR(__xludf.DUMMYFUNCTION("""COMPUTED_VALUE"""),"mande-network")</f>
        <v>mande-network</v>
      </c>
      <c r="B7818" s="2" t="str">
        <f ca="1">IFERROR(__xludf.DUMMYFUNCTION("""COMPUTED_VALUE"""),"mand")</f>
        <v>mand</v>
      </c>
      <c r="C7818" s="2" t="str">
        <f ca="1">IFERROR(__xludf.DUMMYFUNCTION("""COMPUTED_VALUE"""),"Mande Network")</f>
        <v>Mande Network</v>
      </c>
    </row>
    <row r="7819" spans="1:3" x14ac:dyDescent="0.25">
      <c r="A7819" s="2" t="str">
        <f ca="1">IFERROR(__xludf.DUMMYFUNCTION("""COMPUTED_VALUE"""),"mandox-2")</f>
        <v>mandox-2</v>
      </c>
      <c r="B7819" s="2" t="str">
        <f ca="1">IFERROR(__xludf.DUMMYFUNCTION("""COMPUTED_VALUE"""),"mandox")</f>
        <v>mandox</v>
      </c>
      <c r="C7819" s="2" t="str">
        <f ca="1">IFERROR(__xludf.DUMMYFUNCTION("""COMPUTED_VALUE"""),"MandoX")</f>
        <v>MandoX</v>
      </c>
    </row>
    <row r="7820" spans="1:3" x14ac:dyDescent="0.25">
      <c r="A7820" s="2" t="str">
        <f ca="1">IFERROR(__xludf.DUMMYFUNCTION("""COMPUTED_VALUE"""),"mane")</f>
        <v>mane</v>
      </c>
      <c r="B7820" s="2" t="str">
        <f ca="1">IFERROR(__xludf.DUMMYFUNCTION("""COMPUTED_VALUE"""),"mane")</f>
        <v>mane</v>
      </c>
      <c r="C7820" s="2" t="str">
        <f ca="1">IFERROR(__xludf.DUMMYFUNCTION("""COMPUTED_VALUE"""),"MANE")</f>
        <v>MANE</v>
      </c>
    </row>
    <row r="7821" spans="1:3" x14ac:dyDescent="0.25">
      <c r="A7821" s="2" t="str">
        <f ca="1">IFERROR(__xludf.DUMMYFUNCTION("""COMPUTED_VALUE"""),"maneki")</f>
        <v>maneki</v>
      </c>
      <c r="B7821" s="2" t="str">
        <f ca="1">IFERROR(__xludf.DUMMYFUNCTION("""COMPUTED_VALUE"""),"maneki")</f>
        <v>maneki</v>
      </c>
      <c r="C7821" s="2" t="str">
        <f ca="1">IFERROR(__xludf.DUMMYFUNCTION("""COMPUTED_VALUE"""),"MANEKI")</f>
        <v>MANEKI</v>
      </c>
    </row>
    <row r="7822" spans="1:3" x14ac:dyDescent="0.25">
      <c r="A7822" s="2" t="str">
        <f ca="1">IFERROR(__xludf.DUMMYFUNCTION("""COMPUTED_VALUE"""),"maneki-neko")</f>
        <v>maneki-neko</v>
      </c>
      <c r="B7822" s="2" t="str">
        <f ca="1">IFERROR(__xludf.DUMMYFUNCTION("""COMPUTED_VALUE"""),"neki")</f>
        <v>neki</v>
      </c>
      <c r="C7822" s="2" t="str">
        <f ca="1">IFERROR(__xludf.DUMMYFUNCTION("""COMPUTED_VALUE"""),"Maneki-neko")</f>
        <v>Maneki-neko</v>
      </c>
    </row>
    <row r="7823" spans="1:3" x14ac:dyDescent="0.25">
      <c r="A7823" s="2" t="str">
        <f ca="1">IFERROR(__xludf.DUMMYFUNCTION("""COMPUTED_VALUE"""),"maneko-pet")</f>
        <v>maneko-pet</v>
      </c>
      <c r="B7823" s="2" t="str">
        <f ca="1">IFERROR(__xludf.DUMMYFUNCTION("""COMPUTED_VALUE"""),"mp")</f>
        <v>mp</v>
      </c>
      <c r="C7823" s="2" t="str">
        <f ca="1">IFERROR(__xludf.DUMMYFUNCTION("""COMPUTED_VALUE"""),"Maneko Pet")</f>
        <v>Maneko Pet</v>
      </c>
    </row>
    <row r="7824" spans="1:3" x14ac:dyDescent="0.25">
      <c r="A7824" s="2" t="str">
        <f ca="1">IFERROR(__xludf.DUMMYFUNCTION("""COMPUTED_VALUE"""),"mangata-x")</f>
        <v>mangata-x</v>
      </c>
      <c r="B7824" s="2" t="str">
        <f ca="1">IFERROR(__xludf.DUMMYFUNCTION("""COMPUTED_VALUE"""),"mgx")</f>
        <v>mgx</v>
      </c>
      <c r="C7824" s="2" t="str">
        <f ca="1">IFERROR(__xludf.DUMMYFUNCTION("""COMPUTED_VALUE"""),"Mangata X")</f>
        <v>Mangata X</v>
      </c>
    </row>
    <row r="7825" spans="1:3" x14ac:dyDescent="0.25">
      <c r="A7825" s="2" t="str">
        <f ca="1">IFERROR(__xludf.DUMMYFUNCTION("""COMPUTED_VALUE"""),"manga-token")</f>
        <v>manga-token</v>
      </c>
      <c r="B7825" s="2" t="str">
        <f ca="1">IFERROR(__xludf.DUMMYFUNCTION("""COMPUTED_VALUE"""),"$manga")</f>
        <v>$manga</v>
      </c>
      <c r="C7825" s="2" t="str">
        <f ca="1">IFERROR(__xludf.DUMMYFUNCTION("""COMPUTED_VALUE"""),"Manga")</f>
        <v>Manga</v>
      </c>
    </row>
    <row r="7826" spans="1:3" x14ac:dyDescent="0.25">
      <c r="A7826" s="2" t="str">
        <f ca="1">IFERROR(__xludf.DUMMYFUNCTION("""COMPUTED_VALUE"""),"mangoman-intelligent")</f>
        <v>mangoman-intelligent</v>
      </c>
      <c r="B7826" s="2" t="str">
        <f ca="1">IFERROR(__xludf.DUMMYFUNCTION("""COMPUTED_VALUE"""),"mmit")</f>
        <v>mmit</v>
      </c>
      <c r="C7826" s="2" t="str">
        <f ca="1">IFERROR(__xludf.DUMMYFUNCTION("""COMPUTED_VALUE"""),"MangoMan Intelligent")</f>
        <v>MangoMan Intelligent</v>
      </c>
    </row>
    <row r="7827" spans="1:3" x14ac:dyDescent="0.25">
      <c r="A7827" s="2" t="str">
        <f ca="1">IFERROR(__xludf.DUMMYFUNCTION("""COMPUTED_VALUE"""),"mango-markets")</f>
        <v>mango-markets</v>
      </c>
      <c r="B7827" s="2" t="str">
        <f ca="1">IFERROR(__xludf.DUMMYFUNCTION("""COMPUTED_VALUE"""),"mngo")</f>
        <v>mngo</v>
      </c>
      <c r="C7827" s="2" t="str">
        <f ca="1">IFERROR(__xludf.DUMMYFUNCTION("""COMPUTED_VALUE"""),"Mango")</f>
        <v>Mango</v>
      </c>
    </row>
    <row r="7828" spans="1:3" x14ac:dyDescent="0.25">
      <c r="A7828" s="2" t="str">
        <f ca="1">IFERROR(__xludf.DUMMYFUNCTION("""COMPUTED_VALUE"""),"manifest-on-sol")</f>
        <v>manifest-on-sol</v>
      </c>
      <c r="B7828" s="2" t="str">
        <f ca="1">IFERROR(__xludf.DUMMYFUNCTION("""COMPUTED_VALUE"""),"manifest")</f>
        <v>manifest</v>
      </c>
      <c r="C7828" s="2" t="str">
        <f ca="1">IFERROR(__xludf.DUMMYFUNCTION("""COMPUTED_VALUE"""),"Manifest")</f>
        <v>Manifest</v>
      </c>
    </row>
    <row r="7829" spans="1:3" x14ac:dyDescent="0.25">
      <c r="A7829" s="2" t="str">
        <f ca="1">IFERROR(__xludf.DUMMYFUNCTION("""COMPUTED_VALUE"""),"manifold-finance")</f>
        <v>manifold-finance</v>
      </c>
      <c r="B7829" s="2" t="str">
        <f ca="1">IFERROR(__xludf.DUMMYFUNCTION("""COMPUTED_VALUE"""),"fold")</f>
        <v>fold</v>
      </c>
      <c r="C7829" s="2" t="str">
        <f ca="1">IFERROR(__xludf.DUMMYFUNCTION("""COMPUTED_VALUE"""),"Manifold Finance")</f>
        <v>Manifold Finance</v>
      </c>
    </row>
    <row r="7830" spans="1:3" x14ac:dyDescent="0.25">
      <c r="A7830" s="2" t="str">
        <f ca="1">IFERROR(__xludf.DUMMYFUNCTION("""COMPUTED_VALUE"""),"mantadao")</f>
        <v>mantadao</v>
      </c>
      <c r="B7830" s="2" t="str">
        <f ca="1">IFERROR(__xludf.DUMMYFUNCTION("""COMPUTED_VALUE"""),"mnta")</f>
        <v>mnta</v>
      </c>
      <c r="C7830" s="2" t="str">
        <f ca="1">IFERROR(__xludf.DUMMYFUNCTION("""COMPUTED_VALUE"""),"MantaDAO")</f>
        <v>MantaDAO</v>
      </c>
    </row>
    <row r="7831" spans="1:3" x14ac:dyDescent="0.25">
      <c r="A7831" s="2" t="str">
        <f ca="1">IFERROR(__xludf.DUMMYFUNCTION("""COMPUTED_VALUE"""),"manta-mbtc")</f>
        <v>manta-mbtc</v>
      </c>
      <c r="B7831" s="2" t="str">
        <f ca="1">IFERROR(__xludf.DUMMYFUNCTION("""COMPUTED_VALUE"""),"mbtc")</f>
        <v>mbtc</v>
      </c>
      <c r="C7831" s="2" t="str">
        <f ca="1">IFERROR(__xludf.DUMMYFUNCTION("""COMPUTED_VALUE"""),"Manta mBTC")</f>
        <v>Manta mBTC</v>
      </c>
    </row>
    <row r="7832" spans="1:3" x14ac:dyDescent="0.25">
      <c r="A7832" s="2" t="str">
        <f ca="1">IFERROR(__xludf.DUMMYFUNCTION("""COMPUTED_VALUE"""),"manta-meth")</f>
        <v>manta-meth</v>
      </c>
      <c r="B7832" s="2" t="str">
        <f ca="1">IFERROR(__xludf.DUMMYFUNCTION("""COMPUTED_VALUE"""),"meth")</f>
        <v>meth</v>
      </c>
      <c r="C7832" s="2" t="str">
        <f ca="1">IFERROR(__xludf.DUMMYFUNCTION("""COMPUTED_VALUE"""),"Manta mETH")</f>
        <v>Manta mETH</v>
      </c>
    </row>
    <row r="7833" spans="1:3" x14ac:dyDescent="0.25">
      <c r="A7833" s="2" t="str">
        <f ca="1">IFERROR(__xludf.DUMMYFUNCTION("""COMPUTED_VALUE"""),"manta-musd")</f>
        <v>manta-musd</v>
      </c>
      <c r="B7833" s="2" t="str">
        <f ca="1">IFERROR(__xludf.DUMMYFUNCTION("""COMPUTED_VALUE"""),"musd")</f>
        <v>musd</v>
      </c>
      <c r="C7833" s="2" t="str">
        <f ca="1">IFERROR(__xludf.DUMMYFUNCTION("""COMPUTED_VALUE"""),"Manta mUSD")</f>
        <v>Manta mUSD</v>
      </c>
    </row>
    <row r="7834" spans="1:3" x14ac:dyDescent="0.25">
      <c r="A7834" s="2" t="str">
        <f ca="1">IFERROR(__xludf.DUMMYFUNCTION("""COMPUTED_VALUE"""),"manta-network")</f>
        <v>manta-network</v>
      </c>
      <c r="B7834" s="2" t="str">
        <f ca="1">IFERROR(__xludf.DUMMYFUNCTION("""COMPUTED_VALUE"""),"manta")</f>
        <v>manta</v>
      </c>
      <c r="C7834" s="2" t="str">
        <f ca="1">IFERROR(__xludf.DUMMYFUNCTION("""COMPUTED_VALUE"""),"Manta Network")</f>
        <v>Manta Network</v>
      </c>
    </row>
    <row r="7835" spans="1:3" x14ac:dyDescent="0.25">
      <c r="A7835" s="2" t="str">
        <f ca="1">IFERROR(__xludf.DUMMYFUNCTION("""COMPUTED_VALUE"""),"manta-pacific-bridged-usdz-manta-pacific")</f>
        <v>manta-pacific-bridged-usdz-manta-pacific</v>
      </c>
      <c r="B7835" s="2" t="str">
        <f ca="1">IFERROR(__xludf.DUMMYFUNCTION("""COMPUTED_VALUE"""),"usdz")</f>
        <v>usdz</v>
      </c>
      <c r="C7835" s="2" t="str">
        <f ca="1">IFERROR(__xludf.DUMMYFUNCTION("""COMPUTED_VALUE"""),"Manta Pacific Bridged USDZ (Manta Pacific)")</f>
        <v>Manta Pacific Bridged USDZ (Manta Pacific)</v>
      </c>
    </row>
    <row r="7836" spans="1:3" x14ac:dyDescent="0.25">
      <c r="A7836" s="2" t="str">
        <f ca="1">IFERROR(__xludf.DUMMYFUNCTION("""COMPUTED_VALUE"""),"mantle")</f>
        <v>mantle</v>
      </c>
      <c r="B7836" s="2" t="str">
        <f ca="1">IFERROR(__xludf.DUMMYFUNCTION("""COMPUTED_VALUE"""),"mnt")</f>
        <v>mnt</v>
      </c>
      <c r="C7836" s="2" t="str">
        <f ca="1">IFERROR(__xludf.DUMMYFUNCTION("""COMPUTED_VALUE"""),"Mantle")</f>
        <v>Mantle</v>
      </c>
    </row>
    <row r="7837" spans="1:3" x14ac:dyDescent="0.25">
      <c r="A7837" s="2" t="str">
        <f ca="1">IFERROR(__xludf.DUMMYFUNCTION("""COMPUTED_VALUE"""),"mantle-bridged-usdc-mantle")</f>
        <v>mantle-bridged-usdc-mantle</v>
      </c>
      <c r="B7837" s="2" t="str">
        <f ca="1">IFERROR(__xludf.DUMMYFUNCTION("""COMPUTED_VALUE"""),"usdc")</f>
        <v>usdc</v>
      </c>
      <c r="C7837" s="2" t="str">
        <f ca="1">IFERROR(__xludf.DUMMYFUNCTION("""COMPUTED_VALUE"""),"Mantle Bridged USDC (Mantle)")</f>
        <v>Mantle Bridged USDC (Mantle)</v>
      </c>
    </row>
    <row r="7838" spans="1:3" x14ac:dyDescent="0.25">
      <c r="A7838" s="2" t="str">
        <f ca="1">IFERROR(__xludf.DUMMYFUNCTION("""COMPUTED_VALUE"""),"mantle-bridged-usdt-mantle")</f>
        <v>mantle-bridged-usdt-mantle</v>
      </c>
      <c r="B7838" s="2" t="str">
        <f ca="1">IFERROR(__xludf.DUMMYFUNCTION("""COMPUTED_VALUE"""),"usdt")</f>
        <v>usdt</v>
      </c>
      <c r="C7838" s="2" t="str">
        <f ca="1">IFERROR(__xludf.DUMMYFUNCTION("""COMPUTED_VALUE"""),"Mantle Bridged USDT (Mantle)")</f>
        <v>Mantle Bridged USDT (Mantle)</v>
      </c>
    </row>
    <row r="7839" spans="1:3" x14ac:dyDescent="0.25">
      <c r="A7839" s="2" t="str">
        <f ca="1">IFERROR(__xludf.DUMMYFUNCTION("""COMPUTED_VALUE"""),"mantle-bridged-wbtc-mantle")</f>
        <v>mantle-bridged-wbtc-mantle</v>
      </c>
      <c r="B7839" s="2" t="str">
        <f ca="1">IFERROR(__xludf.DUMMYFUNCTION("""COMPUTED_VALUE"""),"wbtc")</f>
        <v>wbtc</v>
      </c>
      <c r="C7839" s="2" t="str">
        <f ca="1">IFERROR(__xludf.DUMMYFUNCTION("""COMPUTED_VALUE"""),"Mantle Bridged WBTC (Mantle)")</f>
        <v>Mantle Bridged WBTC (Mantle)</v>
      </c>
    </row>
    <row r="7840" spans="1:3" x14ac:dyDescent="0.25">
      <c r="A7840" s="2" t="str">
        <f ca="1">IFERROR(__xludf.DUMMYFUNCTION("""COMPUTED_VALUE"""),"mantle-inu")</f>
        <v>mantle-inu</v>
      </c>
      <c r="B7840" s="2" t="str">
        <f ca="1">IFERROR(__xludf.DUMMYFUNCTION("""COMPUTED_VALUE"""),"minu")</f>
        <v>minu</v>
      </c>
      <c r="C7840" s="2" t="str">
        <f ca="1">IFERROR(__xludf.DUMMYFUNCTION("""COMPUTED_VALUE"""),"Mantle Inu")</f>
        <v>Mantle Inu</v>
      </c>
    </row>
    <row r="7841" spans="1:3" x14ac:dyDescent="0.25">
      <c r="A7841" s="2" t="str">
        <f ca="1">IFERROR(__xludf.DUMMYFUNCTION("""COMPUTED_VALUE"""),"mantle-staked-ether")</f>
        <v>mantle-staked-ether</v>
      </c>
      <c r="B7841" s="2" t="str">
        <f ca="1">IFERROR(__xludf.DUMMYFUNCTION("""COMPUTED_VALUE"""),"meth")</f>
        <v>meth</v>
      </c>
      <c r="C7841" s="2" t="str">
        <f ca="1">IFERROR(__xludf.DUMMYFUNCTION("""COMPUTED_VALUE"""),"Mantle Staked Ether")</f>
        <v>Mantle Staked Ether</v>
      </c>
    </row>
    <row r="7842" spans="1:3" x14ac:dyDescent="0.25">
      <c r="A7842" s="2" t="str">
        <f ca="1">IFERROR(__xludf.DUMMYFUNCTION("""COMPUTED_VALUE"""),"mantle-usd")</f>
        <v>mantle-usd</v>
      </c>
      <c r="B7842" s="2" t="str">
        <f ca="1">IFERROR(__xludf.DUMMYFUNCTION("""COMPUTED_VALUE"""),"musd")</f>
        <v>musd</v>
      </c>
      <c r="C7842" s="2" t="str">
        <f ca="1">IFERROR(__xludf.DUMMYFUNCTION("""COMPUTED_VALUE"""),"Mantle USD")</f>
        <v>Mantle USD</v>
      </c>
    </row>
    <row r="7843" spans="1:3" x14ac:dyDescent="0.25">
      <c r="A7843" s="2" t="str">
        <f ca="1">IFERROR(__xludf.DUMMYFUNCTION("""COMPUTED_VALUE"""),"mantra-dao")</f>
        <v>mantra-dao</v>
      </c>
      <c r="B7843" s="2" t="str">
        <f ca="1">IFERROR(__xludf.DUMMYFUNCTION("""COMPUTED_VALUE"""),"om")</f>
        <v>om</v>
      </c>
      <c r="C7843" s="2" t="str">
        <f ca="1">IFERROR(__xludf.DUMMYFUNCTION("""COMPUTED_VALUE"""),"MANTRA")</f>
        <v>MANTRA</v>
      </c>
    </row>
    <row r="7844" spans="1:3" x14ac:dyDescent="0.25">
      <c r="A7844" s="2" t="str">
        <f ca="1">IFERROR(__xludf.DUMMYFUNCTION("""COMPUTED_VALUE"""),"manufactory-2")</f>
        <v>manufactory-2</v>
      </c>
      <c r="B7844" s="2" t="str">
        <f ca="1">IFERROR(__xludf.DUMMYFUNCTION("""COMPUTED_VALUE"""),"mnft")</f>
        <v>mnft</v>
      </c>
      <c r="C7844" s="2" t="str">
        <f ca="1">IFERROR(__xludf.DUMMYFUNCTION("""COMPUTED_VALUE"""),"ManuFactory")</f>
        <v>ManuFactory</v>
      </c>
    </row>
    <row r="7845" spans="1:3" x14ac:dyDescent="0.25">
      <c r="A7845" s="2" t="str">
        <f ca="1">IFERROR(__xludf.DUMMYFUNCTION("""COMPUTED_VALUE"""),"mao")</f>
        <v>mao</v>
      </c>
      <c r="B7845" s="2" t="str">
        <f ca="1">IFERROR(__xludf.DUMMYFUNCTION("""COMPUTED_VALUE"""),"mao")</f>
        <v>mao</v>
      </c>
      <c r="C7845" s="2" t="str">
        <f ca="1">IFERROR(__xludf.DUMMYFUNCTION("""COMPUTED_VALUE"""),"mao")</f>
        <v>mao</v>
      </c>
    </row>
    <row r="7846" spans="1:3" x14ac:dyDescent="0.25">
      <c r="A7846" s="2" t="str">
        <f ca="1">IFERROR(__xludf.DUMMYFUNCTION("""COMPUTED_VALUE"""),"mao-2")</f>
        <v>mao-2</v>
      </c>
      <c r="B7846" s="2" t="str">
        <f ca="1">IFERROR(__xludf.DUMMYFUNCTION("""COMPUTED_VALUE"""),"mao")</f>
        <v>mao</v>
      </c>
      <c r="C7846" s="2" t="str">
        <f ca="1">IFERROR(__xludf.DUMMYFUNCTION("""COMPUTED_VALUE"""),"Mao")</f>
        <v>Mao</v>
      </c>
    </row>
    <row r="7847" spans="1:3" x14ac:dyDescent="0.25">
      <c r="A7847" s="2" t="str">
        <f ca="1">IFERROR(__xludf.DUMMYFUNCTION("""COMPUTED_VALUE"""),"maple")</f>
        <v>maple</v>
      </c>
      <c r="B7847" s="2" t="str">
        <f ca="1">IFERROR(__xludf.DUMMYFUNCTION("""COMPUTED_VALUE"""),"mpl")</f>
        <v>mpl</v>
      </c>
      <c r="C7847" s="2" t="str">
        <f ca="1">IFERROR(__xludf.DUMMYFUNCTION("""COMPUTED_VALUE"""),"Maple")</f>
        <v>Maple</v>
      </c>
    </row>
    <row r="7848" spans="1:3" x14ac:dyDescent="0.25">
      <c r="A7848" s="2" t="str">
        <f ca="1">IFERROR(__xludf.DUMMYFUNCTION("""COMPUTED_VALUE"""),"map-node")</f>
        <v>map-node</v>
      </c>
      <c r="B7848" s="2" t="str">
        <f ca="1">IFERROR(__xludf.DUMMYFUNCTION("""COMPUTED_VALUE"""),"mni")</f>
        <v>mni</v>
      </c>
      <c r="C7848" s="2" t="str">
        <f ca="1">IFERROR(__xludf.DUMMYFUNCTION("""COMPUTED_VALUE"""),"Map Node")</f>
        <v>Map Node</v>
      </c>
    </row>
    <row r="7849" spans="1:3" x14ac:dyDescent="0.25">
      <c r="A7849" s="2" t="str">
        <f ca="1">IFERROR(__xludf.DUMMYFUNCTION("""COMPUTED_VALUE"""),"mapped-usdt")</f>
        <v>mapped-usdt</v>
      </c>
      <c r="B7849" s="2" t="str">
        <f ca="1">IFERROR(__xludf.DUMMYFUNCTION("""COMPUTED_VALUE"""),"usdt")</f>
        <v>usdt</v>
      </c>
      <c r="C7849" s="2" t="str">
        <f ca="1">IFERROR(__xludf.DUMMYFUNCTION("""COMPUTED_VALUE"""),"Mapped USDT")</f>
        <v>Mapped USDT</v>
      </c>
    </row>
    <row r="7850" spans="1:3" x14ac:dyDescent="0.25">
      <c r="A7850" s="2" t="str">
        <f ca="1">IFERROR(__xludf.DUMMYFUNCTION("""COMPUTED_VALUE"""),"map-protocol-staked-mapo")</f>
        <v>map-protocol-staked-mapo</v>
      </c>
      <c r="B7850" s="2" t="str">
        <f ca="1">IFERROR(__xludf.DUMMYFUNCTION("""COMPUTED_VALUE"""),"stmapo")</f>
        <v>stmapo</v>
      </c>
      <c r="C7850" s="2" t="str">
        <f ca="1">IFERROR(__xludf.DUMMYFUNCTION("""COMPUTED_VALUE"""),"Map Protocol Staked MAPO")</f>
        <v>Map Protocol Staked MAPO</v>
      </c>
    </row>
    <row r="7851" spans="1:3" x14ac:dyDescent="0.25">
      <c r="A7851" s="2" t="str">
        <f ca="1">IFERROR(__xludf.DUMMYFUNCTION("""COMPUTED_VALUE"""),"maps")</f>
        <v>maps</v>
      </c>
      <c r="B7851" s="2" t="str">
        <f ca="1">IFERROR(__xludf.DUMMYFUNCTION("""COMPUTED_VALUE"""),"maps")</f>
        <v>maps</v>
      </c>
      <c r="C7851" s="2" t="str">
        <f ca="1">IFERROR(__xludf.DUMMYFUNCTION("""COMPUTED_VALUE"""),"MAPS")</f>
        <v>MAPS</v>
      </c>
    </row>
    <row r="7852" spans="1:3" x14ac:dyDescent="0.25">
      <c r="A7852" s="2" t="str">
        <f ca="1">IFERROR(__xludf.DUMMYFUNCTION("""COMPUTED_VALUE"""),"mar3-ai")</f>
        <v>mar3-ai</v>
      </c>
      <c r="B7852" s="2" t="str">
        <f ca="1">IFERROR(__xludf.DUMMYFUNCTION("""COMPUTED_VALUE"""),"mar3")</f>
        <v>mar3</v>
      </c>
      <c r="C7852" s="2" t="str">
        <f ca="1">IFERROR(__xludf.DUMMYFUNCTION("""COMPUTED_VALUE"""),"MAR3 AI")</f>
        <v>MAR3 AI</v>
      </c>
    </row>
    <row r="7853" spans="1:3" x14ac:dyDescent="0.25">
      <c r="A7853" s="2" t="str">
        <f ca="1">IFERROR(__xludf.DUMMYFUNCTION("""COMPUTED_VALUE"""),"marbledao-artex")</f>
        <v>marbledao-artex</v>
      </c>
      <c r="B7853" s="2" t="str">
        <f ca="1">IFERROR(__xludf.DUMMYFUNCTION("""COMPUTED_VALUE"""),"artex")</f>
        <v>artex</v>
      </c>
      <c r="C7853" s="2" t="str">
        <f ca="1">IFERROR(__xludf.DUMMYFUNCTION("""COMPUTED_VALUE"""),"MarbleDAO ARTEX")</f>
        <v>MarbleDAO ARTEX</v>
      </c>
    </row>
    <row r="7854" spans="1:3" x14ac:dyDescent="0.25">
      <c r="A7854" s="2" t="str">
        <f ca="1">IFERROR(__xludf.DUMMYFUNCTION("""COMPUTED_VALUE"""),"marblex")</f>
        <v>marblex</v>
      </c>
      <c r="B7854" s="2" t="str">
        <f ca="1">IFERROR(__xludf.DUMMYFUNCTION("""COMPUTED_VALUE"""),"mbx")</f>
        <v>mbx</v>
      </c>
      <c r="C7854" s="2" t="str">
        <f ca="1">IFERROR(__xludf.DUMMYFUNCTION("""COMPUTED_VALUE"""),"Marblex")</f>
        <v>Marblex</v>
      </c>
    </row>
    <row r="7855" spans="1:3" x14ac:dyDescent="0.25">
      <c r="A7855" s="2" t="str">
        <f ca="1">IFERROR(__xludf.DUMMYFUNCTION("""COMPUTED_VALUE"""),"marcopolo")</f>
        <v>marcopolo</v>
      </c>
      <c r="B7855" s="2" t="str">
        <f ca="1">IFERROR(__xludf.DUMMYFUNCTION("""COMPUTED_VALUE"""),"mapo")</f>
        <v>mapo</v>
      </c>
      <c r="C7855" s="2" t="str">
        <f ca="1">IFERROR(__xludf.DUMMYFUNCTION("""COMPUTED_VALUE"""),"MAP Protocol")</f>
        <v>MAP Protocol</v>
      </c>
    </row>
    <row r="7856" spans="1:3" x14ac:dyDescent="0.25">
      <c r="A7856" s="2" t="str">
        <f ca="1">IFERROR(__xludf.DUMMYFUNCTION("""COMPUTED_VALUE"""),"mare-finance")</f>
        <v>mare-finance</v>
      </c>
      <c r="B7856" s="2" t="str">
        <f ca="1">IFERROR(__xludf.DUMMYFUNCTION("""COMPUTED_VALUE"""),"mare")</f>
        <v>mare</v>
      </c>
      <c r="C7856" s="2" t="str">
        <f ca="1">IFERROR(__xludf.DUMMYFUNCTION("""COMPUTED_VALUE"""),"Mare Finance")</f>
        <v>Mare Finance</v>
      </c>
    </row>
    <row r="7857" spans="1:3" x14ac:dyDescent="0.25">
      <c r="A7857" s="2" t="str">
        <f ca="1">IFERROR(__xludf.DUMMYFUNCTION("""COMPUTED_VALUE"""),"margaritis")</f>
        <v>margaritis</v>
      </c>
      <c r="B7857" s="2" t="str">
        <f ca="1">IFERROR(__xludf.DUMMYFUNCTION("""COMPUTED_VALUE"""),"marga")</f>
        <v>marga</v>
      </c>
      <c r="C7857" s="2" t="str">
        <f ca="1">IFERROR(__xludf.DUMMYFUNCTION("""COMPUTED_VALUE"""),"Margaritis")</f>
        <v>Margaritis</v>
      </c>
    </row>
    <row r="7858" spans="1:3" x14ac:dyDescent="0.25">
      <c r="A7858" s="2" t="str">
        <f ca="1">IFERROR(__xludf.DUMMYFUNCTION("""COMPUTED_VALUE"""),"marginswap")</f>
        <v>marginswap</v>
      </c>
      <c r="B7858" s="2" t="str">
        <f ca="1">IFERROR(__xludf.DUMMYFUNCTION("""COMPUTED_VALUE"""),"mfi")</f>
        <v>mfi</v>
      </c>
      <c r="C7858" s="2" t="str">
        <f ca="1">IFERROR(__xludf.DUMMYFUNCTION("""COMPUTED_VALUE"""),"Marginswap")</f>
        <v>Marginswap</v>
      </c>
    </row>
    <row r="7859" spans="1:3" x14ac:dyDescent="0.25">
      <c r="A7859" s="2" t="str">
        <f ca="1">IFERROR(__xludf.DUMMYFUNCTION("""COMPUTED_VALUE"""),"marhabadefi")</f>
        <v>marhabadefi</v>
      </c>
      <c r="B7859" s="2" t="str">
        <f ca="1">IFERROR(__xludf.DUMMYFUNCTION("""COMPUTED_VALUE"""),"mrhb")</f>
        <v>mrhb</v>
      </c>
      <c r="C7859" s="2" t="str">
        <f ca="1">IFERROR(__xludf.DUMMYFUNCTION("""COMPUTED_VALUE"""),"MarhabaDeFi")</f>
        <v>MarhabaDeFi</v>
      </c>
    </row>
    <row r="7860" spans="1:3" x14ac:dyDescent="0.25">
      <c r="A7860" s="2" t="str">
        <f ca="1">IFERROR(__xludf.DUMMYFUNCTION("""COMPUTED_VALUE"""),"maria")</f>
        <v>maria</v>
      </c>
      <c r="B7860" s="2" t="str">
        <f ca="1">IFERROR(__xludf.DUMMYFUNCTION("""COMPUTED_VALUE"""),"maria")</f>
        <v>maria</v>
      </c>
      <c r="C7860" s="2" t="str">
        <f ca="1">IFERROR(__xludf.DUMMYFUNCTION("""COMPUTED_VALUE"""),"Maria")</f>
        <v>Maria</v>
      </c>
    </row>
    <row r="7861" spans="1:3" x14ac:dyDescent="0.25">
      <c r="A7861" s="2" t="str">
        <f ca="1">IFERROR(__xludf.DUMMYFUNCTION("""COMPUTED_VALUE"""),"maricoin")</f>
        <v>maricoin</v>
      </c>
      <c r="B7861" s="2" t="str">
        <f ca="1">IFERROR(__xludf.DUMMYFUNCTION("""COMPUTED_VALUE"""),"mcoin")</f>
        <v>mcoin</v>
      </c>
      <c r="C7861" s="2" t="str">
        <f ca="1">IFERROR(__xludf.DUMMYFUNCTION("""COMPUTED_VALUE"""),"MariCoin")</f>
        <v>MariCoin</v>
      </c>
    </row>
    <row r="7862" spans="1:3" x14ac:dyDescent="0.25">
      <c r="A7862" s="2" t="str">
        <f ca="1">IFERROR(__xludf.DUMMYFUNCTION("""COMPUTED_VALUE"""),"marinade")</f>
        <v>marinade</v>
      </c>
      <c r="B7862" s="2" t="str">
        <f ca="1">IFERROR(__xludf.DUMMYFUNCTION("""COMPUTED_VALUE"""),"mnde")</f>
        <v>mnde</v>
      </c>
      <c r="C7862" s="2" t="str">
        <f ca="1">IFERROR(__xludf.DUMMYFUNCTION("""COMPUTED_VALUE"""),"Marinade")</f>
        <v>Marinade</v>
      </c>
    </row>
    <row r="7863" spans="1:3" x14ac:dyDescent="0.25">
      <c r="A7863" s="2" t="str">
        <f ca="1">IFERROR(__xludf.DUMMYFUNCTION("""COMPUTED_VALUE"""),"marine-moguls")</f>
        <v>marine-moguls</v>
      </c>
      <c r="B7863" s="2" t="str">
        <f ca="1">IFERROR(__xludf.DUMMYFUNCTION("""COMPUTED_VALUE"""),"mogul")</f>
        <v>mogul</v>
      </c>
      <c r="C7863" s="2" t="str">
        <f ca="1">IFERROR(__xludf.DUMMYFUNCTION("""COMPUTED_VALUE"""),"Marine Moguls")</f>
        <v>Marine Moguls</v>
      </c>
    </row>
    <row r="7864" spans="1:3" x14ac:dyDescent="0.25">
      <c r="A7864" s="2" t="str">
        <f ca="1">IFERROR(__xludf.DUMMYFUNCTION("""COMPUTED_VALUE"""),"market-making-pro")</f>
        <v>market-making-pro</v>
      </c>
      <c r="B7864" s="2" t="str">
        <f ca="1">IFERROR(__xludf.DUMMYFUNCTION("""COMPUTED_VALUE"""),"mmpro")</f>
        <v>mmpro</v>
      </c>
      <c r="C7864" s="2" t="str">
        <f ca="1">IFERROR(__xludf.DUMMYFUNCTION("""COMPUTED_VALUE"""),"Market Making Pro")</f>
        <v>Market Making Pro</v>
      </c>
    </row>
    <row r="7865" spans="1:3" x14ac:dyDescent="0.25">
      <c r="A7865" s="2" t="str">
        <f ca="1">IFERROR(__xludf.DUMMYFUNCTION("""COMPUTED_VALUE"""),"marketpeak")</f>
        <v>marketpeak</v>
      </c>
      <c r="B7865" s="2" t="str">
        <f ca="1">IFERROR(__xludf.DUMMYFUNCTION("""COMPUTED_VALUE"""),"peak")</f>
        <v>peak</v>
      </c>
      <c r="C7865" s="2" t="str">
        <f ca="1">IFERROR(__xludf.DUMMYFUNCTION("""COMPUTED_VALUE"""),"PEAKDEFI")</f>
        <v>PEAKDEFI</v>
      </c>
    </row>
    <row r="7866" spans="1:3" x14ac:dyDescent="0.25">
      <c r="A7866" s="2" t="str">
        <f ca="1">IFERROR(__xludf.DUMMYFUNCTION("""COMPUTED_VALUE"""),"marketraker")</f>
        <v>marketraker</v>
      </c>
      <c r="B7866" s="2" t="str">
        <f ca="1">IFERROR(__xludf.DUMMYFUNCTION("""COMPUTED_VALUE"""),"raker")</f>
        <v>raker</v>
      </c>
      <c r="C7866" s="2" t="str">
        <f ca="1">IFERROR(__xludf.DUMMYFUNCTION("""COMPUTED_VALUE"""),"MarketRaker AI")</f>
        <v>MarketRaker AI</v>
      </c>
    </row>
    <row r="7867" spans="1:3" x14ac:dyDescent="0.25">
      <c r="A7867" s="2" t="str">
        <f ca="1">IFERROR(__xludf.DUMMYFUNCTION("""COMPUTED_VALUE"""),"marketviz")</f>
        <v>marketviz</v>
      </c>
      <c r="B7867" s="2" t="str">
        <f ca="1">IFERROR(__xludf.DUMMYFUNCTION("""COMPUTED_VALUE"""),"viz")</f>
        <v>viz</v>
      </c>
      <c r="C7867" s="2" t="str">
        <f ca="1">IFERROR(__xludf.DUMMYFUNCTION("""COMPUTED_VALUE"""),"MARKETVIZ")</f>
        <v>MARKETVIZ</v>
      </c>
    </row>
    <row r="7868" spans="1:3" x14ac:dyDescent="0.25">
      <c r="A7868" s="2" t="str">
        <f ca="1">IFERROR(__xludf.DUMMYFUNCTION("""COMPUTED_VALUE"""),"marksman")</f>
        <v>marksman</v>
      </c>
      <c r="B7868" s="2" t="str">
        <f ca="1">IFERROR(__xludf.DUMMYFUNCTION("""COMPUTED_VALUE"""),"marks")</f>
        <v>marks</v>
      </c>
      <c r="C7868" s="2" t="str">
        <f ca="1">IFERROR(__xludf.DUMMYFUNCTION("""COMPUTED_VALUE"""),"Marksman")</f>
        <v>Marksman</v>
      </c>
    </row>
    <row r="7869" spans="1:3" x14ac:dyDescent="0.25">
      <c r="A7869" s="2" t="str">
        <f ca="1">IFERROR(__xludf.DUMMYFUNCTION("""COMPUTED_VALUE"""),"marlin")</f>
        <v>marlin</v>
      </c>
      <c r="B7869" s="2" t="str">
        <f ca="1">IFERROR(__xludf.DUMMYFUNCTION("""COMPUTED_VALUE"""),"pond")</f>
        <v>pond</v>
      </c>
      <c r="C7869" s="2" t="str">
        <f ca="1">IFERROR(__xludf.DUMMYFUNCTION("""COMPUTED_VALUE"""),"Marlin")</f>
        <v>Marlin</v>
      </c>
    </row>
    <row r="7870" spans="1:3" x14ac:dyDescent="0.25">
      <c r="A7870" s="2" t="str">
        <f ca="1">IFERROR(__xludf.DUMMYFUNCTION("""COMPUTED_VALUE"""),"marmalade-token")</f>
        <v>marmalade-token</v>
      </c>
      <c r="B7870" s="2" t="str">
        <f ca="1">IFERROR(__xludf.DUMMYFUNCTION("""COMPUTED_VALUE"""),"mard")</f>
        <v>mard</v>
      </c>
      <c r="C7870" s="2" t="str">
        <f ca="1">IFERROR(__xludf.DUMMYFUNCTION("""COMPUTED_VALUE"""),"Marmalade Token")</f>
        <v>Marmalade Token</v>
      </c>
    </row>
    <row r="7871" spans="1:3" x14ac:dyDescent="0.25">
      <c r="A7871" s="2" t="str">
        <f ca="1">IFERROR(__xludf.DUMMYFUNCTION("""COMPUTED_VALUE"""),"marmara-credit-loops")</f>
        <v>marmara-credit-loops</v>
      </c>
      <c r="B7871" s="2" t="str">
        <f ca="1">IFERROR(__xludf.DUMMYFUNCTION("""COMPUTED_VALUE"""),"mcl")</f>
        <v>mcl</v>
      </c>
      <c r="C7871" s="2" t="str">
        <f ca="1">IFERROR(__xludf.DUMMYFUNCTION("""COMPUTED_VALUE"""),"Marmara Credit Loops")</f>
        <v>Marmara Credit Loops</v>
      </c>
    </row>
    <row r="7872" spans="1:3" x14ac:dyDescent="0.25">
      <c r="A7872" s="2" t="str">
        <f ca="1">IFERROR(__xludf.DUMMYFUNCTION("""COMPUTED_VALUE"""),"marnotaur")</f>
        <v>marnotaur</v>
      </c>
      <c r="B7872" s="2" t="str">
        <f ca="1">IFERROR(__xludf.DUMMYFUNCTION("""COMPUTED_VALUE"""),"taur")</f>
        <v>taur</v>
      </c>
      <c r="C7872" s="2" t="str">
        <f ca="1">IFERROR(__xludf.DUMMYFUNCTION("""COMPUTED_VALUE"""),"Marnotaur")</f>
        <v>Marnotaur</v>
      </c>
    </row>
    <row r="7873" spans="1:3" x14ac:dyDescent="0.25">
      <c r="A7873" s="2" t="str">
        <f ca="1">IFERROR(__xludf.DUMMYFUNCTION("""COMPUTED_VALUE"""),"marquee")</f>
        <v>marquee</v>
      </c>
      <c r="B7873" s="2" t="str">
        <f ca="1">IFERROR(__xludf.DUMMYFUNCTION("""COMPUTED_VALUE"""),"marq")</f>
        <v>marq</v>
      </c>
      <c r="C7873" s="2" t="str">
        <f ca="1">IFERROR(__xludf.DUMMYFUNCTION("""COMPUTED_VALUE"""),"Marquee")</f>
        <v>Marquee</v>
      </c>
    </row>
    <row r="7874" spans="1:3" x14ac:dyDescent="0.25">
      <c r="A7874" s="2" t="str">
        <f ca="1">IFERROR(__xludf.DUMMYFUNCTION("""COMPUTED_VALUE"""),"mars-2")</f>
        <v>mars-2</v>
      </c>
      <c r="B7874" s="2" t="str">
        <f ca="1">IFERROR(__xludf.DUMMYFUNCTION("""COMPUTED_VALUE"""),"mars")</f>
        <v>mars</v>
      </c>
      <c r="C7874" s="2" t="str">
        <f ca="1">IFERROR(__xludf.DUMMYFUNCTION("""COMPUTED_VALUE"""),"Mars")</f>
        <v>Mars</v>
      </c>
    </row>
    <row r="7875" spans="1:3" x14ac:dyDescent="0.25">
      <c r="A7875" s="2" t="str">
        <f ca="1">IFERROR(__xludf.DUMMYFUNCTION("""COMPUTED_VALUE"""),"mars-3")</f>
        <v>mars-3</v>
      </c>
      <c r="B7875" s="2" t="str">
        <f ca="1">IFERROR(__xludf.DUMMYFUNCTION("""COMPUTED_VALUE"""),"mars")</f>
        <v>mars</v>
      </c>
      <c r="C7875" s="2" t="str">
        <f ca="1">IFERROR(__xludf.DUMMYFUNCTION("""COMPUTED_VALUE"""),"Mars")</f>
        <v>Mars</v>
      </c>
    </row>
    <row r="7876" spans="1:3" x14ac:dyDescent="0.25">
      <c r="A7876" s="2" t="str">
        <f ca="1">IFERROR(__xludf.DUMMYFUNCTION("""COMPUTED_VALUE"""),"mars4")</f>
        <v>mars4</v>
      </c>
      <c r="B7876" s="2" t="str">
        <f ca="1">IFERROR(__xludf.DUMMYFUNCTION("""COMPUTED_VALUE"""),"mars4")</f>
        <v>mars4</v>
      </c>
      <c r="C7876" s="2" t="str">
        <f ca="1">IFERROR(__xludf.DUMMYFUNCTION("""COMPUTED_VALUE"""),"MARS4")</f>
        <v>MARS4</v>
      </c>
    </row>
    <row r="7877" spans="1:3" x14ac:dyDescent="0.25">
      <c r="A7877" s="2" t="str">
        <f ca="1">IFERROR(__xludf.DUMMYFUNCTION("""COMPUTED_VALUE"""),"marscoin")</f>
        <v>marscoin</v>
      </c>
      <c r="B7877" s="2" t="str">
        <f ca="1">IFERROR(__xludf.DUMMYFUNCTION("""COMPUTED_VALUE"""),"mars")</f>
        <v>mars</v>
      </c>
      <c r="C7877" s="2" t="str">
        <f ca="1">IFERROR(__xludf.DUMMYFUNCTION("""COMPUTED_VALUE"""),"Marscoin")</f>
        <v>Marscoin</v>
      </c>
    </row>
    <row r="7878" spans="1:3" x14ac:dyDescent="0.25">
      <c r="A7878" s="2" t="str">
        <f ca="1">IFERROR(__xludf.DUMMYFUNCTION("""COMPUTED_VALUE"""),"marscolony")</f>
        <v>marscolony</v>
      </c>
      <c r="B7878" s="2" t="str">
        <f ca="1">IFERROR(__xludf.DUMMYFUNCTION("""COMPUTED_VALUE"""),"clny")</f>
        <v>clny</v>
      </c>
      <c r="C7878" s="2" t="str">
        <f ca="1">IFERROR(__xludf.DUMMYFUNCTION("""COMPUTED_VALUE"""),"MarsColony")</f>
        <v>MarsColony</v>
      </c>
    </row>
    <row r="7879" spans="1:3" x14ac:dyDescent="0.25">
      <c r="A7879" s="2" t="str">
        <f ca="1">IFERROR(__xludf.DUMMYFUNCTION("""COMPUTED_VALUE"""),"marsdao")</f>
        <v>marsdao</v>
      </c>
      <c r="B7879" s="2" t="str">
        <f ca="1">IFERROR(__xludf.DUMMYFUNCTION("""COMPUTED_VALUE"""),"mdao")</f>
        <v>mdao</v>
      </c>
      <c r="C7879" s="2" t="str">
        <f ca="1">IFERROR(__xludf.DUMMYFUNCTION("""COMPUTED_VALUE"""),"MarsDAO")</f>
        <v>MarsDAO</v>
      </c>
    </row>
    <row r="7880" spans="1:3" x14ac:dyDescent="0.25">
      <c r="A7880" s="2" t="str">
        <f ca="1">IFERROR(__xludf.DUMMYFUNCTION("""COMPUTED_VALUE"""),"mars-ecosystem-token")</f>
        <v>mars-ecosystem-token</v>
      </c>
      <c r="B7880" s="2" t="str">
        <f ca="1">IFERROR(__xludf.DUMMYFUNCTION("""COMPUTED_VALUE"""),"xms")</f>
        <v>xms</v>
      </c>
      <c r="C7880" s="2" t="str">
        <f ca="1">IFERROR(__xludf.DUMMYFUNCTION("""COMPUTED_VALUE"""),"Mars Ecosystem")</f>
        <v>Mars Ecosystem</v>
      </c>
    </row>
    <row r="7881" spans="1:3" x14ac:dyDescent="0.25">
      <c r="A7881" s="2" t="str">
        <f ca="1">IFERROR(__xludf.DUMMYFUNCTION("""COMPUTED_VALUE"""),"marso-tech")</f>
        <v>marso-tech</v>
      </c>
      <c r="B7881" s="2" t="str">
        <f ca="1">IFERROR(__xludf.DUMMYFUNCTION("""COMPUTED_VALUE"""),"marso")</f>
        <v>marso</v>
      </c>
      <c r="C7881" s="2" t="str">
        <f ca="1">IFERROR(__xludf.DUMMYFUNCTION("""COMPUTED_VALUE"""),"Marso.Tech")</f>
        <v>Marso.Tech</v>
      </c>
    </row>
    <row r="7882" spans="1:3" x14ac:dyDescent="0.25">
      <c r="A7882" s="2" t="str">
        <f ca="1">IFERROR(__xludf.DUMMYFUNCTION("""COMPUTED_VALUE"""),"mars-protocol-a7fcbcfb-fd61-4017-92f0-7ee9f9cc6da3")</f>
        <v>mars-protocol-a7fcbcfb-fd61-4017-92f0-7ee9f9cc6da3</v>
      </c>
      <c r="B7882" s="2" t="str">
        <f ca="1">IFERROR(__xludf.DUMMYFUNCTION("""COMPUTED_VALUE"""),"mars")</f>
        <v>mars</v>
      </c>
      <c r="C7882" s="2" t="str">
        <f ca="1">IFERROR(__xludf.DUMMYFUNCTION("""COMPUTED_VALUE"""),"Mars Protocol")</f>
        <v>Mars Protocol</v>
      </c>
    </row>
    <row r="7883" spans="1:3" x14ac:dyDescent="0.25">
      <c r="A7883" s="2" t="str">
        <f ca="1">IFERROR(__xludf.DUMMYFUNCTION("""COMPUTED_VALUE"""),"martin-shkreli-inu")</f>
        <v>martin-shkreli-inu</v>
      </c>
      <c r="B7883" s="2" t="str">
        <f ca="1">IFERROR(__xludf.DUMMYFUNCTION("""COMPUTED_VALUE"""),"msi")</f>
        <v>msi</v>
      </c>
      <c r="C7883" s="2" t="str">
        <f ca="1">IFERROR(__xludf.DUMMYFUNCTION("""COMPUTED_VALUE"""),"Martin Shkreli Inu")</f>
        <v>Martin Shkreli Inu</v>
      </c>
    </row>
    <row r="7884" spans="1:3" x14ac:dyDescent="0.25">
      <c r="A7884" s="2" t="str">
        <f ca="1">IFERROR(__xludf.DUMMYFUNCTION("""COMPUTED_VALUE"""),"maru-dog")</f>
        <v>maru-dog</v>
      </c>
      <c r="B7884" s="2" t="str">
        <f ca="1">IFERROR(__xludf.DUMMYFUNCTION("""COMPUTED_VALUE"""),"maru")</f>
        <v>maru</v>
      </c>
      <c r="C7884" s="2" t="str">
        <f ca="1">IFERROR(__xludf.DUMMYFUNCTION("""COMPUTED_VALUE"""),"Maru Dog")</f>
        <v>Maru Dog</v>
      </c>
    </row>
    <row r="7885" spans="1:3" x14ac:dyDescent="0.25">
      <c r="A7885" s="2" t="str">
        <f ca="1">IFERROR(__xludf.DUMMYFUNCTION("""COMPUTED_VALUE"""),"marumarunft")</f>
        <v>marumarunft</v>
      </c>
      <c r="B7885" s="2" t="str">
        <f ca="1">IFERROR(__xludf.DUMMYFUNCTION("""COMPUTED_VALUE"""),"maru")</f>
        <v>maru</v>
      </c>
      <c r="C7885" s="2" t="str">
        <f ca="1">IFERROR(__xludf.DUMMYFUNCTION("""COMPUTED_VALUE"""),"marumaruNFT")</f>
        <v>marumaruNFT</v>
      </c>
    </row>
    <row r="7886" spans="1:3" x14ac:dyDescent="0.25">
      <c r="A7886" s="2" t="str">
        <f ca="1">IFERROR(__xludf.DUMMYFUNCTION("""COMPUTED_VALUE"""),"maru-taro")</f>
        <v>maru-taro</v>
      </c>
      <c r="B7886" s="2" t="str">
        <f ca="1">IFERROR(__xludf.DUMMYFUNCTION("""COMPUTED_VALUE"""),"taro")</f>
        <v>taro</v>
      </c>
      <c r="C7886" s="2" t="str">
        <f ca="1">IFERROR(__xludf.DUMMYFUNCTION("""COMPUTED_VALUE"""),"Maru Taro")</f>
        <v>Maru Taro</v>
      </c>
    </row>
    <row r="7887" spans="1:3" x14ac:dyDescent="0.25">
      <c r="A7887" s="2" t="str">
        <f ca="1">IFERROR(__xludf.DUMMYFUNCTION("""COMPUTED_VALUE"""),"marv")</f>
        <v>marv</v>
      </c>
      <c r="B7887" s="2" t="str">
        <f ca="1">IFERROR(__xludf.DUMMYFUNCTION("""COMPUTED_VALUE"""),"marv")</f>
        <v>marv</v>
      </c>
      <c r="C7887" s="2" t="str">
        <f ca="1">IFERROR(__xludf.DUMMYFUNCTION("""COMPUTED_VALUE"""),"Marv")</f>
        <v>Marv</v>
      </c>
    </row>
    <row r="7888" spans="1:3" x14ac:dyDescent="0.25">
      <c r="A7888" s="2" t="str">
        <f ca="1">IFERROR(__xludf.DUMMYFUNCTION("""COMPUTED_VALUE"""),"marvellex-classic")</f>
        <v>marvellex-classic</v>
      </c>
      <c r="B7888" s="2" t="str">
        <f ca="1">IFERROR(__xludf.DUMMYFUNCTION("""COMPUTED_VALUE"""),"mlxc")</f>
        <v>mlxc</v>
      </c>
      <c r="C7888" s="2" t="str">
        <f ca="1">IFERROR(__xludf.DUMMYFUNCTION("""COMPUTED_VALUE"""),"Marvellex Classic")</f>
        <v>Marvellex Classic</v>
      </c>
    </row>
    <row r="7889" spans="1:3" x14ac:dyDescent="0.25">
      <c r="A7889" s="2" t="str">
        <f ca="1">IFERROR(__xludf.DUMMYFUNCTION("""COMPUTED_VALUE"""),"marvelous-nfts")</f>
        <v>marvelous-nfts</v>
      </c>
      <c r="B7889" s="2" t="str">
        <f ca="1">IFERROR(__xludf.DUMMYFUNCTION("""COMPUTED_VALUE"""),"mnft")</f>
        <v>mnft</v>
      </c>
      <c r="C7889" s="2" t="str">
        <f ca="1">IFERROR(__xludf.DUMMYFUNCTION("""COMPUTED_VALUE"""),"Marvelous NFTs")</f>
        <v>Marvelous NFTs</v>
      </c>
    </row>
    <row r="7890" spans="1:3" x14ac:dyDescent="0.25">
      <c r="A7890" s="2" t="str">
        <f ca="1">IFERROR(__xludf.DUMMYFUNCTION("""COMPUTED_VALUE"""),"marvin")</f>
        <v>marvin</v>
      </c>
      <c r="B7890" s="2" t="str">
        <f ca="1">IFERROR(__xludf.DUMMYFUNCTION("""COMPUTED_VALUE"""),"marvin")</f>
        <v>marvin</v>
      </c>
      <c r="C7890" s="2" t="str">
        <f ca="1">IFERROR(__xludf.DUMMYFUNCTION("""COMPUTED_VALUE"""),"MARVIN")</f>
        <v>MARVIN</v>
      </c>
    </row>
    <row r="7891" spans="1:3" x14ac:dyDescent="0.25">
      <c r="A7891" s="2" t="str">
        <f ca="1">IFERROR(__xludf.DUMMYFUNCTION("""COMPUTED_VALUE"""),"marvin-2")</f>
        <v>marvin-2</v>
      </c>
      <c r="B7891" s="2" t="str">
        <f ca="1">IFERROR(__xludf.DUMMYFUNCTION("""COMPUTED_VALUE"""),"marvin")</f>
        <v>marvin</v>
      </c>
      <c r="C7891" s="2" t="str">
        <f ca="1">IFERROR(__xludf.DUMMYFUNCTION("""COMPUTED_VALUE"""),"Marvin")</f>
        <v>Marvin</v>
      </c>
    </row>
    <row r="7892" spans="1:3" x14ac:dyDescent="0.25">
      <c r="A7892" s="2" t="str">
        <f ca="1">IFERROR(__xludf.DUMMYFUNCTION("""COMPUTED_VALUE"""),"marvin-inu")</f>
        <v>marvin-inu</v>
      </c>
      <c r="B7892" s="2" t="str">
        <f ca="1">IFERROR(__xludf.DUMMYFUNCTION("""COMPUTED_VALUE"""),"marvin")</f>
        <v>marvin</v>
      </c>
      <c r="C7892" s="2" t="str">
        <f ca="1">IFERROR(__xludf.DUMMYFUNCTION("""COMPUTED_VALUE"""),"Marvin Inu")</f>
        <v>Marvin Inu</v>
      </c>
    </row>
    <row r="7893" spans="1:3" x14ac:dyDescent="0.25">
      <c r="A7893" s="2" t="str">
        <f ca="1">IFERROR(__xludf.DUMMYFUNCTION("""COMPUTED_VALUE"""),"marvin-inu-2")</f>
        <v>marvin-inu-2</v>
      </c>
      <c r="B7893" s="2" t="str">
        <f ca="1">IFERROR(__xludf.DUMMYFUNCTION("""COMPUTED_VALUE"""),"marvin")</f>
        <v>marvin</v>
      </c>
      <c r="C7893" s="2" t="str">
        <f ca="1">IFERROR(__xludf.DUMMYFUNCTION("""COMPUTED_VALUE"""),"Marvin Inu")</f>
        <v>Marvin Inu</v>
      </c>
    </row>
    <row r="7894" spans="1:3" x14ac:dyDescent="0.25">
      <c r="A7894" s="2" t="str">
        <f ca="1">IFERROR(__xludf.DUMMYFUNCTION("""COMPUTED_VALUE"""),"marvin-on-base")</f>
        <v>marvin-on-base</v>
      </c>
      <c r="B7894" s="2" t="str">
        <f ca="1">IFERROR(__xludf.DUMMYFUNCTION("""COMPUTED_VALUE"""),"mob")</f>
        <v>mob</v>
      </c>
      <c r="C7894" s="2" t="str">
        <f ca="1">IFERROR(__xludf.DUMMYFUNCTION("""COMPUTED_VALUE"""),"Marvin On Base")</f>
        <v>Marvin On Base</v>
      </c>
    </row>
    <row r="7895" spans="1:3" x14ac:dyDescent="0.25">
      <c r="A7895" s="2" t="str">
        <f ca="1">IFERROR(__xludf.DUMMYFUNCTION("""COMPUTED_VALUE"""),"masa-finance")</f>
        <v>masa-finance</v>
      </c>
      <c r="B7895" s="2" t="str">
        <f ca="1">IFERROR(__xludf.DUMMYFUNCTION("""COMPUTED_VALUE"""),"masa")</f>
        <v>masa</v>
      </c>
      <c r="C7895" s="2" t="str">
        <f ca="1">IFERROR(__xludf.DUMMYFUNCTION("""COMPUTED_VALUE"""),"Masa")</f>
        <v>Masa</v>
      </c>
    </row>
    <row r="7896" spans="1:3" x14ac:dyDescent="0.25">
      <c r="A7896" s="2" t="str">
        <f ca="1">IFERROR(__xludf.DUMMYFUNCTION("""COMPUTED_VALUE"""),"masari")</f>
        <v>masari</v>
      </c>
      <c r="B7896" s="2" t="str">
        <f ca="1">IFERROR(__xludf.DUMMYFUNCTION("""COMPUTED_VALUE"""),"msr")</f>
        <v>msr</v>
      </c>
      <c r="C7896" s="2" t="str">
        <f ca="1">IFERROR(__xludf.DUMMYFUNCTION("""COMPUTED_VALUE"""),"Masari")</f>
        <v>Masari</v>
      </c>
    </row>
    <row r="7897" spans="1:3" x14ac:dyDescent="0.25">
      <c r="A7897" s="2" t="str">
        <f ca="1">IFERROR(__xludf.DUMMYFUNCTION("""COMPUTED_VALUE"""),"mask-network")</f>
        <v>mask-network</v>
      </c>
      <c r="B7897" s="2" t="str">
        <f ca="1">IFERROR(__xludf.DUMMYFUNCTION("""COMPUTED_VALUE"""),"mask")</f>
        <v>mask</v>
      </c>
      <c r="C7897" s="2" t="str">
        <f ca="1">IFERROR(__xludf.DUMMYFUNCTION("""COMPUTED_VALUE"""),"Mask Network")</f>
        <v>Mask Network</v>
      </c>
    </row>
    <row r="7898" spans="1:3" x14ac:dyDescent="0.25">
      <c r="A7898" s="2" t="str">
        <f ca="1">IFERROR(__xludf.DUMMYFUNCTION("""COMPUTED_VALUE"""),"masks")</f>
        <v>masks</v>
      </c>
      <c r="B7898" s="2" t="str">
        <f ca="1">IFERROR(__xludf.DUMMYFUNCTION("""COMPUTED_VALUE"""),"masks")</f>
        <v>masks</v>
      </c>
      <c r="C7898" s="2" t="str">
        <f ca="1">IFERROR(__xludf.DUMMYFUNCTION("""COMPUTED_VALUE"""),"Masks")</f>
        <v>Masks</v>
      </c>
    </row>
    <row r="7899" spans="1:3" x14ac:dyDescent="0.25">
      <c r="A7899" s="2" t="str">
        <f ca="1">IFERROR(__xludf.DUMMYFUNCTION("""COMPUTED_VALUE"""),"masq")</f>
        <v>masq</v>
      </c>
      <c r="B7899" s="2" t="str">
        <f ca="1">IFERROR(__xludf.DUMMYFUNCTION("""COMPUTED_VALUE"""),"masq")</f>
        <v>masq</v>
      </c>
      <c r="C7899" s="2" t="str">
        <f ca="1">IFERROR(__xludf.DUMMYFUNCTION("""COMPUTED_VALUE"""),"MASQ")</f>
        <v>MASQ</v>
      </c>
    </row>
    <row r="7900" spans="1:3" x14ac:dyDescent="0.25">
      <c r="A7900" s="2" t="str">
        <f ca="1">IFERROR(__xludf.DUMMYFUNCTION("""COMPUTED_VALUE"""),"mass")</f>
        <v>mass</v>
      </c>
      <c r="B7900" s="2" t="str">
        <f ca="1">IFERROR(__xludf.DUMMYFUNCTION("""COMPUTED_VALUE"""),"mass")</f>
        <v>mass</v>
      </c>
      <c r="C7900" s="2" t="str">
        <f ca="1">IFERROR(__xludf.DUMMYFUNCTION("""COMPUTED_VALUE"""),"MASS")</f>
        <v>MASS</v>
      </c>
    </row>
    <row r="7901" spans="1:3" x14ac:dyDescent="0.25">
      <c r="A7901" s="2" t="str">
        <f ca="1">IFERROR(__xludf.DUMMYFUNCTION("""COMPUTED_VALUE"""),"massa")</f>
        <v>massa</v>
      </c>
      <c r="B7901" s="2" t="str">
        <f ca="1">IFERROR(__xludf.DUMMYFUNCTION("""COMPUTED_VALUE"""),"mas")</f>
        <v>mas</v>
      </c>
      <c r="C7901" s="2" t="str">
        <f ca="1">IFERROR(__xludf.DUMMYFUNCTION("""COMPUTED_VALUE"""),"Massa")</f>
        <v>Massa</v>
      </c>
    </row>
    <row r="7902" spans="1:3" x14ac:dyDescent="0.25">
      <c r="A7902" s="2" t="str">
        <f ca="1">IFERROR(__xludf.DUMMYFUNCTION("""COMPUTED_VALUE"""),"massa-bridged-dai-massa")</f>
        <v>massa-bridged-dai-massa</v>
      </c>
      <c r="B7902" s="2" t="str">
        <f ca="1">IFERROR(__xludf.DUMMYFUNCTION("""COMPUTED_VALUE"""),"dai")</f>
        <v>dai</v>
      </c>
      <c r="C7902" s="2" t="str">
        <f ca="1">IFERROR(__xludf.DUMMYFUNCTION("""COMPUTED_VALUE"""),"Massa Bridged DAI (Massa)")</f>
        <v>Massa Bridged DAI (Massa)</v>
      </c>
    </row>
    <row r="7903" spans="1:3" x14ac:dyDescent="0.25">
      <c r="A7903" s="2" t="str">
        <f ca="1">IFERROR(__xludf.DUMMYFUNCTION("""COMPUTED_VALUE"""),"massa-bridged-usdc-massa")</f>
        <v>massa-bridged-usdc-massa</v>
      </c>
      <c r="B7903" s="2" t="str">
        <f ca="1">IFERROR(__xludf.DUMMYFUNCTION("""COMPUTED_VALUE"""),"usdc")</f>
        <v>usdc</v>
      </c>
      <c r="C7903" s="2" t="str">
        <f ca="1">IFERROR(__xludf.DUMMYFUNCTION("""COMPUTED_VALUE"""),"Massa Bridged USDC (Massa)")</f>
        <v>Massa Bridged USDC (Massa)</v>
      </c>
    </row>
    <row r="7904" spans="1:3" x14ac:dyDescent="0.25">
      <c r="A7904" s="2" t="str">
        <f ca="1">IFERROR(__xludf.DUMMYFUNCTION("""COMPUTED_VALUE"""),"massa-bridged-usdt-massa")</f>
        <v>massa-bridged-usdt-massa</v>
      </c>
      <c r="B7904" s="2" t="str">
        <f ca="1">IFERROR(__xludf.DUMMYFUNCTION("""COMPUTED_VALUE"""),"usdt.b")</f>
        <v>usdt.b</v>
      </c>
      <c r="C7904" s="2" t="str">
        <f ca="1">IFERROR(__xludf.DUMMYFUNCTION("""COMPUTED_VALUE"""),"Massa Bridged USDT (Massa)")</f>
        <v>Massa Bridged USDT (Massa)</v>
      </c>
    </row>
    <row r="7905" spans="1:3" x14ac:dyDescent="0.25">
      <c r="A7905" s="2" t="str">
        <f ca="1">IFERROR(__xludf.DUMMYFUNCTION("""COMPUTED_VALUE"""),"massa-bridged-weth-b-massa")</f>
        <v>massa-bridged-weth-b-massa</v>
      </c>
      <c r="B7905" s="2" t="str">
        <f ca="1">IFERROR(__xludf.DUMMYFUNCTION("""COMPUTED_VALUE"""),"weth.b")</f>
        <v>weth.b</v>
      </c>
      <c r="C7905" s="2" t="str">
        <f ca="1">IFERROR(__xludf.DUMMYFUNCTION("""COMPUTED_VALUE"""),"Massa Bridged WETH.b (Massa)")</f>
        <v>Massa Bridged WETH.b (Massa)</v>
      </c>
    </row>
    <row r="7906" spans="1:3" x14ac:dyDescent="0.25">
      <c r="A7906" s="2" t="str">
        <f ca="1">IFERROR(__xludf.DUMMYFUNCTION("""COMPUTED_VALUE"""),"mass-vehicle-ledger")</f>
        <v>mass-vehicle-ledger</v>
      </c>
      <c r="B7906" s="2" t="str">
        <f ca="1">IFERROR(__xludf.DUMMYFUNCTION("""COMPUTED_VALUE"""),"mvl")</f>
        <v>mvl</v>
      </c>
      <c r="C7906" s="2" t="str">
        <f ca="1">IFERROR(__xludf.DUMMYFUNCTION("""COMPUTED_VALUE"""),"MVL")</f>
        <v>MVL</v>
      </c>
    </row>
    <row r="7907" spans="1:3" x14ac:dyDescent="0.25">
      <c r="A7907" s="2" t="str">
        <f ca="1">IFERROR(__xludf.DUMMYFUNCTION("""COMPUTED_VALUE"""),"masterdex")</f>
        <v>masterdex</v>
      </c>
      <c r="B7907" s="2" t="str">
        <f ca="1">IFERROR(__xludf.DUMMYFUNCTION("""COMPUTED_VALUE"""),"mdex")</f>
        <v>mdex</v>
      </c>
      <c r="C7907" s="2" t="str">
        <f ca="1">IFERROR(__xludf.DUMMYFUNCTION("""COMPUTED_VALUE"""),"MasterDEX")</f>
        <v>MasterDEX</v>
      </c>
    </row>
    <row r="7908" spans="1:3" x14ac:dyDescent="0.25">
      <c r="A7908" s="2" t="str">
        <f ca="1">IFERROR(__xludf.DUMMYFUNCTION("""COMPUTED_VALUE"""),"masternode-btc")</f>
        <v>masternode-btc</v>
      </c>
      <c r="B7908" s="2" t="str">
        <f ca="1">IFERROR(__xludf.DUMMYFUNCTION("""COMPUTED_VALUE"""),"mnbtc")</f>
        <v>mnbtc</v>
      </c>
      <c r="C7908" s="2" t="str">
        <f ca="1">IFERROR(__xludf.DUMMYFUNCTION("""COMPUTED_VALUE"""),"Masternode BTC")</f>
        <v>Masternode BTC</v>
      </c>
    </row>
    <row r="7909" spans="1:3" x14ac:dyDescent="0.25">
      <c r="A7909" s="2" t="str">
        <f ca="1">IFERROR(__xludf.DUMMYFUNCTION("""COMPUTED_VALUE"""),"masternoded-token")</f>
        <v>masternoded-token</v>
      </c>
      <c r="B7909" s="2" t="str">
        <f ca="1">IFERROR(__xludf.DUMMYFUNCTION("""COMPUTED_VALUE"""),"noded")</f>
        <v>noded</v>
      </c>
      <c r="C7909" s="2" t="str">
        <f ca="1">IFERROR(__xludf.DUMMYFUNCTION("""COMPUTED_VALUE"""),"Masternoded Token")</f>
        <v>Masternoded Token</v>
      </c>
    </row>
    <row r="7910" spans="1:3" x14ac:dyDescent="0.25">
      <c r="A7910" s="2" t="str">
        <f ca="1">IFERROR(__xludf.DUMMYFUNCTION("""COMPUTED_VALUE"""),"masternoder2")</f>
        <v>masternoder2</v>
      </c>
      <c r="B7910" s="2" t="str">
        <f ca="1">IFERROR(__xludf.DUMMYFUNCTION("""COMPUTED_VALUE"""),"mn2")</f>
        <v>mn2</v>
      </c>
      <c r="C7910" s="2" t="str">
        <f ca="1">IFERROR(__xludf.DUMMYFUNCTION("""COMPUTED_VALUE"""),"MasterNoder2")</f>
        <v>MasterNoder2</v>
      </c>
    </row>
    <row r="7911" spans="1:3" x14ac:dyDescent="0.25">
      <c r="A7911" s="2" t="str">
        <f ca="1">IFERROR(__xludf.DUMMYFUNCTION("""COMPUTED_VALUE"""),"masters-of-the-memes")</f>
        <v>masters-of-the-memes</v>
      </c>
      <c r="B7911" s="2" t="str">
        <f ca="1">IFERROR(__xludf.DUMMYFUNCTION("""COMPUTED_VALUE"""),"mom")</f>
        <v>mom</v>
      </c>
      <c r="C7911" s="2" t="str">
        <f ca="1">IFERROR(__xludf.DUMMYFUNCTION("""COMPUTED_VALUE"""),"Masters Of The Memes")</f>
        <v>Masters Of The Memes</v>
      </c>
    </row>
    <row r="7912" spans="1:3" x14ac:dyDescent="0.25">
      <c r="A7912" s="2" t="str">
        <f ca="1">IFERROR(__xludf.DUMMYFUNCTION("""COMPUTED_VALUE"""),"masterwin")</f>
        <v>masterwin</v>
      </c>
      <c r="B7912" s="2" t="str">
        <f ca="1">IFERROR(__xludf.DUMMYFUNCTION("""COMPUTED_VALUE"""),"mw")</f>
        <v>mw</v>
      </c>
      <c r="C7912" s="2" t="str">
        <f ca="1">IFERROR(__xludf.DUMMYFUNCTION("""COMPUTED_VALUE"""),"MasterWin")</f>
        <v>MasterWin</v>
      </c>
    </row>
    <row r="7913" spans="1:3" x14ac:dyDescent="0.25">
      <c r="A7913" s="2" t="str">
        <f ca="1">IFERROR(__xludf.DUMMYFUNCTION("""COMPUTED_VALUE"""),"matar-ai")</f>
        <v>matar-ai</v>
      </c>
      <c r="B7913" s="2" t="str">
        <f ca="1">IFERROR(__xludf.DUMMYFUNCTION("""COMPUTED_VALUE"""),"matar")</f>
        <v>matar</v>
      </c>
      <c r="C7913" s="2" t="str">
        <f ca="1">IFERROR(__xludf.DUMMYFUNCTION("""COMPUTED_VALUE"""),"Matar AI")</f>
        <v>Matar AI</v>
      </c>
    </row>
    <row r="7914" spans="1:3" x14ac:dyDescent="0.25">
      <c r="A7914" s="2" t="str">
        <f ca="1">IFERROR(__xludf.DUMMYFUNCTION("""COMPUTED_VALUE"""),"match-finance-eslbr")</f>
        <v>match-finance-eslbr</v>
      </c>
      <c r="B7914" s="2" t="str">
        <f ca="1">IFERROR(__xludf.DUMMYFUNCTION("""COMPUTED_VALUE"""),"meslbr")</f>
        <v>meslbr</v>
      </c>
      <c r="C7914" s="2" t="str">
        <f ca="1">IFERROR(__xludf.DUMMYFUNCTION("""COMPUTED_VALUE"""),"Match Finance esLBR")</f>
        <v>Match Finance esLBR</v>
      </c>
    </row>
    <row r="7915" spans="1:3" x14ac:dyDescent="0.25">
      <c r="A7915" s="2" t="str">
        <f ca="1">IFERROR(__xludf.DUMMYFUNCTION("""COMPUTED_VALUE"""),"match-token")</f>
        <v>match-token</v>
      </c>
      <c r="B7915" s="2" t="str">
        <f ca="1">IFERROR(__xludf.DUMMYFUNCTION("""COMPUTED_VALUE"""),"match")</f>
        <v>match</v>
      </c>
      <c r="C7915" s="2" t="str">
        <f ca="1">IFERROR(__xludf.DUMMYFUNCTION("""COMPUTED_VALUE"""),"Match Token")</f>
        <v>Match Token</v>
      </c>
    </row>
    <row r="7916" spans="1:3" x14ac:dyDescent="0.25">
      <c r="A7916" s="2" t="str">
        <f ca="1">IFERROR(__xludf.DUMMYFUNCTION("""COMPUTED_VALUE"""),"matchtrade")</f>
        <v>matchtrade</v>
      </c>
      <c r="B7916" s="2" t="str">
        <f ca="1">IFERROR(__xludf.DUMMYFUNCTION("""COMPUTED_VALUE"""),"match")</f>
        <v>match</v>
      </c>
      <c r="C7916" s="2" t="str">
        <f ca="1">IFERROR(__xludf.DUMMYFUNCTION("""COMPUTED_VALUE"""),"MatchTrade")</f>
        <v>MatchTrade</v>
      </c>
    </row>
    <row r="7917" spans="1:3" x14ac:dyDescent="0.25">
      <c r="A7917" s="2" t="str">
        <f ca="1">IFERROR(__xludf.DUMMYFUNCTION("""COMPUTED_VALUE"""),"mateable")</f>
        <v>mateable</v>
      </c>
      <c r="B7917" s="2" t="str">
        <f ca="1">IFERROR(__xludf.DUMMYFUNCTION("""COMPUTED_VALUE"""),"mtbc")</f>
        <v>mtbc</v>
      </c>
      <c r="C7917" s="2" t="str">
        <f ca="1">IFERROR(__xludf.DUMMYFUNCTION("""COMPUTED_VALUE"""),"Mateable")</f>
        <v>Mateable</v>
      </c>
    </row>
    <row r="7918" spans="1:3" x14ac:dyDescent="0.25">
      <c r="A7918" s="2" t="str">
        <f ca="1">IFERROR(__xludf.DUMMYFUNCTION("""COMPUTED_VALUE"""),"materium")</f>
        <v>materium</v>
      </c>
      <c r="B7918" s="2" t="str">
        <f ca="1">IFERROR(__xludf.DUMMYFUNCTION("""COMPUTED_VALUE"""),"mtrm")</f>
        <v>mtrm</v>
      </c>
      <c r="C7918" s="2" t="str">
        <f ca="1">IFERROR(__xludf.DUMMYFUNCTION("""COMPUTED_VALUE"""),"Materium")</f>
        <v>Materium</v>
      </c>
    </row>
    <row r="7919" spans="1:3" x14ac:dyDescent="0.25">
      <c r="A7919" s="2" t="str">
        <f ca="1">IFERROR(__xludf.DUMMYFUNCTION("""COMPUTED_VALUE"""),"math")</f>
        <v>math</v>
      </c>
      <c r="B7919" s="2" t="str">
        <f ca="1">IFERROR(__xludf.DUMMYFUNCTION("""COMPUTED_VALUE"""),"math")</f>
        <v>math</v>
      </c>
      <c r="C7919" s="2" t="str">
        <f ca="1">IFERROR(__xludf.DUMMYFUNCTION("""COMPUTED_VALUE"""),"MATH")</f>
        <v>MATH</v>
      </c>
    </row>
    <row r="7920" spans="1:3" x14ac:dyDescent="0.25">
      <c r="A7920" s="2" t="str">
        <f ca="1">IFERROR(__xludf.DUMMYFUNCTION("""COMPUTED_VALUE"""),"matic-aave-aave")</f>
        <v>matic-aave-aave</v>
      </c>
      <c r="B7920" s="2" t="str">
        <f ca="1">IFERROR(__xludf.DUMMYFUNCTION("""COMPUTED_VALUE"""),"maaave")</f>
        <v>maaave</v>
      </c>
      <c r="C7920" s="2" t="str">
        <f ca="1">IFERROR(__xludf.DUMMYFUNCTION("""COMPUTED_VALUE"""),"Matic Aave Interest Bearing AAVE")</f>
        <v>Matic Aave Interest Bearing AAVE</v>
      </c>
    </row>
    <row r="7921" spans="1:3" x14ac:dyDescent="0.25">
      <c r="A7921" s="2" t="str">
        <f ca="1">IFERROR(__xludf.DUMMYFUNCTION("""COMPUTED_VALUE"""),"matic-aave-usdc")</f>
        <v>matic-aave-usdc</v>
      </c>
      <c r="B7921" s="2" t="str">
        <f ca="1">IFERROR(__xludf.DUMMYFUNCTION("""COMPUTED_VALUE"""),"mausdc")</f>
        <v>mausdc</v>
      </c>
      <c r="C7921" s="2" t="str">
        <f ca="1">IFERROR(__xludf.DUMMYFUNCTION("""COMPUTED_VALUE"""),"Matic Aave Interest Bearing USDC")</f>
        <v>Matic Aave Interest Bearing USDC</v>
      </c>
    </row>
    <row r="7922" spans="1:3" x14ac:dyDescent="0.25">
      <c r="A7922" s="2" t="str">
        <f ca="1">IFERROR(__xludf.DUMMYFUNCTION("""COMPUTED_VALUE"""),"matic-dai-stablecoin")</f>
        <v>matic-dai-stablecoin</v>
      </c>
      <c r="B7922" s="2" t="str">
        <f ca="1">IFERROR(__xludf.DUMMYFUNCTION("""COMPUTED_VALUE"""),"dai-matic")</f>
        <v>dai-matic</v>
      </c>
      <c r="C7922" s="2" t="str">
        <f ca="1">IFERROR(__xludf.DUMMYFUNCTION("""COMPUTED_VALUE"""),"Matic DAI Stablecoin")</f>
        <v>Matic DAI Stablecoin</v>
      </c>
    </row>
    <row r="7923" spans="1:3" x14ac:dyDescent="0.25">
      <c r="A7923" s="2" t="str">
        <f ca="1">IFERROR(__xludf.DUMMYFUNCTION("""COMPUTED_VALUE"""),"matic-network")</f>
        <v>matic-network</v>
      </c>
      <c r="B7923" s="2" t="str">
        <f ca="1">IFERROR(__xludf.DUMMYFUNCTION("""COMPUTED_VALUE"""),"matic")</f>
        <v>matic</v>
      </c>
      <c r="C7923" s="2" t="str">
        <f ca="1">IFERROR(__xludf.DUMMYFUNCTION("""COMPUTED_VALUE"""),"Polygon")</f>
        <v>Polygon</v>
      </c>
    </row>
    <row r="7924" spans="1:3" x14ac:dyDescent="0.25">
      <c r="A7924" s="2" t="str">
        <f ca="1">IFERROR(__xludf.DUMMYFUNCTION("""COMPUTED_VALUE"""),"matic-plenty-bridge")</f>
        <v>matic-plenty-bridge</v>
      </c>
      <c r="B7924" s="2" t="str">
        <f ca="1">IFERROR(__xludf.DUMMYFUNCTION("""COMPUTED_VALUE"""),"matic.e")</f>
        <v>matic.e</v>
      </c>
      <c r="C7924" s="2" t="str">
        <f ca="1">IFERROR(__xludf.DUMMYFUNCTION("""COMPUTED_VALUE"""),"MATIC (Plenty Bridge)")</f>
        <v>MATIC (Plenty Bridge)</v>
      </c>
    </row>
    <row r="7925" spans="1:3" x14ac:dyDescent="0.25">
      <c r="A7925" s="2" t="str">
        <f ca="1">IFERROR(__xludf.DUMMYFUNCTION("""COMPUTED_VALUE"""),"matic-wormhole")</f>
        <v>matic-wormhole</v>
      </c>
      <c r="B7925" s="2" t="str">
        <f ca="1">IFERROR(__xludf.DUMMYFUNCTION("""COMPUTED_VALUE"""),"maticpo")</f>
        <v>maticpo</v>
      </c>
      <c r="C7925" s="2" t="str">
        <f ca="1">IFERROR(__xludf.DUMMYFUNCTION("""COMPUTED_VALUE"""),"MATIC (Wormhole)")</f>
        <v>MATIC (Wormhole)</v>
      </c>
    </row>
    <row r="7926" spans="1:3" x14ac:dyDescent="0.25">
      <c r="A7926" s="2" t="str">
        <f ca="1">IFERROR(__xludf.DUMMYFUNCTION("""COMPUTED_VALUE"""),"matr1x")</f>
        <v>matr1x</v>
      </c>
      <c r="B7926" s="2" t="str">
        <f ca="1">IFERROR(__xludf.DUMMYFUNCTION("""COMPUTED_VALUE"""),"max")</f>
        <v>max</v>
      </c>
      <c r="C7926" s="2" t="str">
        <f ca="1">IFERROR(__xludf.DUMMYFUNCTION("""COMPUTED_VALUE"""),"Matr1x")</f>
        <v>Matr1x</v>
      </c>
    </row>
    <row r="7927" spans="1:3" x14ac:dyDescent="0.25">
      <c r="A7927" s="2" t="str">
        <f ca="1">IFERROR(__xludf.DUMMYFUNCTION("""COMPUTED_VALUE"""),"matr1x-fire")</f>
        <v>matr1x-fire</v>
      </c>
      <c r="B7927" s="2" t="str">
        <f ca="1">IFERROR(__xludf.DUMMYFUNCTION("""COMPUTED_VALUE"""),"fire")</f>
        <v>fire</v>
      </c>
      <c r="C7927" s="2" t="str">
        <f ca="1">IFERROR(__xludf.DUMMYFUNCTION("""COMPUTED_VALUE"""),"Matr1x Fire")</f>
        <v>Matr1x Fire</v>
      </c>
    </row>
    <row r="7928" spans="1:3" x14ac:dyDescent="0.25">
      <c r="A7928" s="2" t="str">
        <f ca="1">IFERROR(__xludf.DUMMYFUNCTION("""COMPUTED_VALUE"""),"matrak-fan-token")</f>
        <v>matrak-fan-token</v>
      </c>
      <c r="B7928" s="2" t="str">
        <f ca="1">IFERROR(__xludf.DUMMYFUNCTION("""COMPUTED_VALUE"""),"mtrk")</f>
        <v>mtrk</v>
      </c>
      <c r="C7928" s="2" t="str">
        <f ca="1">IFERROR(__xludf.DUMMYFUNCTION("""COMPUTED_VALUE"""),"Matrak Fan Token")</f>
        <v>Matrak Fan Token</v>
      </c>
    </row>
    <row r="7929" spans="1:3" x14ac:dyDescent="0.25">
      <c r="A7929" s="2" t="str">
        <f ca="1">IFERROR(__xludf.DUMMYFUNCTION("""COMPUTED_VALUE"""),"matrix-ai-network")</f>
        <v>matrix-ai-network</v>
      </c>
      <c r="B7929" s="2" t="str">
        <f ca="1">IFERROR(__xludf.DUMMYFUNCTION("""COMPUTED_VALUE"""),"man")</f>
        <v>man</v>
      </c>
      <c r="C7929" s="2" t="str">
        <f ca="1">IFERROR(__xludf.DUMMYFUNCTION("""COMPUTED_VALUE"""),"Matrix AI Network")</f>
        <v>Matrix AI Network</v>
      </c>
    </row>
    <row r="7930" spans="1:3" x14ac:dyDescent="0.25">
      <c r="A7930" s="2" t="str">
        <f ca="1">IFERROR(__xludf.DUMMYFUNCTION("""COMPUTED_VALUE"""),"matrix-chain")</f>
        <v>matrix-chain</v>
      </c>
      <c r="B7930" s="2" t="str">
        <f ca="1">IFERROR(__xludf.DUMMYFUNCTION("""COMPUTED_VALUE"""),"mtc")</f>
        <v>mtc</v>
      </c>
      <c r="C7930" s="2" t="str">
        <f ca="1">IFERROR(__xludf.DUMMYFUNCTION("""COMPUTED_VALUE"""),"Matrix Chain")</f>
        <v>Matrix Chain</v>
      </c>
    </row>
    <row r="7931" spans="1:3" x14ac:dyDescent="0.25">
      <c r="A7931" s="2" t="str">
        <f ca="1">IFERROR(__xludf.DUMMYFUNCTION("""COMPUTED_VALUE"""),"matrixetf")</f>
        <v>matrixetf</v>
      </c>
      <c r="B7931" s="2" t="str">
        <f ca="1">IFERROR(__xludf.DUMMYFUNCTION("""COMPUTED_VALUE"""),"mdf")</f>
        <v>mdf</v>
      </c>
      <c r="C7931" s="2" t="str">
        <f ca="1">IFERROR(__xludf.DUMMYFUNCTION("""COMPUTED_VALUE"""),"MatrixETF")</f>
        <v>MatrixETF</v>
      </c>
    </row>
    <row r="7932" spans="1:3" x14ac:dyDescent="0.25">
      <c r="A7932" s="2" t="str">
        <f ca="1">IFERROR(__xludf.DUMMYFUNCTION("""COMPUTED_VALUE"""),"matrixgpt")</f>
        <v>matrixgpt</v>
      </c>
      <c r="B7932" s="2" t="str">
        <f ca="1">IFERROR(__xludf.DUMMYFUNCTION("""COMPUTED_VALUE"""),"mai")</f>
        <v>mai</v>
      </c>
      <c r="C7932" s="2" t="str">
        <f ca="1">IFERROR(__xludf.DUMMYFUNCTION("""COMPUTED_VALUE"""),"MatrixGPT")</f>
        <v>MatrixGPT</v>
      </c>
    </row>
    <row r="7933" spans="1:3" x14ac:dyDescent="0.25">
      <c r="A7933" s="2" t="str">
        <f ca="1">IFERROR(__xludf.DUMMYFUNCTION("""COMPUTED_VALUE"""),"matrix-one")</f>
        <v>matrix-one</v>
      </c>
      <c r="B7933" s="2" t="str">
        <f ca="1">IFERROR(__xludf.DUMMYFUNCTION("""COMPUTED_VALUE"""),"matrix")</f>
        <v>matrix</v>
      </c>
      <c r="C7933" s="2" t="str">
        <f ca="1">IFERROR(__xludf.DUMMYFUNCTION("""COMPUTED_VALUE"""),"Matrix One")</f>
        <v>Matrix One</v>
      </c>
    </row>
    <row r="7934" spans="1:3" x14ac:dyDescent="0.25">
      <c r="A7934" s="2" t="str">
        <f ca="1">IFERROR(__xludf.DUMMYFUNCTION("""COMPUTED_VALUE"""),"matrix-protocol")</f>
        <v>matrix-protocol</v>
      </c>
      <c r="B7934" s="2" t="str">
        <f ca="1">IFERROR(__xludf.DUMMYFUNCTION("""COMPUTED_VALUE"""),"mtx")</f>
        <v>mtx</v>
      </c>
      <c r="C7934" s="2" t="str">
        <f ca="1">IFERROR(__xludf.DUMMYFUNCTION("""COMPUTED_VALUE"""),"Matrix Protocol")</f>
        <v>Matrix Protocol</v>
      </c>
    </row>
    <row r="7935" spans="1:3" x14ac:dyDescent="0.25">
      <c r="A7935" s="2" t="str">
        <f ca="1">IFERROR(__xludf.DUMMYFUNCTION("""COMPUTED_VALUE"""),"matrix-smartchain")</f>
        <v>matrix-smartchain</v>
      </c>
      <c r="B7935" s="2" t="str">
        <f ca="1">IFERROR(__xludf.DUMMYFUNCTION("""COMPUTED_VALUE"""),"msc")</f>
        <v>msc</v>
      </c>
      <c r="C7935" s="2" t="str">
        <f ca="1">IFERROR(__xludf.DUMMYFUNCTION("""COMPUTED_VALUE"""),"Matrix SmartChain")</f>
        <v>Matrix SmartChain</v>
      </c>
    </row>
    <row r="7936" spans="1:3" x14ac:dyDescent="0.25">
      <c r="A7936" s="2" t="str">
        <f ca="1">IFERROR(__xludf.DUMMYFUNCTION("""COMPUTED_VALUE"""),"matrixswap")</f>
        <v>matrixswap</v>
      </c>
      <c r="B7936" s="2" t="str">
        <f ca="1">IFERROR(__xludf.DUMMYFUNCTION("""COMPUTED_VALUE"""),"matrix")</f>
        <v>matrix</v>
      </c>
      <c r="C7936" s="2" t="str">
        <f ca="1">IFERROR(__xludf.DUMMYFUNCTION("""COMPUTED_VALUE"""),"Matrix Labs")</f>
        <v>Matrix Labs</v>
      </c>
    </row>
    <row r="7937" spans="1:3" x14ac:dyDescent="0.25">
      <c r="A7937" s="2" t="str">
        <f ca="1">IFERROR(__xludf.DUMMYFUNCTION("""COMPUTED_VALUE"""),"matsuri-shiba-inu")</f>
        <v>matsuri-shiba-inu</v>
      </c>
      <c r="B7937" s="2" t="str">
        <f ca="1">IFERROR(__xludf.DUMMYFUNCTION("""COMPUTED_VALUE"""),"mshiba")</f>
        <v>mshiba</v>
      </c>
      <c r="C7937" s="2" t="str">
        <f ca="1">IFERROR(__xludf.DUMMYFUNCTION("""COMPUTED_VALUE"""),"Matsuri Shiba Inu")</f>
        <v>Matsuri Shiba Inu</v>
      </c>
    </row>
    <row r="7938" spans="1:3" x14ac:dyDescent="0.25">
      <c r="A7938" s="2" t="str">
        <f ca="1">IFERROR(__xludf.DUMMYFUNCTION("""COMPUTED_VALUE"""),"matt")</f>
        <v>matt</v>
      </c>
      <c r="B7938" s="2" t="str">
        <f ca="1">IFERROR(__xludf.DUMMYFUNCTION("""COMPUTED_VALUE"""),"matt")</f>
        <v>matt</v>
      </c>
      <c r="C7938" s="2" t="str">
        <f ca="1">IFERROR(__xludf.DUMMYFUNCTION("""COMPUTED_VALUE"""),"MATT")</f>
        <v>MATT</v>
      </c>
    </row>
    <row r="7939" spans="1:3" x14ac:dyDescent="0.25">
      <c r="A7939" s="2" t="str">
        <f ca="1">IFERROR(__xludf.DUMMYFUNCTION("""COMPUTED_VALUE"""),"matt-0x79")</f>
        <v>matt-0x79</v>
      </c>
      <c r="B7939" s="2" t="str">
        <f ca="1">IFERROR(__xludf.DUMMYFUNCTION("""COMPUTED_VALUE"""),"matt")</f>
        <v>matt</v>
      </c>
      <c r="C7939" s="2" t="str">
        <f ca="1">IFERROR(__xludf.DUMMYFUNCTION("""COMPUTED_VALUE"""),"Matt Furie")</f>
        <v>Matt Furie</v>
      </c>
    </row>
    <row r="7940" spans="1:3" x14ac:dyDescent="0.25">
      <c r="A7940" s="2" t="str">
        <f ca="1">IFERROR(__xludf.DUMMYFUNCTION("""COMPUTED_VALUE"""),"matt-furie-s-boys-club")</f>
        <v>matt-furie-s-boys-club</v>
      </c>
      <c r="B7940" s="2" t="str">
        <f ca="1">IFERROR(__xludf.DUMMYFUNCTION("""COMPUTED_VALUE"""),"boysclub")</f>
        <v>boysclub</v>
      </c>
      <c r="C7940" s="2" t="str">
        <f ca="1">IFERROR(__xludf.DUMMYFUNCTION("""COMPUTED_VALUE"""),"Matt Furie's Boys Club")</f>
        <v>Matt Furie's Boys Club</v>
      </c>
    </row>
    <row r="7941" spans="1:3" x14ac:dyDescent="0.25">
      <c r="A7941" s="2" t="str">
        <f ca="1">IFERROR(__xludf.DUMMYFUNCTION("""COMPUTED_VALUE"""),"mausdc")</f>
        <v>mausdc</v>
      </c>
      <c r="B7941" s="2" t="str">
        <f ca="1">IFERROR(__xludf.DUMMYFUNCTION("""COMPUTED_VALUE"""),"mausdc")</f>
        <v>mausdc</v>
      </c>
      <c r="C7941" s="2" t="str">
        <f ca="1">IFERROR(__xludf.DUMMYFUNCTION("""COMPUTED_VALUE"""),"Morpho-Aave USD Coin")</f>
        <v>Morpho-Aave USD Coin</v>
      </c>
    </row>
    <row r="7942" spans="1:3" x14ac:dyDescent="0.25">
      <c r="A7942" s="2" t="str">
        <f ca="1">IFERROR(__xludf.DUMMYFUNCTION("""COMPUTED_VALUE"""),"mausdt")</f>
        <v>mausdt</v>
      </c>
      <c r="B7942" s="2" t="str">
        <f ca="1">IFERROR(__xludf.DUMMYFUNCTION("""COMPUTED_VALUE"""),"mausdt")</f>
        <v>mausdt</v>
      </c>
      <c r="C7942" s="2" t="str">
        <f ca="1">IFERROR(__xludf.DUMMYFUNCTION("""COMPUTED_VALUE"""),"Morpho-Aave Tether USD")</f>
        <v>Morpho-Aave Tether USD</v>
      </c>
    </row>
    <row r="7943" spans="1:3" x14ac:dyDescent="0.25">
      <c r="A7943" s="2" t="str">
        <f ca="1">IFERROR(__xludf.DUMMYFUNCTION("""COMPUTED_VALUE"""),"mavaverse-token")</f>
        <v>mavaverse-token</v>
      </c>
      <c r="B7943" s="2" t="str">
        <f ca="1">IFERROR(__xludf.DUMMYFUNCTION("""COMPUTED_VALUE"""),"mvx")</f>
        <v>mvx</v>
      </c>
      <c r="C7943" s="2" t="str">
        <f ca="1">IFERROR(__xludf.DUMMYFUNCTION("""COMPUTED_VALUE"""),"Mavaverse")</f>
        <v>Mavaverse</v>
      </c>
    </row>
    <row r="7944" spans="1:3" x14ac:dyDescent="0.25">
      <c r="A7944" s="2" t="str">
        <f ca="1">IFERROR(__xludf.DUMMYFUNCTION("""COMPUTED_VALUE"""),"maverick-protocol")</f>
        <v>maverick-protocol</v>
      </c>
      <c r="B7944" s="2" t="str">
        <f ca="1">IFERROR(__xludf.DUMMYFUNCTION("""COMPUTED_VALUE"""),"mav")</f>
        <v>mav</v>
      </c>
      <c r="C7944" s="2" t="str">
        <f ca="1">IFERROR(__xludf.DUMMYFUNCTION("""COMPUTED_VALUE"""),"Maverick Protocol")</f>
        <v>Maverick Protocol</v>
      </c>
    </row>
    <row r="7945" spans="1:3" x14ac:dyDescent="0.25">
      <c r="A7945" s="2" t="str">
        <f ca="1">IFERROR(__xludf.DUMMYFUNCTION("""COMPUTED_VALUE"""),"mawcat")</f>
        <v>mawcat</v>
      </c>
      <c r="B7945" s="2" t="str">
        <f ca="1">IFERROR(__xludf.DUMMYFUNCTION("""COMPUTED_VALUE"""),"maw")</f>
        <v>maw</v>
      </c>
      <c r="C7945" s="2" t="str">
        <f ca="1">IFERROR(__xludf.DUMMYFUNCTION("""COMPUTED_VALUE"""),"MawCAT")</f>
        <v>MawCAT</v>
      </c>
    </row>
    <row r="7946" spans="1:3" x14ac:dyDescent="0.25">
      <c r="A7946" s="2" t="str">
        <f ca="1">IFERROR(__xludf.DUMMYFUNCTION("""COMPUTED_VALUE"""),"max")</f>
        <v>max</v>
      </c>
      <c r="B7946" s="2" t="str">
        <f ca="1">IFERROR(__xludf.DUMMYFUNCTION("""COMPUTED_VALUE"""),"max")</f>
        <v>max</v>
      </c>
      <c r="C7946" s="2" t="str">
        <f ca="1">IFERROR(__xludf.DUMMYFUNCTION("""COMPUTED_VALUE"""),"MAX")</f>
        <v>MAX</v>
      </c>
    </row>
    <row r="7947" spans="1:3" x14ac:dyDescent="0.25">
      <c r="A7947" s="2" t="str">
        <f ca="1">IFERROR(__xludf.DUMMYFUNCTION("""COMPUTED_VALUE"""),"maxcat")</f>
        <v>maxcat</v>
      </c>
      <c r="B7947" s="2" t="str">
        <f ca="1">IFERROR(__xludf.DUMMYFUNCTION("""COMPUTED_VALUE"""),"$max")</f>
        <v>$max</v>
      </c>
      <c r="C7947" s="2" t="str">
        <f ca="1">IFERROR(__xludf.DUMMYFUNCTION("""COMPUTED_VALUE"""),"MaxCat")</f>
        <v>MaxCat</v>
      </c>
    </row>
    <row r="7948" spans="1:3" x14ac:dyDescent="0.25">
      <c r="A7948" s="2" t="str">
        <f ca="1">IFERROR(__xludf.DUMMYFUNCTION("""COMPUTED_VALUE"""),"maxcoin")</f>
        <v>maxcoin</v>
      </c>
      <c r="B7948" s="2" t="str">
        <f ca="1">IFERROR(__xludf.DUMMYFUNCTION("""COMPUTED_VALUE"""),"max")</f>
        <v>max</v>
      </c>
      <c r="C7948" s="2" t="str">
        <f ca="1">IFERROR(__xludf.DUMMYFUNCTION("""COMPUTED_VALUE"""),"Maxcoin")</f>
        <v>Maxcoin</v>
      </c>
    </row>
    <row r="7949" spans="1:3" x14ac:dyDescent="0.25">
      <c r="A7949" s="2" t="str">
        <f ca="1">IFERROR(__xludf.DUMMYFUNCTION("""COMPUTED_VALUE"""),"maxi")</f>
        <v>maxi</v>
      </c>
      <c r="B7949" s="2" t="str">
        <f ca="1">IFERROR(__xludf.DUMMYFUNCTION("""COMPUTED_VALUE"""),"maxi")</f>
        <v>maxi</v>
      </c>
      <c r="C7949" s="2" t="str">
        <f ca="1">IFERROR(__xludf.DUMMYFUNCTION("""COMPUTED_VALUE"""),"Maxi")</f>
        <v>Maxi</v>
      </c>
    </row>
    <row r="7950" spans="1:3" x14ac:dyDescent="0.25">
      <c r="A7950" s="2" t="str">
        <f ca="1">IFERROR(__xludf.DUMMYFUNCTION("""COMPUTED_VALUE"""),"maxi-barsik")</f>
        <v>maxi-barsik</v>
      </c>
      <c r="B7950" s="2" t="str">
        <f ca="1">IFERROR(__xludf.DUMMYFUNCTION("""COMPUTED_VALUE"""),"maxib")</f>
        <v>maxib</v>
      </c>
      <c r="C7950" s="2" t="str">
        <f ca="1">IFERROR(__xludf.DUMMYFUNCTION("""COMPUTED_VALUE"""),"Maxi Barsik")</f>
        <v>Maxi Barsik</v>
      </c>
    </row>
    <row r="7951" spans="1:3" x14ac:dyDescent="0.25">
      <c r="A7951" s="2" t="str">
        <f ca="1">IFERROR(__xludf.DUMMYFUNCTION("""COMPUTED_VALUE"""),"maximus")</f>
        <v>maximus</v>
      </c>
      <c r="B7951" s="2" t="str">
        <f ca="1">IFERROR(__xludf.DUMMYFUNCTION("""COMPUTED_VALUE"""),"maxi")</f>
        <v>maxi</v>
      </c>
      <c r="C7951" s="2" t="str">
        <f ca="1">IFERROR(__xludf.DUMMYFUNCTION("""COMPUTED_VALUE"""),"Maximus")</f>
        <v>Maximus</v>
      </c>
    </row>
    <row r="7952" spans="1:3" x14ac:dyDescent="0.25">
      <c r="A7952" s="2" t="str">
        <f ca="1">IFERROR(__xludf.DUMMYFUNCTION("""COMPUTED_VALUE"""),"maximus-base")</f>
        <v>maximus-base</v>
      </c>
      <c r="B7952" s="2" t="str">
        <f ca="1">IFERROR(__xludf.DUMMYFUNCTION("""COMPUTED_VALUE"""),"base")</f>
        <v>base</v>
      </c>
      <c r="C7952" s="2" t="str">
        <f ca="1">IFERROR(__xludf.DUMMYFUNCTION("""COMPUTED_VALUE"""),"Maximus BASE")</f>
        <v>Maximus BASE</v>
      </c>
    </row>
    <row r="7953" spans="1:3" x14ac:dyDescent="0.25">
      <c r="A7953" s="2" t="str">
        <f ca="1">IFERROR(__xludf.DUMMYFUNCTION("""COMPUTED_VALUE"""),"maximus-dao")</f>
        <v>maximus-dao</v>
      </c>
      <c r="B7953" s="2" t="str">
        <f ca="1">IFERROR(__xludf.DUMMYFUNCTION("""COMPUTED_VALUE"""),"maxi")</f>
        <v>maxi</v>
      </c>
      <c r="C7953" s="2" t="str">
        <f ca="1">IFERROR(__xludf.DUMMYFUNCTION("""COMPUTED_VALUE"""),"Maximus DAO")</f>
        <v>Maximus DAO</v>
      </c>
    </row>
    <row r="7954" spans="1:3" x14ac:dyDescent="0.25">
      <c r="A7954" s="2" t="str">
        <f ca="1">IFERROR(__xludf.DUMMYFUNCTION("""COMPUTED_VALUE"""),"maximus-deci")</f>
        <v>maximus-deci</v>
      </c>
      <c r="B7954" s="2" t="str">
        <f ca="1">IFERROR(__xludf.DUMMYFUNCTION("""COMPUTED_VALUE"""),"deci")</f>
        <v>deci</v>
      </c>
      <c r="C7954" s="2" t="str">
        <f ca="1">IFERROR(__xludf.DUMMYFUNCTION("""COMPUTED_VALUE"""),"Maximus DECI")</f>
        <v>Maximus DECI</v>
      </c>
    </row>
    <row r="7955" spans="1:3" x14ac:dyDescent="0.25">
      <c r="A7955" s="2" t="str">
        <f ca="1">IFERROR(__xludf.DUMMYFUNCTION("""COMPUTED_VALUE"""),"maximus-lucky")</f>
        <v>maximus-lucky</v>
      </c>
      <c r="B7955" s="2" t="str">
        <f ca="1">IFERROR(__xludf.DUMMYFUNCTION("""COMPUTED_VALUE"""),"lucky")</f>
        <v>lucky</v>
      </c>
      <c r="C7955" s="2" t="str">
        <f ca="1">IFERROR(__xludf.DUMMYFUNCTION("""COMPUTED_VALUE"""),"Maximus LUCKY")</f>
        <v>Maximus LUCKY</v>
      </c>
    </row>
    <row r="7956" spans="1:3" x14ac:dyDescent="0.25">
      <c r="A7956" s="2" t="str">
        <f ca="1">IFERROR(__xludf.DUMMYFUNCTION("""COMPUTED_VALUE"""),"maximus-pool-party")</f>
        <v>maximus-pool-party</v>
      </c>
      <c r="B7956" s="2" t="str">
        <f ca="1">IFERROR(__xludf.DUMMYFUNCTION("""COMPUTED_VALUE"""),"party")</f>
        <v>party</v>
      </c>
      <c r="C7956" s="2" t="str">
        <f ca="1">IFERROR(__xludf.DUMMYFUNCTION("""COMPUTED_VALUE"""),"Maximus Pool Party")</f>
        <v>Maximus Pool Party</v>
      </c>
    </row>
    <row r="7957" spans="1:3" x14ac:dyDescent="0.25">
      <c r="A7957" s="2" t="str">
        <f ca="1">IFERROR(__xludf.DUMMYFUNCTION("""COMPUTED_VALUE"""),"maximus-trio")</f>
        <v>maximus-trio</v>
      </c>
      <c r="B7957" s="2" t="str">
        <f ca="1">IFERROR(__xludf.DUMMYFUNCTION("""COMPUTED_VALUE"""),"trio")</f>
        <v>trio</v>
      </c>
      <c r="C7957" s="2" t="str">
        <f ca="1">IFERROR(__xludf.DUMMYFUNCTION("""COMPUTED_VALUE"""),"Maximus TRIO")</f>
        <v>Maximus TRIO</v>
      </c>
    </row>
    <row r="7958" spans="1:3" x14ac:dyDescent="0.25">
      <c r="A7958" s="2" t="str">
        <f ca="1">IFERROR(__xludf.DUMMYFUNCTION("""COMPUTED_VALUE"""),"maxi-ordinals")</f>
        <v>maxi-ordinals</v>
      </c>
      <c r="B7958" s="2" t="str">
        <f ca="1">IFERROR(__xludf.DUMMYFUNCTION("""COMPUTED_VALUE"""),"maxi")</f>
        <v>maxi</v>
      </c>
      <c r="C7958" s="2" t="str">
        <f ca="1">IFERROR(__xludf.DUMMYFUNCTION("""COMPUTED_VALUE"""),"MAXI (Ordinals)")</f>
        <v>MAXI (Ordinals)</v>
      </c>
    </row>
    <row r="7959" spans="1:3" x14ac:dyDescent="0.25">
      <c r="A7959" s="2" t="str">
        <f ca="1">IFERROR(__xludf.DUMMYFUNCTION("""COMPUTED_VALUE"""),"maxity")</f>
        <v>maxity</v>
      </c>
      <c r="B7959" s="2" t="str">
        <f ca="1">IFERROR(__xludf.DUMMYFUNCTION("""COMPUTED_VALUE"""),"max")</f>
        <v>max</v>
      </c>
      <c r="C7959" s="2" t="str">
        <f ca="1">IFERROR(__xludf.DUMMYFUNCTION("""COMPUTED_VALUE"""),"Maxity")</f>
        <v>Maxity</v>
      </c>
    </row>
    <row r="7960" spans="1:3" x14ac:dyDescent="0.25">
      <c r="A7960" s="2" t="str">
        <f ca="1">IFERROR(__xludf.DUMMYFUNCTION("""COMPUTED_VALUE"""),"max-token")</f>
        <v>max-token</v>
      </c>
      <c r="B7960" s="2" t="str">
        <f ca="1">IFERROR(__xludf.DUMMYFUNCTION("""COMPUTED_VALUE"""),"max")</f>
        <v>max</v>
      </c>
      <c r="C7960" s="2" t="str">
        <f ca="1">IFERROR(__xludf.DUMMYFUNCTION("""COMPUTED_VALUE"""),"MAX")</f>
        <v>MAX</v>
      </c>
    </row>
    <row r="7961" spans="1:3" x14ac:dyDescent="0.25">
      <c r="A7961" s="2" t="str">
        <f ca="1">IFERROR(__xludf.DUMMYFUNCTION("""COMPUTED_VALUE"""),"maxwell-the-spinning-cat")</f>
        <v>maxwell-the-spinning-cat</v>
      </c>
      <c r="B7961" s="2" t="str">
        <f ca="1">IFERROR(__xludf.DUMMYFUNCTION("""COMPUTED_VALUE"""),"cat")</f>
        <v>cat</v>
      </c>
      <c r="C7961" s="2" t="str">
        <f ca="1">IFERROR(__xludf.DUMMYFUNCTION("""COMPUTED_VALUE"""),"Maxwell the spinning cat")</f>
        <v>Maxwell the spinning cat</v>
      </c>
    </row>
    <row r="7962" spans="1:3" x14ac:dyDescent="0.25">
      <c r="A7962" s="2" t="str">
        <f ca="1">IFERROR(__xludf.DUMMYFUNCTION("""COMPUTED_VALUE"""),"mayfair")</f>
        <v>mayfair</v>
      </c>
      <c r="B7962" s="2" t="str">
        <f ca="1">IFERROR(__xludf.DUMMYFUNCTION("""COMPUTED_VALUE"""),"may")</f>
        <v>may</v>
      </c>
      <c r="C7962" s="2" t="str">
        <f ca="1">IFERROR(__xludf.DUMMYFUNCTION("""COMPUTED_VALUE"""),"Mayfair")</f>
        <v>Mayfair</v>
      </c>
    </row>
    <row r="7963" spans="1:3" x14ac:dyDescent="0.25">
      <c r="A7963" s="2" t="str">
        <f ca="1">IFERROR(__xludf.DUMMYFUNCTION("""COMPUTED_VALUE"""),"maza")</f>
        <v>maza</v>
      </c>
      <c r="B7963" s="2" t="str">
        <f ca="1">IFERROR(__xludf.DUMMYFUNCTION("""COMPUTED_VALUE"""),"mzc")</f>
        <v>mzc</v>
      </c>
      <c r="C7963" s="2" t="str">
        <f ca="1">IFERROR(__xludf.DUMMYFUNCTION("""COMPUTED_VALUE"""),"Maza")</f>
        <v>Maza</v>
      </c>
    </row>
    <row r="7964" spans="1:3" x14ac:dyDescent="0.25">
      <c r="A7964" s="2" t="str">
        <f ca="1">IFERROR(__xludf.DUMMYFUNCTION("""COMPUTED_VALUE"""),"mazimatic")</f>
        <v>mazimatic</v>
      </c>
      <c r="B7964" s="2" t="str">
        <f ca="1">IFERROR(__xludf.DUMMYFUNCTION("""COMPUTED_VALUE"""),"mazi")</f>
        <v>mazi</v>
      </c>
      <c r="C7964" s="2" t="str">
        <f ca="1">IFERROR(__xludf.DUMMYFUNCTION("""COMPUTED_VALUE"""),"MaziMatic")</f>
        <v>MaziMatic</v>
      </c>
    </row>
    <row r="7965" spans="1:3" x14ac:dyDescent="0.25">
      <c r="A7965" s="2" t="str">
        <f ca="1">IFERROR(__xludf.DUMMYFUNCTION("""COMPUTED_VALUE"""),"mazze")</f>
        <v>mazze</v>
      </c>
      <c r="B7965" s="2" t="str">
        <f ca="1">IFERROR(__xludf.DUMMYFUNCTION("""COMPUTED_VALUE"""),"mazze")</f>
        <v>mazze</v>
      </c>
      <c r="C7965" s="2" t="str">
        <f ca="1">IFERROR(__xludf.DUMMYFUNCTION("""COMPUTED_VALUE"""),"Mazze")</f>
        <v>Mazze</v>
      </c>
    </row>
    <row r="7966" spans="1:3" x14ac:dyDescent="0.25">
      <c r="A7966" s="2" t="str">
        <f ca="1">IFERROR(__xludf.DUMMYFUNCTION("""COMPUTED_VALUE"""),"mba-platform")</f>
        <v>mba-platform</v>
      </c>
      <c r="B7966" s="2" t="str">
        <f ca="1">IFERROR(__xludf.DUMMYFUNCTION("""COMPUTED_VALUE"""),"mba")</f>
        <v>mba</v>
      </c>
      <c r="C7966" s="2" t="str">
        <f ca="1">IFERROR(__xludf.DUMMYFUNCTION("""COMPUTED_VALUE"""),"MBA Platform")</f>
        <v>MBA Platform</v>
      </c>
    </row>
    <row r="7967" spans="1:3" x14ac:dyDescent="0.25">
      <c r="A7967" s="2" t="str">
        <f ca="1">IFERROR(__xludf.DUMMYFUNCTION("""COMPUTED_VALUE"""),"mb-coin")</f>
        <v>mb-coin</v>
      </c>
      <c r="B7967" s="2" t="str">
        <f ca="1">IFERROR(__xludf.DUMMYFUNCTION("""COMPUTED_VALUE"""),"mbc")</f>
        <v>mbc</v>
      </c>
      <c r="C7967" s="2" t="str">
        <f ca="1">IFERROR(__xludf.DUMMYFUNCTION("""COMPUTED_VALUE"""),"MB COIN")</f>
        <v>MB COIN</v>
      </c>
    </row>
    <row r="7968" spans="1:3" x14ac:dyDescent="0.25">
      <c r="A7968" s="2" t="str">
        <f ca="1">IFERROR(__xludf.DUMMYFUNCTION("""COMPUTED_VALUE"""),"mbd-financials")</f>
        <v>mbd-financials</v>
      </c>
      <c r="B7968" s="2" t="str">
        <f ca="1">IFERROR(__xludf.DUMMYFUNCTION("""COMPUTED_VALUE"""),"mbd")</f>
        <v>mbd</v>
      </c>
      <c r="C7968" s="2" t="str">
        <f ca="1">IFERROR(__xludf.DUMMYFUNCTION("""COMPUTED_VALUE"""),"MBD Financials")</f>
        <v>MBD Financials</v>
      </c>
    </row>
    <row r="7969" spans="1:3" x14ac:dyDescent="0.25">
      <c r="A7969" s="2" t="str">
        <f ca="1">IFERROR(__xludf.DUMMYFUNCTION("""COMPUTED_VALUE"""),"mbp-coin")</f>
        <v>mbp-coin</v>
      </c>
      <c r="B7969" s="2" t="str">
        <f ca="1">IFERROR(__xludf.DUMMYFUNCTION("""COMPUTED_VALUE"""),"mbp")</f>
        <v>mbp</v>
      </c>
      <c r="C7969" s="2" t="str">
        <f ca="1">IFERROR(__xludf.DUMMYFUNCTION("""COMPUTED_VALUE"""),"MBP Coin")</f>
        <v>MBP Coin</v>
      </c>
    </row>
    <row r="7970" spans="1:3" x14ac:dyDescent="0.25">
      <c r="A7970" s="2" t="str">
        <f ca="1">IFERROR(__xludf.DUMMYFUNCTION("""COMPUTED_VALUE"""),"mcbroken")</f>
        <v>mcbroken</v>
      </c>
      <c r="B7970" s="2" t="str">
        <f ca="1">IFERROR(__xludf.DUMMYFUNCTION("""COMPUTED_VALUE"""),"mcbroken")</f>
        <v>mcbroken</v>
      </c>
      <c r="C7970" s="2" t="str">
        <f ca="1">IFERROR(__xludf.DUMMYFUNCTION("""COMPUTED_VALUE"""),"McBROKEN")</f>
        <v>McBROKEN</v>
      </c>
    </row>
    <row r="7971" spans="1:3" x14ac:dyDescent="0.25">
      <c r="A7971" s="2" t="str">
        <f ca="1">IFERROR(__xludf.DUMMYFUNCTION("""COMPUTED_VALUE"""),"mcdex")</f>
        <v>mcdex</v>
      </c>
      <c r="B7971" s="2" t="str">
        <f ca="1">IFERROR(__xludf.DUMMYFUNCTION("""COMPUTED_VALUE"""),"mcb")</f>
        <v>mcb</v>
      </c>
      <c r="C7971" s="2" t="str">
        <f ca="1">IFERROR(__xludf.DUMMYFUNCTION("""COMPUTED_VALUE"""),"MUX Protocol")</f>
        <v>MUX Protocol</v>
      </c>
    </row>
    <row r="7972" spans="1:3" x14ac:dyDescent="0.25">
      <c r="A7972" s="2" t="str">
        <f ca="1">IFERROR(__xludf.DUMMYFUNCTION("""COMPUTED_VALUE"""),"mcelo")</f>
        <v>mcelo</v>
      </c>
      <c r="B7972" s="2" t="str">
        <f ca="1">IFERROR(__xludf.DUMMYFUNCTION("""COMPUTED_VALUE"""),"mcelo")</f>
        <v>mcelo</v>
      </c>
      <c r="C7972" s="2" t="str">
        <f ca="1">IFERROR(__xludf.DUMMYFUNCTION("""COMPUTED_VALUE"""),"mCELO")</f>
        <v>mCELO</v>
      </c>
    </row>
    <row r="7973" spans="1:3" x14ac:dyDescent="0.25">
      <c r="A7973" s="2" t="str">
        <f ca="1">IFERROR(__xludf.DUMMYFUNCTION("""COMPUTED_VALUE"""),"mceur")</f>
        <v>mceur</v>
      </c>
      <c r="B7973" s="2" t="str">
        <f ca="1">IFERROR(__xludf.DUMMYFUNCTION("""COMPUTED_VALUE"""),"mceur")</f>
        <v>mceur</v>
      </c>
      <c r="C7973" s="2" t="str">
        <f ca="1">IFERROR(__xludf.DUMMYFUNCTION("""COMPUTED_VALUE"""),"mcEUR")</f>
        <v>mcEUR</v>
      </c>
    </row>
    <row r="7974" spans="1:3" x14ac:dyDescent="0.25">
      <c r="A7974" s="2" t="str">
        <f ca="1">IFERROR(__xludf.DUMMYFUNCTION("""COMPUTED_VALUE"""),"mcfinance")</f>
        <v>mcfinance</v>
      </c>
      <c r="B7974" s="2" t="str">
        <f ca="1">IFERROR(__xludf.DUMMYFUNCTION("""COMPUTED_VALUE"""),"mcf")</f>
        <v>mcf</v>
      </c>
      <c r="C7974" s="2" t="str">
        <f ca="1">IFERROR(__xludf.DUMMYFUNCTION("""COMPUTED_VALUE"""),"MCFinance")</f>
        <v>MCFinance</v>
      </c>
    </row>
    <row r="7975" spans="1:3" x14ac:dyDescent="0.25">
      <c r="A7975" s="2" t="str">
        <f ca="1">IFERROR(__xludf.DUMMYFUNCTION("""COMPUTED_VALUE"""),"mchain-network")</f>
        <v>mchain-network</v>
      </c>
      <c r="B7975" s="2" t="str">
        <f ca="1">IFERROR(__xludf.DUMMYFUNCTION("""COMPUTED_VALUE"""),"mark")</f>
        <v>mark</v>
      </c>
      <c r="C7975" s="2" t="str">
        <f ca="1">IFERROR(__xludf.DUMMYFUNCTION("""COMPUTED_VALUE"""),"Mchain Network")</f>
        <v>Mchain Network</v>
      </c>
    </row>
    <row r="7976" spans="1:3" x14ac:dyDescent="0.25">
      <c r="A7976" s="2" t="str">
        <f ca="1">IFERROR(__xludf.DUMMYFUNCTION("""COMPUTED_VALUE"""),"mch-coin")</f>
        <v>mch-coin</v>
      </c>
      <c r="B7976" s="2" t="str">
        <f ca="1">IFERROR(__xludf.DUMMYFUNCTION("""COMPUTED_VALUE"""),"mchc")</f>
        <v>mchc</v>
      </c>
      <c r="C7976" s="2" t="str">
        <f ca="1">IFERROR(__xludf.DUMMYFUNCTION("""COMPUTED_VALUE"""),"MCH Coin")</f>
        <v>MCH Coin</v>
      </c>
    </row>
    <row r="7977" spans="1:3" x14ac:dyDescent="0.25">
      <c r="A7977" s="2" t="str">
        <f ca="1">IFERROR(__xludf.DUMMYFUNCTION("""COMPUTED_VALUE"""),"mclaren-f1-fan-token")</f>
        <v>mclaren-f1-fan-token</v>
      </c>
      <c r="B7977" s="2" t="str">
        <f ca="1">IFERROR(__xludf.DUMMYFUNCTION("""COMPUTED_VALUE"""),"mcl")</f>
        <v>mcl</v>
      </c>
      <c r="C7977" s="2" t="str">
        <f ca="1">IFERROR(__xludf.DUMMYFUNCTION("""COMPUTED_VALUE"""),"McLaren F1 Fan Token")</f>
        <v>McLaren F1 Fan Token</v>
      </c>
    </row>
    <row r="7978" spans="1:3" x14ac:dyDescent="0.25">
      <c r="A7978" s="2" t="str">
        <f ca="1">IFERROR(__xludf.DUMMYFUNCTION("""COMPUTED_VALUE"""),"mcoin1")</f>
        <v>mcoin1</v>
      </c>
      <c r="B7978" s="2" t="str">
        <f ca="1">IFERROR(__xludf.DUMMYFUNCTION("""COMPUTED_VALUE"""),"mcoin")</f>
        <v>mcoin</v>
      </c>
      <c r="C7978" s="2" t="str">
        <f ca="1">IFERROR(__xludf.DUMMYFUNCTION("""COMPUTED_VALUE"""),"MCOIN")</f>
        <v>MCOIN</v>
      </c>
    </row>
    <row r="7979" spans="1:3" x14ac:dyDescent="0.25">
      <c r="A7979" s="2" t="str">
        <f ca="1">IFERROR(__xludf.DUMMYFUNCTION("""COMPUTED_VALUE"""),"mcoin-2")</f>
        <v>mcoin-2</v>
      </c>
      <c r="B7979" s="2" t="str">
        <f ca="1">IFERROR(__xludf.DUMMYFUNCTION("""COMPUTED_VALUE"""),"mcoin")</f>
        <v>mcoin</v>
      </c>
      <c r="C7979" s="2" t="str">
        <f ca="1">IFERROR(__xludf.DUMMYFUNCTION("""COMPUTED_VALUE"""),"MCOIN")</f>
        <v>MCOIN</v>
      </c>
    </row>
    <row r="7980" spans="1:3" x14ac:dyDescent="0.25">
      <c r="A7980" s="2" t="str">
        <f ca="1">IFERROR(__xludf.DUMMYFUNCTION("""COMPUTED_VALUE"""),"mcontent")</f>
        <v>mcontent</v>
      </c>
      <c r="B7980" s="2" t="str">
        <f ca="1">IFERROR(__xludf.DUMMYFUNCTION("""COMPUTED_VALUE"""),"mcontent")</f>
        <v>mcontent</v>
      </c>
      <c r="C7980" s="2" t="str">
        <f ca="1">IFERROR(__xludf.DUMMYFUNCTION("""COMPUTED_VALUE"""),"MContent")</f>
        <v>MContent</v>
      </c>
    </row>
    <row r="7981" spans="1:3" x14ac:dyDescent="0.25">
      <c r="A7981" s="2" t="str">
        <f ca="1">IFERROR(__xludf.DUMMYFUNCTION("""COMPUTED_VALUE"""),"mcpepe-s")</f>
        <v>mcpepe-s</v>
      </c>
      <c r="B7981" s="2" t="str">
        <f ca="1">IFERROR(__xludf.DUMMYFUNCTION("""COMPUTED_VALUE"""),"pepes")</f>
        <v>pepes</v>
      </c>
      <c r="C7981" s="2" t="str">
        <f ca="1">IFERROR(__xludf.DUMMYFUNCTION("""COMPUTED_VALUE"""),"McPepe's")</f>
        <v>McPepe's</v>
      </c>
    </row>
    <row r="7982" spans="1:3" x14ac:dyDescent="0.25">
      <c r="A7982" s="2" t="str">
        <f ca="1">IFERROR(__xludf.DUMMYFUNCTION("""COMPUTED_VALUE"""),"mcverse")</f>
        <v>mcverse</v>
      </c>
      <c r="B7982" s="2" t="str">
        <f ca="1">IFERROR(__xludf.DUMMYFUNCTION("""COMPUTED_VALUE"""),"mcv")</f>
        <v>mcv</v>
      </c>
      <c r="C7982" s="2" t="str">
        <f ca="1">IFERROR(__xludf.DUMMYFUNCTION("""COMPUTED_VALUE"""),"MCVERSE")</f>
        <v>MCVERSE</v>
      </c>
    </row>
    <row r="7983" spans="1:3" x14ac:dyDescent="0.25">
      <c r="A7983" s="2" t="str">
        <f ca="1">IFERROR(__xludf.DUMMYFUNCTION("""COMPUTED_VALUE"""),"mdbl")</f>
        <v>mdbl</v>
      </c>
      <c r="B7983" s="2" t="str">
        <f ca="1">IFERROR(__xludf.DUMMYFUNCTION("""COMPUTED_VALUE"""),"mdbl")</f>
        <v>mdbl</v>
      </c>
      <c r="C7983" s="2" t="str">
        <f ca="1">IFERROR(__xludf.DUMMYFUNCTION("""COMPUTED_VALUE"""),"MDBL")</f>
        <v>MDBL</v>
      </c>
    </row>
    <row r="7984" spans="1:3" x14ac:dyDescent="0.25">
      <c r="A7984" s="2" t="str">
        <f ca="1">IFERROR(__xludf.DUMMYFUNCTION("""COMPUTED_VALUE"""),"mdex")</f>
        <v>mdex</v>
      </c>
      <c r="B7984" s="2" t="str">
        <f ca="1">IFERROR(__xludf.DUMMYFUNCTION("""COMPUTED_VALUE"""),"mdx")</f>
        <v>mdx</v>
      </c>
      <c r="C7984" s="2" t="str">
        <f ca="1">IFERROR(__xludf.DUMMYFUNCTION("""COMPUTED_VALUE"""),"Mdex (HECO)")</f>
        <v>Mdex (HECO)</v>
      </c>
    </row>
    <row r="7985" spans="1:3" x14ac:dyDescent="0.25">
      <c r="A7985" s="2" t="str">
        <f ca="1">IFERROR(__xludf.DUMMYFUNCTION("""COMPUTED_VALUE"""),"mdex-bsc")</f>
        <v>mdex-bsc</v>
      </c>
      <c r="B7985" s="2" t="str">
        <f ca="1">IFERROR(__xludf.DUMMYFUNCTION("""COMPUTED_VALUE"""),"mdx")</f>
        <v>mdx</v>
      </c>
      <c r="C7985" s="2" t="str">
        <f ca="1">IFERROR(__xludf.DUMMYFUNCTION("""COMPUTED_VALUE"""),"Mdex (BSC)")</f>
        <v>Mdex (BSC)</v>
      </c>
    </row>
    <row r="7986" spans="1:3" x14ac:dyDescent="0.25">
      <c r="A7986" s="2" t="str">
        <f ca="1">IFERROR(__xludf.DUMMYFUNCTION("""COMPUTED_VALUE"""),"mdsquare")</f>
        <v>mdsquare</v>
      </c>
      <c r="B7986" s="2" t="str">
        <f ca="1">IFERROR(__xludf.DUMMYFUNCTION("""COMPUTED_VALUE"""),"tmed")</f>
        <v>tmed</v>
      </c>
      <c r="C7986" s="2" t="str">
        <f ca="1">IFERROR(__xludf.DUMMYFUNCTION("""COMPUTED_VALUE"""),"MDsquare")</f>
        <v>MDsquare</v>
      </c>
    </row>
    <row r="7987" spans="1:3" x14ac:dyDescent="0.25">
      <c r="A7987" s="2" t="str">
        <f ca="1">IFERROR(__xludf.DUMMYFUNCTION("""COMPUTED_VALUE"""),"me")</f>
        <v>me</v>
      </c>
      <c r="B7987" s="2" t="str">
        <f ca="1">IFERROR(__xludf.DUMMYFUNCTION("""COMPUTED_VALUE"""),"me")</f>
        <v>me</v>
      </c>
      <c r="C7987" s="2" t="str">
        <f ca="1">IFERROR(__xludf.DUMMYFUNCTION("""COMPUTED_VALUE"""),"ME Foundation")</f>
        <v>ME Foundation</v>
      </c>
    </row>
    <row r="7988" spans="1:3" x14ac:dyDescent="0.25">
      <c r="A7988" s="2" t="str">
        <f ca="1">IFERROR(__xludf.DUMMYFUNCTION("""COMPUTED_VALUE"""),"meanfi")</f>
        <v>meanfi</v>
      </c>
      <c r="B7988" s="2" t="str">
        <f ca="1">IFERROR(__xludf.DUMMYFUNCTION("""COMPUTED_VALUE"""),"mean")</f>
        <v>mean</v>
      </c>
      <c r="C7988" s="2" t="str">
        <f ca="1">IFERROR(__xludf.DUMMYFUNCTION("""COMPUTED_VALUE"""),"Mean DAO")</f>
        <v>Mean DAO</v>
      </c>
    </row>
    <row r="7989" spans="1:3" x14ac:dyDescent="0.25">
      <c r="A7989" s="2" t="str">
        <f ca="1">IFERROR(__xludf.DUMMYFUNCTION("""COMPUTED_VALUE"""),"measurable-data-token")</f>
        <v>measurable-data-token</v>
      </c>
      <c r="B7989" s="2" t="str">
        <f ca="1">IFERROR(__xludf.DUMMYFUNCTION("""COMPUTED_VALUE"""),"mdt")</f>
        <v>mdt</v>
      </c>
      <c r="C7989" s="2" t="str">
        <f ca="1">IFERROR(__xludf.DUMMYFUNCTION("""COMPUTED_VALUE"""),"Measurable Data")</f>
        <v>Measurable Data</v>
      </c>
    </row>
    <row r="7990" spans="1:3" x14ac:dyDescent="0.25">
      <c r="A7990" s="2" t="str">
        <f ca="1">IFERROR(__xludf.DUMMYFUNCTION("""COMPUTED_VALUE"""),"meblox-protocol")</f>
        <v>meblox-protocol</v>
      </c>
      <c r="B7990" s="2" t="str">
        <f ca="1">IFERROR(__xludf.DUMMYFUNCTION("""COMPUTED_VALUE"""),"meb")</f>
        <v>meb</v>
      </c>
      <c r="C7990" s="2" t="str">
        <f ca="1">IFERROR(__xludf.DUMMYFUNCTION("""COMPUTED_VALUE"""),"Meblox Protocol")</f>
        <v>Meblox Protocol</v>
      </c>
    </row>
    <row r="7991" spans="1:3" x14ac:dyDescent="0.25">
      <c r="A7991" s="2" t="str">
        <f ca="1">IFERROR(__xludf.DUMMYFUNCTION("""COMPUTED_VALUE"""),"mechachain")</f>
        <v>mechachain</v>
      </c>
      <c r="B7991" s="2" t="str">
        <f ca="1">IFERROR(__xludf.DUMMYFUNCTION("""COMPUTED_VALUE"""),"$mecha")</f>
        <v>$mecha</v>
      </c>
      <c r="C7991" s="2" t="str">
        <f ca="1">IFERROR(__xludf.DUMMYFUNCTION("""COMPUTED_VALUE"""),"Mechanium")</f>
        <v>Mechanium</v>
      </c>
    </row>
    <row r="7992" spans="1:3" x14ac:dyDescent="0.25">
      <c r="A7992" s="2" t="str">
        <f ca="1">IFERROR(__xludf.DUMMYFUNCTION("""COMPUTED_VALUE"""),"mecha-morphing")</f>
        <v>mecha-morphing</v>
      </c>
      <c r="B7992" s="2" t="str">
        <f ca="1">IFERROR(__xludf.DUMMYFUNCTION("""COMPUTED_VALUE"""),"mape")</f>
        <v>mape</v>
      </c>
      <c r="C7992" s="2" t="str">
        <f ca="1">IFERROR(__xludf.DUMMYFUNCTION("""COMPUTED_VALUE"""),"Mecha Morphing")</f>
        <v>Mecha Morphing</v>
      </c>
    </row>
    <row r="7993" spans="1:3" x14ac:dyDescent="0.25">
      <c r="A7993" s="2" t="str">
        <f ca="1">IFERROR(__xludf.DUMMYFUNCTION("""COMPUTED_VALUE"""),"mechaverse")</f>
        <v>mechaverse</v>
      </c>
      <c r="B7993" s="2" t="str">
        <f ca="1">IFERROR(__xludf.DUMMYFUNCTION("""COMPUTED_VALUE"""),"mc")</f>
        <v>mc</v>
      </c>
      <c r="C7993" s="2" t="str">
        <f ca="1">IFERROR(__xludf.DUMMYFUNCTION("""COMPUTED_VALUE"""),"Mechaverse")</f>
        <v>Mechaverse</v>
      </c>
    </row>
    <row r="7994" spans="1:3" x14ac:dyDescent="0.25">
      <c r="A7994" s="2" t="str">
        <f ca="1">IFERROR(__xludf.DUMMYFUNCTION("""COMPUTED_VALUE"""),"mech-master")</f>
        <v>mech-master</v>
      </c>
      <c r="B7994" s="2" t="str">
        <f ca="1">IFERROR(__xludf.DUMMYFUNCTION("""COMPUTED_VALUE"""),"mech")</f>
        <v>mech</v>
      </c>
      <c r="C7994" s="2" t="str">
        <f ca="1">IFERROR(__xludf.DUMMYFUNCTION("""COMPUTED_VALUE"""),"Mech Master")</f>
        <v>Mech Master</v>
      </c>
    </row>
    <row r="7995" spans="1:3" x14ac:dyDescent="0.25">
      <c r="A7995" s="2" t="str">
        <f ca="1">IFERROR(__xludf.DUMMYFUNCTION("""COMPUTED_VALUE"""),"meconcash")</f>
        <v>meconcash</v>
      </c>
      <c r="B7995" s="2" t="str">
        <f ca="1">IFERROR(__xludf.DUMMYFUNCTION("""COMPUTED_VALUE"""),"mch")</f>
        <v>mch</v>
      </c>
      <c r="C7995" s="2" t="str">
        <f ca="1">IFERROR(__xludf.DUMMYFUNCTION("""COMPUTED_VALUE"""),"Meconcash")</f>
        <v>Meconcash</v>
      </c>
    </row>
    <row r="7996" spans="1:3" x14ac:dyDescent="0.25">
      <c r="A7996" s="2" t="str">
        <f ca="1">IFERROR(__xludf.DUMMYFUNCTION("""COMPUTED_VALUE"""),"media-licensing-token")</f>
        <v>media-licensing-token</v>
      </c>
      <c r="B7996" s="2" t="str">
        <f ca="1">IFERROR(__xludf.DUMMYFUNCTION("""COMPUTED_VALUE"""),"mlt")</f>
        <v>mlt</v>
      </c>
      <c r="C7996" s="2" t="str">
        <f ca="1">IFERROR(__xludf.DUMMYFUNCTION("""COMPUTED_VALUE"""),"Media Licensing Token")</f>
        <v>Media Licensing Token</v>
      </c>
    </row>
    <row r="7997" spans="1:3" x14ac:dyDescent="0.25">
      <c r="A7997" s="2" t="str">
        <f ca="1">IFERROR(__xludf.DUMMYFUNCTION("""COMPUTED_VALUE"""),"media-network")</f>
        <v>media-network</v>
      </c>
      <c r="B7997" s="2" t="str">
        <f ca="1">IFERROR(__xludf.DUMMYFUNCTION("""COMPUTED_VALUE"""),"media")</f>
        <v>media</v>
      </c>
      <c r="C7997" s="2" t="str">
        <f ca="1">IFERROR(__xludf.DUMMYFUNCTION("""COMPUTED_VALUE"""),"Media Network")</f>
        <v>Media Network</v>
      </c>
    </row>
    <row r="7998" spans="1:3" x14ac:dyDescent="0.25">
      <c r="A7998" s="2" t="str">
        <f ca="1">IFERROR(__xludf.DUMMYFUNCTION("""COMPUTED_VALUE"""),"medibloc")</f>
        <v>medibloc</v>
      </c>
      <c r="B7998" s="2" t="str">
        <f ca="1">IFERROR(__xludf.DUMMYFUNCTION("""COMPUTED_VALUE"""),"med")</f>
        <v>med</v>
      </c>
      <c r="C7998" s="2" t="str">
        <f ca="1">IFERROR(__xludf.DUMMYFUNCTION("""COMPUTED_VALUE"""),"Medibloc")</f>
        <v>Medibloc</v>
      </c>
    </row>
    <row r="7999" spans="1:3" x14ac:dyDescent="0.25">
      <c r="A7999" s="2" t="str">
        <f ca="1">IFERROR(__xludf.DUMMYFUNCTION("""COMPUTED_VALUE"""),"medicalchain")</f>
        <v>medicalchain</v>
      </c>
      <c r="B7999" s="2" t="str">
        <f ca="1">IFERROR(__xludf.DUMMYFUNCTION("""COMPUTED_VALUE"""),"mtn")</f>
        <v>mtn</v>
      </c>
      <c r="C7999" s="2" t="str">
        <f ca="1">IFERROR(__xludf.DUMMYFUNCTION("""COMPUTED_VALUE"""),"Medicalchain")</f>
        <v>Medicalchain</v>
      </c>
    </row>
    <row r="8000" spans="1:3" x14ac:dyDescent="0.25">
      <c r="A8000" s="2" t="str">
        <f ca="1">IFERROR(__xludf.DUMMYFUNCTION("""COMPUTED_VALUE"""),"medicalveda")</f>
        <v>medicalveda</v>
      </c>
      <c r="B8000" s="2" t="str">
        <f ca="1">IFERROR(__xludf.DUMMYFUNCTION("""COMPUTED_VALUE"""),"mveda")</f>
        <v>mveda</v>
      </c>
      <c r="C8000" s="2" t="str">
        <f ca="1">IFERROR(__xludf.DUMMYFUNCTION("""COMPUTED_VALUE"""),"MedicalVeda")</f>
        <v>MedicalVeda</v>
      </c>
    </row>
    <row r="8001" spans="1:3" x14ac:dyDescent="0.25">
      <c r="A8001" s="2" t="str">
        <f ca="1">IFERROR(__xludf.DUMMYFUNCTION("""COMPUTED_VALUE"""),"medicle")</f>
        <v>medicle</v>
      </c>
      <c r="B8001" s="2" t="str">
        <f ca="1">IFERROR(__xludf.DUMMYFUNCTION("""COMPUTED_VALUE"""),"mdi")</f>
        <v>mdi</v>
      </c>
      <c r="C8001" s="2" t="str">
        <f ca="1">IFERROR(__xludf.DUMMYFUNCTION("""COMPUTED_VALUE"""),"Medicle")</f>
        <v>Medicle</v>
      </c>
    </row>
    <row r="8002" spans="1:3" x14ac:dyDescent="0.25">
      <c r="A8002" s="2" t="str">
        <f ca="1">IFERROR(__xludf.DUMMYFUNCTION("""COMPUTED_VALUE"""),"medieus")</f>
        <v>medieus</v>
      </c>
      <c r="B8002" s="2" t="str">
        <f ca="1">IFERROR(__xludf.DUMMYFUNCTION("""COMPUTED_VALUE"""),"mdus")</f>
        <v>mdus</v>
      </c>
      <c r="C8002" s="2" t="str">
        <f ca="1">IFERROR(__xludf.DUMMYFUNCTION("""COMPUTED_VALUE"""),"MEDIEUS")</f>
        <v>MEDIEUS</v>
      </c>
    </row>
    <row r="8003" spans="1:3" x14ac:dyDescent="0.25">
      <c r="A8003" s="2" t="str">
        <f ca="1">IFERROR(__xludf.DUMMYFUNCTION("""COMPUTED_VALUE"""),"medieval-empires")</f>
        <v>medieval-empires</v>
      </c>
      <c r="B8003" s="2" t="str">
        <f ca="1">IFERROR(__xludf.DUMMYFUNCTION("""COMPUTED_VALUE"""),"mee")</f>
        <v>mee</v>
      </c>
      <c r="C8003" s="2" t="str">
        <f ca="1">IFERROR(__xludf.DUMMYFUNCTION("""COMPUTED_VALUE"""),"Medieval Empires")</f>
        <v>Medieval Empires</v>
      </c>
    </row>
    <row r="8004" spans="1:3" x14ac:dyDescent="0.25">
      <c r="A8004" s="2" t="str">
        <f ca="1">IFERROR(__xludf.DUMMYFUNCTION("""COMPUTED_VALUE"""),"medifakt")</f>
        <v>medifakt</v>
      </c>
      <c r="B8004" s="2" t="str">
        <f ca="1">IFERROR(__xludf.DUMMYFUNCTION("""COMPUTED_VALUE"""),"fakt")</f>
        <v>fakt</v>
      </c>
      <c r="C8004" s="2" t="str">
        <f ca="1">IFERROR(__xludf.DUMMYFUNCTION("""COMPUTED_VALUE"""),"Medifakt")</f>
        <v>Medifakt</v>
      </c>
    </row>
    <row r="8005" spans="1:3" x14ac:dyDescent="0.25">
      <c r="A8005" s="2" t="str">
        <f ca="1">IFERROR(__xludf.DUMMYFUNCTION("""COMPUTED_VALUE"""),"medishares")</f>
        <v>medishares</v>
      </c>
      <c r="B8005" s="2" t="str">
        <f ca="1">IFERROR(__xludf.DUMMYFUNCTION("""COMPUTED_VALUE"""),"mds")</f>
        <v>mds</v>
      </c>
      <c r="C8005" s="2" t="str">
        <f ca="1">IFERROR(__xludf.DUMMYFUNCTION("""COMPUTED_VALUE"""),"MediShares")</f>
        <v>MediShares</v>
      </c>
    </row>
    <row r="8006" spans="1:3" x14ac:dyDescent="0.25">
      <c r="A8006" s="2" t="str">
        <f ca="1">IFERROR(__xludf.DUMMYFUNCTION("""COMPUTED_VALUE"""),"meditoc")</f>
        <v>meditoc</v>
      </c>
      <c r="B8006" s="2" t="str">
        <f ca="1">IFERROR(__xludf.DUMMYFUNCTION("""COMPUTED_VALUE"""),"mdti")</f>
        <v>mdti</v>
      </c>
      <c r="C8006" s="2" t="str">
        <f ca="1">IFERROR(__xludf.DUMMYFUNCTION("""COMPUTED_VALUE"""),"Meditoc")</f>
        <v>Meditoc</v>
      </c>
    </row>
    <row r="8007" spans="1:3" x14ac:dyDescent="0.25">
      <c r="A8007" s="2" t="str">
        <f ca="1">IFERROR(__xludf.DUMMYFUNCTION("""COMPUTED_VALUE"""),"medoo")</f>
        <v>medoo</v>
      </c>
      <c r="B8007" s="2" t="str">
        <f ca="1">IFERROR(__xludf.DUMMYFUNCTION("""COMPUTED_VALUE"""),"medoo")</f>
        <v>medoo</v>
      </c>
      <c r="C8007" s="2" t="str">
        <f ca="1">IFERROR(__xludf.DUMMYFUNCTION("""COMPUTED_VALUE"""),"Medoo")</f>
        <v>Medoo</v>
      </c>
    </row>
    <row r="8008" spans="1:3" x14ac:dyDescent="0.25">
      <c r="A8008" s="2" t="str">
        <f ca="1">IFERROR(__xludf.DUMMYFUNCTION("""COMPUTED_VALUE"""),"medping")</f>
        <v>medping</v>
      </c>
      <c r="B8008" s="2" t="str">
        <f ca="1">IFERROR(__xludf.DUMMYFUNCTION("""COMPUTED_VALUE"""),"mpg")</f>
        <v>mpg</v>
      </c>
      <c r="C8008" s="2" t="str">
        <f ca="1">IFERROR(__xludf.DUMMYFUNCTION("""COMPUTED_VALUE"""),"Medping")</f>
        <v>Medping</v>
      </c>
    </row>
    <row r="8009" spans="1:3" x14ac:dyDescent="0.25">
      <c r="A8009" s="2" t="str">
        <f ca="1">IFERROR(__xludf.DUMMYFUNCTION("""COMPUTED_VALUE"""),"meeb-master")</f>
        <v>meeb-master</v>
      </c>
      <c r="B8009" s="2" t="str">
        <f ca="1">IFERROR(__xludf.DUMMYFUNCTION("""COMPUTED_VALUE"""),"meeb")</f>
        <v>meeb</v>
      </c>
      <c r="C8009" s="2" t="str">
        <f ca="1">IFERROR(__xludf.DUMMYFUNCTION("""COMPUTED_VALUE"""),"Meeb Master")</f>
        <v>Meeb Master</v>
      </c>
    </row>
    <row r="8010" spans="1:3" x14ac:dyDescent="0.25">
      <c r="A8010" s="2" t="str">
        <f ca="1">IFERROR(__xludf.DUMMYFUNCTION("""COMPUTED_VALUE"""),"meeb-vault-nftx")</f>
        <v>meeb-vault-nftx</v>
      </c>
      <c r="B8010" s="2" t="str">
        <f ca="1">IFERROR(__xludf.DUMMYFUNCTION("""COMPUTED_VALUE"""),"meeb")</f>
        <v>meeb</v>
      </c>
      <c r="C8010" s="2" t="str">
        <f ca="1">IFERROR(__xludf.DUMMYFUNCTION("""COMPUTED_VALUE"""),"MEEB Vault (NFTX)")</f>
        <v>MEEB Vault (NFTX)</v>
      </c>
    </row>
    <row r="8011" spans="1:3" x14ac:dyDescent="0.25">
      <c r="A8011" s="2" t="str">
        <f ca="1">IFERROR(__xludf.DUMMYFUNCTION("""COMPUTED_VALUE"""),"meeds-dao")</f>
        <v>meeds-dao</v>
      </c>
      <c r="B8011" s="2" t="str">
        <f ca="1">IFERROR(__xludf.DUMMYFUNCTION("""COMPUTED_VALUE"""),"meed")</f>
        <v>meed</v>
      </c>
      <c r="C8011" s="2" t="str">
        <f ca="1">IFERROR(__xludf.DUMMYFUNCTION("""COMPUTED_VALUE"""),"Meeds DAO")</f>
        <v>Meeds DAO</v>
      </c>
    </row>
    <row r="8012" spans="1:3" x14ac:dyDescent="0.25">
      <c r="A8012" s="2" t="str">
        <f ca="1">IFERROR(__xludf.DUMMYFUNCTION("""COMPUTED_VALUE"""),"meerkat-shares")</f>
        <v>meerkat-shares</v>
      </c>
      <c r="B8012" s="2" t="str">
        <f ca="1">IFERROR(__xludf.DUMMYFUNCTION("""COMPUTED_VALUE"""),"mshare")</f>
        <v>mshare</v>
      </c>
      <c r="C8012" s="2" t="str">
        <f ca="1">IFERROR(__xludf.DUMMYFUNCTION("""COMPUTED_VALUE"""),"Meerkat Shares")</f>
        <v>Meerkat Shares</v>
      </c>
    </row>
    <row r="8013" spans="1:3" x14ac:dyDescent="0.25">
      <c r="A8013" s="2" t="str">
        <f ca="1">IFERROR(__xludf.DUMMYFUNCTION("""COMPUTED_VALUE"""),"meflex")</f>
        <v>meflex</v>
      </c>
      <c r="B8013" s="2" t="str">
        <f ca="1">IFERROR(__xludf.DUMMYFUNCTION("""COMPUTED_VALUE"""),"mef")</f>
        <v>mef</v>
      </c>
      <c r="C8013" s="2" t="str">
        <f ca="1">IFERROR(__xludf.DUMMYFUNCTION("""COMPUTED_VALUE"""),"MEFLEX")</f>
        <v>MEFLEX</v>
      </c>
    </row>
    <row r="8014" spans="1:3" x14ac:dyDescent="0.25">
      <c r="A8014" s="2" t="str">
        <f ca="1">IFERROR(__xludf.DUMMYFUNCTION("""COMPUTED_VALUE"""),"meg4mint")</f>
        <v>meg4mint</v>
      </c>
      <c r="B8014" s="2" t="str">
        <f ca="1">IFERROR(__xludf.DUMMYFUNCTION("""COMPUTED_VALUE"""),"meg")</f>
        <v>meg</v>
      </c>
      <c r="C8014" s="2" t="str">
        <f ca="1">IFERROR(__xludf.DUMMYFUNCTION("""COMPUTED_VALUE"""),"Meg4mint")</f>
        <v>Meg4mint</v>
      </c>
    </row>
    <row r="8015" spans="1:3" x14ac:dyDescent="0.25">
      <c r="A8015" s="2" t="str">
        <f ca="1">IFERROR(__xludf.DUMMYFUNCTION("""COMPUTED_VALUE"""),"megabot")</f>
        <v>megabot</v>
      </c>
      <c r="B8015" s="2" t="str">
        <f ca="1">IFERROR(__xludf.DUMMYFUNCTION("""COMPUTED_VALUE"""),"megabot")</f>
        <v>megabot</v>
      </c>
      <c r="C8015" s="2" t="str">
        <f ca="1">IFERROR(__xludf.DUMMYFUNCTION("""COMPUTED_VALUE"""),"Megabot")</f>
        <v>Megabot</v>
      </c>
    </row>
    <row r="8016" spans="1:3" x14ac:dyDescent="0.25">
      <c r="A8016" s="2" t="str">
        <f ca="1">IFERROR(__xludf.DUMMYFUNCTION("""COMPUTED_VALUE"""),"megadeath-pepe")</f>
        <v>megadeath-pepe</v>
      </c>
      <c r="B8016" s="2" t="str">
        <f ca="1">IFERROR(__xludf.DUMMYFUNCTION("""COMPUTED_VALUE"""),"megadeath")</f>
        <v>megadeath</v>
      </c>
      <c r="C8016" s="2" t="str">
        <f ca="1">IFERROR(__xludf.DUMMYFUNCTION("""COMPUTED_VALUE"""),"MEGADEATH (PEPE)")</f>
        <v>MEGADEATH (PEPE)</v>
      </c>
    </row>
    <row r="8017" spans="1:3" x14ac:dyDescent="0.25">
      <c r="A8017" s="2" t="str">
        <f ca="1">IFERROR(__xludf.DUMMYFUNCTION("""COMPUTED_VALUE"""),"megalink")</f>
        <v>megalink</v>
      </c>
      <c r="B8017" s="2" t="str">
        <f ca="1">IFERROR(__xludf.DUMMYFUNCTION("""COMPUTED_VALUE"""),"mg8")</f>
        <v>mg8</v>
      </c>
      <c r="C8017" s="2" t="str">
        <f ca="1">IFERROR(__xludf.DUMMYFUNCTION("""COMPUTED_VALUE"""),"Megalink")</f>
        <v>Megalink</v>
      </c>
    </row>
    <row r="8018" spans="1:3" x14ac:dyDescent="0.25">
      <c r="A8018" s="2" t="str">
        <f ca="1">IFERROR(__xludf.DUMMYFUNCTION("""COMPUTED_VALUE"""),"megalodon")</f>
        <v>megalodon</v>
      </c>
      <c r="B8018" s="2" t="str">
        <f ca="1">IFERROR(__xludf.DUMMYFUNCTION("""COMPUTED_VALUE"""),"mega")</f>
        <v>mega</v>
      </c>
      <c r="C8018" s="2" t="str">
        <f ca="1">IFERROR(__xludf.DUMMYFUNCTION("""COMPUTED_VALUE"""),"MEGALODON")</f>
        <v>MEGALODON</v>
      </c>
    </row>
    <row r="8019" spans="1:3" x14ac:dyDescent="0.25">
      <c r="A8019" s="2" t="str">
        <f ca="1">IFERROR(__xludf.DUMMYFUNCTION("""COMPUTED_VALUE"""),"megapix")</f>
        <v>megapix</v>
      </c>
      <c r="B8019" s="2" t="str">
        <f ca="1">IFERROR(__xludf.DUMMYFUNCTION("""COMPUTED_VALUE"""),"mpix")</f>
        <v>mpix</v>
      </c>
      <c r="C8019" s="2" t="str">
        <f ca="1">IFERROR(__xludf.DUMMYFUNCTION("""COMPUTED_VALUE"""),"Megapix")</f>
        <v>Megapix</v>
      </c>
    </row>
    <row r="8020" spans="1:3" x14ac:dyDescent="0.25">
      <c r="A8020" s="2" t="str">
        <f ca="1">IFERROR(__xludf.DUMMYFUNCTION("""COMPUTED_VALUE"""),"megaton-finance")</f>
        <v>megaton-finance</v>
      </c>
      <c r="B8020" s="2" t="str">
        <f ca="1">IFERROR(__xludf.DUMMYFUNCTION("""COMPUTED_VALUE"""),"mega")</f>
        <v>mega</v>
      </c>
      <c r="C8020" s="2" t="str">
        <f ca="1">IFERROR(__xludf.DUMMYFUNCTION("""COMPUTED_VALUE"""),"Megaton Finance")</f>
        <v>Megaton Finance</v>
      </c>
    </row>
    <row r="8021" spans="1:3" x14ac:dyDescent="0.25">
      <c r="A8021" s="2" t="str">
        <f ca="1">IFERROR(__xludf.DUMMYFUNCTION("""COMPUTED_VALUE"""),"megaton-finance-wrapped-toncoin")</f>
        <v>megaton-finance-wrapped-toncoin</v>
      </c>
      <c r="B8021" s="2" t="str">
        <f ca="1">IFERROR(__xludf.DUMMYFUNCTION("""COMPUTED_VALUE"""),"wton")</f>
        <v>wton</v>
      </c>
      <c r="C8021" s="2" t="str">
        <f ca="1">IFERROR(__xludf.DUMMYFUNCTION("""COMPUTED_VALUE"""),"Megaton Finance Wrapped Toncoin")</f>
        <v>Megaton Finance Wrapped Toncoin</v>
      </c>
    </row>
    <row r="8022" spans="1:3" x14ac:dyDescent="0.25">
      <c r="A8022" s="2" t="str">
        <f ca="1">IFERROR(__xludf.DUMMYFUNCTION("""COMPUTED_VALUE"""),"megaweapon")</f>
        <v>megaweapon</v>
      </c>
      <c r="B8022" s="2" t="str">
        <f ca="1">IFERROR(__xludf.DUMMYFUNCTION("""COMPUTED_VALUE"""),"$weapon")</f>
        <v>$weapon</v>
      </c>
      <c r="C8022" s="2" t="str">
        <f ca="1">IFERROR(__xludf.DUMMYFUNCTION("""COMPUTED_VALUE"""),"Megaweapon")</f>
        <v>Megaweapon</v>
      </c>
    </row>
    <row r="8023" spans="1:3" x14ac:dyDescent="0.25">
      <c r="A8023" s="2" t="str">
        <f ca="1">IFERROR(__xludf.DUMMYFUNCTION("""COMPUTED_VALUE"""),"megaworld")</f>
        <v>megaworld</v>
      </c>
      <c r="B8023" s="2" t="str">
        <f ca="1">IFERROR(__xludf.DUMMYFUNCTION("""COMPUTED_VALUE"""),"mega")</f>
        <v>mega</v>
      </c>
      <c r="C8023" s="2" t="str">
        <f ca="1">IFERROR(__xludf.DUMMYFUNCTION("""COMPUTED_VALUE"""),"MegaWorld")</f>
        <v>MegaWorld</v>
      </c>
    </row>
    <row r="8024" spans="1:3" x14ac:dyDescent="0.25">
      <c r="A8024" s="2" t="str">
        <f ca="1">IFERROR(__xludf.DUMMYFUNCTION("""COMPUTED_VALUE"""),"mega-yacht-cult")</f>
        <v>mega-yacht-cult</v>
      </c>
      <c r="B8024" s="2" t="str">
        <f ca="1">IFERROR(__xludf.DUMMYFUNCTION("""COMPUTED_VALUE"""),"myc")</f>
        <v>myc</v>
      </c>
      <c r="C8024" s="2" t="str">
        <f ca="1">IFERROR(__xludf.DUMMYFUNCTION("""COMPUTED_VALUE"""),"Mega Yacht Cult")</f>
        <v>Mega Yacht Cult</v>
      </c>
    </row>
    <row r="8025" spans="1:3" x14ac:dyDescent="0.25">
      <c r="A8025" s="2" t="str">
        <f ca="1">IFERROR(__xludf.DUMMYFUNCTION("""COMPUTED_VALUE"""),"meh-2")</f>
        <v>meh-2</v>
      </c>
      <c r="B8025" s="2" t="str">
        <f ca="1">IFERROR(__xludf.DUMMYFUNCTION("""COMPUTED_VALUE"""),"meh")</f>
        <v>meh</v>
      </c>
      <c r="C8025" s="2" t="str">
        <f ca="1">IFERROR(__xludf.DUMMYFUNCTION("""COMPUTED_VALUE"""),"Meh")</f>
        <v>Meh</v>
      </c>
    </row>
    <row r="8026" spans="1:3" x14ac:dyDescent="0.25">
      <c r="A8026" s="2" t="str">
        <f ca="1">IFERROR(__xludf.DUMMYFUNCTION("""COMPUTED_VALUE"""),"meh-on-ton")</f>
        <v>meh-on-ton</v>
      </c>
      <c r="B8026" s="2" t="str">
        <f ca="1">IFERROR(__xludf.DUMMYFUNCTION("""COMPUTED_VALUE"""),"meh")</f>
        <v>meh</v>
      </c>
      <c r="C8026" s="2" t="str">
        <f ca="1">IFERROR(__xludf.DUMMYFUNCTION("""COMPUTED_VALUE"""),"meh on TON")</f>
        <v>meh on TON</v>
      </c>
    </row>
    <row r="8027" spans="1:3" x14ac:dyDescent="0.25">
      <c r="A8027" s="2" t="str">
        <f ca="1">IFERROR(__xludf.DUMMYFUNCTION("""COMPUTED_VALUE"""),"meld")</f>
        <v>meld</v>
      </c>
      <c r="B8027" s="2" t="str">
        <f ca="1">IFERROR(__xludf.DUMMYFUNCTION("""COMPUTED_VALUE"""),"meld")</f>
        <v>meld</v>
      </c>
      <c r="C8027" s="2" t="str">
        <f ca="1">IFERROR(__xludf.DUMMYFUNCTION("""COMPUTED_VALUE"""),"MELD [OLD]")</f>
        <v>MELD [OLD]</v>
      </c>
    </row>
    <row r="8028" spans="1:3" x14ac:dyDescent="0.25">
      <c r="A8028" s="2" t="str">
        <f ca="1">IFERROR(__xludf.DUMMYFUNCTION("""COMPUTED_VALUE"""),"meld-2")</f>
        <v>meld-2</v>
      </c>
      <c r="B8028" s="2" t="str">
        <f ca="1">IFERROR(__xludf.DUMMYFUNCTION("""COMPUTED_VALUE"""),"meld")</f>
        <v>meld</v>
      </c>
      <c r="C8028" s="2" t="str">
        <f ca="1">IFERROR(__xludf.DUMMYFUNCTION("""COMPUTED_VALUE"""),"MELD")</f>
        <v>MELD</v>
      </c>
    </row>
    <row r="8029" spans="1:3" x14ac:dyDescent="0.25">
      <c r="A8029" s="2" t="str">
        <f ca="1">IFERROR(__xludf.DUMMYFUNCTION("""COMPUTED_VALUE"""),"meld-gold")</f>
        <v>meld-gold</v>
      </c>
      <c r="B8029" s="2" t="str">
        <f ca="1">IFERROR(__xludf.DUMMYFUNCTION("""COMPUTED_VALUE"""),"mcau")</f>
        <v>mcau</v>
      </c>
      <c r="C8029" s="2" t="str">
        <f ca="1">IFERROR(__xludf.DUMMYFUNCTION("""COMPUTED_VALUE"""),"Meld Gold")</f>
        <v>Meld Gold</v>
      </c>
    </row>
    <row r="8030" spans="1:3" x14ac:dyDescent="0.25">
      <c r="A8030" s="2" t="str">
        <f ca="1">IFERROR(__xludf.DUMMYFUNCTION("""COMPUTED_VALUE"""),"melega")</f>
        <v>melega</v>
      </c>
      <c r="B8030" s="2" t="str">
        <f ca="1">IFERROR(__xludf.DUMMYFUNCTION("""COMPUTED_VALUE"""),"marco")</f>
        <v>marco</v>
      </c>
      <c r="C8030" s="2" t="str">
        <f ca="1">IFERROR(__xludf.DUMMYFUNCTION("""COMPUTED_VALUE"""),"Melega")</f>
        <v>Melega</v>
      </c>
    </row>
    <row r="8031" spans="1:3" x14ac:dyDescent="0.25">
      <c r="A8031" s="2" t="str">
        <f ca="1">IFERROR(__xludf.DUMMYFUNCTION("""COMPUTED_VALUE"""),"meli-games")</f>
        <v>meli-games</v>
      </c>
      <c r="B8031" s="2" t="str">
        <f ca="1">IFERROR(__xludf.DUMMYFUNCTION("""COMPUTED_VALUE"""),"meli")</f>
        <v>meli</v>
      </c>
      <c r="C8031" s="2" t="str">
        <f ca="1">IFERROR(__xludf.DUMMYFUNCTION("""COMPUTED_VALUE"""),"Meli Games")</f>
        <v>Meli Games</v>
      </c>
    </row>
    <row r="8032" spans="1:3" x14ac:dyDescent="0.25">
      <c r="A8032" s="2" t="str">
        <f ca="1">IFERROR(__xludf.DUMMYFUNCTION("""COMPUTED_VALUE"""),"mellow-man")</f>
        <v>mellow-man</v>
      </c>
      <c r="B8032" s="2" t="str">
        <f ca="1">IFERROR(__xludf.DUMMYFUNCTION("""COMPUTED_VALUE"""),"mellow")</f>
        <v>mellow</v>
      </c>
      <c r="C8032" s="2" t="str">
        <f ca="1">IFERROR(__xludf.DUMMYFUNCTION("""COMPUTED_VALUE"""),"Mellow Man")</f>
        <v>Mellow Man</v>
      </c>
    </row>
    <row r="8033" spans="1:3" x14ac:dyDescent="0.25">
      <c r="A8033" s="2" t="str">
        <f ca="1">IFERROR(__xludf.DUMMYFUNCTION("""COMPUTED_VALUE"""),"melo")</f>
        <v>melo</v>
      </c>
      <c r="B8033" s="2" t="str">
        <f ca="1">IFERROR(__xludf.DUMMYFUNCTION("""COMPUTED_VALUE"""),"melo")</f>
        <v>melo</v>
      </c>
      <c r="C8033" s="2" t="str">
        <f ca="1">IFERROR(__xludf.DUMMYFUNCTION("""COMPUTED_VALUE"""),"Melo")</f>
        <v>Melo</v>
      </c>
    </row>
    <row r="8034" spans="1:3" x14ac:dyDescent="0.25">
      <c r="A8034" s="2" t="str">
        <f ca="1">IFERROR(__xludf.DUMMYFUNCTION("""COMPUTED_VALUE"""),"melon")</f>
        <v>melon</v>
      </c>
      <c r="B8034" s="2" t="str">
        <f ca="1">IFERROR(__xludf.DUMMYFUNCTION("""COMPUTED_VALUE"""),"mln")</f>
        <v>mln</v>
      </c>
      <c r="C8034" s="2" t="str">
        <f ca="1">IFERROR(__xludf.DUMMYFUNCTION("""COMPUTED_VALUE"""),"Enzyme")</f>
        <v>Enzyme</v>
      </c>
    </row>
    <row r="8035" spans="1:3" x14ac:dyDescent="0.25">
      <c r="A8035" s="2" t="str">
        <f ca="1">IFERROR(__xludf.DUMMYFUNCTION("""COMPUTED_VALUE"""),"melon-2")</f>
        <v>melon-2</v>
      </c>
      <c r="B8035" s="2" t="str">
        <f ca="1">IFERROR(__xludf.DUMMYFUNCTION("""COMPUTED_VALUE"""),"melon")</f>
        <v>melon</v>
      </c>
      <c r="C8035" s="2" t="str">
        <f ca="1">IFERROR(__xludf.DUMMYFUNCTION("""COMPUTED_VALUE"""),"MELON")</f>
        <v>MELON</v>
      </c>
    </row>
    <row r="8036" spans="1:3" x14ac:dyDescent="0.25">
      <c r="A8036" s="2" t="str">
        <f ca="1">IFERROR(__xludf.DUMMYFUNCTION("""COMPUTED_VALUE"""),"melon-dog")</f>
        <v>melon-dog</v>
      </c>
      <c r="B8036" s="2" t="str">
        <f ca="1">IFERROR(__xludf.DUMMYFUNCTION("""COMPUTED_VALUE"""),"melon")</f>
        <v>melon</v>
      </c>
      <c r="C8036" s="2" t="str">
        <f ca="1">IFERROR(__xludf.DUMMYFUNCTION("""COMPUTED_VALUE"""),"Melon Dog")</f>
        <v>Melon Dog</v>
      </c>
    </row>
    <row r="8037" spans="1:3" x14ac:dyDescent="0.25">
      <c r="A8037" s="2" t="str">
        <f ca="1">IFERROR(__xludf.DUMMYFUNCTION("""COMPUTED_VALUE"""),"melos-studio")</f>
        <v>melos-studio</v>
      </c>
      <c r="B8037" s="2" t="str">
        <f ca="1">IFERROR(__xludf.DUMMYFUNCTION("""COMPUTED_VALUE"""),"melos")</f>
        <v>melos</v>
      </c>
      <c r="C8037" s="2" t="str">
        <f ca="1">IFERROR(__xludf.DUMMYFUNCTION("""COMPUTED_VALUE"""),"Melos Studio")</f>
        <v>Melos Studio</v>
      </c>
    </row>
    <row r="8038" spans="1:3" x14ac:dyDescent="0.25">
      <c r="A8038" s="2" t="str">
        <f ca="1">IFERROR(__xludf.DUMMYFUNCTION("""COMPUTED_VALUE"""),"member")</f>
        <v>member</v>
      </c>
      <c r="B8038" s="2" t="str">
        <f ca="1">IFERROR(__xludf.DUMMYFUNCTION("""COMPUTED_VALUE"""),"member")</f>
        <v>member</v>
      </c>
      <c r="C8038" s="2" t="str">
        <f ca="1">IFERROR(__xludf.DUMMYFUNCTION("""COMPUTED_VALUE"""),"member")</f>
        <v>member</v>
      </c>
    </row>
    <row r="8039" spans="1:3" x14ac:dyDescent="0.25">
      <c r="A8039" s="2" t="str">
        <f ca="1">IFERROR(__xludf.DUMMYFUNCTION("""COMPUTED_VALUE"""),"membrane")</f>
        <v>membrane</v>
      </c>
      <c r="B8039" s="2" t="str">
        <f ca="1">IFERROR(__xludf.DUMMYFUNCTION("""COMPUTED_VALUE"""),"mbrn")</f>
        <v>mbrn</v>
      </c>
      <c r="C8039" s="2" t="str">
        <f ca="1">IFERROR(__xludf.DUMMYFUNCTION("""COMPUTED_VALUE"""),"Membrane")</f>
        <v>Membrane</v>
      </c>
    </row>
    <row r="8040" spans="1:3" x14ac:dyDescent="0.25">
      <c r="A8040" s="2" t="str">
        <f ca="1">IFERROR(__xludf.DUMMYFUNCTION("""COMPUTED_VALUE"""),"meme-ai-coin")</f>
        <v>meme-ai-coin</v>
      </c>
      <c r="B8040" s="2" t="str">
        <f ca="1">IFERROR(__xludf.DUMMYFUNCTION("""COMPUTED_VALUE"""),"memeai")</f>
        <v>memeai</v>
      </c>
      <c r="C8040" s="2" t="str">
        <f ca="1">IFERROR(__xludf.DUMMYFUNCTION("""COMPUTED_VALUE"""),"Meme AI Coin")</f>
        <v>Meme AI Coin</v>
      </c>
    </row>
    <row r="8041" spans="1:3" x14ac:dyDescent="0.25">
      <c r="A8041" s="2" t="str">
        <f ca="1">IFERROR(__xludf.DUMMYFUNCTION("""COMPUTED_VALUE"""),"meme-alliance")</f>
        <v>meme-alliance</v>
      </c>
      <c r="B8041" s="2" t="str">
        <f ca="1">IFERROR(__xludf.DUMMYFUNCTION("""COMPUTED_VALUE"""),"mma")</f>
        <v>mma</v>
      </c>
      <c r="C8041" s="2" t="str">
        <f ca="1">IFERROR(__xludf.DUMMYFUNCTION("""COMPUTED_VALUE"""),"Meme Alliance")</f>
        <v>Meme Alliance</v>
      </c>
    </row>
    <row r="8042" spans="1:3" x14ac:dyDescent="0.25">
      <c r="A8042" s="2" t="str">
        <f ca="1">IFERROR(__xludf.DUMMYFUNCTION("""COMPUTED_VALUE"""),"meme-brc-20")</f>
        <v>meme-brc-20</v>
      </c>
      <c r="B8042" s="2" t="str">
        <f ca="1">IFERROR(__xludf.DUMMYFUNCTION("""COMPUTED_VALUE"""),"meme")</f>
        <v>meme</v>
      </c>
      <c r="C8042" s="2" t="str">
        <f ca="1">IFERROR(__xludf.DUMMYFUNCTION("""COMPUTED_VALUE"""),"MEME (Ordinals)")</f>
        <v>MEME (Ordinals)</v>
      </c>
    </row>
    <row r="8043" spans="1:3" x14ac:dyDescent="0.25">
      <c r="A8043" s="2" t="str">
        <f ca="1">IFERROR(__xludf.DUMMYFUNCTION("""COMPUTED_VALUE"""),"memechan")</f>
        <v>memechan</v>
      </c>
      <c r="B8043" s="2" t="str">
        <f ca="1">IFERROR(__xludf.DUMMYFUNCTION("""COMPUTED_VALUE"""),"chan")</f>
        <v>chan</v>
      </c>
      <c r="C8043" s="2" t="str">
        <f ca="1">IFERROR(__xludf.DUMMYFUNCTION("""COMPUTED_VALUE"""),"memechan")</f>
        <v>memechan</v>
      </c>
    </row>
    <row r="8044" spans="1:3" x14ac:dyDescent="0.25">
      <c r="A8044" s="2" t="str">
        <f ca="1">IFERROR(__xludf.DUMMYFUNCTION("""COMPUTED_VALUE"""),"memecoin")</f>
        <v>memecoin</v>
      </c>
      <c r="B8044" s="2" t="str">
        <f ca="1">IFERROR(__xludf.DUMMYFUNCTION("""COMPUTED_VALUE"""),"mem")</f>
        <v>mem</v>
      </c>
      <c r="C8044" s="2" t="str">
        <f ca="1">IFERROR(__xludf.DUMMYFUNCTION("""COMPUTED_VALUE"""),"Memecoin")</f>
        <v>Memecoin</v>
      </c>
    </row>
    <row r="8045" spans="1:3" x14ac:dyDescent="0.25">
      <c r="A8045" s="2" t="str">
        <f ca="1">IFERROR(__xludf.DUMMYFUNCTION("""COMPUTED_VALUE"""),"memecoin-2")</f>
        <v>memecoin-2</v>
      </c>
      <c r="B8045" s="2" t="str">
        <f ca="1">IFERROR(__xludf.DUMMYFUNCTION("""COMPUTED_VALUE"""),"meme")</f>
        <v>meme</v>
      </c>
      <c r="C8045" s="2" t="str">
        <f ca="1">IFERROR(__xludf.DUMMYFUNCTION("""COMPUTED_VALUE"""),"Memecoin")</f>
        <v>Memecoin</v>
      </c>
    </row>
    <row r="8046" spans="1:3" x14ac:dyDescent="0.25">
      <c r="A8046" s="2" t="str">
        <f ca="1">IFERROR(__xludf.DUMMYFUNCTION("""COMPUTED_VALUE"""),"memecoindao")</f>
        <v>memecoindao</v>
      </c>
      <c r="B8046" s="2" t="str">
        <f ca="1">IFERROR(__xludf.DUMMYFUNCTION("""COMPUTED_VALUE"""),"$memes")</f>
        <v>$memes</v>
      </c>
      <c r="C8046" s="2" t="str">
        <f ca="1">IFERROR(__xludf.DUMMYFUNCTION("""COMPUTED_VALUE"""),"Memecoindao")</f>
        <v>Memecoindao</v>
      </c>
    </row>
    <row r="8047" spans="1:3" x14ac:dyDescent="0.25">
      <c r="A8047" s="2" t="str">
        <f ca="1">IFERROR(__xludf.DUMMYFUNCTION("""COMPUTED_VALUE"""),"meme-cult")</f>
        <v>meme-cult</v>
      </c>
      <c r="B8047" s="2" t="str">
        <f ca="1">IFERROR(__xludf.DUMMYFUNCTION("""COMPUTED_VALUE"""),"mcult")</f>
        <v>mcult</v>
      </c>
      <c r="C8047" s="2" t="str">
        <f ca="1">IFERROR(__xludf.DUMMYFUNCTION("""COMPUTED_VALUE"""),"Meme Cult")</f>
        <v>Meme Cult</v>
      </c>
    </row>
    <row r="8048" spans="1:3" x14ac:dyDescent="0.25">
      <c r="A8048" s="2" t="str">
        <f ca="1">IFERROR(__xludf.DUMMYFUNCTION("""COMPUTED_VALUE"""),"meme-cup")</f>
        <v>meme-cup</v>
      </c>
      <c r="B8048" s="2" t="str">
        <f ca="1">IFERROR(__xludf.DUMMYFUNCTION("""COMPUTED_VALUE"""),"memecup")</f>
        <v>memecup</v>
      </c>
      <c r="C8048" s="2" t="str">
        <f ca="1">IFERROR(__xludf.DUMMYFUNCTION("""COMPUTED_VALUE"""),"MEME CUP")</f>
        <v>MEME CUP</v>
      </c>
    </row>
    <row r="8049" spans="1:3" x14ac:dyDescent="0.25">
      <c r="A8049" s="2" t="str">
        <f ca="1">IFERROR(__xludf.DUMMYFUNCTION("""COMPUTED_VALUE"""),"memedao")</f>
        <v>memedao</v>
      </c>
      <c r="B8049" s="2" t="str">
        <f ca="1">IFERROR(__xludf.DUMMYFUNCTION("""COMPUTED_VALUE"""),"memd")</f>
        <v>memd</v>
      </c>
      <c r="C8049" s="2" t="str">
        <f ca="1">IFERROR(__xludf.DUMMYFUNCTION("""COMPUTED_VALUE"""),"MemeDAO")</f>
        <v>MemeDAO</v>
      </c>
    </row>
    <row r="8050" spans="1:3" x14ac:dyDescent="0.25">
      <c r="A8050" s="2" t="str">
        <f ca="1">IFERROR(__xludf.DUMMYFUNCTION("""COMPUTED_VALUE"""),"meme-economics-rune")</f>
        <v>meme-economics-rune</v>
      </c>
      <c r="B8050" s="2" t="str">
        <f ca="1">IFERROR(__xludf.DUMMYFUNCTION("""COMPUTED_VALUE"""),"memerune")</f>
        <v>memerune</v>
      </c>
      <c r="C8050" s="2" t="str">
        <f ca="1">IFERROR(__xludf.DUMMYFUNCTION("""COMPUTED_VALUE"""),"MEME•ECONOMICS")</f>
        <v>MEME•ECONOMICS</v>
      </c>
    </row>
    <row r="8051" spans="1:3" x14ac:dyDescent="0.25">
      <c r="A8051" s="2" t="str">
        <f ca="1">IFERROR(__xludf.DUMMYFUNCTION("""COMPUTED_VALUE"""),"meme-elon-doge-floki-2")</f>
        <v>meme-elon-doge-floki-2</v>
      </c>
      <c r="B8051" s="2" t="str">
        <f ca="1">IFERROR(__xludf.DUMMYFUNCTION("""COMPUTED_VALUE"""),"memelon")</f>
        <v>memelon</v>
      </c>
      <c r="C8051" s="2" t="str">
        <f ca="1">IFERROR(__xludf.DUMMYFUNCTION("""COMPUTED_VALUE"""),"Meme Elon Doge Floki")</f>
        <v>Meme Elon Doge Floki</v>
      </c>
    </row>
    <row r="8052" spans="1:3" x14ac:dyDescent="0.25">
      <c r="A8052" s="2" t="str">
        <f ca="1">IFERROR(__xludf.DUMMYFUNCTION("""COMPUTED_VALUE"""),"memeetf")</f>
        <v>memeetf</v>
      </c>
      <c r="B8052" s="2" t="str">
        <f ca="1">IFERROR(__xludf.DUMMYFUNCTION("""COMPUTED_VALUE"""),"memeetf")</f>
        <v>memeetf</v>
      </c>
      <c r="C8052" s="2" t="str">
        <f ca="1">IFERROR(__xludf.DUMMYFUNCTION("""COMPUTED_VALUE"""),"Bitget MemeETF")</f>
        <v>Bitget MemeETF</v>
      </c>
    </row>
    <row r="8053" spans="1:3" x14ac:dyDescent="0.25">
      <c r="A8053" s="2" t="str">
        <f ca="1">IFERROR(__xludf.DUMMYFUNCTION("""COMPUTED_VALUE"""),"meme-etf")</f>
        <v>meme-etf</v>
      </c>
      <c r="B8053" s="2" t="str">
        <f ca="1">IFERROR(__xludf.DUMMYFUNCTION("""COMPUTED_VALUE"""),"memeetf")</f>
        <v>memeetf</v>
      </c>
      <c r="C8053" s="2" t="str">
        <f ca="1">IFERROR(__xludf.DUMMYFUNCTION("""COMPUTED_VALUE"""),"Meme ETF")</f>
        <v>Meme ETF</v>
      </c>
    </row>
    <row r="8054" spans="1:3" x14ac:dyDescent="0.25">
      <c r="A8054" s="2" t="str">
        <f ca="1">IFERROR(__xludf.DUMMYFUNCTION("""COMPUTED_VALUE"""),"memefi")</f>
        <v>memefi</v>
      </c>
      <c r="B8054" s="2" t="str">
        <f ca="1">IFERROR(__xludf.DUMMYFUNCTION("""COMPUTED_VALUE"""),"memefi")</f>
        <v>memefi</v>
      </c>
      <c r="C8054" s="2" t="str">
        <f ca="1">IFERROR(__xludf.DUMMYFUNCTION("""COMPUTED_VALUE"""),"MemeFi")</f>
        <v>MemeFi</v>
      </c>
    </row>
    <row r="8055" spans="1:3" x14ac:dyDescent="0.25">
      <c r="A8055" s="2" t="str">
        <f ca="1">IFERROR(__xludf.DUMMYFUNCTION("""COMPUTED_VALUE"""),"memefi-toybox-404")</f>
        <v>memefi-toybox-404</v>
      </c>
      <c r="B8055" s="2" t="str">
        <f ca="1">IFERROR(__xludf.DUMMYFUNCTION("""COMPUTED_VALUE"""),"toybox")</f>
        <v>toybox</v>
      </c>
      <c r="C8055" s="2" t="str">
        <f ca="1">IFERROR(__xludf.DUMMYFUNCTION("""COMPUTED_VALUE"""),"Memefi Toybox 404")</f>
        <v>Memefi Toybox 404</v>
      </c>
    </row>
    <row r="8056" spans="1:3" x14ac:dyDescent="0.25">
      <c r="A8056" s="2" t="str">
        <f ca="1">IFERROR(__xludf.DUMMYFUNCTION("""COMPUTED_VALUE"""),"memeflate")</f>
        <v>memeflate</v>
      </c>
      <c r="B8056" s="2" t="str">
        <f ca="1">IFERROR(__xludf.DUMMYFUNCTION("""COMPUTED_VALUE"""),"mflate")</f>
        <v>mflate</v>
      </c>
      <c r="C8056" s="2" t="str">
        <f ca="1">IFERROR(__xludf.DUMMYFUNCTION("""COMPUTED_VALUE"""),"Memeflate")</f>
        <v>Memeflate</v>
      </c>
    </row>
    <row r="8057" spans="1:3" x14ac:dyDescent="0.25">
      <c r="A8057" s="2" t="str">
        <f ca="1">IFERROR(__xludf.DUMMYFUNCTION("""COMPUTED_VALUE"""),"memefund-2")</f>
        <v>memefund-2</v>
      </c>
      <c r="B8057" s="2" t="str">
        <f ca="1">IFERROR(__xludf.DUMMYFUNCTION("""COMPUTED_VALUE"""),"mf")</f>
        <v>mf</v>
      </c>
      <c r="C8057" s="2" t="str">
        <f ca="1">IFERROR(__xludf.DUMMYFUNCTION("""COMPUTED_VALUE"""),"MemeFund")</f>
        <v>MemeFund</v>
      </c>
    </row>
    <row r="8058" spans="1:3" x14ac:dyDescent="0.25">
      <c r="A8058" s="2" t="str">
        <f ca="1">IFERROR(__xludf.DUMMYFUNCTION("""COMPUTED_VALUE"""),"meme-goatstx")</f>
        <v>meme-goatstx</v>
      </c>
      <c r="B8058" s="2" t="str">
        <f ca="1">IFERROR(__xludf.DUMMYFUNCTION("""COMPUTED_VALUE"""),"goatstx")</f>
        <v>goatstx</v>
      </c>
      <c r="C8058" s="2" t="str">
        <f ca="1">IFERROR(__xludf.DUMMYFUNCTION("""COMPUTED_VALUE"""),"MEME GOATSTX")</f>
        <v>MEME GOATSTX</v>
      </c>
    </row>
    <row r="8059" spans="1:3" x14ac:dyDescent="0.25">
      <c r="A8059" s="2" t="str">
        <f ca="1">IFERROR(__xludf.DUMMYFUNCTION("""COMPUTED_VALUE"""),"memeinator")</f>
        <v>memeinator</v>
      </c>
      <c r="B8059" s="2" t="str">
        <f ca="1">IFERROR(__xludf.DUMMYFUNCTION("""COMPUTED_VALUE"""),"mmtr")</f>
        <v>mmtr</v>
      </c>
      <c r="C8059" s="2" t="str">
        <f ca="1">IFERROR(__xludf.DUMMYFUNCTION("""COMPUTED_VALUE"""),"Memeinator")</f>
        <v>Memeinator</v>
      </c>
    </row>
    <row r="8060" spans="1:3" x14ac:dyDescent="0.25">
      <c r="A8060" s="2" t="str">
        <f ca="1">IFERROR(__xludf.DUMMYFUNCTION("""COMPUTED_VALUE"""),"meme-kombat")</f>
        <v>meme-kombat</v>
      </c>
      <c r="B8060" s="2" t="str">
        <f ca="1">IFERROR(__xludf.DUMMYFUNCTION("""COMPUTED_VALUE"""),"mk")</f>
        <v>mk</v>
      </c>
      <c r="C8060" s="2" t="str">
        <f ca="1">IFERROR(__xludf.DUMMYFUNCTION("""COMPUTED_VALUE"""),"Meme Kombat")</f>
        <v>Meme Kombat</v>
      </c>
    </row>
    <row r="8061" spans="1:3" x14ac:dyDescent="0.25">
      <c r="A8061" s="2" t="str">
        <f ca="1">IFERROR(__xludf.DUMMYFUNCTION("""COMPUTED_VALUE"""),"meme-lordz")</f>
        <v>meme-lordz</v>
      </c>
      <c r="B8061" s="2" t="str">
        <f ca="1">IFERROR(__xludf.DUMMYFUNCTION("""COMPUTED_VALUE"""),"lordz")</f>
        <v>lordz</v>
      </c>
      <c r="C8061" s="2" t="str">
        <f ca="1">IFERROR(__xludf.DUMMYFUNCTION("""COMPUTED_VALUE"""),"Meme Lordz [OLD]")</f>
        <v>Meme Lordz [OLD]</v>
      </c>
    </row>
    <row r="8062" spans="1:3" x14ac:dyDescent="0.25">
      <c r="A8062" s="2" t="str">
        <f ca="1">IFERROR(__xludf.DUMMYFUNCTION("""COMPUTED_VALUE"""),"meme-lordz-2")</f>
        <v>meme-lordz-2</v>
      </c>
      <c r="B8062" s="2" t="str">
        <f ca="1">IFERROR(__xludf.DUMMYFUNCTION("""COMPUTED_VALUE"""),"lordz")</f>
        <v>lordz</v>
      </c>
      <c r="C8062" s="2" t="str">
        <f ca="1">IFERROR(__xludf.DUMMYFUNCTION("""COMPUTED_VALUE"""),"Meme Lordz")</f>
        <v>Meme Lordz</v>
      </c>
    </row>
    <row r="8063" spans="1:3" x14ac:dyDescent="0.25">
      <c r="A8063" s="2" t="str">
        <f ca="1">IFERROR(__xludf.DUMMYFUNCTION("""COMPUTED_VALUE"""),"mememe")</f>
        <v>mememe</v>
      </c>
      <c r="B8063" s="2" t="str">
        <f ca="1">IFERROR(__xludf.DUMMYFUNCTION("""COMPUTED_VALUE"""),"$mememe")</f>
        <v>$mememe</v>
      </c>
      <c r="C8063" s="2" t="str">
        <f ca="1">IFERROR(__xludf.DUMMYFUNCTION("""COMPUTED_VALUE"""),"MEMEME")</f>
        <v>MEMEME</v>
      </c>
    </row>
    <row r="8064" spans="1:3" x14ac:dyDescent="0.25">
      <c r="A8064" s="2" t="str">
        <f ca="1">IFERROR(__xludf.DUMMYFUNCTION("""COMPUTED_VALUE"""),"meme-mint")</f>
        <v>meme-mint</v>
      </c>
      <c r="B8064" s="2" t="str">
        <f ca="1">IFERROR(__xludf.DUMMYFUNCTION("""COMPUTED_VALUE"""),"mememint")</f>
        <v>mememint</v>
      </c>
      <c r="C8064" s="2" t="str">
        <f ca="1">IFERROR(__xludf.DUMMYFUNCTION("""COMPUTED_VALUE"""),"MEME MINT")</f>
        <v>MEME MINT</v>
      </c>
    </row>
    <row r="8065" spans="1:3" x14ac:dyDescent="0.25">
      <c r="A8065" s="2" t="str">
        <f ca="1">IFERROR(__xludf.DUMMYFUNCTION("""COMPUTED_VALUE"""),"meme-moguls")</f>
        <v>meme-moguls</v>
      </c>
      <c r="B8065" s="2" t="str">
        <f ca="1">IFERROR(__xludf.DUMMYFUNCTION("""COMPUTED_VALUE"""),"mgls")</f>
        <v>mgls</v>
      </c>
      <c r="C8065" s="2" t="str">
        <f ca="1">IFERROR(__xludf.DUMMYFUNCTION("""COMPUTED_VALUE"""),"Meme Moguls")</f>
        <v>Meme Moguls</v>
      </c>
    </row>
    <row r="8066" spans="1:3" x14ac:dyDescent="0.25">
      <c r="A8066" s="2" t="str">
        <f ca="1">IFERROR(__xludf.DUMMYFUNCTION("""COMPUTED_VALUE"""),"meme-network")</f>
        <v>meme-network</v>
      </c>
      <c r="B8066" s="2" t="str">
        <f ca="1">IFERROR(__xludf.DUMMYFUNCTION("""COMPUTED_VALUE"""),"meme")</f>
        <v>meme</v>
      </c>
      <c r="C8066" s="2" t="str">
        <f ca="1">IFERROR(__xludf.DUMMYFUNCTION("""COMPUTED_VALUE"""),"Meme Network")</f>
        <v>Meme Network</v>
      </c>
    </row>
    <row r="8067" spans="1:3" x14ac:dyDescent="0.25">
      <c r="A8067" s="2" t="str">
        <f ca="1">IFERROR(__xludf.DUMMYFUNCTION("""COMPUTED_VALUE"""),"memepad")</f>
        <v>memepad</v>
      </c>
      <c r="B8067" s="2" t="str">
        <f ca="1">IFERROR(__xludf.DUMMYFUNCTION("""COMPUTED_VALUE"""),"mepad")</f>
        <v>mepad</v>
      </c>
      <c r="C8067" s="2" t="str">
        <f ca="1">IFERROR(__xludf.DUMMYFUNCTION("""COMPUTED_VALUE"""),"MemePad")</f>
        <v>MemePad</v>
      </c>
    </row>
    <row r="8068" spans="1:3" x14ac:dyDescent="0.25">
      <c r="A8068" s="2" t="str">
        <f ca="1">IFERROR(__xludf.DUMMYFUNCTION("""COMPUTED_VALUE"""),"memerwa")</f>
        <v>memerwa</v>
      </c>
      <c r="B8068" s="2" t="str">
        <f ca="1">IFERROR(__xludf.DUMMYFUNCTION("""COMPUTED_VALUE"""),"merwa")</f>
        <v>merwa</v>
      </c>
      <c r="C8068" s="2" t="str">
        <f ca="1">IFERROR(__xludf.DUMMYFUNCTION("""COMPUTED_VALUE"""),"memerwa")</f>
        <v>memerwa</v>
      </c>
    </row>
    <row r="8069" spans="1:3" x14ac:dyDescent="0.25">
      <c r="A8069" s="2" t="str">
        <f ca="1">IFERROR(__xludf.DUMMYFUNCTION("""COMPUTED_VALUE"""),"memesaur")</f>
        <v>memesaur</v>
      </c>
      <c r="B8069" s="2" t="str">
        <f ca="1">IFERROR(__xludf.DUMMYFUNCTION("""COMPUTED_VALUE"""),"$msr")</f>
        <v>$msr</v>
      </c>
      <c r="C8069" s="2" t="str">
        <f ca="1">IFERROR(__xludf.DUMMYFUNCTION("""COMPUTED_VALUE"""),"MEMESAUR")</f>
        <v>MEMESAUR</v>
      </c>
    </row>
    <row r="8070" spans="1:3" x14ac:dyDescent="0.25">
      <c r="A8070" s="2" t="str">
        <f ca="1">IFERROR(__xludf.DUMMYFUNCTION("""COMPUTED_VALUE"""),"memes-go-to-the-moon")</f>
        <v>memes-go-to-the-moon</v>
      </c>
      <c r="B8070" s="2" t="str">
        <f ca="1">IFERROR(__xludf.DUMMYFUNCTION("""COMPUTED_VALUE"""),"memes")</f>
        <v>memes</v>
      </c>
      <c r="C8070" s="2" t="str">
        <f ca="1">IFERROR(__xludf.DUMMYFUNCTION("""COMPUTED_VALUE"""),"MEMES•GO•TO•THE•MOON (Runes)")</f>
        <v>MEMES•GO•TO•THE•MOON (Runes)</v>
      </c>
    </row>
    <row r="8071" spans="1:3" x14ac:dyDescent="0.25">
      <c r="A8071" s="2" t="str">
        <f ca="1">IFERROR(__xludf.DUMMYFUNCTION("""COMPUTED_VALUE"""),"memes-make-it-possible")</f>
        <v>memes-make-it-possible</v>
      </c>
      <c r="B8071" s="2" t="str">
        <f ca="1">IFERROR(__xludf.DUMMYFUNCTION("""COMPUTED_VALUE"""),"mmip")</f>
        <v>mmip</v>
      </c>
      <c r="C8071" s="2" t="str">
        <f ca="1">IFERROR(__xludf.DUMMYFUNCTION("""COMPUTED_VALUE"""),"Memes Make It Possible")</f>
        <v>Memes Make It Possible</v>
      </c>
    </row>
    <row r="8072" spans="1:3" x14ac:dyDescent="0.25">
      <c r="A8072" s="2" t="str">
        <f ca="1">IFERROR(__xludf.DUMMYFUNCTION("""COMPUTED_VALUE"""),"memes-street")</f>
        <v>memes-street</v>
      </c>
      <c r="B8072" s="2" t="str">
        <f ca="1">IFERROR(__xludf.DUMMYFUNCTION("""COMPUTED_VALUE"""),"memes")</f>
        <v>memes</v>
      </c>
      <c r="C8072" s="2" t="str">
        <f ca="1">IFERROR(__xludf.DUMMYFUNCTION("""COMPUTED_VALUE"""),"Memes Street")</f>
        <v>Memes Street</v>
      </c>
    </row>
    <row r="8073" spans="1:3" x14ac:dyDescent="0.25">
      <c r="A8073" s="2" t="str">
        <f ca="1">IFERROR(__xludf.DUMMYFUNCTION("""COMPUTED_VALUE"""),"memes-street-ai")</f>
        <v>memes-street-ai</v>
      </c>
      <c r="B8073" s="2" t="str">
        <f ca="1">IFERROR(__xludf.DUMMYFUNCTION("""COMPUTED_VALUE"""),"mst")</f>
        <v>mst</v>
      </c>
      <c r="C8073" s="2" t="str">
        <f ca="1">IFERROR(__xludf.DUMMYFUNCTION("""COMPUTED_VALUE"""),"Memes Street AI")</f>
        <v>Memes Street AI</v>
      </c>
    </row>
    <row r="8074" spans="1:3" x14ac:dyDescent="0.25">
      <c r="A8074" s="2" t="str">
        <f ca="1">IFERROR(__xludf.DUMMYFUNCTION("""COMPUTED_VALUE"""),"memes-vs-undead")</f>
        <v>memes-vs-undead</v>
      </c>
      <c r="B8074" s="2" t="str">
        <f ca="1">IFERROR(__xludf.DUMMYFUNCTION("""COMPUTED_VALUE"""),"mvu")</f>
        <v>mvu</v>
      </c>
      <c r="C8074" s="2" t="str">
        <f ca="1">IFERROR(__xludf.DUMMYFUNCTION("""COMPUTED_VALUE"""),"Memes vs Undead")</f>
        <v>Memes vs Undead</v>
      </c>
    </row>
    <row r="8075" spans="1:3" x14ac:dyDescent="0.25">
      <c r="A8075" s="2" t="str">
        <f ca="1">IFERROR(__xludf.DUMMYFUNCTION("""COMPUTED_VALUE"""),"memetoon")</f>
        <v>memetoon</v>
      </c>
      <c r="B8075" s="2" t="str">
        <f ca="1">IFERROR(__xludf.DUMMYFUNCTION("""COMPUTED_VALUE"""),"meme")</f>
        <v>meme</v>
      </c>
      <c r="C8075" s="2" t="str">
        <f ca="1">IFERROR(__xludf.DUMMYFUNCTION("""COMPUTED_VALUE"""),"MEMETOON")</f>
        <v>MEMETOON</v>
      </c>
    </row>
    <row r="8076" spans="1:3" x14ac:dyDescent="0.25">
      <c r="A8076" s="2" t="str">
        <f ca="1">IFERROR(__xludf.DUMMYFUNCTION("""COMPUTED_VALUE"""),"memevengers")</f>
        <v>memevengers</v>
      </c>
      <c r="B8076" s="2" t="str">
        <f ca="1">IFERROR(__xludf.DUMMYFUNCTION("""COMPUTED_VALUE"""),"mmvg")</f>
        <v>mmvg</v>
      </c>
      <c r="C8076" s="2" t="str">
        <f ca="1">IFERROR(__xludf.DUMMYFUNCTION("""COMPUTED_VALUE"""),"MEMEVENGERS")</f>
        <v>MEMEVENGERS</v>
      </c>
    </row>
    <row r="8077" spans="1:3" x14ac:dyDescent="0.25">
      <c r="A8077" s="2" t="str">
        <f ca="1">IFERROR(__xludf.DUMMYFUNCTION("""COMPUTED_VALUE"""),"memusic")</f>
        <v>memusic</v>
      </c>
      <c r="B8077" s="2" t="str">
        <f ca="1">IFERROR(__xludf.DUMMYFUNCTION("""COMPUTED_VALUE"""),"mmt")</f>
        <v>mmt</v>
      </c>
      <c r="C8077" s="2" t="str">
        <f ca="1">IFERROR(__xludf.DUMMYFUNCTION("""COMPUTED_VALUE"""),"MeMusic")</f>
        <v>MeMusic</v>
      </c>
    </row>
    <row r="8078" spans="1:3" x14ac:dyDescent="0.25">
      <c r="A8078" s="2" t="str">
        <f ca="1">IFERROR(__xludf.DUMMYFUNCTION("""COMPUTED_VALUE"""),"mendi-finance")</f>
        <v>mendi-finance</v>
      </c>
      <c r="B8078" s="2" t="str">
        <f ca="1">IFERROR(__xludf.DUMMYFUNCTION("""COMPUTED_VALUE"""),"mendi")</f>
        <v>mendi</v>
      </c>
      <c r="C8078" s="2" t="str">
        <f ca="1">IFERROR(__xludf.DUMMYFUNCTION("""COMPUTED_VALUE"""),"Mendi Finance")</f>
        <v>Mendi Finance</v>
      </c>
    </row>
    <row r="8079" spans="1:3" x14ac:dyDescent="0.25">
      <c r="A8079" s="2" t="str">
        <f ca="1">IFERROR(__xludf.DUMMYFUNCTION("""COMPUTED_VALUE"""),"mento")</f>
        <v>mento</v>
      </c>
      <c r="B8079" s="2" t="str">
        <f ca="1">IFERROR(__xludf.DUMMYFUNCTION("""COMPUTED_VALUE"""),"mento")</f>
        <v>mento</v>
      </c>
      <c r="C8079" s="2" t="str">
        <f ca="1">IFERROR(__xludf.DUMMYFUNCTION("""COMPUTED_VALUE"""),"MENTO")</f>
        <v>MENTO</v>
      </c>
    </row>
    <row r="8080" spans="1:3" x14ac:dyDescent="0.25">
      <c r="A8080" s="2" t="str">
        <f ca="1">IFERROR(__xludf.DUMMYFUNCTION("""COMPUTED_VALUE"""),"menzy")</f>
        <v>menzy</v>
      </c>
      <c r="B8080" s="2" t="str">
        <f ca="1">IFERROR(__xludf.DUMMYFUNCTION("""COMPUTED_VALUE"""),"mnz")</f>
        <v>mnz</v>
      </c>
      <c r="C8080" s="2" t="str">
        <f ca="1">IFERROR(__xludf.DUMMYFUNCTION("""COMPUTED_VALUE"""),"Menzy")</f>
        <v>Menzy</v>
      </c>
    </row>
    <row r="8081" spans="1:3" x14ac:dyDescent="0.25">
      <c r="A8081" s="2" t="str">
        <f ca="1">IFERROR(__xludf.DUMMYFUNCTION("""COMPUTED_VALUE"""),"meow")</f>
        <v>meow</v>
      </c>
      <c r="B8081" s="2" t="str">
        <f ca="1">IFERROR(__xludf.DUMMYFUNCTION("""COMPUTED_VALUE"""),"meow")</f>
        <v>meow</v>
      </c>
      <c r="C8081" s="2" t="str">
        <f ca="1">IFERROR(__xludf.DUMMYFUNCTION("""COMPUTED_VALUE"""),"MEOW")</f>
        <v>MEOW</v>
      </c>
    </row>
    <row r="8082" spans="1:3" x14ac:dyDescent="0.25">
      <c r="A8082" s="2" t="str">
        <f ca="1">IFERROR(__xludf.DUMMYFUNCTION("""COMPUTED_VALUE"""),"meow-2")</f>
        <v>meow-2</v>
      </c>
      <c r="B8082" s="2" t="str">
        <f ca="1">IFERROR(__xludf.DUMMYFUNCTION("""COMPUTED_VALUE"""),"meow")</f>
        <v>meow</v>
      </c>
      <c r="C8082" s="2" t="str">
        <f ca="1">IFERROR(__xludf.DUMMYFUNCTION("""COMPUTED_VALUE"""),"Meow")</f>
        <v>Meow</v>
      </c>
    </row>
    <row r="8083" spans="1:3" x14ac:dyDescent="0.25">
      <c r="A8083" s="2" t="str">
        <f ca="1">IFERROR(__xludf.DUMMYFUNCTION("""COMPUTED_VALUE"""),"meow-casino")</f>
        <v>meow-casino</v>
      </c>
      <c r="B8083" s="2" t="str">
        <f ca="1">IFERROR(__xludf.DUMMYFUNCTION("""COMPUTED_VALUE"""),"meow")</f>
        <v>meow</v>
      </c>
      <c r="C8083" s="2" t="str">
        <f ca="1">IFERROR(__xludf.DUMMYFUNCTION("""COMPUTED_VALUE"""),"Meow Casino")</f>
        <v>Meow Casino</v>
      </c>
    </row>
    <row r="8084" spans="1:3" x14ac:dyDescent="0.25">
      <c r="A8084" s="2" t="str">
        <f ca="1">IFERROR(__xludf.DUMMYFUNCTION("""COMPUTED_VALUE"""),"meowcat-2")</f>
        <v>meowcat-2</v>
      </c>
      <c r="B8084" s="2" t="str">
        <f ca="1">IFERROR(__xludf.DUMMYFUNCTION("""COMPUTED_VALUE"""),"meow")</f>
        <v>meow</v>
      </c>
      <c r="C8084" s="2" t="str">
        <f ca="1">IFERROR(__xludf.DUMMYFUNCTION("""COMPUTED_VALUE"""),"MeowCat")</f>
        <v>MeowCat</v>
      </c>
    </row>
    <row r="8085" spans="1:3" x14ac:dyDescent="0.25">
      <c r="A8085" s="2" t="str">
        <f ca="1">IFERROR(__xludf.DUMMYFUNCTION("""COMPUTED_VALUE"""),"meowcoin")</f>
        <v>meowcoin</v>
      </c>
      <c r="B8085" s="2" t="str">
        <f ca="1">IFERROR(__xludf.DUMMYFUNCTION("""COMPUTED_VALUE"""),"mewc")</f>
        <v>mewc</v>
      </c>
      <c r="C8085" s="2" t="str">
        <f ca="1">IFERROR(__xludf.DUMMYFUNCTION("""COMPUTED_VALUE"""),"MeowCoin")</f>
        <v>MeowCoin</v>
      </c>
    </row>
    <row r="8086" spans="1:3" x14ac:dyDescent="0.25">
      <c r="A8086" s="2" t="str">
        <f ca="1">IFERROR(__xludf.DUMMYFUNCTION("""COMPUTED_VALUE"""),"meow-coin")</f>
        <v>meow-coin</v>
      </c>
      <c r="B8086" s="2" t="str">
        <f ca="1">IFERROR(__xludf.DUMMYFUNCTION("""COMPUTED_VALUE"""),"meow")</f>
        <v>meow</v>
      </c>
      <c r="C8086" s="2" t="str">
        <f ca="1">IFERROR(__xludf.DUMMYFUNCTION("""COMPUTED_VALUE"""),"Meow Coin")</f>
        <v>Meow Coin</v>
      </c>
    </row>
    <row r="8087" spans="1:3" x14ac:dyDescent="0.25">
      <c r="A8087" s="2" t="str">
        <f ca="1">IFERROR(__xludf.DUMMYFUNCTION("""COMPUTED_VALUE"""),"meowgangs")</f>
        <v>meowgangs</v>
      </c>
      <c r="B8087" s="2" t="str">
        <f ca="1">IFERROR(__xludf.DUMMYFUNCTION("""COMPUTED_VALUE"""),"meowg")</f>
        <v>meowg</v>
      </c>
      <c r="C8087" s="2" t="str">
        <f ca="1">IFERROR(__xludf.DUMMYFUNCTION("""COMPUTED_VALUE"""),"MeowGangs")</f>
        <v>MeowGangs</v>
      </c>
    </row>
    <row r="8088" spans="1:3" x14ac:dyDescent="0.25">
      <c r="A8088" s="2" t="str">
        <f ca="1">IFERROR(__xludf.DUMMYFUNCTION("""COMPUTED_VALUE"""),"meowifhat")</f>
        <v>meowifhat</v>
      </c>
      <c r="B8088" s="2" t="str">
        <f ca="1">IFERROR(__xludf.DUMMYFUNCTION("""COMPUTED_VALUE"""),"meowif")</f>
        <v>meowif</v>
      </c>
      <c r="C8088" s="2" t="str">
        <f ca="1">IFERROR(__xludf.DUMMYFUNCTION("""COMPUTED_VALUE"""),"Meowifhat")</f>
        <v>Meowifhat</v>
      </c>
    </row>
    <row r="8089" spans="1:3" x14ac:dyDescent="0.25">
      <c r="A8089" s="2" t="str">
        <f ca="1">IFERROR(__xludf.DUMMYFUNCTION("""COMPUTED_VALUE"""),"meowka-neko")</f>
        <v>meowka-neko</v>
      </c>
      <c r="B8089" s="2" t="str">
        <f ca="1">IFERROR(__xludf.DUMMYFUNCTION("""COMPUTED_VALUE"""),"meowka")</f>
        <v>meowka</v>
      </c>
      <c r="C8089" s="2" t="str">
        <f ca="1">IFERROR(__xludf.DUMMYFUNCTION("""COMPUTED_VALUE"""),"Meowka Neko")</f>
        <v>Meowka Neko</v>
      </c>
    </row>
    <row r="8090" spans="1:3" x14ac:dyDescent="0.25">
      <c r="A8090" s="2" t="str">
        <f ca="1">IFERROR(__xludf.DUMMYFUNCTION("""COMPUTED_VALUE"""),"meow-meme")</f>
        <v>meow-meme</v>
      </c>
      <c r="B8090" s="2" t="str">
        <f ca="1">IFERROR(__xludf.DUMMYFUNCTION("""COMPUTED_VALUE"""),"meow")</f>
        <v>meow</v>
      </c>
      <c r="C8090" s="2" t="str">
        <f ca="1">IFERROR(__xludf.DUMMYFUNCTION("""COMPUTED_VALUE"""),"Meow Meme")</f>
        <v>Meow Meme</v>
      </c>
    </row>
    <row r="8091" spans="1:3" x14ac:dyDescent="0.25">
      <c r="A8091" s="2" t="str">
        <f ca="1">IFERROR(__xludf.DUMMYFUNCTION("""COMPUTED_VALUE"""),"merchant-finance")</f>
        <v>merchant-finance</v>
      </c>
      <c r="B8091" s="2" t="str">
        <f ca="1">IFERROR(__xludf.DUMMYFUNCTION("""COMPUTED_VALUE"""),"mech")</f>
        <v>mech</v>
      </c>
      <c r="C8091" s="2" t="str">
        <f ca="1">IFERROR(__xludf.DUMMYFUNCTION("""COMPUTED_VALUE"""),"Merchant Finance")</f>
        <v>Merchant Finance</v>
      </c>
    </row>
    <row r="8092" spans="1:3" x14ac:dyDescent="0.25">
      <c r="A8092" s="2" t="str">
        <f ca="1">IFERROR(__xludf.DUMMYFUNCTION("""COMPUTED_VALUE"""),"merchant-token")</f>
        <v>merchant-token</v>
      </c>
      <c r="B8092" s="2" t="str">
        <f ca="1">IFERROR(__xludf.DUMMYFUNCTION("""COMPUTED_VALUE"""),"mto")</f>
        <v>mto</v>
      </c>
      <c r="C8092" s="2" t="str">
        <f ca="1">IFERROR(__xludf.DUMMYFUNCTION("""COMPUTED_VALUE"""),"Merchant")</f>
        <v>Merchant</v>
      </c>
    </row>
    <row r="8093" spans="1:3" x14ac:dyDescent="0.25">
      <c r="A8093" s="2" t="str">
        <f ca="1">IFERROR(__xludf.DUMMYFUNCTION("""COMPUTED_VALUE"""),"merchdao")</f>
        <v>merchdao</v>
      </c>
      <c r="B8093" s="2" t="str">
        <f ca="1">IFERROR(__xludf.DUMMYFUNCTION("""COMPUTED_VALUE"""),"mrch")</f>
        <v>mrch</v>
      </c>
      <c r="C8093" s="2" t="str">
        <f ca="1">IFERROR(__xludf.DUMMYFUNCTION("""COMPUTED_VALUE"""),"MerchDAO")</f>
        <v>MerchDAO</v>
      </c>
    </row>
    <row r="8094" spans="1:3" x14ac:dyDescent="0.25">
      <c r="A8094" s="2" t="str">
        <f ca="1">IFERROR(__xludf.DUMMYFUNCTION("""COMPUTED_VALUE"""),"mercle")</f>
        <v>mercle</v>
      </c>
      <c r="B8094" s="2" t="str">
        <f ca="1">IFERROR(__xludf.DUMMYFUNCTION("""COMPUTED_VALUE"""),"$mercle")</f>
        <v>$mercle</v>
      </c>
      <c r="C8094" s="2" t="str">
        <f ca="1">IFERROR(__xludf.DUMMYFUNCTION("""COMPUTED_VALUE"""),"MERCLE")</f>
        <v>MERCLE</v>
      </c>
    </row>
    <row r="8095" spans="1:3" x14ac:dyDescent="0.25">
      <c r="A8095" s="2" t="str">
        <f ca="1">IFERROR(__xludf.DUMMYFUNCTION("""COMPUTED_VALUE"""),"mercurial")</f>
        <v>mercurial</v>
      </c>
      <c r="B8095" s="2" t="str">
        <f ca="1">IFERROR(__xludf.DUMMYFUNCTION("""COMPUTED_VALUE"""),"mer")</f>
        <v>mer</v>
      </c>
      <c r="C8095" s="2" t="str">
        <f ca="1">IFERROR(__xludf.DUMMYFUNCTION("""COMPUTED_VALUE"""),"Mercurial")</f>
        <v>Mercurial</v>
      </c>
    </row>
    <row r="8096" spans="1:3" x14ac:dyDescent="0.25">
      <c r="A8096" s="2" t="str">
        <f ca="1">IFERROR(__xludf.DUMMYFUNCTION("""COMPUTED_VALUE"""),"mercury-protocol-404")</f>
        <v>mercury-protocol-404</v>
      </c>
      <c r="B8096" s="2" t="str">
        <f ca="1">IFERROR(__xludf.DUMMYFUNCTION("""COMPUTED_VALUE"""),"m404")</f>
        <v>m404</v>
      </c>
      <c r="C8096" s="2" t="str">
        <f ca="1">IFERROR(__xludf.DUMMYFUNCTION("""COMPUTED_VALUE"""),"Mercury Protocol 404")</f>
        <v>Mercury Protocol 404</v>
      </c>
    </row>
    <row r="8097" spans="1:3" x14ac:dyDescent="0.25">
      <c r="A8097" s="2" t="str">
        <f ca="1">IFERROR(__xludf.DUMMYFUNCTION("""COMPUTED_VALUE"""),"merge")</f>
        <v>merge</v>
      </c>
      <c r="B8097" s="2" t="str">
        <f ca="1">IFERROR(__xludf.DUMMYFUNCTION("""COMPUTED_VALUE"""),"merge")</f>
        <v>merge</v>
      </c>
      <c r="C8097" s="2" t="str">
        <f ca="1">IFERROR(__xludf.DUMMYFUNCTION("""COMPUTED_VALUE"""),"Merge")</f>
        <v>Merge</v>
      </c>
    </row>
    <row r="8098" spans="1:3" x14ac:dyDescent="0.25">
      <c r="A8098" s="2" t="str">
        <f ca="1">IFERROR(__xludf.DUMMYFUNCTION("""COMPUTED_VALUE"""),"mergen")</f>
        <v>mergen</v>
      </c>
      <c r="B8098" s="2" t="str">
        <f ca="1">IFERROR(__xludf.DUMMYFUNCTION("""COMPUTED_VALUE"""),"mrgn")</f>
        <v>mrgn</v>
      </c>
      <c r="C8098" s="2" t="str">
        <f ca="1">IFERROR(__xludf.DUMMYFUNCTION("""COMPUTED_VALUE"""),"Mergen")</f>
        <v>Mergen</v>
      </c>
    </row>
    <row r="8099" spans="1:3" x14ac:dyDescent="0.25">
      <c r="A8099" s="2" t="str">
        <f ca="1">IFERROR(__xludf.DUMMYFUNCTION("""COMPUTED_VALUE"""),"mergex")</f>
        <v>mergex</v>
      </c>
      <c r="B8099" s="2" t="str">
        <f ca="1">IFERROR(__xludf.DUMMYFUNCTION("""COMPUTED_VALUE"""),"mge")</f>
        <v>mge</v>
      </c>
      <c r="C8099" s="2" t="str">
        <f ca="1">IFERROR(__xludf.DUMMYFUNCTION("""COMPUTED_VALUE"""),"MergeX")</f>
        <v>MergeX</v>
      </c>
    </row>
    <row r="8100" spans="1:3" x14ac:dyDescent="0.25">
      <c r="A8100" s="2" t="str">
        <f ca="1">IFERROR(__xludf.DUMMYFUNCTION("""COMPUTED_VALUE"""),"meridian-mst")</f>
        <v>meridian-mst</v>
      </c>
      <c r="B8100" s="2" t="str">
        <f ca="1">IFERROR(__xludf.DUMMYFUNCTION("""COMPUTED_VALUE"""),"mst")</f>
        <v>mst</v>
      </c>
      <c r="C8100" s="2" t="str">
        <f ca="1">IFERROR(__xludf.DUMMYFUNCTION("""COMPUTED_VALUE"""),"Meridian MST")</f>
        <v>Meridian MST</v>
      </c>
    </row>
    <row r="8101" spans="1:3" x14ac:dyDescent="0.25">
      <c r="A8101" s="2" t="str">
        <f ca="1">IFERROR(__xludf.DUMMYFUNCTION("""COMPUTED_VALUE"""),"merit-circle")</f>
        <v>merit-circle</v>
      </c>
      <c r="B8101" s="2" t="str">
        <f ca="1">IFERROR(__xludf.DUMMYFUNCTION("""COMPUTED_VALUE"""),"mc")</f>
        <v>mc</v>
      </c>
      <c r="C8101" s="2" t="str">
        <f ca="1">IFERROR(__xludf.DUMMYFUNCTION("""COMPUTED_VALUE"""),"Merit Circle")</f>
        <v>Merit Circle</v>
      </c>
    </row>
    <row r="8102" spans="1:3" x14ac:dyDescent="0.25">
      <c r="A8102" s="2" t="str">
        <f ca="1">IFERROR(__xludf.DUMMYFUNCTION("""COMPUTED_VALUE"""),"merkle-trade")</f>
        <v>merkle-trade</v>
      </c>
      <c r="B8102" s="2" t="str">
        <f ca="1">IFERROR(__xludf.DUMMYFUNCTION("""COMPUTED_VALUE"""),"mkl")</f>
        <v>mkl</v>
      </c>
      <c r="C8102" s="2" t="str">
        <f ca="1">IFERROR(__xludf.DUMMYFUNCTION("""COMPUTED_VALUE"""),"Merkle Trade")</f>
        <v>Merkle Trade</v>
      </c>
    </row>
    <row r="8103" spans="1:3" x14ac:dyDescent="0.25">
      <c r="A8103" s="2" t="str">
        <f ca="1">IFERROR(__xludf.DUMMYFUNCTION("""COMPUTED_VALUE"""),"merlin-chain")</f>
        <v>merlin-chain</v>
      </c>
      <c r="B8103" s="2" t="str">
        <f ca="1">IFERROR(__xludf.DUMMYFUNCTION("""COMPUTED_VALUE"""),"merl")</f>
        <v>merl</v>
      </c>
      <c r="C8103" s="2" t="str">
        <f ca="1">IFERROR(__xludf.DUMMYFUNCTION("""COMPUTED_VALUE"""),"Merlin Chain")</f>
        <v>Merlin Chain</v>
      </c>
    </row>
    <row r="8104" spans="1:3" x14ac:dyDescent="0.25">
      <c r="A8104" s="2" t="str">
        <f ca="1">IFERROR(__xludf.DUMMYFUNCTION("""COMPUTED_VALUE"""),"merlin-chain-bridged-voya-merlin")</f>
        <v>merlin-chain-bridged-voya-merlin</v>
      </c>
      <c r="B8104" s="2" t="str">
        <f ca="1">IFERROR(__xludf.DUMMYFUNCTION("""COMPUTED_VALUE"""),"voya")</f>
        <v>voya</v>
      </c>
      <c r="C8104" s="2" t="str">
        <f ca="1">IFERROR(__xludf.DUMMYFUNCTION("""COMPUTED_VALUE"""),"Merlin Chain Bridged VOYA (Merlin)")</f>
        <v>Merlin Chain Bridged VOYA (Merlin)</v>
      </c>
    </row>
    <row r="8105" spans="1:3" x14ac:dyDescent="0.25">
      <c r="A8105" s="2" t="str">
        <f ca="1">IFERROR(__xludf.DUMMYFUNCTION("""COMPUTED_VALUE"""),"merlin-chain-bridged-wrapped-btc-merlin")</f>
        <v>merlin-chain-bridged-wrapped-btc-merlin</v>
      </c>
      <c r="B8105" s="2" t="str">
        <f ca="1">IFERROR(__xludf.DUMMYFUNCTION("""COMPUTED_VALUE"""),"wbtc")</f>
        <v>wbtc</v>
      </c>
      <c r="C8105" s="2" t="str">
        <f ca="1">IFERROR(__xludf.DUMMYFUNCTION("""COMPUTED_VALUE"""),"Merlin Chain Bridged Wrapped BTC (Merlin)")</f>
        <v>Merlin Chain Bridged Wrapped BTC (Merlin)</v>
      </c>
    </row>
    <row r="8106" spans="1:3" x14ac:dyDescent="0.25">
      <c r="A8106" s="2" t="str">
        <f ca="1">IFERROR(__xludf.DUMMYFUNCTION("""COMPUTED_VALUE"""),"merlin-s-seal-btc")</f>
        <v>merlin-s-seal-btc</v>
      </c>
      <c r="B8106" s="2" t="str">
        <f ca="1">IFERROR(__xludf.DUMMYFUNCTION("""COMPUTED_VALUE"""),"m-btc")</f>
        <v>m-btc</v>
      </c>
      <c r="C8106" s="2" t="str">
        <f ca="1">IFERROR(__xludf.DUMMYFUNCTION("""COMPUTED_VALUE"""),"Merlin's Seal BTC")</f>
        <v>Merlin's Seal BTC</v>
      </c>
    </row>
    <row r="8107" spans="1:3" x14ac:dyDescent="0.25">
      <c r="A8107" s="2" t="str">
        <f ca="1">IFERROR(__xludf.DUMMYFUNCTION("""COMPUTED_VALUE"""),"merlins-seal-usdc")</f>
        <v>merlins-seal-usdc</v>
      </c>
      <c r="B8107" s="2" t="str">
        <f ca="1">IFERROR(__xludf.DUMMYFUNCTION("""COMPUTED_VALUE"""),"m-usdc")</f>
        <v>m-usdc</v>
      </c>
      <c r="C8107" s="2" t="str">
        <f ca="1">IFERROR(__xludf.DUMMYFUNCTION("""COMPUTED_VALUE"""),"Merlin's Seal USDC")</f>
        <v>Merlin's Seal USDC</v>
      </c>
    </row>
    <row r="8108" spans="1:3" x14ac:dyDescent="0.25">
      <c r="A8108" s="2" t="str">
        <f ca="1">IFERROR(__xludf.DUMMYFUNCTION("""COMPUTED_VALUE"""),"merlins-seal-usdt")</f>
        <v>merlins-seal-usdt</v>
      </c>
      <c r="B8108" s="2" t="str">
        <f ca="1">IFERROR(__xludf.DUMMYFUNCTION("""COMPUTED_VALUE"""),"m-usdt")</f>
        <v>m-usdt</v>
      </c>
      <c r="C8108" s="2" t="str">
        <f ca="1">IFERROR(__xludf.DUMMYFUNCTION("""COMPUTED_VALUE"""),"Merlin's Seal USDT")</f>
        <v>Merlin's Seal USDT</v>
      </c>
    </row>
    <row r="8109" spans="1:3" x14ac:dyDescent="0.25">
      <c r="A8109" s="2" t="str">
        <f ca="1">IFERROR(__xludf.DUMMYFUNCTION("""COMPUTED_VALUE"""),"merlin-starter")</f>
        <v>merlin-starter</v>
      </c>
      <c r="B8109" s="2" t="str">
        <f ca="1">IFERROR(__xludf.DUMMYFUNCTION("""COMPUTED_VALUE"""),"mstar")</f>
        <v>mstar</v>
      </c>
      <c r="C8109" s="2" t="str">
        <f ca="1">IFERROR(__xludf.DUMMYFUNCTION("""COMPUTED_VALUE"""),"Merlin Starter")</f>
        <v>Merlin Starter</v>
      </c>
    </row>
    <row r="8110" spans="1:3" x14ac:dyDescent="0.25">
      <c r="A8110" s="2" t="str">
        <f ca="1">IFERROR(__xludf.DUMMYFUNCTION("""COMPUTED_VALUE"""),"merlinswap")</f>
        <v>merlinswap</v>
      </c>
      <c r="B8110" s="2" t="str">
        <f ca="1">IFERROR(__xludf.DUMMYFUNCTION("""COMPUTED_VALUE"""),"mp")</f>
        <v>mp</v>
      </c>
      <c r="C8110" s="2" t="str">
        <f ca="1">IFERROR(__xludf.DUMMYFUNCTION("""COMPUTED_VALUE"""),"MerlinSwap")</f>
        <v>MerlinSwap</v>
      </c>
    </row>
    <row r="8111" spans="1:3" x14ac:dyDescent="0.25">
      <c r="A8111" s="2" t="str">
        <f ca="1">IFERROR(__xludf.DUMMYFUNCTION("""COMPUTED_VALUE"""),"merlinuniverse-egg")</f>
        <v>merlinuniverse-egg</v>
      </c>
      <c r="B8111" s="2" t="str">
        <f ca="1">IFERROR(__xludf.DUMMYFUNCTION("""COMPUTED_VALUE"""),"egg")</f>
        <v>egg</v>
      </c>
      <c r="C8111" s="2" t="str">
        <f ca="1">IFERROR(__xludf.DUMMYFUNCTION("""COMPUTED_VALUE"""),"MerlinUniverse Egg")</f>
        <v>MerlinUniverse Egg</v>
      </c>
    </row>
    <row r="8112" spans="1:3" x14ac:dyDescent="0.25">
      <c r="A8112" s="2" t="str">
        <f ca="1">IFERROR(__xludf.DUMMYFUNCTION("""COMPUTED_VALUE"""),"meromai")</f>
        <v>meromai</v>
      </c>
      <c r="B8112" s="2" t="str">
        <f ca="1">IFERROR(__xludf.DUMMYFUNCTION("""COMPUTED_VALUE"""),"aimr")</f>
        <v>aimr</v>
      </c>
      <c r="C8112" s="2" t="str">
        <f ca="1">IFERROR(__xludf.DUMMYFUNCTION("""COMPUTED_VALUE"""),"MeromAI")</f>
        <v>MeromAI</v>
      </c>
    </row>
    <row r="8113" spans="1:3" x14ac:dyDescent="0.25">
      <c r="A8113" s="2" t="str">
        <f ca="1">IFERROR(__xludf.DUMMYFUNCTION("""COMPUTED_VALUE"""),"meshbox")</f>
        <v>meshbox</v>
      </c>
      <c r="B8113" s="2" t="str">
        <f ca="1">IFERROR(__xludf.DUMMYFUNCTION("""COMPUTED_VALUE"""),"mesh")</f>
        <v>mesh</v>
      </c>
      <c r="C8113" s="2" t="str">
        <f ca="1">IFERROR(__xludf.DUMMYFUNCTION("""COMPUTED_VALUE"""),"MeshBox")</f>
        <v>MeshBox</v>
      </c>
    </row>
    <row r="8114" spans="1:3" x14ac:dyDescent="0.25">
      <c r="A8114" s="2" t="str">
        <f ca="1">IFERROR(__xludf.DUMMYFUNCTION("""COMPUTED_VALUE"""),"mesh-protocol")</f>
        <v>mesh-protocol</v>
      </c>
      <c r="B8114" s="2" t="str">
        <f ca="1">IFERROR(__xludf.DUMMYFUNCTION("""COMPUTED_VALUE"""),"mesh")</f>
        <v>mesh</v>
      </c>
      <c r="C8114" s="2" t="str">
        <f ca="1">IFERROR(__xludf.DUMMYFUNCTION("""COMPUTED_VALUE"""),"Mesh Protocol")</f>
        <v>Mesh Protocol</v>
      </c>
    </row>
    <row r="8115" spans="1:3" x14ac:dyDescent="0.25">
      <c r="A8115" s="2" t="str">
        <f ca="1">IFERROR(__xludf.DUMMYFUNCTION("""COMPUTED_VALUE"""),"meshswap-protocol")</f>
        <v>meshswap-protocol</v>
      </c>
      <c r="B8115" s="2" t="str">
        <f ca="1">IFERROR(__xludf.DUMMYFUNCTION("""COMPUTED_VALUE"""),"mesh")</f>
        <v>mesh</v>
      </c>
      <c r="C8115" s="2" t="str">
        <f ca="1">IFERROR(__xludf.DUMMYFUNCTION("""COMPUTED_VALUE"""),"Meshswap Protocol")</f>
        <v>Meshswap Protocol</v>
      </c>
    </row>
    <row r="8116" spans="1:3" x14ac:dyDescent="0.25">
      <c r="A8116" s="2" t="str">
        <f ca="1">IFERROR(__xludf.DUMMYFUNCTION("""COMPUTED_VALUE"""),"meshwave")</f>
        <v>meshwave</v>
      </c>
      <c r="B8116" s="2" t="str">
        <f ca="1">IFERROR(__xludf.DUMMYFUNCTION("""COMPUTED_VALUE"""),"mwave")</f>
        <v>mwave</v>
      </c>
      <c r="C8116" s="2" t="str">
        <f ca="1">IFERROR(__xludf.DUMMYFUNCTION("""COMPUTED_VALUE"""),"MeshWave")</f>
        <v>MeshWave</v>
      </c>
    </row>
    <row r="8117" spans="1:3" x14ac:dyDescent="0.25">
      <c r="A8117" s="2" t="str">
        <f ca="1">IFERROR(__xludf.DUMMYFUNCTION("""COMPUTED_VALUE"""),"meson-network")</f>
        <v>meson-network</v>
      </c>
      <c r="B8117" s="2" t="str">
        <f ca="1">IFERROR(__xludf.DUMMYFUNCTION("""COMPUTED_VALUE"""),"msn")</f>
        <v>msn</v>
      </c>
      <c r="C8117" s="2" t="str">
        <f ca="1">IFERROR(__xludf.DUMMYFUNCTION("""COMPUTED_VALUE"""),"Meson Network")</f>
        <v>Meson Network</v>
      </c>
    </row>
    <row r="8118" spans="1:3" x14ac:dyDescent="0.25">
      <c r="A8118" s="2" t="str">
        <f ca="1">IFERROR(__xludf.DUMMYFUNCTION("""COMPUTED_VALUE"""),"messier")</f>
        <v>messier</v>
      </c>
      <c r="B8118" s="2" t="str">
        <f ca="1">IFERROR(__xludf.DUMMYFUNCTION("""COMPUTED_VALUE"""),"m87")</f>
        <v>m87</v>
      </c>
      <c r="C8118" s="2" t="str">
        <f ca="1">IFERROR(__xludf.DUMMYFUNCTION("""COMPUTED_VALUE"""),"MESSIER")</f>
        <v>MESSIER</v>
      </c>
    </row>
    <row r="8119" spans="1:3" x14ac:dyDescent="0.25">
      <c r="A8119" s="2" t="str">
        <f ca="1">IFERROR(__xludf.DUMMYFUNCTION("""COMPUTED_VALUE"""),"meta")</f>
        <v>meta</v>
      </c>
      <c r="B8119" s="2" t="str">
        <f ca="1">IFERROR(__xludf.DUMMYFUNCTION("""COMPUTED_VALUE"""),"mta")</f>
        <v>mta</v>
      </c>
      <c r="C8119" s="2" t="str">
        <f ca="1">IFERROR(__xludf.DUMMYFUNCTION("""COMPUTED_VALUE"""),"mStable Governance: Meta")</f>
        <v>mStable Governance: Meta</v>
      </c>
    </row>
    <row r="8120" spans="1:3" x14ac:dyDescent="0.25">
      <c r="A8120" s="2" t="str">
        <f ca="1">IFERROR(__xludf.DUMMYFUNCTION("""COMPUTED_VALUE"""),"meta-2")</f>
        <v>meta-2</v>
      </c>
      <c r="B8120" s="2" t="str">
        <f ca="1">IFERROR(__xludf.DUMMYFUNCTION("""COMPUTED_VALUE"""),"meta")</f>
        <v>meta</v>
      </c>
      <c r="C8120" s="2" t="str">
        <f ca="1">IFERROR(__xludf.DUMMYFUNCTION("""COMPUTED_VALUE"""),"META")</f>
        <v>META</v>
      </c>
    </row>
    <row r="8121" spans="1:3" x14ac:dyDescent="0.25">
      <c r="A8121" s="2" t="str">
        <f ca="1">IFERROR(__xludf.DUMMYFUNCTION("""COMPUTED_VALUE"""),"meta-apes-peel")</f>
        <v>meta-apes-peel</v>
      </c>
      <c r="B8121" s="2" t="str">
        <f ca="1">IFERROR(__xludf.DUMMYFUNCTION("""COMPUTED_VALUE"""),"peel")</f>
        <v>peel</v>
      </c>
      <c r="C8121" s="2" t="str">
        <f ca="1">IFERROR(__xludf.DUMMYFUNCTION("""COMPUTED_VALUE"""),"Meta Apes PEEL")</f>
        <v>Meta Apes PEEL</v>
      </c>
    </row>
    <row r="8122" spans="1:3" x14ac:dyDescent="0.25">
      <c r="A8122" s="2" t="str">
        <f ca="1">IFERROR(__xludf.DUMMYFUNCTION("""COMPUTED_VALUE"""),"metababy")</f>
        <v>metababy</v>
      </c>
      <c r="B8122" s="2" t="str">
        <f ca="1">IFERROR(__xludf.DUMMYFUNCTION("""COMPUTED_VALUE"""),"baby")</f>
        <v>baby</v>
      </c>
      <c r="C8122" s="2" t="str">
        <f ca="1">IFERROR(__xludf.DUMMYFUNCTION("""COMPUTED_VALUE"""),"Metababy")</f>
        <v>Metababy</v>
      </c>
    </row>
    <row r="8123" spans="1:3" x14ac:dyDescent="0.25">
      <c r="A8123" s="2" t="str">
        <f ca="1">IFERROR(__xludf.DUMMYFUNCTION("""COMPUTED_VALUE"""),"metabeat")</f>
        <v>metabeat</v>
      </c>
      <c r="B8123" s="2" t="str">
        <f ca="1">IFERROR(__xludf.DUMMYFUNCTION("""COMPUTED_VALUE"""),"$beat")</f>
        <v>$beat</v>
      </c>
      <c r="C8123" s="2" t="str">
        <f ca="1">IFERROR(__xludf.DUMMYFUNCTION("""COMPUTED_VALUE"""),"MetaBeat")</f>
        <v>MetaBeat</v>
      </c>
    </row>
    <row r="8124" spans="1:3" x14ac:dyDescent="0.25">
      <c r="A8124" s="2" t="str">
        <f ca="1">IFERROR(__xludf.DUMMYFUNCTION("""COMPUTED_VALUE"""),"metabit-network")</f>
        <v>metabit-network</v>
      </c>
      <c r="B8124" s="2" t="str">
        <f ca="1">IFERROR(__xludf.DUMMYFUNCTION("""COMPUTED_VALUE"""),"bmtc")</f>
        <v>bmtc</v>
      </c>
      <c r="C8124" s="2" t="str">
        <f ca="1">IFERROR(__xludf.DUMMYFUNCTION("""COMPUTED_VALUE"""),"Metabit Network")</f>
        <v>Metabit Network</v>
      </c>
    </row>
    <row r="8125" spans="1:3" x14ac:dyDescent="0.25">
      <c r="A8125" s="2" t="str">
        <f ca="1">IFERROR(__xludf.DUMMYFUNCTION("""COMPUTED_VALUE"""),"metablox")</f>
        <v>metablox</v>
      </c>
      <c r="B8125" s="2" t="str">
        <f ca="1">IFERROR(__xludf.DUMMYFUNCTION("""COMPUTED_VALUE"""),"mbx")</f>
        <v>mbx</v>
      </c>
      <c r="C8125" s="2" t="str">
        <f ca="1">IFERROR(__xludf.DUMMYFUNCTION("""COMPUTED_VALUE"""),"MetaBlox")</f>
        <v>MetaBlox</v>
      </c>
    </row>
    <row r="8126" spans="1:3" x14ac:dyDescent="0.25">
      <c r="A8126" s="2" t="str">
        <f ca="1">IFERROR(__xludf.DUMMYFUNCTION("""COMPUTED_VALUE"""),"metabot")</f>
        <v>metabot</v>
      </c>
      <c r="B8126" s="2" t="str">
        <f ca="1">IFERROR(__xludf.DUMMYFUNCTION("""COMPUTED_VALUE"""),"metabot")</f>
        <v>metabot</v>
      </c>
      <c r="C8126" s="2" t="str">
        <f ca="1">IFERROR(__xludf.DUMMYFUNCTION("""COMPUTED_VALUE"""),"MetaBot")</f>
        <v>MetaBot</v>
      </c>
    </row>
    <row r="8127" spans="1:3" x14ac:dyDescent="0.25">
      <c r="A8127" s="2" t="str">
        <f ca="1">IFERROR(__xludf.DUMMYFUNCTION("""COMPUTED_VALUE"""),"metabrands")</f>
        <v>metabrands</v>
      </c>
      <c r="B8127" s="2" t="str">
        <f ca="1">IFERROR(__xludf.DUMMYFUNCTION("""COMPUTED_VALUE"""),"mage")</f>
        <v>mage</v>
      </c>
      <c r="C8127" s="2" t="str">
        <f ca="1">IFERROR(__xludf.DUMMYFUNCTION("""COMPUTED_VALUE"""),"MetaBrands")</f>
        <v>MetaBrands</v>
      </c>
    </row>
    <row r="8128" spans="1:3" x14ac:dyDescent="0.25">
      <c r="A8128" s="2" t="str">
        <f ca="1">IFERROR(__xludf.DUMMYFUNCTION("""COMPUTED_VALUE"""),"meta-bsc")</f>
        <v>meta-bsc</v>
      </c>
      <c r="B8128" s="2" t="str">
        <f ca="1">IFERROR(__xludf.DUMMYFUNCTION("""COMPUTED_VALUE"""),"meta")</f>
        <v>meta</v>
      </c>
      <c r="C8128" s="2" t="str">
        <f ca="1">IFERROR(__xludf.DUMMYFUNCTION("""COMPUTED_VALUE"""),"Meta BSC")</f>
        <v>Meta BSC</v>
      </c>
    </row>
    <row r="8129" spans="1:3" x14ac:dyDescent="0.25">
      <c r="A8129" s="2" t="str">
        <f ca="1">IFERROR(__xludf.DUMMYFUNCTION("""COMPUTED_VALUE"""),"metabusdcoin")</f>
        <v>metabusdcoin</v>
      </c>
      <c r="B8129" s="2" t="str">
        <f ca="1">IFERROR(__xludf.DUMMYFUNCTION("""COMPUTED_VALUE"""),"mlz")</f>
        <v>mlz</v>
      </c>
      <c r="C8129" s="2" t="str">
        <f ca="1">IFERROR(__xludf.DUMMYFUNCTION("""COMPUTED_VALUE"""),"MetaLabz")</f>
        <v>MetaLabz</v>
      </c>
    </row>
    <row r="8130" spans="1:3" x14ac:dyDescent="0.25">
      <c r="A8130" s="2" t="str">
        <f ca="1">IFERROR(__xludf.DUMMYFUNCTION("""COMPUTED_VALUE"""),"metacade")</f>
        <v>metacade</v>
      </c>
      <c r="B8130" s="2" t="str">
        <f ca="1">IFERROR(__xludf.DUMMYFUNCTION("""COMPUTED_VALUE"""),"mcade")</f>
        <v>mcade</v>
      </c>
      <c r="C8130" s="2" t="str">
        <f ca="1">IFERROR(__xludf.DUMMYFUNCTION("""COMPUTED_VALUE"""),"Metacade")</f>
        <v>Metacade</v>
      </c>
    </row>
    <row r="8131" spans="1:3" x14ac:dyDescent="0.25">
      <c r="A8131" s="2" t="str">
        <f ca="1">IFERROR(__xludf.DUMMYFUNCTION("""COMPUTED_VALUE"""),"metacash")</f>
        <v>metacash</v>
      </c>
      <c r="B8131" s="2" t="str">
        <f ca="1">IFERROR(__xludf.DUMMYFUNCTION("""COMPUTED_VALUE"""),"meta")</f>
        <v>meta</v>
      </c>
      <c r="C8131" s="2" t="str">
        <f ca="1">IFERROR(__xludf.DUMMYFUNCTION("""COMPUTED_VALUE"""),"MetaCash")</f>
        <v>MetaCash</v>
      </c>
    </row>
    <row r="8132" spans="1:3" x14ac:dyDescent="0.25">
      <c r="A8132" s="2" t="str">
        <f ca="1">IFERROR(__xludf.DUMMYFUNCTION("""COMPUTED_VALUE"""),"metacene")</f>
        <v>metacene</v>
      </c>
      <c r="B8132" s="2" t="str">
        <f ca="1">IFERROR(__xludf.DUMMYFUNCTION("""COMPUTED_VALUE"""),"mak")</f>
        <v>mak</v>
      </c>
      <c r="C8132" s="2" t="str">
        <f ca="1">IFERROR(__xludf.DUMMYFUNCTION("""COMPUTED_VALUE"""),"MetaCene")</f>
        <v>MetaCene</v>
      </c>
    </row>
    <row r="8133" spans="1:3" x14ac:dyDescent="0.25">
      <c r="A8133" s="2" t="str">
        <f ca="1">IFERROR(__xludf.DUMMYFUNCTION("""COMPUTED_VALUE"""),"metacoin")</f>
        <v>metacoin</v>
      </c>
      <c r="B8133" s="2" t="str">
        <f ca="1">IFERROR(__xludf.DUMMYFUNCTION("""COMPUTED_VALUE"""),"mtc")</f>
        <v>mtc</v>
      </c>
      <c r="C8133" s="2" t="str">
        <f ca="1">IFERROR(__xludf.DUMMYFUNCTION("""COMPUTED_VALUE"""),"Metacoin")</f>
        <v>Metacoin</v>
      </c>
    </row>
    <row r="8134" spans="1:3" x14ac:dyDescent="0.25">
      <c r="A8134" s="2" t="str">
        <f ca="1">IFERROR(__xludf.DUMMYFUNCTION("""COMPUTED_VALUE"""),"metacraft")</f>
        <v>metacraft</v>
      </c>
      <c r="B8134" s="2" t="str">
        <f ca="1">IFERROR(__xludf.DUMMYFUNCTION("""COMPUTED_VALUE"""),"mct")</f>
        <v>mct</v>
      </c>
      <c r="C8134" s="2" t="str">
        <f ca="1">IFERROR(__xludf.DUMMYFUNCTION("""COMPUTED_VALUE"""),"Metacraft")</f>
        <v>Metacraft</v>
      </c>
    </row>
    <row r="8135" spans="1:3" x14ac:dyDescent="0.25">
      <c r="A8135" s="2" t="str">
        <f ca="1">IFERROR(__xludf.DUMMYFUNCTION("""COMPUTED_VALUE"""),"meta-dance")</f>
        <v>meta-dance</v>
      </c>
      <c r="B8135" s="2" t="str">
        <f ca="1">IFERROR(__xludf.DUMMYFUNCTION("""COMPUTED_VALUE"""),"mdt")</f>
        <v>mdt</v>
      </c>
      <c r="C8135" s="2" t="str">
        <f ca="1">IFERROR(__xludf.DUMMYFUNCTION("""COMPUTED_VALUE"""),"META DANCE")</f>
        <v>META DANCE</v>
      </c>
    </row>
    <row r="8136" spans="1:3" x14ac:dyDescent="0.25">
      <c r="A8136" s="2" t="str">
        <f ca="1">IFERROR(__xludf.DUMMYFUNCTION("""COMPUTED_VALUE"""),"metaderby")</f>
        <v>metaderby</v>
      </c>
      <c r="B8136" s="2" t="str">
        <f ca="1">IFERROR(__xludf.DUMMYFUNCTION("""COMPUTED_VALUE"""),"dby")</f>
        <v>dby</v>
      </c>
      <c r="C8136" s="2" t="str">
        <f ca="1">IFERROR(__xludf.DUMMYFUNCTION("""COMPUTED_VALUE"""),"Metaderby")</f>
        <v>Metaderby</v>
      </c>
    </row>
    <row r="8137" spans="1:3" x14ac:dyDescent="0.25">
      <c r="A8137" s="2" t="str">
        <f ca="1">IFERROR(__xludf.DUMMYFUNCTION("""COMPUTED_VALUE"""),"metaderby-hoof")</f>
        <v>metaderby-hoof</v>
      </c>
      <c r="B8137" s="2" t="str">
        <f ca="1">IFERROR(__xludf.DUMMYFUNCTION("""COMPUTED_VALUE"""),"hoof")</f>
        <v>hoof</v>
      </c>
      <c r="C8137" s="2" t="str">
        <f ca="1">IFERROR(__xludf.DUMMYFUNCTION("""COMPUTED_VALUE"""),"Metaderby Hoof")</f>
        <v>Metaderby Hoof</v>
      </c>
    </row>
    <row r="8138" spans="1:3" x14ac:dyDescent="0.25">
      <c r="A8138" s="2" t="str">
        <f ca="1">IFERROR(__xludf.DUMMYFUNCTION("""COMPUTED_VALUE"""),"metadium")</f>
        <v>metadium</v>
      </c>
      <c r="B8138" s="2" t="str">
        <f ca="1">IFERROR(__xludf.DUMMYFUNCTION("""COMPUTED_VALUE"""),"meta")</f>
        <v>meta</v>
      </c>
      <c r="C8138" s="2" t="str">
        <f ca="1">IFERROR(__xludf.DUMMYFUNCTION("""COMPUTED_VALUE"""),"Metadium")</f>
        <v>Metadium</v>
      </c>
    </row>
    <row r="8139" spans="1:3" x14ac:dyDescent="0.25">
      <c r="A8139" s="2" t="str">
        <f ca="1">IFERROR(__xludf.DUMMYFUNCTION("""COMPUTED_VALUE"""),"meta-doge")</f>
        <v>meta-doge</v>
      </c>
      <c r="B8139" s="2" t="str">
        <f ca="1">IFERROR(__xludf.DUMMYFUNCTION("""COMPUTED_VALUE"""),"metadoge")</f>
        <v>metadoge</v>
      </c>
      <c r="C8139" s="2" t="str">
        <f ca="1">IFERROR(__xludf.DUMMYFUNCTION("""COMPUTED_VALUE"""),"Meta Doge")</f>
        <v>Meta Doge</v>
      </c>
    </row>
    <row r="8140" spans="1:3" x14ac:dyDescent="0.25">
      <c r="A8140" s="2" t="str">
        <f ca="1">IFERROR(__xludf.DUMMYFUNCTION("""COMPUTED_VALUE"""),"metadoge-bsc")</f>
        <v>metadoge-bsc</v>
      </c>
      <c r="B8140" s="2" t="str">
        <f ca="1">IFERROR(__xludf.DUMMYFUNCTION("""COMPUTED_VALUE"""),"metadoge")</f>
        <v>metadoge</v>
      </c>
      <c r="C8140" s="2" t="str">
        <f ca="1">IFERROR(__xludf.DUMMYFUNCTION("""COMPUTED_VALUE"""),"MetaDoge BSC")</f>
        <v>MetaDoge BSC</v>
      </c>
    </row>
    <row r="8141" spans="1:3" x14ac:dyDescent="0.25">
      <c r="A8141" s="2" t="str">
        <f ca="1">IFERROR(__xludf.DUMMYFUNCTION("""COMPUTED_VALUE"""),"metados")</f>
        <v>metados</v>
      </c>
      <c r="B8141" s="2" t="str">
        <f ca="1">IFERROR(__xludf.DUMMYFUNCTION("""COMPUTED_VALUE"""),"second")</f>
        <v>second</v>
      </c>
      <c r="C8141" s="2" t="str">
        <f ca="1">IFERROR(__xludf.DUMMYFUNCTION("""COMPUTED_VALUE"""),"MetaDOS")</f>
        <v>MetaDOS</v>
      </c>
    </row>
    <row r="8142" spans="1:3" x14ac:dyDescent="0.25">
      <c r="A8142" s="2" t="str">
        <f ca="1">IFERROR(__xludf.DUMMYFUNCTION("""COMPUTED_VALUE"""),"metadrive-premeum")</f>
        <v>metadrive-premeum</v>
      </c>
      <c r="B8142" s="2" t="str">
        <f ca="1">IFERROR(__xludf.DUMMYFUNCTION("""COMPUTED_VALUE"""),"mdp")</f>
        <v>mdp</v>
      </c>
      <c r="C8142" s="2" t="str">
        <f ca="1">IFERROR(__xludf.DUMMYFUNCTION("""COMPUTED_VALUE"""),"MetaDrive Premeum")</f>
        <v>MetaDrive Premeum</v>
      </c>
    </row>
    <row r="8143" spans="1:3" x14ac:dyDescent="0.25">
      <c r="A8143" s="2" t="str">
        <f ca="1">IFERROR(__xludf.DUMMYFUNCTION("""COMPUTED_VALUE"""),"metaelfland")</f>
        <v>metaelfland</v>
      </c>
      <c r="B8143" s="2" t="str">
        <f ca="1">IFERROR(__xludf.DUMMYFUNCTION("""COMPUTED_VALUE"""),"meld")</f>
        <v>meld</v>
      </c>
      <c r="C8143" s="2" t="str">
        <f ca="1">IFERROR(__xludf.DUMMYFUNCTION("""COMPUTED_VALUE"""),"MetaElfLand")</f>
        <v>MetaElfLand</v>
      </c>
    </row>
    <row r="8144" spans="1:3" x14ac:dyDescent="0.25">
      <c r="A8144" s="2" t="str">
        <f ca="1">IFERROR(__xludf.DUMMYFUNCTION("""COMPUTED_VALUE"""),"metafighter")</f>
        <v>metafighter</v>
      </c>
      <c r="B8144" s="2" t="str">
        <f ca="1">IFERROR(__xludf.DUMMYFUNCTION("""COMPUTED_VALUE"""),"mf")</f>
        <v>mf</v>
      </c>
      <c r="C8144" s="2" t="str">
        <f ca="1">IFERROR(__xludf.DUMMYFUNCTION("""COMPUTED_VALUE"""),"MetaFighter")</f>
        <v>MetaFighter</v>
      </c>
    </row>
    <row r="8145" spans="1:3" x14ac:dyDescent="0.25">
      <c r="A8145" s="2" t="str">
        <f ca="1">IFERROR(__xludf.DUMMYFUNCTION("""COMPUTED_VALUE"""),"meta-finance")</f>
        <v>meta-finance</v>
      </c>
      <c r="B8145" s="2" t="str">
        <f ca="1">IFERROR(__xludf.DUMMYFUNCTION("""COMPUTED_VALUE"""),"meta")</f>
        <v>meta</v>
      </c>
      <c r="C8145" s="2" t="str">
        <f ca="1">IFERROR(__xludf.DUMMYFUNCTION("""COMPUTED_VALUE"""),"Meta Finance")</f>
        <v>Meta Finance</v>
      </c>
    </row>
    <row r="8146" spans="1:3" x14ac:dyDescent="0.25">
      <c r="A8146" s="2" t="str">
        <f ca="1">IFERROR(__xludf.DUMMYFUNCTION("""COMPUTED_VALUE"""),"metafluence")</f>
        <v>metafluence</v>
      </c>
      <c r="B8146" s="2" t="str">
        <f ca="1">IFERROR(__xludf.DUMMYFUNCTION("""COMPUTED_VALUE"""),"meto")</f>
        <v>meto</v>
      </c>
      <c r="C8146" s="2" t="str">
        <f ca="1">IFERROR(__xludf.DUMMYFUNCTION("""COMPUTED_VALUE"""),"Metafluence")</f>
        <v>Metafluence</v>
      </c>
    </row>
    <row r="8147" spans="1:3" x14ac:dyDescent="0.25">
      <c r="A8147" s="2" t="str">
        <f ca="1">IFERROR(__xludf.DUMMYFUNCTION("""COMPUTED_VALUE"""),"metafootball")</f>
        <v>metafootball</v>
      </c>
      <c r="B8147" s="2" t="str">
        <f ca="1">IFERROR(__xludf.DUMMYFUNCTION("""COMPUTED_VALUE"""),"mtf")</f>
        <v>mtf</v>
      </c>
      <c r="C8147" s="2" t="str">
        <f ca="1">IFERROR(__xludf.DUMMYFUNCTION("""COMPUTED_VALUE"""),"MetaFootball")</f>
        <v>MetaFootball</v>
      </c>
    </row>
    <row r="8148" spans="1:3" x14ac:dyDescent="0.25">
      <c r="A8148" s="2" t="str">
        <f ca="1">IFERROR(__xludf.DUMMYFUNCTION("""COMPUTED_VALUE"""),"metagalaxy-land")</f>
        <v>metagalaxy-land</v>
      </c>
      <c r="B8148" s="2" t="str">
        <f ca="1">IFERROR(__xludf.DUMMYFUNCTION("""COMPUTED_VALUE"""),"megaland")</f>
        <v>megaland</v>
      </c>
      <c r="C8148" s="2" t="str">
        <f ca="1">IFERROR(__xludf.DUMMYFUNCTION("""COMPUTED_VALUE"""),"Metagalaxy Land")</f>
        <v>Metagalaxy Land</v>
      </c>
    </row>
    <row r="8149" spans="1:3" x14ac:dyDescent="0.25">
      <c r="A8149" s="2" t="str">
        <f ca="1">IFERROR(__xludf.DUMMYFUNCTION("""COMPUTED_VALUE"""),"metagame-arena")</f>
        <v>metagame-arena</v>
      </c>
      <c r="B8149" s="2" t="str">
        <f ca="1">IFERROR(__xludf.DUMMYFUNCTION("""COMPUTED_VALUE"""),"mga")</f>
        <v>mga</v>
      </c>
      <c r="C8149" s="2" t="str">
        <f ca="1">IFERROR(__xludf.DUMMYFUNCTION("""COMPUTED_VALUE"""),"Metagame Arena")</f>
        <v>Metagame Arena</v>
      </c>
    </row>
    <row r="8150" spans="1:3" x14ac:dyDescent="0.25">
      <c r="A8150" s="2" t="str">
        <f ca="1">IFERROR(__xludf.DUMMYFUNCTION("""COMPUTED_VALUE"""),"meta-games-coin")</f>
        <v>meta-games-coin</v>
      </c>
      <c r="B8150" s="2" t="str">
        <f ca="1">IFERROR(__xludf.DUMMYFUNCTION("""COMPUTED_VALUE"""),"mgc")</f>
        <v>mgc</v>
      </c>
      <c r="C8150" s="2" t="str">
        <f ca="1">IFERROR(__xludf.DUMMYFUNCTION("""COMPUTED_VALUE"""),"Meta Games Coin")</f>
        <v>Meta Games Coin</v>
      </c>
    </row>
    <row r="8151" spans="1:3" x14ac:dyDescent="0.25">
      <c r="A8151" s="2" t="str">
        <f ca="1">IFERROR(__xludf.DUMMYFUNCTION("""COMPUTED_VALUE"""),"metagaming-guild")</f>
        <v>metagaming-guild</v>
      </c>
      <c r="B8151" s="2" t="str">
        <f ca="1">IFERROR(__xludf.DUMMYFUNCTION("""COMPUTED_VALUE"""),"mgg")</f>
        <v>mgg</v>
      </c>
      <c r="C8151" s="2" t="str">
        <f ca="1">IFERROR(__xludf.DUMMYFUNCTION("""COMPUTED_VALUE"""),"MetaGaming Guild")</f>
        <v>MetaGaming Guild</v>
      </c>
    </row>
    <row r="8152" spans="1:3" x14ac:dyDescent="0.25">
      <c r="A8152" s="2" t="str">
        <f ca="1">IFERROR(__xludf.DUMMYFUNCTION("""COMPUTED_VALUE"""),"metagods")</f>
        <v>metagods</v>
      </c>
      <c r="B8152" s="2" t="str">
        <f ca="1">IFERROR(__xludf.DUMMYFUNCTION("""COMPUTED_VALUE"""),"mgod")</f>
        <v>mgod</v>
      </c>
      <c r="C8152" s="2" t="str">
        <f ca="1">IFERROR(__xludf.DUMMYFUNCTION("""COMPUTED_VALUE"""),"MetaGods")</f>
        <v>MetaGods</v>
      </c>
    </row>
    <row r="8153" spans="1:3" x14ac:dyDescent="0.25">
      <c r="A8153" s="2" t="str">
        <f ca="1">IFERROR(__xludf.DUMMYFUNCTION("""COMPUTED_VALUE"""),"metaguard")</f>
        <v>metaguard</v>
      </c>
      <c r="B8153" s="2" t="str">
        <f ca="1">IFERROR(__xludf.DUMMYFUNCTION("""COMPUTED_VALUE"""),"mtgrd")</f>
        <v>mtgrd</v>
      </c>
      <c r="C8153" s="2" t="str">
        <f ca="1">IFERROR(__xludf.DUMMYFUNCTION("""COMPUTED_VALUE"""),"MetaGuard")</f>
        <v>MetaGuard</v>
      </c>
    </row>
    <row r="8154" spans="1:3" x14ac:dyDescent="0.25">
      <c r="A8154" s="2" t="str">
        <f ca="1">IFERROR(__xludf.DUMMYFUNCTION("""COMPUTED_VALUE"""),"metahero")</f>
        <v>metahero</v>
      </c>
      <c r="B8154" s="2" t="str">
        <f ca="1">IFERROR(__xludf.DUMMYFUNCTION("""COMPUTED_VALUE"""),"hero")</f>
        <v>hero</v>
      </c>
      <c r="C8154" s="2" t="str">
        <f ca="1">IFERROR(__xludf.DUMMYFUNCTION("""COMPUTED_VALUE"""),"Metahero")</f>
        <v>Metahero</v>
      </c>
    </row>
    <row r="8155" spans="1:3" x14ac:dyDescent="0.25">
      <c r="A8155" s="2" t="str">
        <f ca="1">IFERROR(__xludf.DUMMYFUNCTION("""COMPUTED_VALUE"""),"metahorse-unity")</f>
        <v>metahorse-unity</v>
      </c>
      <c r="B8155" s="2" t="str">
        <f ca="1">IFERROR(__xludf.DUMMYFUNCTION("""COMPUTED_VALUE"""),"munity")</f>
        <v>munity</v>
      </c>
      <c r="C8155" s="2" t="str">
        <f ca="1">IFERROR(__xludf.DUMMYFUNCTION("""COMPUTED_VALUE"""),"Metahorse Unity")</f>
        <v>Metahorse Unity</v>
      </c>
    </row>
    <row r="8156" spans="1:3" x14ac:dyDescent="0.25">
      <c r="A8156" s="2" t="str">
        <f ca="1">IFERROR(__xludf.DUMMYFUNCTION("""COMPUTED_VALUE"""),"metahub-finance")</f>
        <v>metahub-finance</v>
      </c>
      <c r="B8156" s="2" t="str">
        <f ca="1">IFERROR(__xludf.DUMMYFUNCTION("""COMPUTED_VALUE"""),"men")</f>
        <v>men</v>
      </c>
      <c r="C8156" s="2" t="str">
        <f ca="1">IFERROR(__xludf.DUMMYFUNCTION("""COMPUTED_VALUE"""),"MetaHub Finance")</f>
        <v>MetaHub Finance</v>
      </c>
    </row>
    <row r="8157" spans="1:3" x14ac:dyDescent="0.25">
      <c r="A8157" s="2" t="str">
        <f ca="1">IFERROR(__xludf.DUMMYFUNCTION("""COMPUTED_VALUE"""),"metajuice")</f>
        <v>metajuice</v>
      </c>
      <c r="B8157" s="2" t="str">
        <f ca="1">IFERROR(__xludf.DUMMYFUNCTION("""COMPUTED_VALUE"""),"vcoin")</f>
        <v>vcoin</v>
      </c>
      <c r="C8157" s="2" t="str">
        <f ca="1">IFERROR(__xludf.DUMMYFUNCTION("""COMPUTED_VALUE"""),"Metajuice")</f>
        <v>Metajuice</v>
      </c>
    </row>
    <row r="8158" spans="1:3" x14ac:dyDescent="0.25">
      <c r="A8158" s="2" t="str">
        <f ca="1">IFERROR(__xludf.DUMMYFUNCTION("""COMPUTED_VALUE"""),"metal")</f>
        <v>metal</v>
      </c>
      <c r="B8158" s="2" t="str">
        <f ca="1">IFERROR(__xludf.DUMMYFUNCTION("""COMPUTED_VALUE"""),"mtl")</f>
        <v>mtl</v>
      </c>
      <c r="C8158" s="2" t="str">
        <f ca="1">IFERROR(__xludf.DUMMYFUNCTION("""COMPUTED_VALUE"""),"Metal DAO")</f>
        <v>Metal DAO</v>
      </c>
    </row>
    <row r="8159" spans="1:3" x14ac:dyDescent="0.25">
      <c r="A8159" s="2" t="str">
        <f ca="1">IFERROR(__xludf.DUMMYFUNCTION("""COMPUTED_VALUE"""),"metaland-gameverse")</f>
        <v>metaland-gameverse</v>
      </c>
      <c r="B8159" s="2" t="str">
        <f ca="1">IFERROR(__xludf.DUMMYFUNCTION("""COMPUTED_VALUE"""),"mst")</f>
        <v>mst</v>
      </c>
      <c r="C8159" s="2" t="str">
        <f ca="1">IFERROR(__xludf.DUMMYFUNCTION("""COMPUTED_VALUE"""),"Monster")</f>
        <v>Monster</v>
      </c>
    </row>
    <row r="8160" spans="1:3" x14ac:dyDescent="0.25">
      <c r="A8160" s="2" t="str">
        <f ca="1">IFERROR(__xludf.DUMMYFUNCTION("""COMPUTED_VALUE"""),"meta-launcher")</f>
        <v>meta-launcher</v>
      </c>
      <c r="B8160" s="2" t="str">
        <f ca="1">IFERROR(__xludf.DUMMYFUNCTION("""COMPUTED_VALUE"""),"mtla")</f>
        <v>mtla</v>
      </c>
      <c r="C8160" s="2" t="str">
        <f ca="1">IFERROR(__xludf.DUMMYFUNCTION("""COMPUTED_VALUE"""),"Meta Launcher")</f>
        <v>Meta Launcher</v>
      </c>
    </row>
    <row r="8161" spans="1:3" x14ac:dyDescent="0.25">
      <c r="A8161" s="2" t="str">
        <f ca="1">IFERROR(__xludf.DUMMYFUNCTION("""COMPUTED_VALUE"""),"metal-blockchain")</f>
        <v>metal-blockchain</v>
      </c>
      <c r="B8161" s="2" t="str">
        <f ca="1">IFERROR(__xludf.DUMMYFUNCTION("""COMPUTED_VALUE"""),"metal")</f>
        <v>metal</v>
      </c>
      <c r="C8161" s="2" t="str">
        <f ca="1">IFERROR(__xludf.DUMMYFUNCTION("""COMPUTED_VALUE"""),"Metal Blockchain")</f>
        <v>Metal Blockchain</v>
      </c>
    </row>
    <row r="8162" spans="1:3" x14ac:dyDescent="0.25">
      <c r="A8162" s="2" t="str">
        <f ca="1">IFERROR(__xludf.DUMMYFUNCTION("""COMPUTED_VALUE"""),"metalcore")</f>
        <v>metalcore</v>
      </c>
      <c r="B8162" s="2" t="str">
        <f ca="1">IFERROR(__xludf.DUMMYFUNCTION("""COMPUTED_VALUE"""),"mcg")</f>
        <v>mcg</v>
      </c>
      <c r="C8162" s="2" t="str">
        <f ca="1">IFERROR(__xludf.DUMMYFUNCTION("""COMPUTED_VALUE"""),"MetalCore")</f>
        <v>MetalCore</v>
      </c>
    </row>
    <row r="8163" spans="1:3" x14ac:dyDescent="0.25">
      <c r="A8163" s="2" t="str">
        <f ca="1">IFERROR(__xludf.DUMMYFUNCTION("""COMPUTED_VALUE"""),"metal-dollar")</f>
        <v>metal-dollar</v>
      </c>
      <c r="B8163" s="2" t="str">
        <f ca="1">IFERROR(__xludf.DUMMYFUNCTION("""COMPUTED_VALUE"""),"xmd")</f>
        <v>xmd</v>
      </c>
      <c r="C8163" s="2" t="str">
        <f ca="1">IFERROR(__xludf.DUMMYFUNCTION("""COMPUTED_VALUE"""),"Metal Dollar")</f>
        <v>Metal Dollar</v>
      </c>
    </row>
    <row r="8164" spans="1:3" x14ac:dyDescent="0.25">
      <c r="A8164" s="2" t="str">
        <f ca="1">IFERROR(__xludf.DUMMYFUNCTION("""COMPUTED_VALUE"""),"metalswap")</f>
        <v>metalswap</v>
      </c>
      <c r="B8164" s="2" t="str">
        <f ca="1">IFERROR(__xludf.DUMMYFUNCTION("""COMPUTED_VALUE"""),"xmt")</f>
        <v>xmt</v>
      </c>
      <c r="C8164" s="2" t="str">
        <f ca="1">IFERROR(__xludf.DUMMYFUNCTION("""COMPUTED_VALUE"""),"MetalSwap")</f>
        <v>MetalSwap</v>
      </c>
    </row>
    <row r="8165" spans="1:3" x14ac:dyDescent="0.25">
      <c r="A8165" s="2" t="str">
        <f ca="1">IFERROR(__xludf.DUMMYFUNCTION("""COMPUTED_VALUE"""),"metamafia")</f>
        <v>metamafia</v>
      </c>
      <c r="B8165" s="2" t="str">
        <f ca="1">IFERROR(__xludf.DUMMYFUNCTION("""COMPUTED_VALUE"""),"maf")</f>
        <v>maf</v>
      </c>
      <c r="C8165" s="2" t="str">
        <f ca="1">IFERROR(__xludf.DUMMYFUNCTION("""COMPUTED_VALUE"""),"MetaMAFIA")</f>
        <v>MetaMAFIA</v>
      </c>
    </row>
    <row r="8166" spans="1:3" x14ac:dyDescent="0.25">
      <c r="A8166" s="2" t="str">
        <f ca="1">IFERROR(__xludf.DUMMYFUNCTION("""COMPUTED_VALUE"""),"metamall")</f>
        <v>metamall</v>
      </c>
      <c r="B8166" s="2" t="str">
        <f ca="1">IFERROR(__xludf.DUMMYFUNCTION("""COMPUTED_VALUE"""),"mall")</f>
        <v>mall</v>
      </c>
      <c r="C8166" s="2" t="str">
        <f ca="1">IFERROR(__xludf.DUMMYFUNCTION("""COMPUTED_VALUE"""),"MetaMall")</f>
        <v>MetaMall</v>
      </c>
    </row>
    <row r="8167" spans="1:3" x14ac:dyDescent="0.25">
      <c r="A8167" s="2" t="str">
        <f ca="1">IFERROR(__xludf.DUMMYFUNCTION("""COMPUTED_VALUE"""),"metamars-2")</f>
        <v>metamars-2</v>
      </c>
      <c r="B8167" s="2" t="str">
        <f ca="1">IFERROR(__xludf.DUMMYFUNCTION("""COMPUTED_VALUE"""),"mars")</f>
        <v>mars</v>
      </c>
      <c r="C8167" s="2" t="str">
        <f ca="1">IFERROR(__xludf.DUMMYFUNCTION("""COMPUTED_VALUE"""),"Metamars")</f>
        <v>Metamars</v>
      </c>
    </row>
    <row r="8168" spans="1:3" x14ac:dyDescent="0.25">
      <c r="A8168" s="2" t="str">
        <f ca="1">IFERROR(__xludf.DUMMYFUNCTION("""COMPUTED_VALUE"""),"meta-masters-guild-games")</f>
        <v>meta-masters-guild-games</v>
      </c>
      <c r="B8168" s="2" t="str">
        <f ca="1">IFERROR(__xludf.DUMMYFUNCTION("""COMPUTED_VALUE"""),"memagx")</f>
        <v>memagx</v>
      </c>
      <c r="C8168" s="2" t="str">
        <f ca="1">IFERROR(__xludf.DUMMYFUNCTION("""COMPUTED_VALUE"""),"Meta Masters Guild Games")</f>
        <v>Meta Masters Guild Games</v>
      </c>
    </row>
    <row r="8169" spans="1:3" x14ac:dyDescent="0.25">
      <c r="A8169" s="2" t="str">
        <f ca="1">IFERROR(__xludf.DUMMYFUNCTION("""COMPUTED_VALUE"""),"meta-merge-mana")</f>
        <v>meta-merge-mana</v>
      </c>
      <c r="B8169" s="2" t="str">
        <f ca="1">IFERROR(__xludf.DUMMYFUNCTION("""COMPUTED_VALUE"""),"mmm")</f>
        <v>mmm</v>
      </c>
      <c r="C8169" s="2" t="str">
        <f ca="1">IFERROR(__xludf.DUMMYFUNCTION("""COMPUTED_VALUE"""),"Meta Merge Mana")</f>
        <v>Meta Merge Mana</v>
      </c>
    </row>
    <row r="8170" spans="1:3" x14ac:dyDescent="0.25">
      <c r="A8170" s="2" t="str">
        <f ca="1">IFERROR(__xludf.DUMMYFUNCTION("""COMPUTED_VALUE"""),"met-a-meta-metameme")</f>
        <v>met-a-meta-metameme</v>
      </c>
      <c r="B8170" s="2" t="str">
        <f ca="1">IFERROR(__xludf.DUMMYFUNCTION("""COMPUTED_VALUE"""),"metameme")</f>
        <v>metameme</v>
      </c>
      <c r="C8170" s="2" t="str">
        <f ca="1">IFERROR(__xludf.DUMMYFUNCTION("""COMPUTED_VALUE"""),"met a meta metameme")</f>
        <v>met a meta metameme</v>
      </c>
    </row>
    <row r="8171" spans="1:3" x14ac:dyDescent="0.25">
      <c r="A8171" s="2" t="str">
        <f ca="1">IFERROR(__xludf.DUMMYFUNCTION("""COMPUTED_VALUE"""),"meta-mine")</f>
        <v>meta-mine</v>
      </c>
      <c r="B8171" s="2" t="str">
        <f ca="1">IFERROR(__xludf.DUMMYFUNCTION("""COMPUTED_VALUE"""),"mtmn")</f>
        <v>mtmn</v>
      </c>
      <c r="C8171" s="2" t="str">
        <f ca="1">IFERROR(__xludf.DUMMYFUNCTION("""COMPUTED_VALUE"""),"META MINE")</f>
        <v>META MINE</v>
      </c>
    </row>
    <row r="8172" spans="1:3" x14ac:dyDescent="0.25">
      <c r="A8172" s="2" t="str">
        <f ca="1">IFERROR(__xludf.DUMMYFUNCTION("""COMPUTED_VALUE"""),"meta-minigames")</f>
        <v>meta-minigames</v>
      </c>
      <c r="B8172" s="2" t="str">
        <f ca="1">IFERROR(__xludf.DUMMYFUNCTION("""COMPUTED_VALUE"""),"mmg")</f>
        <v>mmg</v>
      </c>
      <c r="C8172" s="2" t="str">
        <f ca="1">IFERROR(__xludf.DUMMYFUNCTION("""COMPUTED_VALUE"""),"Meta Minigames")</f>
        <v>Meta Minigames</v>
      </c>
    </row>
    <row r="8173" spans="1:3" x14ac:dyDescent="0.25">
      <c r="A8173" s="2" t="str">
        <f ca="1">IFERROR(__xludf.DUMMYFUNCTION("""COMPUTED_VALUE"""),"metamonkeyai")</f>
        <v>metamonkeyai</v>
      </c>
      <c r="B8173" s="2" t="str">
        <f ca="1">IFERROR(__xludf.DUMMYFUNCTION("""COMPUTED_VALUE"""),"mmai")</f>
        <v>mmai</v>
      </c>
      <c r="C8173" s="2" t="str">
        <f ca="1">IFERROR(__xludf.DUMMYFUNCTION("""COMPUTED_VALUE"""),"MetamonkeyAi")</f>
        <v>MetamonkeyAi</v>
      </c>
    </row>
    <row r="8174" spans="1:3" x14ac:dyDescent="0.25">
      <c r="A8174" s="2" t="str">
        <f ca="1">IFERROR(__xludf.DUMMYFUNCTION("""COMPUTED_VALUE"""),"meta-monopoly")</f>
        <v>meta-monopoly</v>
      </c>
      <c r="B8174" s="2" t="str">
        <f ca="1">IFERROR(__xludf.DUMMYFUNCTION("""COMPUTED_VALUE"""),"monopoly")</f>
        <v>monopoly</v>
      </c>
      <c r="C8174" s="2" t="str">
        <f ca="1">IFERROR(__xludf.DUMMYFUNCTION("""COMPUTED_VALUE"""),"Meta Monopoly")</f>
        <v>Meta Monopoly</v>
      </c>
    </row>
    <row r="8175" spans="1:3" x14ac:dyDescent="0.25">
      <c r="A8175" s="2" t="str">
        <f ca="1">IFERROR(__xludf.DUMMYFUNCTION("""COMPUTED_VALUE"""),"metamoon")</f>
        <v>metamoon</v>
      </c>
      <c r="B8175" s="2" t="str">
        <f ca="1">IFERROR(__xludf.DUMMYFUNCTION("""COMPUTED_VALUE"""),"metamoon")</f>
        <v>metamoon</v>
      </c>
      <c r="C8175" s="2" t="str">
        <f ca="1">IFERROR(__xludf.DUMMYFUNCTION("""COMPUTED_VALUE"""),"MetaMoon")</f>
        <v>MetaMoon</v>
      </c>
    </row>
    <row r="8176" spans="1:3" x14ac:dyDescent="0.25">
      <c r="A8176" s="2" t="str">
        <f ca="1">IFERROR(__xludf.DUMMYFUNCTION("""COMPUTED_VALUE"""),"metamui")</f>
        <v>metamui</v>
      </c>
      <c r="B8176" s="2" t="str">
        <f ca="1">IFERROR(__xludf.DUMMYFUNCTION("""COMPUTED_VALUE"""),"mmui")</f>
        <v>mmui</v>
      </c>
      <c r="C8176" s="2" t="str">
        <f ca="1">IFERROR(__xludf.DUMMYFUNCTION("""COMPUTED_VALUE"""),"MetaMUI")</f>
        <v>MetaMUI</v>
      </c>
    </row>
    <row r="8177" spans="1:3" x14ac:dyDescent="0.25">
      <c r="A8177" s="2" t="str">
        <f ca="1">IFERROR(__xludf.DUMMYFUNCTION("""COMPUTED_VALUE"""),"metan-evolutions")</f>
        <v>metan-evolutions</v>
      </c>
      <c r="B8177" s="2" t="str">
        <f ca="1">IFERROR(__xludf.DUMMYFUNCTION("""COMPUTED_VALUE"""),"metan")</f>
        <v>metan</v>
      </c>
      <c r="C8177" s="2" t="str">
        <f ca="1">IFERROR(__xludf.DUMMYFUNCTION("""COMPUTED_VALUE"""),"Metan Evolutions")</f>
        <v>Metan Evolutions</v>
      </c>
    </row>
    <row r="8178" spans="1:3" x14ac:dyDescent="0.25">
      <c r="A8178" s="2" t="str">
        <f ca="1">IFERROR(__xludf.DUMMYFUNCTION("""COMPUTED_VALUE"""),"metano")</f>
        <v>metano</v>
      </c>
      <c r="B8178" s="2" t="str">
        <f ca="1">IFERROR(__xludf.DUMMYFUNCTION("""COMPUTED_VALUE"""),"metano")</f>
        <v>metano</v>
      </c>
      <c r="C8178" s="2" t="str">
        <f ca="1">IFERROR(__xludf.DUMMYFUNCTION("""COMPUTED_VALUE"""),"Metano")</f>
        <v>Metano</v>
      </c>
    </row>
    <row r="8179" spans="1:3" x14ac:dyDescent="0.25">
      <c r="A8179" s="2" t="str">
        <f ca="1">IFERROR(__xludf.DUMMYFUNCTION("""COMPUTED_VALUE"""),"metanyx")</f>
        <v>metanyx</v>
      </c>
      <c r="B8179" s="2" t="str">
        <f ca="1">IFERROR(__xludf.DUMMYFUNCTION("""COMPUTED_VALUE"""),"metx")</f>
        <v>metx</v>
      </c>
      <c r="C8179" s="2" t="str">
        <f ca="1">IFERROR(__xludf.DUMMYFUNCTION("""COMPUTED_VALUE"""),"Metanyx")</f>
        <v>Metanyx</v>
      </c>
    </row>
    <row r="8180" spans="1:3" x14ac:dyDescent="0.25">
      <c r="A8180" s="2" t="str">
        <f ca="1">IFERROR(__xludf.DUMMYFUNCTION("""COMPUTED_VALUE"""),"meta-oasis")</f>
        <v>meta-oasis</v>
      </c>
      <c r="B8180" s="2" t="str">
        <f ca="1">IFERROR(__xludf.DUMMYFUNCTION("""COMPUTED_VALUE"""),"aim")</f>
        <v>aim</v>
      </c>
      <c r="C8180" s="2" t="str">
        <f ca="1">IFERROR(__xludf.DUMMYFUNCTION("""COMPUTED_VALUE"""),"Meta Oasis")</f>
        <v>Meta Oasis</v>
      </c>
    </row>
    <row r="8181" spans="1:3" x14ac:dyDescent="0.25">
      <c r="A8181" s="2" t="str">
        <f ca="1">IFERROR(__xludf.DUMMYFUNCTION("""COMPUTED_VALUE"""),"metaoctagon")</f>
        <v>metaoctagon</v>
      </c>
      <c r="B8181" s="2" t="str">
        <f ca="1">IFERROR(__xludf.DUMMYFUNCTION("""COMPUTED_VALUE"""),"motg")</f>
        <v>motg</v>
      </c>
      <c r="C8181" s="2" t="str">
        <f ca="1">IFERROR(__xludf.DUMMYFUNCTION("""COMPUTED_VALUE"""),"MetaOctagon")</f>
        <v>MetaOctagon</v>
      </c>
    </row>
    <row r="8182" spans="1:3" x14ac:dyDescent="0.25">
      <c r="A8182" s="2" t="str">
        <f ca="1">IFERROR(__xludf.DUMMYFUNCTION("""COMPUTED_VALUE"""),"metaphone")</f>
        <v>metaphone</v>
      </c>
      <c r="B8182" s="2" t="str">
        <f ca="1">IFERROR(__xludf.DUMMYFUNCTION("""COMPUTED_VALUE"""),"phone")</f>
        <v>phone</v>
      </c>
      <c r="C8182" s="2" t="str">
        <f ca="1">IFERROR(__xludf.DUMMYFUNCTION("""COMPUTED_VALUE"""),"MetaPhone")</f>
        <v>MetaPhone</v>
      </c>
    </row>
    <row r="8183" spans="1:3" x14ac:dyDescent="0.25">
      <c r="A8183" s="2" t="str">
        <f ca="1">IFERROR(__xludf.DUMMYFUNCTION("""COMPUTED_VALUE"""),"metaplex")</f>
        <v>metaplex</v>
      </c>
      <c r="B8183" s="2" t="str">
        <f ca="1">IFERROR(__xludf.DUMMYFUNCTION("""COMPUTED_VALUE"""),"mplx")</f>
        <v>mplx</v>
      </c>
      <c r="C8183" s="2" t="str">
        <f ca="1">IFERROR(__xludf.DUMMYFUNCTION("""COMPUTED_VALUE"""),"Metaplex")</f>
        <v>Metaplex</v>
      </c>
    </row>
    <row r="8184" spans="1:3" x14ac:dyDescent="0.25">
      <c r="A8184" s="2" t="str">
        <f ca="1">IFERROR(__xludf.DUMMYFUNCTION("""COMPUTED_VALUE"""),"meta-plus-token")</f>
        <v>meta-plus-token</v>
      </c>
      <c r="B8184" s="2" t="str">
        <f ca="1">IFERROR(__xludf.DUMMYFUNCTION("""COMPUTED_VALUE"""),"mts")</f>
        <v>mts</v>
      </c>
      <c r="C8184" s="2" t="str">
        <f ca="1">IFERROR(__xludf.DUMMYFUNCTION("""COMPUTED_VALUE"""),"Meta Plus Token")</f>
        <v>Meta Plus Token</v>
      </c>
    </row>
    <row r="8185" spans="1:3" x14ac:dyDescent="0.25">
      <c r="A8185" s="2" t="str">
        <f ca="1">IFERROR(__xludf.DUMMYFUNCTION("""COMPUTED_VALUE"""),"meta-pool")</f>
        <v>meta-pool</v>
      </c>
      <c r="B8185" s="2" t="str">
        <f ca="1">IFERROR(__xludf.DUMMYFUNCTION("""COMPUTED_VALUE"""),"mpdao")</f>
        <v>mpdao</v>
      </c>
      <c r="C8185" s="2" t="str">
        <f ca="1">IFERROR(__xludf.DUMMYFUNCTION("""COMPUTED_VALUE"""),"Meta Pool DAO")</f>
        <v>Meta Pool DAO</v>
      </c>
    </row>
    <row r="8186" spans="1:3" x14ac:dyDescent="0.25">
      <c r="A8186" s="2" t="str">
        <f ca="1">IFERROR(__xludf.DUMMYFUNCTION("""COMPUTED_VALUE"""),"metapuss")</f>
        <v>metapuss</v>
      </c>
      <c r="B8186" s="2" t="str">
        <f ca="1">IFERROR(__xludf.DUMMYFUNCTION("""COMPUTED_VALUE"""),"mtp")</f>
        <v>mtp</v>
      </c>
      <c r="C8186" s="2" t="str">
        <f ca="1">IFERROR(__xludf.DUMMYFUNCTION("""COMPUTED_VALUE"""),"MetaPuss")</f>
        <v>MetaPuss</v>
      </c>
    </row>
    <row r="8187" spans="1:3" x14ac:dyDescent="0.25">
      <c r="A8187" s="2" t="str">
        <f ca="1">IFERROR(__xludf.DUMMYFUNCTION("""COMPUTED_VALUE"""),"metaq")</f>
        <v>metaq</v>
      </c>
      <c r="B8187" s="2" t="str">
        <f ca="1">IFERROR(__xludf.DUMMYFUNCTION("""COMPUTED_VALUE"""),"metaq")</f>
        <v>metaq</v>
      </c>
      <c r="C8187" s="2" t="str">
        <f ca="1">IFERROR(__xludf.DUMMYFUNCTION("""COMPUTED_VALUE"""),"MetaQ")</f>
        <v>MetaQ</v>
      </c>
    </row>
    <row r="8188" spans="1:3" x14ac:dyDescent="0.25">
      <c r="A8188" s="2" t="str">
        <f ca="1">IFERROR(__xludf.DUMMYFUNCTION("""COMPUTED_VALUE"""),"metarim")</f>
        <v>metarim</v>
      </c>
      <c r="B8188" s="2" t="str">
        <f ca="1">IFERROR(__xludf.DUMMYFUNCTION("""COMPUTED_VALUE"""),"rim")</f>
        <v>rim</v>
      </c>
      <c r="C8188" s="2" t="str">
        <f ca="1">IFERROR(__xludf.DUMMYFUNCTION("""COMPUTED_VALUE"""),"MetaRim")</f>
        <v>MetaRim</v>
      </c>
    </row>
    <row r="8189" spans="1:3" x14ac:dyDescent="0.25">
      <c r="A8189" s="2" t="str">
        <f ca="1">IFERROR(__xludf.DUMMYFUNCTION("""COMPUTED_VALUE"""),"metarix")</f>
        <v>metarix</v>
      </c>
      <c r="B8189" s="2" t="str">
        <f ca="1">IFERROR(__xludf.DUMMYFUNCTION("""COMPUTED_VALUE"""),"mtrx")</f>
        <v>mtrx</v>
      </c>
      <c r="C8189" s="2" t="str">
        <f ca="1">IFERROR(__xludf.DUMMYFUNCTION("""COMPUTED_VALUE"""),"Metarix")</f>
        <v>Metarix</v>
      </c>
    </row>
    <row r="8190" spans="1:3" x14ac:dyDescent="0.25">
      <c r="A8190" s="2" t="str">
        <f ca="1">IFERROR(__xludf.DUMMYFUNCTION("""COMPUTED_VALUE"""),"metars-genesis")</f>
        <v>metars-genesis</v>
      </c>
      <c r="B8190" s="2" t="str">
        <f ca="1">IFERROR(__xludf.DUMMYFUNCTION("""COMPUTED_VALUE"""),"mrs")</f>
        <v>mrs</v>
      </c>
      <c r="C8190" s="2" t="str">
        <f ca="1">IFERROR(__xludf.DUMMYFUNCTION("""COMPUTED_VALUE"""),"Metars Genesis")</f>
        <v>Metars Genesis</v>
      </c>
    </row>
    <row r="8191" spans="1:3" x14ac:dyDescent="0.25">
      <c r="A8191" s="2" t="str">
        <f ca="1">IFERROR(__xludf.DUMMYFUNCTION("""COMPUTED_VALUE"""),"metarun")</f>
        <v>metarun</v>
      </c>
      <c r="B8191" s="2" t="str">
        <f ca="1">IFERROR(__xludf.DUMMYFUNCTION("""COMPUTED_VALUE"""),"mrun")</f>
        <v>mrun</v>
      </c>
      <c r="C8191" s="2" t="str">
        <f ca="1">IFERROR(__xludf.DUMMYFUNCTION("""COMPUTED_VALUE"""),"Metarun")</f>
        <v>Metarun</v>
      </c>
    </row>
    <row r="8192" spans="1:3" x14ac:dyDescent="0.25">
      <c r="A8192" s="2" t="str">
        <f ca="1">IFERROR(__xludf.DUMMYFUNCTION("""COMPUTED_VALUE"""),"metashooter")</f>
        <v>metashooter</v>
      </c>
      <c r="B8192" s="2" t="str">
        <f ca="1">IFERROR(__xludf.DUMMYFUNCTION("""COMPUTED_VALUE"""),"mhunt")</f>
        <v>mhunt</v>
      </c>
      <c r="C8192" s="2" t="str">
        <f ca="1">IFERROR(__xludf.DUMMYFUNCTION("""COMPUTED_VALUE"""),"MetaShooter")</f>
        <v>MetaShooter</v>
      </c>
    </row>
    <row r="8193" spans="1:3" x14ac:dyDescent="0.25">
      <c r="A8193" s="2" t="str">
        <f ca="1">IFERROR(__xludf.DUMMYFUNCTION("""COMPUTED_VALUE"""),"metasoccer")</f>
        <v>metasoccer</v>
      </c>
      <c r="B8193" s="2" t="str">
        <f ca="1">IFERROR(__xludf.DUMMYFUNCTION("""COMPUTED_VALUE"""),"msu")</f>
        <v>msu</v>
      </c>
      <c r="C8193" s="2" t="str">
        <f ca="1">IFERROR(__xludf.DUMMYFUNCTION("""COMPUTED_VALUE"""),"MetaSoccer")</f>
        <v>MetaSoccer</v>
      </c>
    </row>
    <row r="8194" spans="1:3" x14ac:dyDescent="0.25">
      <c r="A8194" s="2" t="str">
        <f ca="1">IFERROR(__xludf.DUMMYFUNCTION("""COMPUTED_VALUE"""),"metastreet-v2-mwsteth-wpunks-20")</f>
        <v>metastreet-v2-mwsteth-wpunks-20</v>
      </c>
      <c r="B8194" s="2" t="str">
        <f ca="1">IFERROR(__xludf.DUMMYFUNCTION("""COMPUTED_VALUE"""),"punketh-20")</f>
        <v>punketh-20</v>
      </c>
      <c r="C8194" s="2" t="str">
        <f ca="1">IFERROR(__xludf.DUMMYFUNCTION("""COMPUTED_VALUE"""),"MetaStreet V2 mwstETH-WPUNKS:20")</f>
        <v>MetaStreet V2 mwstETH-WPUNKS:20</v>
      </c>
    </row>
    <row r="8195" spans="1:3" x14ac:dyDescent="0.25">
      <c r="A8195" s="2" t="str">
        <f ca="1">IFERROR(__xludf.DUMMYFUNCTION("""COMPUTED_VALUE"""),"metastrike")</f>
        <v>metastrike</v>
      </c>
      <c r="B8195" s="2" t="str">
        <f ca="1">IFERROR(__xludf.DUMMYFUNCTION("""COMPUTED_VALUE"""),"mts")</f>
        <v>mts</v>
      </c>
      <c r="C8195" s="2" t="str">
        <f ca="1">IFERROR(__xludf.DUMMYFUNCTION("""COMPUTED_VALUE"""),"Metastrike")</f>
        <v>Metastrike</v>
      </c>
    </row>
    <row r="8196" spans="1:3" x14ac:dyDescent="0.25">
      <c r="A8196" s="2" t="str">
        <f ca="1">IFERROR(__xludf.DUMMYFUNCTION("""COMPUTED_VALUE"""),"metatdex")</f>
        <v>metatdex</v>
      </c>
      <c r="B8196" s="2" t="str">
        <f ca="1">IFERROR(__xludf.DUMMYFUNCTION("""COMPUTED_VALUE"""),"tt")</f>
        <v>tt</v>
      </c>
      <c r="C8196" s="2" t="str">
        <f ca="1">IFERROR(__xludf.DUMMYFUNCTION("""COMPUTED_VALUE"""),"TDEX Token")</f>
        <v>TDEX Token</v>
      </c>
    </row>
    <row r="8197" spans="1:3" x14ac:dyDescent="0.25">
      <c r="A8197" s="2" t="str">
        <f ca="1">IFERROR(__xludf.DUMMYFUNCTION("""COMPUTED_VALUE"""),"metatime-coin")</f>
        <v>metatime-coin</v>
      </c>
      <c r="B8197" s="2" t="str">
        <f ca="1">IFERROR(__xludf.DUMMYFUNCTION("""COMPUTED_VALUE"""),"mtc")</f>
        <v>mtc</v>
      </c>
      <c r="C8197" s="2" t="str">
        <f ca="1">IFERROR(__xludf.DUMMYFUNCTION("""COMPUTED_VALUE"""),"Metatime Coin")</f>
        <v>Metatime Coin</v>
      </c>
    </row>
    <row r="8198" spans="1:3" x14ac:dyDescent="0.25">
      <c r="A8198" s="2" t="str">
        <f ca="1">IFERROR(__xludf.DUMMYFUNCTION("""COMPUTED_VALUE"""),"metatoken-2")</f>
        <v>metatoken-2</v>
      </c>
      <c r="B8198" s="2" t="str">
        <f ca="1">IFERROR(__xludf.DUMMYFUNCTION("""COMPUTED_VALUE"""),"mtk")</f>
        <v>mtk</v>
      </c>
      <c r="C8198" s="2" t="str">
        <f ca="1">IFERROR(__xludf.DUMMYFUNCTION("""COMPUTED_VALUE"""),"MetaToken")</f>
        <v>MetaToken</v>
      </c>
    </row>
    <row r="8199" spans="1:3" x14ac:dyDescent="0.25">
      <c r="A8199" s="2" t="str">
        <f ca="1">IFERROR(__xludf.DUMMYFUNCTION("""COMPUTED_VALUE"""),"metatrace")</f>
        <v>metatrace</v>
      </c>
      <c r="B8199" s="2" t="str">
        <f ca="1">IFERROR(__xludf.DUMMYFUNCTION("""COMPUTED_VALUE"""),"trc")</f>
        <v>trc</v>
      </c>
      <c r="C8199" s="2" t="str">
        <f ca="1">IFERROR(__xludf.DUMMYFUNCTION("""COMPUTED_VALUE"""),"MetaTrace")</f>
        <v>MetaTrace</v>
      </c>
    </row>
    <row r="8200" spans="1:3" x14ac:dyDescent="0.25">
      <c r="A8200" s="2" t="str">
        <f ca="1">IFERROR(__xludf.DUMMYFUNCTION("""COMPUTED_VALUE"""),"metatrace-utility-token")</f>
        <v>metatrace-utility-token</v>
      </c>
      <c r="B8200" s="2" t="str">
        <f ca="1">IFERROR(__xludf.DUMMYFUNCTION("""COMPUTED_VALUE"""),"ace")</f>
        <v>ace</v>
      </c>
      <c r="C8200" s="2" t="str">
        <f ca="1">IFERROR(__xludf.DUMMYFUNCTION("""COMPUTED_VALUE"""),"MetaTrace Utility Token")</f>
        <v>MetaTrace Utility Token</v>
      </c>
    </row>
    <row r="8201" spans="1:3" x14ac:dyDescent="0.25">
      <c r="A8201" s="2" t="str">
        <f ca="1">IFERROR(__xludf.DUMMYFUNCTION("""COMPUTED_VALUE"""),"metavault-dao")</f>
        <v>metavault-dao</v>
      </c>
      <c r="B8201" s="2" t="str">
        <f ca="1">IFERROR(__xludf.DUMMYFUNCTION("""COMPUTED_VALUE"""),"mvd")</f>
        <v>mvd</v>
      </c>
      <c r="C8201" s="2" t="str">
        <f ca="1">IFERROR(__xludf.DUMMYFUNCTION("""COMPUTED_VALUE"""),"Metavault DAO")</f>
        <v>Metavault DAO</v>
      </c>
    </row>
    <row r="8202" spans="1:3" x14ac:dyDescent="0.25">
      <c r="A8202" s="2" t="str">
        <f ca="1">IFERROR(__xludf.DUMMYFUNCTION("""COMPUTED_VALUE"""),"metavault-trade")</f>
        <v>metavault-trade</v>
      </c>
      <c r="B8202" s="2" t="str">
        <f ca="1">IFERROR(__xludf.DUMMYFUNCTION("""COMPUTED_VALUE"""),"mvx")</f>
        <v>mvx</v>
      </c>
      <c r="C8202" s="2" t="str">
        <f ca="1">IFERROR(__xludf.DUMMYFUNCTION("""COMPUTED_VALUE"""),"Metavault Trade")</f>
        <v>Metavault Trade</v>
      </c>
    </row>
    <row r="8203" spans="1:3" x14ac:dyDescent="0.25">
      <c r="A8203" s="2" t="str">
        <f ca="1">IFERROR(__xludf.DUMMYFUNCTION("""COMPUTED_VALUE"""),"metaverse-etp")</f>
        <v>metaverse-etp</v>
      </c>
      <c r="B8203" s="2" t="str">
        <f ca="1">IFERROR(__xludf.DUMMYFUNCTION("""COMPUTED_VALUE"""),"etp")</f>
        <v>etp</v>
      </c>
      <c r="C8203" s="2" t="str">
        <f ca="1">IFERROR(__xludf.DUMMYFUNCTION("""COMPUTED_VALUE"""),"Metaverse ETP")</f>
        <v>Metaverse ETP</v>
      </c>
    </row>
    <row r="8204" spans="1:3" x14ac:dyDescent="0.25">
      <c r="A8204" s="2" t="str">
        <f ca="1">IFERROR(__xludf.DUMMYFUNCTION("""COMPUTED_VALUE"""),"metaverse-face")</f>
        <v>metaverse-face</v>
      </c>
      <c r="B8204" s="2" t="str">
        <f ca="1">IFERROR(__xludf.DUMMYFUNCTION("""COMPUTED_VALUE"""),"mefa")</f>
        <v>mefa</v>
      </c>
      <c r="C8204" s="2" t="str">
        <f ca="1">IFERROR(__xludf.DUMMYFUNCTION("""COMPUTED_VALUE"""),"Metaverse Face")</f>
        <v>Metaverse Face</v>
      </c>
    </row>
    <row r="8205" spans="1:3" x14ac:dyDescent="0.25">
      <c r="A8205" s="2" t="str">
        <f ca="1">IFERROR(__xludf.DUMMYFUNCTION("""COMPUTED_VALUE"""),"metaverse-hub")</f>
        <v>metaverse-hub</v>
      </c>
      <c r="B8205" s="2" t="str">
        <f ca="1">IFERROR(__xludf.DUMMYFUNCTION("""COMPUTED_VALUE"""),"mhub")</f>
        <v>mhub</v>
      </c>
      <c r="C8205" s="2" t="str">
        <f ca="1">IFERROR(__xludf.DUMMYFUNCTION("""COMPUTED_VALUE"""),"Metaverse Hub")</f>
        <v>Metaverse Hub</v>
      </c>
    </row>
    <row r="8206" spans="1:3" x14ac:dyDescent="0.25">
      <c r="A8206" s="2" t="str">
        <f ca="1">IFERROR(__xludf.DUMMYFUNCTION("""COMPUTED_VALUE"""),"metaverse-index")</f>
        <v>metaverse-index</v>
      </c>
      <c r="B8206" s="2" t="str">
        <f ca="1">IFERROR(__xludf.DUMMYFUNCTION("""COMPUTED_VALUE"""),"mvi")</f>
        <v>mvi</v>
      </c>
      <c r="C8206" s="2" t="str">
        <f ca="1">IFERROR(__xludf.DUMMYFUNCTION("""COMPUTED_VALUE"""),"Metaverse Index")</f>
        <v>Metaverse Index</v>
      </c>
    </row>
    <row r="8207" spans="1:3" x14ac:dyDescent="0.25">
      <c r="A8207" s="2" t="str">
        <f ca="1">IFERROR(__xludf.DUMMYFUNCTION("""COMPUTED_VALUE"""),"metaverse-kombat")</f>
        <v>metaverse-kombat</v>
      </c>
      <c r="B8207" s="2" t="str">
        <f ca="1">IFERROR(__xludf.DUMMYFUNCTION("""COMPUTED_VALUE"""),"mvk")</f>
        <v>mvk</v>
      </c>
      <c r="C8207" s="2" t="str">
        <f ca="1">IFERROR(__xludf.DUMMYFUNCTION("""COMPUTED_VALUE"""),"Metaverse Kombat")</f>
        <v>Metaverse Kombat</v>
      </c>
    </row>
    <row r="8208" spans="1:3" x14ac:dyDescent="0.25">
      <c r="A8208" s="2" t="str">
        <f ca="1">IFERROR(__xludf.DUMMYFUNCTION("""COMPUTED_VALUE"""),"metaverse-m")</f>
        <v>metaverse-m</v>
      </c>
      <c r="B8208" s="2" t="str">
        <f ca="1">IFERROR(__xludf.DUMMYFUNCTION("""COMPUTED_VALUE"""),"m")</f>
        <v>m</v>
      </c>
      <c r="C8208" s="2" t="str">
        <f ca="1">IFERROR(__xludf.DUMMYFUNCTION("""COMPUTED_VALUE"""),"MetaVerse-M")</f>
        <v>MetaVerse-M</v>
      </c>
    </row>
    <row r="8209" spans="1:3" x14ac:dyDescent="0.25">
      <c r="A8209" s="2" t="str">
        <f ca="1">IFERROR(__xludf.DUMMYFUNCTION("""COMPUTED_VALUE"""),"metaverse-miner")</f>
        <v>metaverse-miner</v>
      </c>
      <c r="B8209" s="2" t="str">
        <f ca="1">IFERROR(__xludf.DUMMYFUNCTION("""COMPUTED_VALUE"""),"meta")</f>
        <v>meta</v>
      </c>
      <c r="C8209" s="2" t="str">
        <f ca="1">IFERROR(__xludf.DUMMYFUNCTION("""COMPUTED_VALUE"""),"Metaverse Miner")</f>
        <v>Metaverse Miner</v>
      </c>
    </row>
    <row r="8210" spans="1:3" x14ac:dyDescent="0.25">
      <c r="A8210" s="2" t="str">
        <f ca="1">IFERROR(__xludf.DUMMYFUNCTION("""COMPUTED_VALUE"""),"metaverse-network-pioneer")</f>
        <v>metaverse-network-pioneer</v>
      </c>
      <c r="B8210" s="2" t="str">
        <f ca="1">IFERROR(__xludf.DUMMYFUNCTION("""COMPUTED_VALUE"""),"neer")</f>
        <v>neer</v>
      </c>
      <c r="C8210" s="2" t="str">
        <f ca="1">IFERROR(__xludf.DUMMYFUNCTION("""COMPUTED_VALUE"""),"MNet Pioneer")</f>
        <v>MNet Pioneer</v>
      </c>
    </row>
    <row r="8211" spans="1:3" x14ac:dyDescent="0.25">
      <c r="A8211" s="2" t="str">
        <f ca="1">IFERROR(__xludf.DUMMYFUNCTION("""COMPUTED_VALUE"""),"metaverser")</f>
        <v>metaverser</v>
      </c>
      <c r="B8211" s="2" t="str">
        <f ca="1">IFERROR(__xludf.DUMMYFUNCTION("""COMPUTED_VALUE"""),"mtvt")</f>
        <v>mtvt</v>
      </c>
      <c r="C8211" s="2" t="str">
        <f ca="1">IFERROR(__xludf.DUMMYFUNCTION("""COMPUTED_VALUE"""),"Metaverser")</f>
        <v>Metaverser</v>
      </c>
    </row>
    <row r="8212" spans="1:3" x14ac:dyDescent="0.25">
      <c r="A8212" s="2" t="str">
        <f ca="1">IFERROR(__xludf.DUMMYFUNCTION("""COMPUTED_VALUE"""),"metaverse-vr")</f>
        <v>metaverse-vr</v>
      </c>
      <c r="B8212" s="2" t="str">
        <f ca="1">IFERROR(__xludf.DUMMYFUNCTION("""COMPUTED_VALUE"""),"mevr")</f>
        <v>mevr</v>
      </c>
      <c r="C8212" s="2" t="str">
        <f ca="1">IFERROR(__xludf.DUMMYFUNCTION("""COMPUTED_VALUE"""),"Metaverse VR")</f>
        <v>Metaverse VR</v>
      </c>
    </row>
    <row r="8213" spans="1:3" x14ac:dyDescent="0.25">
      <c r="A8213" s="2" t="str">
        <f ca="1">IFERROR(__xludf.DUMMYFUNCTION("""COMPUTED_VALUE"""),"metaversex")</f>
        <v>metaversex</v>
      </c>
      <c r="B8213" s="2" t="str">
        <f ca="1">IFERROR(__xludf.DUMMYFUNCTION("""COMPUTED_VALUE"""),"metax")</f>
        <v>metax</v>
      </c>
      <c r="C8213" s="2" t="str">
        <f ca="1">IFERROR(__xludf.DUMMYFUNCTION("""COMPUTED_VALUE"""),"MetaverseX")</f>
        <v>MetaverseX</v>
      </c>
    </row>
    <row r="8214" spans="1:3" x14ac:dyDescent="0.25">
      <c r="A8214" s="2" t="str">
        <f ca="1">IFERROR(__xludf.DUMMYFUNCTION("""COMPUTED_VALUE"""),"metavirus")</f>
        <v>metavirus</v>
      </c>
      <c r="B8214" s="2" t="str">
        <f ca="1">IFERROR(__xludf.DUMMYFUNCTION("""COMPUTED_VALUE"""),"mvt")</f>
        <v>mvt</v>
      </c>
      <c r="C8214" s="2" t="str">
        <f ca="1">IFERROR(__xludf.DUMMYFUNCTION("""COMPUTED_VALUE"""),"MetaVirus")</f>
        <v>MetaVirus</v>
      </c>
    </row>
    <row r="8215" spans="1:3" x14ac:dyDescent="0.25">
      <c r="A8215" s="2" t="str">
        <f ca="1">IFERROR(__xludf.DUMMYFUNCTION("""COMPUTED_VALUE"""),"metavisa")</f>
        <v>metavisa</v>
      </c>
      <c r="B8215" s="2" t="str">
        <f ca="1">IFERROR(__xludf.DUMMYFUNCTION("""COMPUTED_VALUE"""),"mesa")</f>
        <v>mesa</v>
      </c>
      <c r="C8215" s="2" t="str">
        <f ca="1">IFERROR(__xludf.DUMMYFUNCTION("""COMPUTED_VALUE"""),"metavisa")</f>
        <v>metavisa</v>
      </c>
    </row>
    <row r="8216" spans="1:3" x14ac:dyDescent="0.25">
      <c r="A8216" s="2" t="str">
        <f ca="1">IFERROR(__xludf.DUMMYFUNCTION("""COMPUTED_VALUE"""),"metavpad")</f>
        <v>metavpad</v>
      </c>
      <c r="B8216" s="2" t="str">
        <f ca="1">IFERROR(__xludf.DUMMYFUNCTION("""COMPUTED_VALUE"""),"metav")</f>
        <v>metav</v>
      </c>
      <c r="C8216" s="2" t="str">
        <f ca="1">IFERROR(__xludf.DUMMYFUNCTION("""COMPUTED_VALUE"""),"MetaVPad")</f>
        <v>MetaVPad</v>
      </c>
    </row>
    <row r="8217" spans="1:3" x14ac:dyDescent="0.25">
      <c r="A8217" s="2" t="str">
        <f ca="1">IFERROR(__xludf.DUMMYFUNCTION("""COMPUTED_VALUE"""),"metawars")</f>
        <v>metawars</v>
      </c>
      <c r="B8217" s="2" t="str">
        <f ca="1">IFERROR(__xludf.DUMMYFUNCTION("""COMPUTED_VALUE"""),"wars")</f>
        <v>wars</v>
      </c>
      <c r="C8217" s="2" t="str">
        <f ca="1">IFERROR(__xludf.DUMMYFUNCTION("""COMPUTED_VALUE"""),"MetaWars")</f>
        <v>MetaWars</v>
      </c>
    </row>
    <row r="8218" spans="1:3" x14ac:dyDescent="0.25">
      <c r="A8218" s="2" t="str">
        <f ca="1">IFERROR(__xludf.DUMMYFUNCTION("""COMPUTED_VALUE"""),"metawear")</f>
        <v>metawear</v>
      </c>
      <c r="B8218" s="2" t="str">
        <f ca="1">IFERROR(__xludf.DUMMYFUNCTION("""COMPUTED_VALUE"""),"wear")</f>
        <v>wear</v>
      </c>
      <c r="C8218" s="2" t="str">
        <f ca="1">IFERROR(__xludf.DUMMYFUNCTION("""COMPUTED_VALUE"""),"MetaWear")</f>
        <v>MetaWear</v>
      </c>
    </row>
    <row r="8219" spans="1:3" x14ac:dyDescent="0.25">
      <c r="A8219" s="2" t="str">
        <f ca="1">IFERROR(__xludf.DUMMYFUNCTION("""COMPUTED_VALUE"""),"metaworld")</f>
        <v>metaworld</v>
      </c>
      <c r="B8219" s="2" t="str">
        <f ca="1">IFERROR(__xludf.DUMMYFUNCTION("""COMPUTED_VALUE"""),"mw")</f>
        <v>mw</v>
      </c>
      <c r="C8219" s="2" t="str">
        <f ca="1">IFERROR(__xludf.DUMMYFUNCTION("""COMPUTED_VALUE"""),"MetaWorld")</f>
        <v>MetaWorld</v>
      </c>
    </row>
    <row r="8220" spans="1:3" x14ac:dyDescent="0.25">
      <c r="A8220" s="2" t="str">
        <f ca="1">IFERROR(__xludf.DUMMYFUNCTION("""COMPUTED_VALUE"""),"metaxy")</f>
        <v>metaxy</v>
      </c>
      <c r="B8220" s="2" t="str">
        <f ca="1">IFERROR(__xludf.DUMMYFUNCTION("""COMPUTED_VALUE"""),"mxy")</f>
        <v>mxy</v>
      </c>
      <c r="C8220" s="2" t="str">
        <f ca="1">IFERROR(__xludf.DUMMYFUNCTION("""COMPUTED_VALUE"""),"Metaxy")</f>
        <v>Metaxy</v>
      </c>
    </row>
    <row r="8221" spans="1:3" x14ac:dyDescent="0.25">
      <c r="A8221" s="2" t="str">
        <f ca="1">IFERROR(__xludf.DUMMYFUNCTION("""COMPUTED_VALUE"""),"metazero")</f>
        <v>metazero</v>
      </c>
      <c r="B8221" s="2" t="str">
        <f ca="1">IFERROR(__xludf.DUMMYFUNCTION("""COMPUTED_VALUE"""),"mzero")</f>
        <v>mzero</v>
      </c>
      <c r="C8221" s="2" t="str">
        <f ca="1">IFERROR(__xludf.DUMMYFUNCTION("""COMPUTED_VALUE"""),"MetaZero")</f>
        <v>MetaZero</v>
      </c>
    </row>
    <row r="8222" spans="1:3" x14ac:dyDescent="0.25">
      <c r="A8222" s="2" t="str">
        <f ca="1">IFERROR(__xludf.DUMMYFUNCTION("""COMPUTED_VALUE"""),"metazoomee")</f>
        <v>metazoomee</v>
      </c>
      <c r="B8222" s="2" t="str">
        <f ca="1">IFERROR(__xludf.DUMMYFUNCTION("""COMPUTED_VALUE"""),"mzm")</f>
        <v>mzm</v>
      </c>
      <c r="C8222" s="2" t="str">
        <f ca="1">IFERROR(__xludf.DUMMYFUNCTION("""COMPUTED_VALUE"""),"MetaZooMee")</f>
        <v>MetaZooMee</v>
      </c>
    </row>
    <row r="8223" spans="1:3" x14ac:dyDescent="0.25">
      <c r="A8223" s="2" t="str">
        <f ca="1">IFERROR(__xludf.DUMMYFUNCTION("""COMPUTED_VALUE"""),"metchain")</f>
        <v>metchain</v>
      </c>
      <c r="B8223" s="2" t="str">
        <f ca="1">IFERROR(__xludf.DUMMYFUNCTION("""COMPUTED_VALUE"""),"met")</f>
        <v>met</v>
      </c>
      <c r="C8223" s="2" t="str">
        <f ca="1">IFERROR(__xludf.DUMMYFUNCTION("""COMPUTED_VALUE"""),"Metchain")</f>
        <v>Metchain</v>
      </c>
    </row>
    <row r="8224" spans="1:3" x14ac:dyDescent="0.25">
      <c r="A8224" s="2" t="str">
        <f ca="1">IFERROR(__xludf.DUMMYFUNCTION("""COMPUTED_VALUE"""),"meter")</f>
        <v>meter</v>
      </c>
      <c r="B8224" s="2" t="str">
        <f ca="1">IFERROR(__xludf.DUMMYFUNCTION("""COMPUTED_VALUE"""),"mtrg")</f>
        <v>mtrg</v>
      </c>
      <c r="C8224" s="2" t="str">
        <f ca="1">IFERROR(__xludf.DUMMYFUNCTION("""COMPUTED_VALUE"""),"Meter Governance")</f>
        <v>Meter Governance</v>
      </c>
    </row>
    <row r="8225" spans="1:3" x14ac:dyDescent="0.25">
      <c r="A8225" s="2" t="str">
        <f ca="1">IFERROR(__xludf.DUMMYFUNCTION("""COMPUTED_VALUE"""),"meter-governance-mapped-by-meter-io")</f>
        <v>meter-governance-mapped-by-meter-io</v>
      </c>
      <c r="B8225" s="2" t="str">
        <f ca="1">IFERROR(__xludf.DUMMYFUNCTION("""COMPUTED_VALUE"""),"emtrg")</f>
        <v>emtrg</v>
      </c>
      <c r="C8225" s="2" t="str">
        <f ca="1">IFERROR(__xludf.DUMMYFUNCTION("""COMPUTED_VALUE"""),"Meter Governance mapped by Meter.io")</f>
        <v>Meter Governance mapped by Meter.io</v>
      </c>
    </row>
    <row r="8226" spans="1:3" x14ac:dyDescent="0.25">
      <c r="A8226" s="2" t="str">
        <f ca="1">IFERROR(__xludf.DUMMYFUNCTION("""COMPUTED_VALUE"""),"meter-io-staked-mtrg")</f>
        <v>meter-io-staked-mtrg</v>
      </c>
      <c r="B8226" s="2" t="str">
        <f ca="1">IFERROR(__xludf.DUMMYFUNCTION("""COMPUTED_VALUE"""),"stmtrg")</f>
        <v>stmtrg</v>
      </c>
      <c r="C8226" s="2" t="str">
        <f ca="1">IFERROR(__xludf.DUMMYFUNCTION("""COMPUTED_VALUE"""),"Meter.io Staked MTRG")</f>
        <v>Meter.io Staked MTRG</v>
      </c>
    </row>
    <row r="8227" spans="1:3" x14ac:dyDescent="0.25">
      <c r="A8227" s="2" t="str">
        <f ca="1">IFERROR(__xludf.DUMMYFUNCTION("""COMPUTED_VALUE"""),"meter-io-wrapped-stmtrg")</f>
        <v>meter-io-wrapped-stmtrg</v>
      </c>
      <c r="B8227" s="2" t="str">
        <f ca="1">IFERROR(__xludf.DUMMYFUNCTION("""COMPUTED_VALUE"""),"wstmtrg")</f>
        <v>wstmtrg</v>
      </c>
      <c r="C8227" s="2" t="str">
        <f ca="1">IFERROR(__xludf.DUMMYFUNCTION("""COMPUTED_VALUE"""),"Meter.io Wrapped stMTRG")</f>
        <v>Meter.io Wrapped stMTRG</v>
      </c>
    </row>
    <row r="8228" spans="1:3" x14ac:dyDescent="0.25">
      <c r="A8228" s="2" t="str">
        <f ca="1">IFERROR(__xludf.DUMMYFUNCTION("""COMPUTED_VALUE"""),"meter-passport-bridged-usdc-meter")</f>
        <v>meter-passport-bridged-usdc-meter</v>
      </c>
      <c r="B8228" s="2" t="str">
        <f ca="1">IFERROR(__xludf.DUMMYFUNCTION("""COMPUTED_VALUE"""),"usdc")</f>
        <v>usdc</v>
      </c>
      <c r="C8228" s="2" t="str">
        <f ca="1">IFERROR(__xludf.DUMMYFUNCTION("""COMPUTED_VALUE"""),"Meter Passport Bridged USDC (Meter)")</f>
        <v>Meter Passport Bridged USDC (Meter)</v>
      </c>
    </row>
    <row r="8229" spans="1:3" x14ac:dyDescent="0.25">
      <c r="A8229" s="2" t="str">
        <f ca="1">IFERROR(__xludf.DUMMYFUNCTION("""COMPUTED_VALUE"""),"meter-passport-bridged-weth-theta")</f>
        <v>meter-passport-bridged-weth-theta</v>
      </c>
      <c r="B8229" s="2" t="str">
        <f ca="1">IFERROR(__xludf.DUMMYFUNCTION("""COMPUTED_VALUE"""),"weth")</f>
        <v>weth</v>
      </c>
      <c r="C8229" s="2" t="str">
        <f ca="1">IFERROR(__xludf.DUMMYFUNCTION("""COMPUTED_VALUE"""),"Meter Passport Bridged WETH (Theta)")</f>
        <v>Meter Passport Bridged WETH (Theta)</v>
      </c>
    </row>
    <row r="8230" spans="1:3" x14ac:dyDescent="0.25">
      <c r="A8230" s="2" t="str">
        <f ca="1">IFERROR(__xludf.DUMMYFUNCTION("""COMPUTED_VALUE"""),"meter-stable")</f>
        <v>meter-stable</v>
      </c>
      <c r="B8230" s="2" t="str">
        <f ca="1">IFERROR(__xludf.DUMMYFUNCTION("""COMPUTED_VALUE"""),"mtr")</f>
        <v>mtr</v>
      </c>
      <c r="C8230" s="2" t="str">
        <f ca="1">IFERROR(__xludf.DUMMYFUNCTION("""COMPUTED_VALUE"""),"Meter Stable")</f>
        <v>Meter Stable</v>
      </c>
    </row>
    <row r="8231" spans="1:3" x14ac:dyDescent="0.25">
      <c r="A8231" s="2" t="str">
        <f ca="1">IFERROR(__xludf.DUMMYFUNCTION("""COMPUTED_VALUE"""),"metfi-2")</f>
        <v>metfi-2</v>
      </c>
      <c r="B8231" s="2" t="str">
        <f ca="1">IFERROR(__xludf.DUMMYFUNCTION("""COMPUTED_VALUE"""),"metfi")</f>
        <v>metfi</v>
      </c>
      <c r="C8231" s="2" t="str">
        <f ca="1">IFERROR(__xludf.DUMMYFUNCTION("""COMPUTED_VALUE"""),"MetFi")</f>
        <v>MetFi</v>
      </c>
    </row>
    <row r="8232" spans="1:3" x14ac:dyDescent="0.25">
      <c r="A8232" s="2" t="str">
        <f ca="1">IFERROR(__xludf.DUMMYFUNCTION("""COMPUTED_VALUE"""),"metis-bridged-wbtc-metis-andromeda")</f>
        <v>metis-bridged-wbtc-metis-andromeda</v>
      </c>
      <c r="B8232" s="2" t="str">
        <f ca="1">IFERROR(__xludf.DUMMYFUNCTION("""COMPUTED_VALUE"""),"wbtc")</f>
        <v>wbtc</v>
      </c>
      <c r="C8232" s="2" t="str">
        <f ca="1">IFERROR(__xludf.DUMMYFUNCTION("""COMPUTED_VALUE"""),"Metis Bridged WBTC (Metis Andromeda)")</f>
        <v>Metis Bridged WBTC (Metis Andromeda)</v>
      </c>
    </row>
    <row r="8233" spans="1:3" x14ac:dyDescent="0.25">
      <c r="A8233" s="2" t="str">
        <f ca="1">IFERROR(__xludf.DUMMYFUNCTION("""COMPUTED_VALUE"""),"metis-bridged-weth-metis-andromeda")</f>
        <v>metis-bridged-weth-metis-andromeda</v>
      </c>
      <c r="B8233" s="2" t="str">
        <f ca="1">IFERROR(__xludf.DUMMYFUNCTION("""COMPUTED_VALUE"""),"weth")</f>
        <v>weth</v>
      </c>
      <c r="C8233" s="2" t="str">
        <f ca="1">IFERROR(__xludf.DUMMYFUNCTION("""COMPUTED_VALUE"""),"Metis Bridged WETH (Metis Andromeda)")</f>
        <v>Metis Bridged WETH (Metis Andromeda)</v>
      </c>
    </row>
    <row r="8234" spans="1:3" x14ac:dyDescent="0.25">
      <c r="A8234" s="2" t="str">
        <f ca="1">IFERROR(__xludf.DUMMYFUNCTION("""COMPUTED_VALUE"""),"metis-token")</f>
        <v>metis-token</v>
      </c>
      <c r="B8234" s="2" t="str">
        <f ca="1">IFERROR(__xludf.DUMMYFUNCTION("""COMPUTED_VALUE"""),"metis")</f>
        <v>metis</v>
      </c>
      <c r="C8234" s="2" t="str">
        <f ca="1">IFERROR(__xludf.DUMMYFUNCTION("""COMPUTED_VALUE"""),"Metis")</f>
        <v>Metis</v>
      </c>
    </row>
    <row r="8235" spans="1:3" x14ac:dyDescent="0.25">
      <c r="A8235" s="2" t="str">
        <f ca="1">IFERROR(__xludf.DUMMYFUNCTION("""COMPUTED_VALUE"""),"metoshi")</f>
        <v>metoshi</v>
      </c>
      <c r="B8235" s="2" t="str">
        <f ca="1">IFERROR(__xludf.DUMMYFUNCTION("""COMPUTED_VALUE"""),"meto")</f>
        <v>meto</v>
      </c>
      <c r="C8235" s="2" t="str">
        <f ca="1">IFERROR(__xludf.DUMMYFUNCTION("""COMPUTED_VALUE"""),"Metoshi")</f>
        <v>Metoshi</v>
      </c>
    </row>
    <row r="8236" spans="1:3" x14ac:dyDescent="0.25">
      <c r="A8236" s="2" t="str">
        <f ca="1">IFERROR(__xludf.DUMMYFUNCTION("""COMPUTED_VALUE"""),"metronome")</f>
        <v>metronome</v>
      </c>
      <c r="B8236" s="2" t="str">
        <f ca="1">IFERROR(__xludf.DUMMYFUNCTION("""COMPUTED_VALUE"""),"met")</f>
        <v>met</v>
      </c>
      <c r="C8236" s="2" t="str">
        <f ca="1">IFERROR(__xludf.DUMMYFUNCTION("""COMPUTED_VALUE"""),"Metronome")</f>
        <v>Metronome</v>
      </c>
    </row>
    <row r="8237" spans="1:3" x14ac:dyDescent="0.25">
      <c r="A8237" s="2" t="str">
        <f ca="1">IFERROR(__xludf.DUMMYFUNCTION("""COMPUTED_VALUE"""),"metroxynth")</f>
        <v>metroxynth</v>
      </c>
      <c r="B8237" s="2" t="str">
        <f ca="1">IFERROR(__xludf.DUMMYFUNCTION("""COMPUTED_VALUE"""),"mxh")</f>
        <v>mxh</v>
      </c>
      <c r="C8237" s="2" t="str">
        <f ca="1">IFERROR(__xludf.DUMMYFUNCTION("""COMPUTED_VALUE"""),"Metroxynth")</f>
        <v>Metroxynth</v>
      </c>
    </row>
    <row r="8238" spans="1:3" x14ac:dyDescent="0.25">
      <c r="A8238" s="2" t="str">
        <f ca="1">IFERROR(__xludf.DUMMYFUNCTION("""COMPUTED_VALUE"""),"mettalex")</f>
        <v>mettalex</v>
      </c>
      <c r="B8238" s="2" t="str">
        <f ca="1">IFERROR(__xludf.DUMMYFUNCTION("""COMPUTED_VALUE"""),"mtlx")</f>
        <v>mtlx</v>
      </c>
      <c r="C8238" s="2" t="str">
        <f ca="1">IFERROR(__xludf.DUMMYFUNCTION("""COMPUTED_VALUE"""),"Mettalex")</f>
        <v>Mettalex</v>
      </c>
    </row>
    <row r="8239" spans="1:3" x14ac:dyDescent="0.25">
      <c r="A8239" s="2" t="str">
        <f ca="1">IFERROR(__xludf.DUMMYFUNCTION("""COMPUTED_VALUE"""),"meverse")</f>
        <v>meverse</v>
      </c>
      <c r="B8239" s="2" t="str">
        <f ca="1">IFERROR(__xludf.DUMMYFUNCTION("""COMPUTED_VALUE"""),"mev")</f>
        <v>mev</v>
      </c>
      <c r="C8239" s="2" t="str">
        <f ca="1">IFERROR(__xludf.DUMMYFUNCTION("""COMPUTED_VALUE"""),"MEVerse")</f>
        <v>MEVerse</v>
      </c>
    </row>
    <row r="8240" spans="1:3" x14ac:dyDescent="0.25">
      <c r="A8240" s="2" t="str">
        <f ca="1">IFERROR(__xludf.DUMMYFUNCTION("""COMPUTED_VALUE"""),"meveth")</f>
        <v>meveth</v>
      </c>
      <c r="B8240" s="2" t="str">
        <f ca="1">IFERROR(__xludf.DUMMYFUNCTION("""COMPUTED_VALUE"""),"meveth")</f>
        <v>meveth</v>
      </c>
      <c r="C8240" s="2" t="str">
        <f ca="1">IFERROR(__xludf.DUMMYFUNCTION("""COMPUTED_VALUE"""),"mevETH")</f>
        <v>mevETH</v>
      </c>
    </row>
    <row r="8241" spans="1:3" x14ac:dyDescent="0.25">
      <c r="A8241" s="2" t="str">
        <f ca="1">IFERROR(__xludf.DUMMYFUNCTION("""COMPUTED_VALUE"""),"mewing-coin")</f>
        <v>mewing-coin</v>
      </c>
      <c r="B8241" s="2" t="str">
        <f ca="1">IFERROR(__xludf.DUMMYFUNCTION("""COMPUTED_VALUE"""),"mewing")</f>
        <v>mewing</v>
      </c>
      <c r="C8241" s="2" t="str">
        <f ca="1">IFERROR(__xludf.DUMMYFUNCTION("""COMPUTED_VALUE"""),"Mewing Coin")</f>
        <v>Mewing Coin</v>
      </c>
    </row>
    <row r="8242" spans="1:3" x14ac:dyDescent="0.25">
      <c r="A8242" s="2" t="str">
        <f ca="1">IFERROR(__xludf.DUMMYFUNCTION("""COMPUTED_VALUE"""),"mewnb")</f>
        <v>mewnb</v>
      </c>
      <c r="B8242" s="2" t="str">
        <f ca="1">IFERROR(__xludf.DUMMYFUNCTION("""COMPUTED_VALUE"""),"mewnb")</f>
        <v>mewnb</v>
      </c>
      <c r="C8242" s="2" t="str">
        <f ca="1">IFERROR(__xludf.DUMMYFUNCTION("""COMPUTED_VALUE"""),"MEWNB")</f>
        <v>MEWNB</v>
      </c>
    </row>
    <row r="8243" spans="1:3" x14ac:dyDescent="0.25">
      <c r="A8243" s="2" t="str">
        <f ca="1">IFERROR(__xludf.DUMMYFUNCTION("""COMPUTED_VALUE"""),"mew-woof-dao")</f>
        <v>mew-woof-dao</v>
      </c>
      <c r="B8243" s="2" t="str">
        <f ca="1">IFERROR(__xludf.DUMMYFUNCTION("""COMPUTED_VALUE"""),"mwd")</f>
        <v>mwd</v>
      </c>
      <c r="C8243" s="2" t="str">
        <f ca="1">IFERROR(__xludf.DUMMYFUNCTION("""COMPUTED_VALUE"""),"MEW WOOF DAO")</f>
        <v>MEW WOOF DAO</v>
      </c>
    </row>
    <row r="8244" spans="1:3" x14ac:dyDescent="0.25">
      <c r="A8244" s="2" t="str">
        <f ca="1">IFERROR(__xludf.DUMMYFUNCTION("""COMPUTED_VALUE"""),"mexican-peso-tether")</f>
        <v>mexican-peso-tether</v>
      </c>
      <c r="B8244" s="2" t="str">
        <f ca="1">IFERROR(__xludf.DUMMYFUNCTION("""COMPUTED_VALUE"""),"mxnt")</f>
        <v>mxnt</v>
      </c>
      <c r="C8244" s="2" t="str">
        <f ca="1">IFERROR(__xludf.DUMMYFUNCTION("""COMPUTED_VALUE"""),"Mexican Peso Tether")</f>
        <v>Mexican Peso Tether</v>
      </c>
    </row>
    <row r="8245" spans="1:3" x14ac:dyDescent="0.25">
      <c r="A8245" s="2" t="str">
        <f ca="1">IFERROR(__xludf.DUMMYFUNCTION("""COMPUTED_VALUE"""),"mexico-chingon")</f>
        <v>mexico-chingon</v>
      </c>
      <c r="B8245" s="2" t="str">
        <f ca="1">IFERROR(__xludf.DUMMYFUNCTION("""COMPUTED_VALUE"""),"chingon")</f>
        <v>chingon</v>
      </c>
      <c r="C8245" s="2" t="str">
        <f ca="1">IFERROR(__xludf.DUMMYFUNCTION("""COMPUTED_VALUE"""),"Mexico Chingon")</f>
        <v>Mexico Chingon</v>
      </c>
    </row>
    <row r="8246" spans="1:3" x14ac:dyDescent="0.25">
      <c r="A8246" s="2" t="str">
        <f ca="1">IFERROR(__xludf.DUMMYFUNCTION("""COMPUTED_VALUE"""),"mezz")</f>
        <v>mezz</v>
      </c>
      <c r="B8246" s="2" t="str">
        <f ca="1">IFERROR(__xludf.DUMMYFUNCTION("""COMPUTED_VALUE"""),"mezz")</f>
        <v>mezz</v>
      </c>
      <c r="C8246" s="2" t="str">
        <f ca="1">IFERROR(__xludf.DUMMYFUNCTION("""COMPUTED_VALUE"""),"MEZZ")</f>
        <v>MEZZ</v>
      </c>
    </row>
    <row r="8247" spans="1:3" x14ac:dyDescent="0.25">
      <c r="A8247" s="2" t="str">
        <f ca="1">IFERROR(__xludf.DUMMYFUNCTION("""COMPUTED_VALUE"""),"mfercoin")</f>
        <v>mfercoin</v>
      </c>
      <c r="B8247" s="2" t="str">
        <f ca="1">IFERROR(__xludf.DUMMYFUNCTION("""COMPUTED_VALUE"""),"mfer")</f>
        <v>mfer</v>
      </c>
      <c r="C8247" s="2" t="str">
        <f ca="1">IFERROR(__xludf.DUMMYFUNCTION("""COMPUTED_VALUE"""),"mfercoin")</f>
        <v>mfercoin</v>
      </c>
    </row>
    <row r="8248" spans="1:3" x14ac:dyDescent="0.25">
      <c r="A8248" s="2" t="str">
        <f ca="1">IFERROR(__xludf.DUMMYFUNCTION("""COMPUTED_VALUE"""),"mfers")</f>
        <v>mfers</v>
      </c>
      <c r="B8248" s="2" t="str">
        <f ca="1">IFERROR(__xludf.DUMMYFUNCTION("""COMPUTED_VALUE"""),"mfers")</f>
        <v>mfers</v>
      </c>
      <c r="C8248" s="2" t="str">
        <f ca="1">IFERROR(__xludf.DUMMYFUNCTION("""COMPUTED_VALUE"""),"MFERS")</f>
        <v>MFERS</v>
      </c>
    </row>
    <row r="8249" spans="1:3" x14ac:dyDescent="0.25">
      <c r="A8249" s="2" t="str">
        <f ca="1">IFERROR(__xludf.DUMMYFUNCTION("""COMPUTED_VALUE"""),"mfet")</f>
        <v>mfet</v>
      </c>
      <c r="B8249" s="2" t="str">
        <f ca="1">IFERROR(__xludf.DUMMYFUNCTION("""COMPUTED_VALUE"""),"mfet")</f>
        <v>mfet</v>
      </c>
      <c r="C8249" s="2" t="str">
        <f ca="1">IFERROR(__xludf.DUMMYFUNCTION("""COMPUTED_VALUE"""),"MFET")</f>
        <v>MFET</v>
      </c>
    </row>
    <row r="8250" spans="1:3" x14ac:dyDescent="0.25">
      <c r="A8250" s="2" t="str">
        <f ca="1">IFERROR(__xludf.DUMMYFUNCTION("""COMPUTED_VALUE"""),"mhcash")</f>
        <v>mhcash</v>
      </c>
      <c r="B8250" s="2" t="str">
        <f ca="1">IFERROR(__xludf.DUMMYFUNCTION("""COMPUTED_VALUE"""),"mhcash")</f>
        <v>mhcash</v>
      </c>
      <c r="C8250" s="2" t="str">
        <f ca="1">IFERROR(__xludf.DUMMYFUNCTION("""COMPUTED_VALUE"""),"MHCASH")</f>
        <v>MHCASH</v>
      </c>
    </row>
    <row r="8251" spans="1:3" x14ac:dyDescent="0.25">
      <c r="A8251" s="2" t="str">
        <f ca="1">IFERROR(__xludf.DUMMYFUNCTION("""COMPUTED_VALUE"""),"mia")</f>
        <v>mia</v>
      </c>
      <c r="B8251" s="2" t="str">
        <f ca="1">IFERROR(__xludf.DUMMYFUNCTION("""COMPUTED_VALUE"""),"mia")</f>
        <v>mia</v>
      </c>
      <c r="C8251" s="2" t="str">
        <f ca="1">IFERROR(__xludf.DUMMYFUNCTION("""COMPUTED_VALUE"""),"Mia")</f>
        <v>Mia</v>
      </c>
    </row>
    <row r="8252" spans="1:3" x14ac:dyDescent="0.25">
      <c r="A8252" s="2" t="str">
        <f ca="1">IFERROR(__xludf.DUMMYFUNCTION("""COMPUTED_VALUE"""),"miaswap")</f>
        <v>miaswap</v>
      </c>
      <c r="B8252" s="2" t="str">
        <f ca="1">IFERROR(__xludf.DUMMYFUNCTION("""COMPUTED_VALUE"""),"mia")</f>
        <v>mia</v>
      </c>
      <c r="C8252" s="2" t="str">
        <f ca="1">IFERROR(__xludf.DUMMYFUNCTION("""COMPUTED_VALUE"""),"MiaSwap")</f>
        <v>MiaSwap</v>
      </c>
    </row>
    <row r="8253" spans="1:3" x14ac:dyDescent="0.25">
      <c r="A8253" s="2" t="str">
        <f ca="1">IFERROR(__xludf.DUMMYFUNCTION("""COMPUTED_VALUE"""),"mibr-fan-token")</f>
        <v>mibr-fan-token</v>
      </c>
      <c r="B8253" s="2" t="str">
        <f ca="1">IFERROR(__xludf.DUMMYFUNCTION("""COMPUTED_VALUE"""),"mibr")</f>
        <v>mibr</v>
      </c>
      <c r="C8253" s="2" t="str">
        <f ca="1">IFERROR(__xludf.DUMMYFUNCTION("""COMPUTED_VALUE"""),"MIBR Fan Token")</f>
        <v>MIBR Fan Token</v>
      </c>
    </row>
    <row r="8254" spans="1:3" x14ac:dyDescent="0.25">
      <c r="A8254" s="2" t="str">
        <f ca="1">IFERROR(__xludf.DUMMYFUNCTION("""COMPUTED_VALUE"""),"mice")</f>
        <v>mice</v>
      </c>
      <c r="B8254" s="2" t="str">
        <f ca="1">IFERROR(__xludf.DUMMYFUNCTION("""COMPUTED_VALUE"""),"mice")</f>
        <v>mice</v>
      </c>
      <c r="C8254" s="2" t="str">
        <f ca="1">IFERROR(__xludf.DUMMYFUNCTION("""COMPUTED_VALUE"""),"Mice (Ordinals)")</f>
        <v>Mice (Ordinals)</v>
      </c>
    </row>
    <row r="8255" spans="1:3" x14ac:dyDescent="0.25">
      <c r="A8255" s="2" t="str">
        <f ca="1">IFERROR(__xludf.DUMMYFUNCTION("""COMPUTED_VALUE"""),"micha")</f>
        <v>micha</v>
      </c>
      <c r="B8255" s="2" t="str">
        <f ca="1">IFERROR(__xludf.DUMMYFUNCTION("""COMPUTED_VALUE"""),"micha")</f>
        <v>micha</v>
      </c>
      <c r="C8255" s="2" t="str">
        <f ca="1">IFERROR(__xludf.DUMMYFUNCTION("""COMPUTED_VALUE"""),"MICHA")</f>
        <v>MICHA</v>
      </c>
    </row>
    <row r="8256" spans="1:3" x14ac:dyDescent="0.25">
      <c r="A8256" s="2" t="str">
        <f ca="1">IFERROR(__xludf.DUMMYFUNCTION("""COMPUTED_VALUE"""),"michicoin")</f>
        <v>michicoin</v>
      </c>
      <c r="B8256" s="2" t="str">
        <f ca="1">IFERROR(__xludf.DUMMYFUNCTION("""COMPUTED_VALUE"""),"$michi")</f>
        <v>$michi</v>
      </c>
      <c r="C8256" s="2" t="str">
        <f ca="1">IFERROR(__xludf.DUMMYFUNCTION("""COMPUTED_VALUE"""),"michi")</f>
        <v>michi</v>
      </c>
    </row>
    <row r="8257" spans="1:3" x14ac:dyDescent="0.25">
      <c r="A8257" s="2" t="str">
        <f ca="1">IFERROR(__xludf.DUMMYFUNCTION("""COMPUTED_VALUE"""),"mickey")</f>
        <v>mickey</v>
      </c>
      <c r="B8257" s="2" t="str">
        <f ca="1">IFERROR(__xludf.DUMMYFUNCTION("""COMPUTED_VALUE"""),"mickey")</f>
        <v>mickey</v>
      </c>
      <c r="C8257" s="2" t="str">
        <f ca="1">IFERROR(__xludf.DUMMYFUNCTION("""COMPUTED_VALUE"""),"Mickey")</f>
        <v>Mickey</v>
      </c>
    </row>
    <row r="8258" spans="1:3" x14ac:dyDescent="0.25">
      <c r="A8258" s="2" t="str">
        <f ca="1">IFERROR(__xludf.DUMMYFUNCTION("""COMPUTED_VALUE"""),"micro-ai")</f>
        <v>micro-ai</v>
      </c>
      <c r="B8258" s="2" t="str">
        <f ca="1">IFERROR(__xludf.DUMMYFUNCTION("""COMPUTED_VALUE"""),"mai")</f>
        <v>mai</v>
      </c>
      <c r="C8258" s="2" t="str">
        <f ca="1">IFERROR(__xludf.DUMMYFUNCTION("""COMPUTED_VALUE"""),"Micro AI")</f>
        <v>Micro AI</v>
      </c>
    </row>
    <row r="8259" spans="1:3" x14ac:dyDescent="0.25">
      <c r="A8259" s="2" t="str">
        <f ca="1">IFERROR(__xludf.DUMMYFUNCTION("""COMPUTED_VALUE"""),"micro-bitcoin-finance")</f>
        <v>micro-bitcoin-finance</v>
      </c>
      <c r="B8259" s="2" t="str">
        <f ca="1">IFERROR(__xludf.DUMMYFUNCTION("""COMPUTED_VALUE"""),"mbtc")</f>
        <v>mbtc</v>
      </c>
      <c r="C8259" s="2" t="str">
        <f ca="1">IFERROR(__xludf.DUMMYFUNCTION("""COMPUTED_VALUE"""),"Micro Bitcoin Finance")</f>
        <v>Micro Bitcoin Finance</v>
      </c>
    </row>
    <row r="8260" spans="1:3" x14ac:dyDescent="0.25">
      <c r="A8260" s="2" t="str">
        <f ca="1">IFERROR(__xludf.DUMMYFUNCTION("""COMPUTED_VALUE"""),"micro-coq")</f>
        <v>micro-coq</v>
      </c>
      <c r="B8260" s="2" t="str">
        <f ca="1">IFERROR(__xludf.DUMMYFUNCTION("""COMPUTED_VALUE"""),"micro")</f>
        <v>micro</v>
      </c>
      <c r="C8260" s="2" t="str">
        <f ca="1">IFERROR(__xludf.DUMMYFUNCTION("""COMPUTED_VALUE"""),"Micro Coq")</f>
        <v>Micro Coq</v>
      </c>
    </row>
    <row r="8261" spans="1:3" x14ac:dyDescent="0.25">
      <c r="A8261" s="2" t="str">
        <f ca="1">IFERROR(__xludf.DUMMYFUNCTION("""COMPUTED_VALUE"""),"micro-gpt")</f>
        <v>micro-gpt</v>
      </c>
      <c r="B8261" s="2" t="str">
        <f ca="1">IFERROR(__xludf.DUMMYFUNCTION("""COMPUTED_VALUE"""),"$micro")</f>
        <v>$micro</v>
      </c>
      <c r="C8261" s="2" t="str">
        <f ca="1">IFERROR(__xludf.DUMMYFUNCTION("""COMPUTED_VALUE"""),"Micro GPT")</f>
        <v>Micro GPT</v>
      </c>
    </row>
    <row r="8262" spans="1:3" x14ac:dyDescent="0.25">
      <c r="A8262" s="2" t="str">
        <f ca="1">IFERROR(__xludf.DUMMYFUNCTION("""COMPUTED_VALUE"""),"micromoney")</f>
        <v>micromoney</v>
      </c>
      <c r="B8262" s="2" t="str">
        <f ca="1">IFERROR(__xludf.DUMMYFUNCTION("""COMPUTED_VALUE"""),"amm")</f>
        <v>amm</v>
      </c>
      <c r="C8262" s="2" t="str">
        <f ca="1">IFERROR(__xludf.DUMMYFUNCTION("""COMPUTED_VALUE"""),"MicroMoney")</f>
        <v>MicroMoney</v>
      </c>
    </row>
    <row r="8263" spans="1:3" x14ac:dyDescent="0.25">
      <c r="A8263" s="2" t="str">
        <f ca="1">IFERROR(__xludf.DUMMYFUNCTION("""COMPUTED_VALUE"""),"micropepe")</f>
        <v>micropepe</v>
      </c>
      <c r="B8263" s="2" t="str">
        <f ca="1">IFERROR(__xludf.DUMMYFUNCTION("""COMPUTED_VALUE"""),"mpepe")</f>
        <v>mpepe</v>
      </c>
      <c r="C8263" s="2" t="str">
        <f ca="1">IFERROR(__xludf.DUMMYFUNCTION("""COMPUTED_VALUE"""),"MicroPepe")</f>
        <v>MicroPepe</v>
      </c>
    </row>
    <row r="8264" spans="1:3" x14ac:dyDescent="0.25">
      <c r="A8264" s="2" t="str">
        <f ca="1">IFERROR(__xludf.DUMMYFUNCTION("""COMPUTED_VALUE"""),"micropets-2")</f>
        <v>micropets-2</v>
      </c>
      <c r="B8264" s="2" t="str">
        <f ca="1">IFERROR(__xludf.DUMMYFUNCTION("""COMPUTED_VALUE"""),"pets")</f>
        <v>pets</v>
      </c>
      <c r="C8264" s="2" t="str">
        <f ca="1">IFERROR(__xludf.DUMMYFUNCTION("""COMPUTED_VALUE"""),"MicroPets")</f>
        <v>MicroPets</v>
      </c>
    </row>
    <row r="8265" spans="1:3" x14ac:dyDescent="0.25">
      <c r="A8265" s="2" t="str">
        <f ca="1">IFERROR(__xludf.DUMMYFUNCTION("""COMPUTED_VALUE"""),"microsoft-tokenized-stock-defichain")</f>
        <v>microsoft-tokenized-stock-defichain</v>
      </c>
      <c r="B8265" s="2" t="str">
        <f ca="1">IFERROR(__xludf.DUMMYFUNCTION("""COMPUTED_VALUE"""),"dmsft")</f>
        <v>dmsft</v>
      </c>
      <c r="C8265" s="2" t="str">
        <f ca="1">IFERROR(__xludf.DUMMYFUNCTION("""COMPUTED_VALUE"""),"Microsoft Tokenized Stock Defichain")</f>
        <v>Microsoft Tokenized Stock Defichain</v>
      </c>
    </row>
    <row r="8266" spans="1:3" x14ac:dyDescent="0.25">
      <c r="A8266" s="2" t="str">
        <f ca="1">IFERROR(__xludf.DUMMYFUNCTION("""COMPUTED_VALUE"""),"microtuber")</f>
        <v>microtuber</v>
      </c>
      <c r="B8266" s="2" t="str">
        <f ca="1">IFERROR(__xludf.DUMMYFUNCTION("""COMPUTED_VALUE"""),"mct")</f>
        <v>mct</v>
      </c>
      <c r="C8266" s="2" t="str">
        <f ca="1">IFERROR(__xludf.DUMMYFUNCTION("""COMPUTED_VALUE"""),"MicroTuber")</f>
        <v>MicroTuber</v>
      </c>
    </row>
    <row r="8267" spans="1:3" x14ac:dyDescent="0.25">
      <c r="A8267" s="2" t="str">
        <f ca="1">IFERROR(__xludf.DUMMYFUNCTION("""COMPUTED_VALUE"""),"microvisionchain")</f>
        <v>microvisionchain</v>
      </c>
      <c r="B8267" s="2" t="str">
        <f ca="1">IFERROR(__xludf.DUMMYFUNCTION("""COMPUTED_VALUE"""),"space")</f>
        <v>space</v>
      </c>
      <c r="C8267" s="2" t="str">
        <f ca="1">IFERROR(__xludf.DUMMYFUNCTION("""COMPUTED_VALUE"""),"MicrovisionChain")</f>
        <v>MicrovisionChain</v>
      </c>
    </row>
    <row r="8268" spans="1:3" x14ac:dyDescent="0.25">
      <c r="A8268" s="2" t="str">
        <f ca="1">IFERROR(__xludf.DUMMYFUNCTION("""COMPUTED_VALUE"""),"midas-basis-trading-token")</f>
        <v>midas-basis-trading-token</v>
      </c>
      <c r="B8268" s="2" t="str">
        <f ca="1">IFERROR(__xludf.DUMMYFUNCTION("""COMPUTED_VALUE"""),"mbasis")</f>
        <v>mbasis</v>
      </c>
      <c r="C8268" s="2" t="str">
        <f ca="1">IFERROR(__xludf.DUMMYFUNCTION("""COMPUTED_VALUE"""),"Midas Basis Trading Token")</f>
        <v>Midas Basis Trading Token</v>
      </c>
    </row>
    <row r="8269" spans="1:3" x14ac:dyDescent="0.25">
      <c r="A8269" s="2" t="str">
        <f ca="1">IFERROR(__xludf.DUMMYFUNCTION("""COMPUTED_VALUE"""),"midas-mtbill")</f>
        <v>midas-mtbill</v>
      </c>
      <c r="B8269" s="2" t="str">
        <f ca="1">IFERROR(__xludf.DUMMYFUNCTION("""COMPUTED_VALUE"""),"mtbill")</f>
        <v>mtbill</v>
      </c>
      <c r="C8269" s="2" t="str">
        <f ca="1">IFERROR(__xludf.DUMMYFUNCTION("""COMPUTED_VALUE"""),"Midas mTBILL")</f>
        <v>Midas mTBILL</v>
      </c>
    </row>
    <row r="8270" spans="1:3" x14ac:dyDescent="0.25">
      <c r="A8270" s="2" t="str">
        <f ca="1">IFERROR(__xludf.DUMMYFUNCTION("""COMPUTED_VALUE"""),"midas-stusd")</f>
        <v>midas-stusd</v>
      </c>
      <c r="B8270" s="2" t="str">
        <f ca="1">IFERROR(__xludf.DUMMYFUNCTION("""COMPUTED_VALUE"""),"stusd")</f>
        <v>stusd</v>
      </c>
      <c r="C8270" s="2" t="str">
        <f ca="1">IFERROR(__xludf.DUMMYFUNCTION("""COMPUTED_VALUE"""),"Midas stUSD")</f>
        <v>Midas stUSD</v>
      </c>
    </row>
    <row r="8271" spans="1:3" x14ac:dyDescent="0.25">
      <c r="A8271" s="2" t="str">
        <f ca="1">IFERROR(__xludf.DUMMYFUNCTION("""COMPUTED_VALUE"""),"midas-token")</f>
        <v>midas-token</v>
      </c>
      <c r="B8271" s="2" t="str">
        <f ca="1">IFERROR(__xludf.DUMMYFUNCTION("""COMPUTED_VALUE"""),"mds")</f>
        <v>mds</v>
      </c>
      <c r="C8271" s="2" t="str">
        <f ca="1">IFERROR(__xludf.DUMMYFUNCTION("""COMPUTED_VALUE"""),"MIDAS Token")</f>
        <v>MIDAS Token</v>
      </c>
    </row>
    <row r="8272" spans="1:3" x14ac:dyDescent="0.25">
      <c r="A8272" s="2" t="str">
        <f ca="1">IFERROR(__xludf.DUMMYFUNCTION("""COMPUTED_VALUE"""),"midnight")</f>
        <v>midnight</v>
      </c>
      <c r="B8272" s="2" t="str">
        <f ca="1">IFERROR(__xludf.DUMMYFUNCTION("""COMPUTED_VALUE"""),"night")</f>
        <v>night</v>
      </c>
      <c r="C8272" s="2" t="str">
        <f ca="1">IFERROR(__xludf.DUMMYFUNCTION("""COMPUTED_VALUE"""),"Midnight")</f>
        <v>Midnight</v>
      </c>
    </row>
    <row r="8273" spans="1:3" x14ac:dyDescent="0.25">
      <c r="A8273" s="2" t="str">
        <f ca="1">IFERROR(__xludf.DUMMYFUNCTION("""COMPUTED_VALUE"""),"miidas")</f>
        <v>miidas</v>
      </c>
      <c r="B8273" s="2" t="str">
        <f ca="1">IFERROR(__xludf.DUMMYFUNCTION("""COMPUTED_VALUE"""),"miidas")</f>
        <v>miidas</v>
      </c>
      <c r="C8273" s="2" t="str">
        <f ca="1">IFERROR(__xludf.DUMMYFUNCTION("""COMPUTED_VALUE"""),"Miidas")</f>
        <v>Miidas</v>
      </c>
    </row>
    <row r="8274" spans="1:3" x14ac:dyDescent="0.25">
      <c r="A8274" s="2" t="str">
        <f ca="1">IFERROR(__xludf.DUMMYFUNCTION("""COMPUTED_VALUE"""),"mikeneko")</f>
        <v>mikeneko</v>
      </c>
      <c r="B8274" s="2" t="str">
        <f ca="1">IFERROR(__xludf.DUMMYFUNCTION("""COMPUTED_VALUE"""),"mike")</f>
        <v>mike</v>
      </c>
      <c r="C8274" s="2" t="str">
        <f ca="1">IFERROR(__xludf.DUMMYFUNCTION("""COMPUTED_VALUE"""),"MiKeNeKo")</f>
        <v>MiKeNeKo</v>
      </c>
    </row>
    <row r="8275" spans="1:3" x14ac:dyDescent="0.25">
      <c r="A8275" s="2" t="str">
        <f ca="1">IFERROR(__xludf.DUMMYFUNCTION("""COMPUTED_VALUE"""),"miki")</f>
        <v>miki</v>
      </c>
      <c r="B8275" s="2" t="str">
        <f ca="1">IFERROR(__xludf.DUMMYFUNCTION("""COMPUTED_VALUE"""),"miki")</f>
        <v>miki</v>
      </c>
      <c r="C8275" s="2" t="str">
        <f ca="1">IFERROR(__xludf.DUMMYFUNCTION("""COMPUTED_VALUE"""),"MIKI")</f>
        <v>MIKI</v>
      </c>
    </row>
    <row r="8276" spans="1:3" x14ac:dyDescent="0.25">
      <c r="A8276" s="2" t="str">
        <f ca="1">IFERROR(__xludf.DUMMYFUNCTION("""COMPUTED_VALUE"""),"milady-meme-coin")</f>
        <v>milady-meme-coin</v>
      </c>
      <c r="B8276" s="2" t="str">
        <f ca="1">IFERROR(__xludf.DUMMYFUNCTION("""COMPUTED_VALUE"""),"ladys")</f>
        <v>ladys</v>
      </c>
      <c r="C8276" s="2" t="str">
        <f ca="1">IFERROR(__xludf.DUMMYFUNCTION("""COMPUTED_VALUE"""),"Milady Meme Coin")</f>
        <v>Milady Meme Coin</v>
      </c>
    </row>
    <row r="8277" spans="1:3" x14ac:dyDescent="0.25">
      <c r="A8277" s="2" t="str">
        <f ca="1">IFERROR(__xludf.DUMMYFUNCTION("""COMPUTED_VALUE"""),"milady-vault-nftx")</f>
        <v>milady-vault-nftx</v>
      </c>
      <c r="B8277" s="2" t="str">
        <f ca="1">IFERROR(__xludf.DUMMYFUNCTION("""COMPUTED_VALUE"""),"milady")</f>
        <v>milady</v>
      </c>
      <c r="C8277" s="2" t="str">
        <f ca="1">IFERROR(__xludf.DUMMYFUNCTION("""COMPUTED_VALUE"""),"Milady Vault (NFTX)")</f>
        <v>Milady Vault (NFTX)</v>
      </c>
    </row>
    <row r="8278" spans="1:3" x14ac:dyDescent="0.25">
      <c r="A8278" s="2" t="str">
        <f ca="1">IFERROR(__xludf.DUMMYFUNCTION("""COMPUTED_VALUE"""),"milady-wif-hat")</f>
        <v>milady-wif-hat</v>
      </c>
      <c r="B8278" s="2" t="str">
        <f ca="1">IFERROR(__xludf.DUMMYFUNCTION("""COMPUTED_VALUE"""),"ladyf")</f>
        <v>ladyf</v>
      </c>
      <c r="C8278" s="2" t="str">
        <f ca="1">IFERROR(__xludf.DUMMYFUNCTION("""COMPUTED_VALUE"""),"Milady Wif Hat")</f>
        <v>Milady Wif Hat</v>
      </c>
    </row>
    <row r="8279" spans="1:3" x14ac:dyDescent="0.25">
      <c r="A8279" s="2" t="str">
        <f ca="1">IFERROR(__xludf.DUMMYFUNCTION("""COMPUTED_VALUE"""),"milei")</f>
        <v>milei</v>
      </c>
      <c r="B8279" s="2" t="str">
        <f ca="1">IFERROR(__xludf.DUMMYFUNCTION("""COMPUTED_VALUE"""),"milei")</f>
        <v>milei</v>
      </c>
      <c r="C8279" s="2" t="str">
        <f ca="1">IFERROR(__xludf.DUMMYFUNCTION("""COMPUTED_VALUE"""),"MILEI")</f>
        <v>MILEI</v>
      </c>
    </row>
    <row r="8280" spans="1:3" x14ac:dyDescent="0.25">
      <c r="A8280" s="2" t="str">
        <f ca="1">IFERROR(__xludf.DUMMYFUNCTION("""COMPUTED_VALUE"""),"milei-solana")</f>
        <v>milei-solana</v>
      </c>
      <c r="B8280" s="2" t="str">
        <f ca="1">IFERROR(__xludf.DUMMYFUNCTION("""COMPUTED_VALUE"""),"milei")</f>
        <v>milei</v>
      </c>
      <c r="C8280" s="2" t="str">
        <f ca="1">IFERROR(__xludf.DUMMYFUNCTION("""COMPUTED_VALUE"""),"MILEI Solana")</f>
        <v>MILEI Solana</v>
      </c>
    </row>
    <row r="8281" spans="1:3" x14ac:dyDescent="0.25">
      <c r="A8281" s="2" t="str">
        <f ca="1">IFERROR(__xludf.DUMMYFUNCTION("""COMPUTED_VALUE"""),"milei-token")</f>
        <v>milei-token</v>
      </c>
      <c r="B8281" s="2" t="str">
        <f ca="1">IFERROR(__xludf.DUMMYFUNCTION("""COMPUTED_VALUE"""),"milei")</f>
        <v>milei</v>
      </c>
      <c r="C8281" s="2" t="str">
        <f ca="1">IFERROR(__xludf.DUMMYFUNCTION("""COMPUTED_VALUE"""),"MILEI Token")</f>
        <v>MILEI Token</v>
      </c>
    </row>
    <row r="8282" spans="1:3" x14ac:dyDescent="0.25">
      <c r="A8282" s="2" t="str">
        <f ca="1">IFERROR(__xludf.DUMMYFUNCTION("""COMPUTED_VALUE"""),"milestone-millions")</f>
        <v>milestone-millions</v>
      </c>
      <c r="B8282" s="2" t="str">
        <f ca="1">IFERROR(__xludf.DUMMYFUNCTION("""COMPUTED_VALUE"""),"msmil")</f>
        <v>msmil</v>
      </c>
      <c r="C8282" s="2" t="str">
        <f ca="1">IFERROR(__xludf.DUMMYFUNCTION("""COMPUTED_VALUE"""),"Milestone Millions")</f>
        <v>Milestone Millions</v>
      </c>
    </row>
    <row r="8283" spans="1:3" x14ac:dyDescent="0.25">
      <c r="A8283" s="2" t="str">
        <f ca="1">IFERROR(__xludf.DUMMYFUNCTION("""COMPUTED_VALUE"""),"mileverse")</f>
        <v>mileverse</v>
      </c>
      <c r="B8283" s="2" t="str">
        <f ca="1">IFERROR(__xludf.DUMMYFUNCTION("""COMPUTED_VALUE"""),"mvc")</f>
        <v>mvc</v>
      </c>
      <c r="C8283" s="2" t="str">
        <f ca="1">IFERROR(__xludf.DUMMYFUNCTION("""COMPUTED_VALUE"""),"MileVerse")</f>
        <v>MileVerse</v>
      </c>
    </row>
    <row r="8284" spans="1:3" x14ac:dyDescent="0.25">
      <c r="A8284" s="2" t="str">
        <f ca="1">IFERROR(__xludf.DUMMYFUNCTION("""COMPUTED_VALUE"""),"milk")</f>
        <v>milk</v>
      </c>
      <c r="B8284" s="2" t="str">
        <f ca="1">IFERROR(__xludf.DUMMYFUNCTION("""COMPUTED_VALUE"""),"milk")</f>
        <v>milk</v>
      </c>
      <c r="C8284" s="2" t="str">
        <f ca="1">IFERROR(__xludf.DUMMYFUNCTION("""COMPUTED_VALUE"""),"Cool Cats Milk")</f>
        <v>Cool Cats Milk</v>
      </c>
    </row>
    <row r="8285" spans="1:3" x14ac:dyDescent="0.25">
      <c r="A8285" s="2" t="str">
        <f ca="1">IFERROR(__xludf.DUMMYFUNCTION("""COMPUTED_VALUE"""),"milk-alliance")</f>
        <v>milk-alliance</v>
      </c>
      <c r="B8285" s="2" t="str">
        <f ca="1">IFERROR(__xludf.DUMMYFUNCTION("""COMPUTED_VALUE"""),"mlk")</f>
        <v>mlk</v>
      </c>
      <c r="C8285" s="2" t="str">
        <f ca="1">IFERROR(__xludf.DUMMYFUNCTION("""COMPUTED_VALUE"""),"MiL.k Alliance")</f>
        <v>MiL.k Alliance</v>
      </c>
    </row>
    <row r="8286" spans="1:3" x14ac:dyDescent="0.25">
      <c r="A8286" s="2" t="str">
        <f ca="1">IFERROR(__xludf.DUMMYFUNCTION("""COMPUTED_VALUE"""),"milkbag")</f>
        <v>milkbag</v>
      </c>
      <c r="B8286" s="2" t="str">
        <f ca="1">IFERROR(__xludf.DUMMYFUNCTION("""COMPUTED_VALUE"""),"milkbag")</f>
        <v>milkbag</v>
      </c>
      <c r="C8286" s="2" t="str">
        <f ca="1">IFERROR(__xludf.DUMMYFUNCTION("""COMPUTED_VALUE"""),"MILKBAG")</f>
        <v>MILKBAG</v>
      </c>
    </row>
    <row r="8287" spans="1:3" x14ac:dyDescent="0.25">
      <c r="A8287" s="2" t="str">
        <f ca="1">IFERROR(__xludf.DUMMYFUNCTION("""COMPUTED_VALUE"""),"milk-coin")</f>
        <v>milk-coin</v>
      </c>
      <c r="B8287" s="2" t="str">
        <f ca="1">IFERROR(__xludf.DUMMYFUNCTION("""COMPUTED_VALUE"""),"milk")</f>
        <v>milk</v>
      </c>
      <c r="C8287" s="2" t="str">
        <f ca="1">IFERROR(__xludf.DUMMYFUNCTION("""COMPUTED_VALUE"""),"MILK Coin")</f>
        <v>MILK Coin</v>
      </c>
    </row>
    <row r="8288" spans="1:3" x14ac:dyDescent="0.25">
      <c r="A8288" s="2" t="str">
        <f ca="1">IFERROR(__xludf.DUMMYFUNCTION("""COMPUTED_VALUE"""),"milkshakeswap")</f>
        <v>milkshakeswap</v>
      </c>
      <c r="B8288" s="2" t="str">
        <f ca="1">IFERROR(__xludf.DUMMYFUNCTION("""COMPUTED_VALUE"""),"milk")</f>
        <v>milk</v>
      </c>
      <c r="C8288" s="2" t="str">
        <f ca="1">IFERROR(__xludf.DUMMYFUNCTION("""COMPUTED_VALUE"""),"Milkshake Swap")</f>
        <v>Milkshake Swap</v>
      </c>
    </row>
    <row r="8289" spans="1:3" x14ac:dyDescent="0.25">
      <c r="A8289" s="2" t="str">
        <f ca="1">IFERROR(__xludf.DUMMYFUNCTION("""COMPUTED_VALUE"""),"milkyswap")</f>
        <v>milkyswap</v>
      </c>
      <c r="B8289" s="2" t="str">
        <f ca="1">IFERROR(__xludf.DUMMYFUNCTION("""COMPUTED_VALUE"""),"milky")</f>
        <v>milky</v>
      </c>
      <c r="C8289" s="2" t="str">
        <f ca="1">IFERROR(__xludf.DUMMYFUNCTION("""COMPUTED_VALUE"""),"MilkySwap")</f>
        <v>MilkySwap</v>
      </c>
    </row>
    <row r="8290" spans="1:3" x14ac:dyDescent="0.25">
      <c r="A8290" s="2" t="str">
        <f ca="1">IFERROR(__xludf.DUMMYFUNCTION("""COMPUTED_VALUE"""),"milkyway-staked-tia")</f>
        <v>milkyway-staked-tia</v>
      </c>
      <c r="B8290" s="2" t="str">
        <f ca="1">IFERROR(__xludf.DUMMYFUNCTION("""COMPUTED_VALUE"""),"milktia")</f>
        <v>milktia</v>
      </c>
      <c r="C8290" s="2" t="str">
        <f ca="1">IFERROR(__xludf.DUMMYFUNCTION("""COMPUTED_VALUE"""),"MilkyWay Staked TIA")</f>
        <v>MilkyWay Staked TIA</v>
      </c>
    </row>
    <row r="8291" spans="1:3" x14ac:dyDescent="0.25">
      <c r="A8291" s="2" t="str">
        <f ca="1">IFERROR(__xludf.DUMMYFUNCTION("""COMPUTED_VALUE"""),"mille-chain")</f>
        <v>mille-chain</v>
      </c>
      <c r="B8291" s="2" t="str">
        <f ca="1">IFERROR(__xludf.DUMMYFUNCTION("""COMPUTED_VALUE"""),"mille")</f>
        <v>mille</v>
      </c>
      <c r="C8291" s="2" t="str">
        <f ca="1">IFERROR(__xludf.DUMMYFUNCTION("""COMPUTED_VALUE"""),"MILLE CHAIN")</f>
        <v>MILLE CHAIN</v>
      </c>
    </row>
    <row r="8292" spans="1:3" x14ac:dyDescent="0.25">
      <c r="A8292" s="2" t="str">
        <f ca="1">IFERROR(__xludf.DUMMYFUNCTION("""COMPUTED_VALUE"""),"milleniumsweghunter69")</f>
        <v>milleniumsweghunter69</v>
      </c>
      <c r="B8292" s="2" t="str">
        <f ca="1">IFERROR(__xludf.DUMMYFUNCTION("""COMPUTED_VALUE"""),"sweg69")</f>
        <v>sweg69</v>
      </c>
      <c r="C8292" s="2" t="str">
        <f ca="1">IFERROR(__xludf.DUMMYFUNCTION("""COMPUTED_VALUE"""),"milleniumsweghunter69")</f>
        <v>milleniumsweghunter69</v>
      </c>
    </row>
    <row r="8293" spans="1:3" x14ac:dyDescent="0.25">
      <c r="A8293" s="2" t="str">
        <f ca="1">IFERROR(__xludf.DUMMYFUNCTION("""COMPUTED_VALUE"""),"millenniumclub")</f>
        <v>millenniumclub</v>
      </c>
      <c r="B8293" s="2" t="str">
        <f ca="1">IFERROR(__xludf.DUMMYFUNCTION("""COMPUTED_VALUE"""),"mclb")</f>
        <v>mclb</v>
      </c>
      <c r="C8293" s="2" t="str">
        <f ca="1">IFERROR(__xludf.DUMMYFUNCTION("""COMPUTED_VALUE"""),"MillenniumClub Coin [OLD]")</f>
        <v>MillenniumClub Coin [OLD]</v>
      </c>
    </row>
    <row r="8294" spans="1:3" x14ac:dyDescent="0.25">
      <c r="A8294" s="2" t="str">
        <f ca="1">IFERROR(__xludf.DUMMYFUNCTION("""COMPUTED_VALUE"""),"millenniumclub-coin-new")</f>
        <v>millenniumclub-coin-new</v>
      </c>
      <c r="B8294" s="2" t="str">
        <f ca="1">IFERROR(__xludf.DUMMYFUNCTION("""COMPUTED_VALUE"""),"mclb")</f>
        <v>mclb</v>
      </c>
      <c r="C8294" s="2" t="str">
        <f ca="1">IFERROR(__xludf.DUMMYFUNCTION("""COMPUTED_VALUE"""),"MillenniumClub Coin [NEW]")</f>
        <v>MillenniumClub Coin [NEW]</v>
      </c>
    </row>
    <row r="8295" spans="1:3" x14ac:dyDescent="0.25">
      <c r="A8295" s="2" t="str">
        <f ca="1">IFERROR(__xludf.DUMMYFUNCTION("""COMPUTED_VALUE"""),"millennium-club-staked-ftm")</f>
        <v>millennium-club-staked-ftm</v>
      </c>
      <c r="B8295" s="2" t="str">
        <f ca="1">IFERROR(__xludf.DUMMYFUNCTION("""COMPUTED_VALUE"""),"mftm")</f>
        <v>mftm</v>
      </c>
      <c r="C8295" s="2" t="str">
        <f ca="1">IFERROR(__xludf.DUMMYFUNCTION("""COMPUTED_VALUE"""),"Millennium Club Staked FTM")</f>
        <v>Millennium Club Staked FTM</v>
      </c>
    </row>
    <row r="8296" spans="1:3" x14ac:dyDescent="0.25">
      <c r="A8296" s="2" t="str">
        <f ca="1">IFERROR(__xludf.DUMMYFUNCTION("""COMPUTED_VALUE"""),"milli-coin")</f>
        <v>milli-coin</v>
      </c>
      <c r="B8296" s="2" t="str">
        <f ca="1">IFERROR(__xludf.DUMMYFUNCTION("""COMPUTED_VALUE"""),"milli")</f>
        <v>milli</v>
      </c>
      <c r="C8296" s="2" t="str">
        <f ca="1">IFERROR(__xludf.DUMMYFUNCTION("""COMPUTED_VALUE"""),"MILLI")</f>
        <v>MILLI</v>
      </c>
    </row>
    <row r="8297" spans="1:3" x14ac:dyDescent="0.25">
      <c r="A8297" s="2" t="str">
        <f ca="1">IFERROR(__xludf.DUMMYFUNCTION("""COMPUTED_VALUE"""),"millimeter")</f>
        <v>millimeter</v>
      </c>
      <c r="B8297" s="2" t="str">
        <f ca="1">IFERROR(__xludf.DUMMYFUNCTION("""COMPUTED_VALUE"""),"mm")</f>
        <v>mm</v>
      </c>
      <c r="C8297" s="2" t="str">
        <f ca="1">IFERROR(__xludf.DUMMYFUNCTION("""COMPUTED_VALUE"""),"Millimeter")</f>
        <v>Millimeter</v>
      </c>
    </row>
    <row r="8298" spans="1:3" x14ac:dyDescent="0.25">
      <c r="A8298" s="2" t="str">
        <f ca="1">IFERROR(__xludf.DUMMYFUNCTION("""COMPUTED_VALUE"""),"million")</f>
        <v>million</v>
      </c>
      <c r="B8298" s="2" t="str">
        <f ca="1">IFERROR(__xludf.DUMMYFUNCTION("""COMPUTED_VALUE"""),"mm")</f>
        <v>mm</v>
      </c>
      <c r="C8298" s="2" t="str">
        <f ca="1">IFERROR(__xludf.DUMMYFUNCTION("""COMPUTED_VALUE"""),"Million")</f>
        <v>Million</v>
      </c>
    </row>
    <row r="8299" spans="1:3" x14ac:dyDescent="0.25">
      <c r="A8299" s="2" t="str">
        <f ca="1">IFERROR(__xludf.DUMMYFUNCTION("""COMPUTED_VALUE"""),"million-monke")</f>
        <v>million-monke</v>
      </c>
      <c r="B8299" s="2" t="str">
        <f ca="1">IFERROR(__xludf.DUMMYFUNCTION("""COMPUTED_VALUE"""),"mimo")</f>
        <v>mimo</v>
      </c>
      <c r="C8299" s="2" t="str">
        <f ca="1">IFERROR(__xludf.DUMMYFUNCTION("""COMPUTED_VALUE"""),"Million Monke")</f>
        <v>Million Monke</v>
      </c>
    </row>
    <row r="8300" spans="1:3" x14ac:dyDescent="0.25">
      <c r="A8300" s="2" t="str">
        <f ca="1">IFERROR(__xludf.DUMMYFUNCTION("""COMPUTED_VALUE"""),"millonarios-fc-fan-token")</f>
        <v>millonarios-fc-fan-token</v>
      </c>
      <c r="B8300" s="2" t="str">
        <f ca="1">IFERROR(__xludf.DUMMYFUNCTION("""COMPUTED_VALUE"""),"mfc")</f>
        <v>mfc</v>
      </c>
      <c r="C8300" s="2" t="str">
        <f ca="1">IFERROR(__xludf.DUMMYFUNCTION("""COMPUTED_VALUE"""),"Millonarios FC Fan Token")</f>
        <v>Millonarios FC Fan Token</v>
      </c>
    </row>
    <row r="8301" spans="1:3" x14ac:dyDescent="0.25">
      <c r="A8301" s="2" t="str">
        <f ca="1">IFERROR(__xludf.DUMMYFUNCTION("""COMPUTED_VALUE"""),"milo")</f>
        <v>milo</v>
      </c>
      <c r="B8301" s="2" t="str">
        <f ca="1">IFERROR(__xludf.DUMMYFUNCTION("""COMPUTED_VALUE"""),"milo")</f>
        <v>milo</v>
      </c>
      <c r="C8301" s="2" t="str">
        <f ca="1">IFERROR(__xludf.DUMMYFUNCTION("""COMPUTED_VALUE"""),"MILO")</f>
        <v>MILO</v>
      </c>
    </row>
    <row r="8302" spans="1:3" x14ac:dyDescent="0.25">
      <c r="A8302" s="2" t="str">
        <f ca="1">IFERROR(__xludf.DUMMYFUNCTION("""COMPUTED_VALUE"""),"milo-2")</f>
        <v>milo-2</v>
      </c>
      <c r="B8302" s="2" t="str">
        <f ca="1">IFERROR(__xludf.DUMMYFUNCTION("""COMPUTED_VALUE"""),"milo")</f>
        <v>milo</v>
      </c>
      <c r="C8302" s="2" t="str">
        <f ca="1">IFERROR(__xludf.DUMMYFUNCTION("""COMPUTED_VALUE"""),"MILO")</f>
        <v>MILO</v>
      </c>
    </row>
    <row r="8303" spans="1:3" x14ac:dyDescent="0.25">
      <c r="A8303" s="2" t="str">
        <f ca="1">IFERROR(__xludf.DUMMYFUNCTION("""COMPUTED_VALUE"""),"milo-dog")</f>
        <v>milo-dog</v>
      </c>
      <c r="B8303" s="2" t="str">
        <f ca="1">IFERROR(__xludf.DUMMYFUNCTION("""COMPUTED_VALUE"""),"milo dog")</f>
        <v>milo dog</v>
      </c>
      <c r="C8303" s="2" t="str">
        <f ca="1">IFERROR(__xludf.DUMMYFUNCTION("""COMPUTED_VALUE"""),"MILO DOG")</f>
        <v>MILO DOG</v>
      </c>
    </row>
    <row r="8304" spans="1:3" x14ac:dyDescent="0.25">
      <c r="A8304" s="2" t="str">
        <f ca="1">IFERROR(__xludf.DUMMYFUNCTION("""COMPUTED_VALUE"""),"milo-inu")</f>
        <v>milo-inu</v>
      </c>
      <c r="B8304" s="2" t="str">
        <f ca="1">IFERROR(__xludf.DUMMYFUNCTION("""COMPUTED_VALUE"""),"milo")</f>
        <v>milo</v>
      </c>
      <c r="C8304" s="2" t="str">
        <f ca="1">IFERROR(__xludf.DUMMYFUNCTION("""COMPUTED_VALUE"""),"Milo Inu")</f>
        <v>Milo Inu</v>
      </c>
    </row>
    <row r="8305" spans="1:3" x14ac:dyDescent="0.25">
      <c r="A8305" s="2" t="str">
        <f ca="1">IFERROR(__xludf.DUMMYFUNCTION("""COMPUTED_VALUE"""),"mimany")</f>
        <v>mimany</v>
      </c>
      <c r="B8305" s="2" t="str">
        <f ca="1">IFERROR(__xludf.DUMMYFUNCTION("""COMPUTED_VALUE"""),"mimany")</f>
        <v>mimany</v>
      </c>
      <c r="C8305" s="2" t="str">
        <f ca="1">IFERROR(__xludf.DUMMYFUNCTION("""COMPUTED_VALUE"""),"MIMANY")</f>
        <v>MIMANY</v>
      </c>
    </row>
    <row r="8306" spans="1:3" x14ac:dyDescent="0.25">
      <c r="A8306" s="2" t="str">
        <f ca="1">IFERROR(__xludf.DUMMYFUNCTION("""COMPUTED_VALUE"""),"mimas-finance")</f>
        <v>mimas-finance</v>
      </c>
      <c r="B8306" s="2" t="str">
        <f ca="1">IFERROR(__xludf.DUMMYFUNCTION("""COMPUTED_VALUE"""),"mimas")</f>
        <v>mimas</v>
      </c>
      <c r="C8306" s="2" t="str">
        <f ca="1">IFERROR(__xludf.DUMMYFUNCTION("""COMPUTED_VALUE"""),"Mimas Finance")</f>
        <v>Mimas Finance</v>
      </c>
    </row>
    <row r="8307" spans="1:3" x14ac:dyDescent="0.25">
      <c r="A8307" s="2" t="str">
        <f ca="1">IFERROR(__xludf.DUMMYFUNCTION("""COMPUTED_VALUE"""),"mimatic")</f>
        <v>mimatic</v>
      </c>
      <c r="B8307" s="2" t="str">
        <f ca="1">IFERROR(__xludf.DUMMYFUNCTION("""COMPUTED_VALUE"""),"mimatic")</f>
        <v>mimatic</v>
      </c>
      <c r="C8307" s="2" t="str">
        <f ca="1">IFERROR(__xludf.DUMMYFUNCTION("""COMPUTED_VALUE"""),"MAI")</f>
        <v>MAI</v>
      </c>
    </row>
    <row r="8308" spans="1:3" x14ac:dyDescent="0.25">
      <c r="A8308" s="2" t="str">
        <f ca="1">IFERROR(__xludf.DUMMYFUNCTION("""COMPUTED_VALUE"""),"mimblewimblecoin")</f>
        <v>mimblewimblecoin</v>
      </c>
      <c r="B8308" s="2" t="str">
        <f ca="1">IFERROR(__xludf.DUMMYFUNCTION("""COMPUTED_VALUE"""),"mwc")</f>
        <v>mwc</v>
      </c>
      <c r="C8308" s="2" t="str">
        <f ca="1">IFERROR(__xludf.DUMMYFUNCTION("""COMPUTED_VALUE"""),"MimbleWimbleCoin")</f>
        <v>MimbleWimbleCoin</v>
      </c>
    </row>
    <row r="8309" spans="1:3" x14ac:dyDescent="0.25">
      <c r="A8309" s="2" t="str">
        <f ca="1">IFERROR(__xludf.DUMMYFUNCTION("""COMPUTED_VALUE"""),"mimbo")</f>
        <v>mimbo</v>
      </c>
      <c r="B8309" s="2" t="str">
        <f ca="1">IFERROR(__xludf.DUMMYFUNCTION("""COMPUTED_VALUE"""),"mimbo")</f>
        <v>mimbo</v>
      </c>
      <c r="C8309" s="2" t="str">
        <f ca="1">IFERROR(__xludf.DUMMYFUNCTION("""COMPUTED_VALUE"""),"Mimbo")</f>
        <v>Mimbo</v>
      </c>
    </row>
    <row r="8310" spans="1:3" x14ac:dyDescent="0.25">
      <c r="A8310" s="2" t="str">
        <f ca="1">IFERROR(__xludf.DUMMYFUNCTION("""COMPUTED_VALUE"""),"mimir-token")</f>
        <v>mimir-token</v>
      </c>
      <c r="B8310" s="2" t="str">
        <f ca="1">IFERROR(__xludf.DUMMYFUNCTION("""COMPUTED_VALUE"""),"mimir")</f>
        <v>mimir</v>
      </c>
      <c r="C8310" s="2" t="str">
        <f ca="1">IFERROR(__xludf.DUMMYFUNCTION("""COMPUTED_VALUE"""),"Mimir")</f>
        <v>Mimir</v>
      </c>
    </row>
    <row r="8311" spans="1:3" x14ac:dyDescent="0.25">
      <c r="A8311" s="2" t="str">
        <f ca="1">IFERROR(__xludf.DUMMYFUNCTION("""COMPUTED_VALUE"""),"mimo-parallel-governance-token")</f>
        <v>mimo-parallel-governance-token</v>
      </c>
      <c r="B8311" s="2" t="str">
        <f ca="1">IFERROR(__xludf.DUMMYFUNCTION("""COMPUTED_VALUE"""),"mimo")</f>
        <v>mimo</v>
      </c>
      <c r="C8311" s="2" t="str">
        <f ca="1">IFERROR(__xludf.DUMMYFUNCTION("""COMPUTED_VALUE"""),"Mimo Governance")</f>
        <v>Mimo Governance</v>
      </c>
    </row>
    <row r="8312" spans="1:3" x14ac:dyDescent="0.25">
      <c r="A8312" s="2" t="str">
        <f ca="1">IFERROR(__xludf.DUMMYFUNCTION("""COMPUTED_VALUE"""),"mina-protocol")</f>
        <v>mina-protocol</v>
      </c>
      <c r="B8312" s="2" t="str">
        <f ca="1">IFERROR(__xludf.DUMMYFUNCTION("""COMPUTED_VALUE"""),"mina")</f>
        <v>mina</v>
      </c>
      <c r="C8312" s="2" t="str">
        <f ca="1">IFERROR(__xludf.DUMMYFUNCTION("""COMPUTED_VALUE"""),"Mina Protocol")</f>
        <v>Mina Protocol</v>
      </c>
    </row>
    <row r="8313" spans="1:3" x14ac:dyDescent="0.25">
      <c r="A8313" s="2" t="str">
        <f ca="1">IFERROR(__xludf.DUMMYFUNCTION("""COMPUTED_VALUE"""),"minativerse")</f>
        <v>minativerse</v>
      </c>
      <c r="B8313" s="2" t="str">
        <f ca="1">IFERROR(__xludf.DUMMYFUNCTION("""COMPUTED_VALUE"""),"mntc")</f>
        <v>mntc</v>
      </c>
      <c r="C8313" s="2" t="str">
        <f ca="1">IFERROR(__xludf.DUMMYFUNCTION("""COMPUTED_VALUE"""),"MINATIVERSE")</f>
        <v>MINATIVERSE</v>
      </c>
    </row>
    <row r="8314" spans="1:3" x14ac:dyDescent="0.25">
      <c r="A8314" s="2" t="str">
        <f ca="1">IFERROR(__xludf.DUMMYFUNCTION("""COMPUTED_VALUE"""),"minato")</f>
        <v>minato</v>
      </c>
      <c r="B8314" s="2" t="str">
        <f ca="1">IFERROR(__xludf.DUMMYFUNCTION("""COMPUTED_VALUE"""),"mnto")</f>
        <v>mnto</v>
      </c>
      <c r="C8314" s="2" t="str">
        <f ca="1">IFERROR(__xludf.DUMMYFUNCTION("""COMPUTED_VALUE"""),"Minato")</f>
        <v>Minato</v>
      </c>
    </row>
    <row r="8315" spans="1:3" x14ac:dyDescent="0.25">
      <c r="A8315" s="2" t="str">
        <f ca="1">IFERROR(__xludf.DUMMYFUNCTION("""COMPUTED_VALUE"""),"mindai")</f>
        <v>mindai</v>
      </c>
      <c r="B8315" s="2" t="str">
        <f ca="1">IFERROR(__xludf.DUMMYFUNCTION("""COMPUTED_VALUE"""),"mdai")</f>
        <v>mdai</v>
      </c>
      <c r="C8315" s="2" t="str">
        <f ca="1">IFERROR(__xludf.DUMMYFUNCTION("""COMPUTED_VALUE"""),"MindAI")</f>
        <v>MindAI</v>
      </c>
    </row>
    <row r="8316" spans="1:3" x14ac:dyDescent="0.25">
      <c r="A8316" s="2" t="str">
        <f ca="1">IFERROR(__xludf.DUMMYFUNCTION("""COMPUTED_VALUE"""),"mindcoin-2")</f>
        <v>mindcoin-2</v>
      </c>
      <c r="B8316" s="2" t="str">
        <f ca="1">IFERROR(__xludf.DUMMYFUNCTION("""COMPUTED_VALUE"""),"mind")</f>
        <v>mind</v>
      </c>
      <c r="C8316" s="2" t="str">
        <f ca="1">IFERROR(__xludf.DUMMYFUNCTION("""COMPUTED_VALUE"""),"MindCoin")</f>
        <v>MindCoin</v>
      </c>
    </row>
    <row r="8317" spans="1:3" x14ac:dyDescent="0.25">
      <c r="A8317" s="2" t="str">
        <f ca="1">IFERROR(__xludf.DUMMYFUNCTION("""COMPUTED_VALUE"""),"mind-games-cortex")</f>
        <v>mind-games-cortex</v>
      </c>
      <c r="B8317" s="2" t="str">
        <f ca="1">IFERROR(__xludf.DUMMYFUNCTION("""COMPUTED_VALUE"""),"crx")</f>
        <v>crx</v>
      </c>
      <c r="C8317" s="2" t="str">
        <f ca="1">IFERROR(__xludf.DUMMYFUNCTION("""COMPUTED_VALUE"""),"MIND Games CORTEX")</f>
        <v>MIND Games CORTEX</v>
      </c>
    </row>
    <row r="8318" spans="1:3" x14ac:dyDescent="0.25">
      <c r="A8318" s="2" t="str">
        <f ca="1">IFERROR(__xludf.DUMMYFUNCTION("""COMPUTED_VALUE"""),"mind-language")</f>
        <v>mind-language</v>
      </c>
      <c r="B8318" s="2" t="str">
        <f ca="1">IFERROR(__xludf.DUMMYFUNCTION("""COMPUTED_VALUE"""),"mnd")</f>
        <v>mnd</v>
      </c>
      <c r="C8318" s="2" t="str">
        <f ca="1">IFERROR(__xludf.DUMMYFUNCTION("""COMPUTED_VALUE"""),"Mind")</f>
        <v>Mind</v>
      </c>
    </row>
    <row r="8319" spans="1:3" x14ac:dyDescent="0.25">
      <c r="A8319" s="2" t="str">
        <f ca="1">IFERROR(__xludf.DUMMYFUNCTION("""COMPUTED_VALUE"""),"mind-matrix")</f>
        <v>mind-matrix</v>
      </c>
      <c r="B8319" s="2" t="str">
        <f ca="1">IFERROR(__xludf.DUMMYFUNCTION("""COMPUTED_VALUE"""),"aimx")</f>
        <v>aimx</v>
      </c>
      <c r="C8319" s="2" t="str">
        <f ca="1">IFERROR(__xludf.DUMMYFUNCTION("""COMPUTED_VALUE"""),"Mind Matrix")</f>
        <v>Mind Matrix</v>
      </c>
    </row>
    <row r="8320" spans="1:3" x14ac:dyDescent="0.25">
      <c r="A8320" s="2" t="str">
        <f ca="1">IFERROR(__xludf.DUMMYFUNCTION("""COMPUTED_VALUE"""),"minds")</f>
        <v>minds</v>
      </c>
      <c r="B8320" s="2" t="str">
        <f ca="1">IFERROR(__xludf.DUMMYFUNCTION("""COMPUTED_VALUE"""),"minds")</f>
        <v>minds</v>
      </c>
      <c r="C8320" s="2" t="str">
        <f ca="1">IFERROR(__xludf.DUMMYFUNCTION("""COMPUTED_VALUE"""),"Minds")</f>
        <v>Minds</v>
      </c>
    </row>
    <row r="8321" spans="1:3" x14ac:dyDescent="0.25">
      <c r="A8321" s="2" t="str">
        <f ca="1">IFERROR(__xludf.DUMMYFUNCTION("""COMPUTED_VALUE"""),"mindverse")</f>
        <v>mindverse</v>
      </c>
      <c r="B8321" s="2" t="str">
        <f ca="1">IFERROR(__xludf.DUMMYFUNCTION("""COMPUTED_VALUE"""),"mverse")</f>
        <v>mverse</v>
      </c>
      <c r="C8321" s="2" t="str">
        <f ca="1">IFERROR(__xludf.DUMMYFUNCTION("""COMPUTED_VALUE"""),"MindVerse")</f>
        <v>MindVerse</v>
      </c>
    </row>
    <row r="8322" spans="1:3" x14ac:dyDescent="0.25">
      <c r="A8322" s="2" t="str">
        <f ca="1">IFERROR(__xludf.DUMMYFUNCTION("""COMPUTED_VALUE"""),"mineable")</f>
        <v>mineable</v>
      </c>
      <c r="B8322" s="2" t="str">
        <f ca="1">IFERROR(__xludf.DUMMYFUNCTION("""COMPUTED_VALUE"""),"mnb")</f>
        <v>mnb</v>
      </c>
      <c r="C8322" s="2" t="str">
        <f ca="1">IFERROR(__xludf.DUMMYFUNCTION("""COMPUTED_VALUE"""),"Mineable")</f>
        <v>Mineable</v>
      </c>
    </row>
    <row r="8323" spans="1:3" x14ac:dyDescent="0.25">
      <c r="A8323" s="2" t="str">
        <f ca="1">IFERROR(__xludf.DUMMYFUNCTION("""COMPUTED_VALUE"""),"mine-ai")</f>
        <v>mine-ai</v>
      </c>
      <c r="B8323" s="2" t="str">
        <f ca="1">IFERROR(__xludf.DUMMYFUNCTION("""COMPUTED_VALUE"""),"mai")</f>
        <v>mai</v>
      </c>
      <c r="C8323" s="2" t="str">
        <f ca="1">IFERROR(__xludf.DUMMYFUNCTION("""COMPUTED_VALUE"""),"Mine AI")</f>
        <v>Mine AI</v>
      </c>
    </row>
    <row r="8324" spans="1:3" x14ac:dyDescent="0.25">
      <c r="A8324" s="2" t="str">
        <f ca="1">IFERROR(__xludf.DUMMYFUNCTION("""COMPUTED_VALUE"""),"minebase")</f>
        <v>minebase</v>
      </c>
      <c r="B8324" s="2" t="str">
        <f ca="1">IFERROR(__xludf.DUMMYFUNCTION("""COMPUTED_VALUE"""),"mbase")</f>
        <v>mbase</v>
      </c>
      <c r="C8324" s="2" t="str">
        <f ca="1">IFERROR(__xludf.DUMMYFUNCTION("""COMPUTED_VALUE"""),"Minebase")</f>
        <v>Minebase</v>
      </c>
    </row>
    <row r="8325" spans="1:3" x14ac:dyDescent="0.25">
      <c r="A8325" s="2" t="str">
        <f ca="1">IFERROR(__xludf.DUMMYFUNCTION("""COMPUTED_VALUE"""),"minelab")</f>
        <v>minelab</v>
      </c>
      <c r="B8325" s="2" t="str">
        <f ca="1">IFERROR(__xludf.DUMMYFUNCTION("""COMPUTED_VALUE"""),"melb")</f>
        <v>melb</v>
      </c>
      <c r="C8325" s="2" t="str">
        <f ca="1">IFERROR(__xludf.DUMMYFUNCTION("""COMPUTED_VALUE"""),"Minelab")</f>
        <v>Minelab</v>
      </c>
    </row>
    <row r="8326" spans="1:3" x14ac:dyDescent="0.25">
      <c r="A8326" s="2" t="str">
        <f ca="1">IFERROR(__xludf.DUMMYFUNCTION("""COMPUTED_VALUE"""),"mineral")</f>
        <v>mineral</v>
      </c>
      <c r="B8326" s="2" t="str">
        <f ca="1">IFERROR(__xludf.DUMMYFUNCTION("""COMPUTED_VALUE"""),"mnr")</f>
        <v>mnr</v>
      </c>
      <c r="C8326" s="2" t="str">
        <f ca="1">IFERROR(__xludf.DUMMYFUNCTION("""COMPUTED_VALUE"""),"Mineral")</f>
        <v>Mineral</v>
      </c>
    </row>
    <row r="8327" spans="1:3" x14ac:dyDescent="0.25">
      <c r="A8327" s="2" t="str">
        <f ca="1">IFERROR(__xludf.DUMMYFUNCTION("""COMPUTED_VALUE"""),"mineral-token")</f>
        <v>mineral-token</v>
      </c>
      <c r="B8327" s="2" t="str">
        <f ca="1">IFERROR(__xludf.DUMMYFUNCTION("""COMPUTED_VALUE"""),"mxtk")</f>
        <v>mxtk</v>
      </c>
      <c r="C8327" s="2" t="str">
        <f ca="1">IFERROR(__xludf.DUMMYFUNCTION("""COMPUTED_VALUE"""),"Mineral Token")</f>
        <v>Mineral Token</v>
      </c>
    </row>
    <row r="8328" spans="1:3" x14ac:dyDescent="0.25">
      <c r="A8328" s="2" t="str">
        <f ca="1">IFERROR(__xludf.DUMMYFUNCTION("""COMPUTED_VALUE"""),"miner-arena")</f>
        <v>miner-arena</v>
      </c>
      <c r="B8328" s="2" t="str">
        <f ca="1">IFERROR(__xludf.DUMMYFUNCTION("""COMPUTED_VALUE"""),"minar")</f>
        <v>minar</v>
      </c>
      <c r="C8328" s="2" t="str">
        <f ca="1">IFERROR(__xludf.DUMMYFUNCTION("""COMPUTED_VALUE"""),"Miner Arena")</f>
        <v>Miner Arena</v>
      </c>
    </row>
    <row r="8329" spans="1:3" x14ac:dyDescent="0.25">
      <c r="A8329" s="2" t="str">
        <f ca="1">IFERROR(__xludf.DUMMYFUNCTION("""COMPUTED_VALUE"""),"minerva-wallet")</f>
        <v>minerva-wallet</v>
      </c>
      <c r="B8329" s="2" t="str">
        <f ca="1">IFERROR(__xludf.DUMMYFUNCTION("""COMPUTED_VALUE"""),"miva")</f>
        <v>miva</v>
      </c>
      <c r="C8329" s="2" t="str">
        <f ca="1">IFERROR(__xludf.DUMMYFUNCTION("""COMPUTED_VALUE"""),"Minerva Wallet")</f>
        <v>Minerva Wallet</v>
      </c>
    </row>
    <row r="8330" spans="1:3" x14ac:dyDescent="0.25">
      <c r="A8330" s="2" t="str">
        <f ca="1">IFERROR(__xludf.DUMMYFUNCTION("""COMPUTED_VALUE"""),"mineshield")</f>
        <v>mineshield</v>
      </c>
      <c r="B8330" s="2" t="str">
        <f ca="1">IFERROR(__xludf.DUMMYFUNCTION("""COMPUTED_VALUE"""),"mns")</f>
        <v>mns</v>
      </c>
      <c r="C8330" s="2" t="str">
        <f ca="1">IFERROR(__xludf.DUMMYFUNCTION("""COMPUTED_VALUE"""),"Mineshield")</f>
        <v>Mineshield</v>
      </c>
    </row>
    <row r="8331" spans="1:3" x14ac:dyDescent="0.25">
      <c r="A8331" s="2" t="str">
        <f ca="1">IFERROR(__xludf.DUMMYFUNCTION("""COMPUTED_VALUE"""),"mines-of-dalarnia")</f>
        <v>mines-of-dalarnia</v>
      </c>
      <c r="B8331" s="2" t="str">
        <f ca="1">IFERROR(__xludf.DUMMYFUNCTION("""COMPUTED_VALUE"""),"dar")</f>
        <v>dar</v>
      </c>
      <c r="C8331" s="2" t="str">
        <f ca="1">IFERROR(__xludf.DUMMYFUNCTION("""COMPUTED_VALUE"""),"Mines of Dalarnia")</f>
        <v>Mines of Dalarnia</v>
      </c>
    </row>
    <row r="8332" spans="1:3" x14ac:dyDescent="0.25">
      <c r="A8332" s="2" t="str">
        <f ca="1">IFERROR(__xludf.DUMMYFUNCTION("""COMPUTED_VALUE"""),"mini")</f>
        <v>mini</v>
      </c>
      <c r="B8332" s="2" t="str">
        <f ca="1">IFERROR(__xludf.DUMMYFUNCTION("""COMPUTED_VALUE"""),"mini")</f>
        <v>mini</v>
      </c>
      <c r="C8332" s="2" t="str">
        <f ca="1">IFERROR(__xludf.DUMMYFUNCTION("""COMPUTED_VALUE"""),"Mini")</f>
        <v>Mini</v>
      </c>
    </row>
    <row r="8333" spans="1:3" x14ac:dyDescent="0.25">
      <c r="A8333" s="2" t="str">
        <f ca="1">IFERROR(__xludf.DUMMYFUNCTION("""COMPUTED_VALUE"""),"mini-donald")</f>
        <v>mini-donald</v>
      </c>
      <c r="B8333" s="2" t="str">
        <f ca="1">IFERROR(__xludf.DUMMYFUNCTION("""COMPUTED_VALUE"""),"barron")</f>
        <v>barron</v>
      </c>
      <c r="C8333" s="2" t="str">
        <f ca="1">IFERROR(__xludf.DUMMYFUNCTION("""COMPUTED_VALUE"""),"Mini Donald")</f>
        <v>Mini Donald</v>
      </c>
    </row>
    <row r="8334" spans="1:3" x14ac:dyDescent="0.25">
      <c r="A8334" s="2" t="str">
        <f ca="1">IFERROR(__xludf.DUMMYFUNCTION("""COMPUTED_VALUE"""),"minima")</f>
        <v>minima</v>
      </c>
      <c r="B8334" s="2" t="str">
        <f ca="1">IFERROR(__xludf.DUMMYFUNCTION("""COMPUTED_VALUE"""),"minima")</f>
        <v>minima</v>
      </c>
      <c r="C8334" s="2" t="str">
        <f ca="1">IFERROR(__xludf.DUMMYFUNCTION("""COMPUTED_VALUE"""),"Minima")</f>
        <v>Minima</v>
      </c>
    </row>
    <row r="8335" spans="1:3" x14ac:dyDescent="0.25">
      <c r="A8335" s="2" t="str">
        <f ca="1">IFERROR(__xludf.DUMMYFUNCTION("""COMPUTED_VALUE"""),"minimini")</f>
        <v>minimini</v>
      </c>
      <c r="B8335" s="2" t="str">
        <f ca="1">IFERROR(__xludf.DUMMYFUNCTION("""COMPUTED_VALUE"""),"mini")</f>
        <v>mini</v>
      </c>
      <c r="C8335" s="2" t="str">
        <f ca="1">IFERROR(__xludf.DUMMYFUNCTION("""COMPUTED_VALUE"""),"mini")</f>
        <v>mini</v>
      </c>
    </row>
    <row r="8336" spans="1:3" x14ac:dyDescent="0.25">
      <c r="A8336" s="2" t="str">
        <f ca="1">IFERROR(__xludf.DUMMYFUNCTION("""COMPUTED_VALUE"""),"minky")</f>
        <v>minky</v>
      </c>
      <c r="B8336" s="2" t="str">
        <f ca="1">IFERROR(__xludf.DUMMYFUNCTION("""COMPUTED_VALUE"""),"minky")</f>
        <v>minky</v>
      </c>
      <c r="C8336" s="2" t="str">
        <f ca="1">IFERROR(__xludf.DUMMYFUNCTION("""COMPUTED_VALUE"""),"MINKY")</f>
        <v>MINKY</v>
      </c>
    </row>
    <row r="8337" spans="1:3" x14ac:dyDescent="0.25">
      <c r="A8337" s="2" t="str">
        <f ca="1">IFERROR(__xludf.DUMMYFUNCTION("""COMPUTED_VALUE"""),"minswap")</f>
        <v>minswap</v>
      </c>
      <c r="B8337" s="2" t="str">
        <f ca="1">IFERROR(__xludf.DUMMYFUNCTION("""COMPUTED_VALUE"""),"min")</f>
        <v>min</v>
      </c>
      <c r="C8337" s="2" t="str">
        <f ca="1">IFERROR(__xludf.DUMMYFUNCTION("""COMPUTED_VALUE"""),"Minswap")</f>
        <v>Minswap</v>
      </c>
    </row>
    <row r="8338" spans="1:3" x14ac:dyDescent="0.25">
      <c r="A8338" s="2" t="str">
        <f ca="1">IFERROR(__xludf.DUMMYFUNCTION("""COMPUTED_VALUE"""),"mintchain-bridged-weth-mint")</f>
        <v>mintchain-bridged-weth-mint</v>
      </c>
      <c r="B8338" s="2" t="str">
        <f ca="1">IFERROR(__xludf.DUMMYFUNCTION("""COMPUTED_VALUE"""),"weth")</f>
        <v>weth</v>
      </c>
      <c r="C8338" s="2" t="str">
        <f ca="1">IFERROR(__xludf.DUMMYFUNCTION("""COMPUTED_VALUE"""),"Mintchain Bridged WETH (Mint)")</f>
        <v>Mintchain Bridged WETH (Mint)</v>
      </c>
    </row>
    <row r="8339" spans="1:3" x14ac:dyDescent="0.25">
      <c r="A8339" s="2" t="str">
        <f ca="1">IFERROR(__xludf.DUMMYFUNCTION("""COMPUTED_VALUE"""),"mint-club")</f>
        <v>mint-club</v>
      </c>
      <c r="B8339" s="2" t="str">
        <f ca="1">IFERROR(__xludf.DUMMYFUNCTION("""COMPUTED_VALUE"""),"mint")</f>
        <v>mint</v>
      </c>
      <c r="C8339" s="2" t="str">
        <f ca="1">IFERROR(__xludf.DUMMYFUNCTION("""COMPUTED_VALUE"""),"Mint Club")</f>
        <v>Mint Club</v>
      </c>
    </row>
    <row r="8340" spans="1:3" x14ac:dyDescent="0.25">
      <c r="A8340" s="2" t="str">
        <f ca="1">IFERROR(__xludf.DUMMYFUNCTION("""COMPUTED_VALUE"""),"minted")</f>
        <v>minted</v>
      </c>
      <c r="B8340" s="2" t="str">
        <f ca="1">IFERROR(__xludf.DUMMYFUNCTION("""COMPUTED_VALUE"""),"mtd")</f>
        <v>mtd</v>
      </c>
      <c r="C8340" s="2" t="str">
        <f ca="1">IFERROR(__xludf.DUMMYFUNCTION("""COMPUTED_VALUE"""),"Minted")</f>
        <v>Minted</v>
      </c>
    </row>
    <row r="8341" spans="1:3" x14ac:dyDescent="0.25">
      <c r="A8341" s="2" t="str">
        <f ca="1">IFERROR(__xludf.DUMMYFUNCTION("""COMPUTED_VALUE"""),"mintera")</f>
        <v>mintera</v>
      </c>
      <c r="B8341" s="2" t="str">
        <f ca="1">IFERROR(__xludf.DUMMYFUNCTION("""COMPUTED_VALUE"""),"mnte")</f>
        <v>mnte</v>
      </c>
      <c r="C8341" s="2" t="str">
        <f ca="1">IFERROR(__xludf.DUMMYFUNCTION("""COMPUTED_VALUE"""),"Mintera")</f>
        <v>Mintera</v>
      </c>
    </row>
    <row r="8342" spans="1:3" x14ac:dyDescent="0.25">
      <c r="A8342" s="2" t="str">
        <f ca="1">IFERROR(__xludf.DUMMYFUNCTION("""COMPUTED_VALUE"""),"minterest")</f>
        <v>minterest</v>
      </c>
      <c r="B8342" s="2" t="str">
        <f ca="1">IFERROR(__xludf.DUMMYFUNCTION("""COMPUTED_VALUE"""),"minty")</f>
        <v>minty</v>
      </c>
      <c r="C8342" s="2" t="str">
        <f ca="1">IFERROR(__xludf.DUMMYFUNCTION("""COMPUTED_VALUE"""),"Minterest")</f>
        <v>Minterest</v>
      </c>
    </row>
    <row r="8343" spans="1:3" x14ac:dyDescent="0.25">
      <c r="A8343" s="2" t="str">
        <f ca="1">IFERROR(__xludf.DUMMYFUNCTION("""COMPUTED_VALUE"""),"mintlayer")</f>
        <v>mintlayer</v>
      </c>
      <c r="B8343" s="2" t="str">
        <f ca="1">IFERROR(__xludf.DUMMYFUNCTION("""COMPUTED_VALUE"""),"ml")</f>
        <v>ml</v>
      </c>
      <c r="C8343" s="2" t="str">
        <f ca="1">IFERROR(__xludf.DUMMYFUNCTION("""COMPUTED_VALUE"""),"Mintlayer")</f>
        <v>Mintlayer</v>
      </c>
    </row>
    <row r="8344" spans="1:3" x14ac:dyDescent="0.25">
      <c r="A8344" s="2" t="str">
        <f ca="1">IFERROR(__xludf.DUMMYFUNCTION("""COMPUTED_VALUE"""),"minto")</f>
        <v>minto</v>
      </c>
      <c r="B8344" s="2" t="str">
        <f ca="1">IFERROR(__xludf.DUMMYFUNCTION("""COMPUTED_VALUE"""),"btcmt")</f>
        <v>btcmt</v>
      </c>
      <c r="C8344" s="2" t="str">
        <f ca="1">IFERROR(__xludf.DUMMYFUNCTION("""COMPUTED_VALUE"""),"Minto")</f>
        <v>Minto</v>
      </c>
    </row>
    <row r="8345" spans="1:3" x14ac:dyDescent="0.25">
      <c r="A8345" s="2" t="str">
        <f ca="1">IFERROR(__xludf.DUMMYFUNCTION("""COMPUTED_VALUE"""),"mintra")</f>
        <v>mintra</v>
      </c>
      <c r="B8345" s="2" t="str">
        <f ca="1">IFERROR(__xludf.DUMMYFUNCTION("""COMPUTED_VALUE"""),"mint")</f>
        <v>mint</v>
      </c>
      <c r="C8345" s="2" t="str">
        <f ca="1">IFERROR(__xludf.DUMMYFUNCTION("""COMPUTED_VALUE"""),"Mintra")</f>
        <v>Mintra</v>
      </c>
    </row>
    <row r="8346" spans="1:3" x14ac:dyDescent="0.25">
      <c r="A8346" s="2" t="str">
        <f ca="1">IFERROR(__xludf.DUMMYFUNCTION("""COMPUTED_VALUE"""),"mintstakeshare")</f>
        <v>mintstakeshare</v>
      </c>
      <c r="B8346" s="2" t="str">
        <f ca="1">IFERROR(__xludf.DUMMYFUNCTION("""COMPUTED_VALUE"""),"mss")</f>
        <v>mss</v>
      </c>
      <c r="C8346" s="2" t="str">
        <f ca="1">IFERROR(__xludf.DUMMYFUNCTION("""COMPUTED_VALUE"""),"MintStakeShare")</f>
        <v>MintStakeShare</v>
      </c>
    </row>
    <row r="8347" spans="1:3" x14ac:dyDescent="0.25">
      <c r="A8347" s="2" t="str">
        <f ca="1">IFERROR(__xludf.DUMMYFUNCTION("""COMPUTED_VALUE"""),"mintswaptoken")</f>
        <v>mintswaptoken</v>
      </c>
      <c r="B8347" s="2" t="str">
        <f ca="1">IFERROR(__xludf.DUMMYFUNCTION("""COMPUTED_VALUE"""),"mst")</f>
        <v>mst</v>
      </c>
      <c r="C8347" s="2" t="str">
        <f ca="1">IFERROR(__xludf.DUMMYFUNCTION("""COMPUTED_VALUE"""),"MintSwapToken")</f>
        <v>MintSwapToken</v>
      </c>
    </row>
    <row r="8348" spans="1:3" x14ac:dyDescent="0.25">
      <c r="A8348" s="2" t="str">
        <f ca="1">IFERROR(__xludf.DUMMYFUNCTION("""COMPUTED_VALUE"""),"minu")</f>
        <v>minu</v>
      </c>
      <c r="B8348" s="2" t="str">
        <f ca="1">IFERROR(__xludf.DUMMYFUNCTION("""COMPUTED_VALUE"""),"minu")</f>
        <v>minu</v>
      </c>
      <c r="C8348" s="2" t="str">
        <f ca="1">IFERROR(__xludf.DUMMYFUNCTION("""COMPUTED_VALUE"""),"Minu")</f>
        <v>Minu</v>
      </c>
    </row>
    <row r="8349" spans="1:3" x14ac:dyDescent="0.25">
      <c r="A8349" s="2" t="str">
        <f ca="1">IFERROR(__xludf.DUMMYFUNCTION("""COMPUTED_VALUE"""),"minu-the-manta")</f>
        <v>minu-the-manta</v>
      </c>
      <c r="B8349" s="2" t="str">
        <f ca="1">IFERROR(__xludf.DUMMYFUNCTION("""COMPUTED_VALUE"""),"mnu")</f>
        <v>mnu</v>
      </c>
      <c r="C8349" s="2" t="str">
        <f ca="1">IFERROR(__xludf.DUMMYFUNCTION("""COMPUTED_VALUE"""),"Minu the Manta")</f>
        <v>Minu the Manta</v>
      </c>
    </row>
    <row r="8350" spans="1:3" x14ac:dyDescent="0.25">
      <c r="A8350" s="2" t="str">
        <f ca="1">IFERROR(__xludf.DUMMYFUNCTION("""COMPUTED_VALUE"""),"miracle-play")</f>
        <v>miracle-play</v>
      </c>
      <c r="B8350" s="2" t="str">
        <f ca="1">IFERROR(__xludf.DUMMYFUNCTION("""COMPUTED_VALUE"""),"mpt")</f>
        <v>mpt</v>
      </c>
      <c r="C8350" s="2" t="str">
        <f ca="1">IFERROR(__xludf.DUMMYFUNCTION("""COMPUTED_VALUE"""),"Miracle Play")</f>
        <v>Miracle Play</v>
      </c>
    </row>
    <row r="8351" spans="1:3" x14ac:dyDescent="0.25">
      <c r="A8351" s="2" t="str">
        <f ca="1">IFERROR(__xludf.DUMMYFUNCTION("""COMPUTED_VALUE"""),"mirada-ai")</f>
        <v>mirada-ai</v>
      </c>
      <c r="B8351" s="2" t="str">
        <f ca="1">IFERROR(__xludf.DUMMYFUNCTION("""COMPUTED_VALUE"""),"mirx")</f>
        <v>mirx</v>
      </c>
      <c r="C8351" s="2" t="str">
        <f ca="1">IFERROR(__xludf.DUMMYFUNCTION("""COMPUTED_VALUE"""),"Mirada AI")</f>
        <v>Mirada AI</v>
      </c>
    </row>
    <row r="8352" spans="1:3" x14ac:dyDescent="0.25">
      <c r="A8352" s="2" t="str">
        <f ca="1">IFERROR(__xludf.DUMMYFUNCTION("""COMPUTED_VALUE"""),"mirai-2")</f>
        <v>mirai-2</v>
      </c>
      <c r="B8352" s="2" t="str">
        <f ca="1">IFERROR(__xludf.DUMMYFUNCTION("""COMPUTED_VALUE"""),"mirai")</f>
        <v>mirai</v>
      </c>
      <c r="C8352" s="2" t="str">
        <f ca="1">IFERROR(__xludf.DUMMYFUNCTION("""COMPUTED_VALUE"""),"MIRAI")</f>
        <v>MIRAI</v>
      </c>
    </row>
    <row r="8353" spans="1:3" x14ac:dyDescent="0.25">
      <c r="A8353" s="2" t="str">
        <f ca="1">IFERROR(__xludf.DUMMYFUNCTION("""COMPUTED_VALUE"""),"miraqle")</f>
        <v>miraqle</v>
      </c>
      <c r="B8353" s="2" t="str">
        <f ca="1">IFERROR(__xludf.DUMMYFUNCTION("""COMPUTED_VALUE"""),"mql")</f>
        <v>mql</v>
      </c>
      <c r="C8353" s="2" t="str">
        <f ca="1">IFERROR(__xludf.DUMMYFUNCTION("""COMPUTED_VALUE"""),"MiraQle")</f>
        <v>MiraQle</v>
      </c>
    </row>
    <row r="8354" spans="1:3" x14ac:dyDescent="0.25">
      <c r="A8354" s="2" t="str">
        <f ca="1">IFERROR(__xludf.DUMMYFUNCTION("""COMPUTED_VALUE"""),"mirrored-ether")</f>
        <v>mirrored-ether</v>
      </c>
      <c r="B8354" s="2" t="str">
        <f ca="1">IFERROR(__xludf.DUMMYFUNCTION("""COMPUTED_VALUE"""),"meth")</f>
        <v>meth</v>
      </c>
      <c r="C8354" s="2" t="str">
        <f ca="1">IFERROR(__xludf.DUMMYFUNCTION("""COMPUTED_VALUE"""),"Mirrored Ether")</f>
        <v>Mirrored Ether</v>
      </c>
    </row>
    <row r="8355" spans="1:3" x14ac:dyDescent="0.25">
      <c r="A8355" s="2" t="str">
        <f ca="1">IFERROR(__xludf.DUMMYFUNCTION("""COMPUTED_VALUE"""),"mirror-protocol")</f>
        <v>mirror-protocol</v>
      </c>
      <c r="B8355" s="2" t="str">
        <f ca="1">IFERROR(__xludf.DUMMYFUNCTION("""COMPUTED_VALUE"""),"mir")</f>
        <v>mir</v>
      </c>
      <c r="C8355" s="2" t="str">
        <f ca="1">IFERROR(__xludf.DUMMYFUNCTION("""COMPUTED_VALUE"""),"Mirror Protocol")</f>
        <v>Mirror Protocol</v>
      </c>
    </row>
    <row r="8356" spans="1:3" x14ac:dyDescent="0.25">
      <c r="A8356" s="2" t="str">
        <f ca="1">IFERROR(__xludf.DUMMYFUNCTION("""COMPUTED_VALUE"""),"mir-token")</f>
        <v>mir-token</v>
      </c>
      <c r="B8356" s="2" t="str">
        <f ca="1">IFERROR(__xludf.DUMMYFUNCTION("""COMPUTED_VALUE"""),"mir")</f>
        <v>mir</v>
      </c>
      <c r="C8356" s="2" t="str">
        <f ca="1">IFERROR(__xludf.DUMMYFUNCTION("""COMPUTED_VALUE"""),"Mir Token")</f>
        <v>Mir Token</v>
      </c>
    </row>
    <row r="8357" spans="1:3" x14ac:dyDescent="0.25">
      <c r="A8357" s="2" t="str">
        <f ca="1">IFERROR(__xludf.DUMMYFUNCTION("""COMPUTED_VALUE"""),"misbloc")</f>
        <v>misbloc</v>
      </c>
      <c r="B8357" s="2" t="str">
        <f ca="1">IFERROR(__xludf.DUMMYFUNCTION("""COMPUTED_VALUE"""),"msb")</f>
        <v>msb</v>
      </c>
      <c r="C8357" s="2" t="str">
        <f ca="1">IFERROR(__xludf.DUMMYFUNCTION("""COMPUTED_VALUE"""),"Misbloc")</f>
        <v>Misbloc</v>
      </c>
    </row>
    <row r="8358" spans="1:3" x14ac:dyDescent="0.25">
      <c r="A8358" s="2" t="str">
        <f ca="1">IFERROR(__xludf.DUMMYFUNCTION("""COMPUTED_VALUE"""),"misha")</f>
        <v>misha</v>
      </c>
      <c r="B8358" s="2" t="str">
        <f ca="1">IFERROR(__xludf.DUMMYFUNCTION("""COMPUTED_VALUE"""),"misha")</f>
        <v>misha</v>
      </c>
      <c r="C8358" s="2" t="str">
        <f ca="1">IFERROR(__xludf.DUMMYFUNCTION("""COMPUTED_VALUE"""),"MISHA")</f>
        <v>MISHA</v>
      </c>
    </row>
    <row r="8359" spans="1:3" x14ac:dyDescent="0.25">
      <c r="A8359" s="2" t="str">
        <f ca="1">IFERROR(__xludf.DUMMYFUNCTION("""COMPUTED_VALUE"""),"misser")</f>
        <v>misser</v>
      </c>
      <c r="B8359" s="2" t="str">
        <f ca="1">IFERROR(__xludf.DUMMYFUNCTION("""COMPUTED_VALUE"""),"misser")</f>
        <v>misser</v>
      </c>
      <c r="C8359" s="2" t="str">
        <f ca="1">IFERROR(__xludf.DUMMYFUNCTION("""COMPUTED_VALUE"""),"Misser")</f>
        <v>Misser</v>
      </c>
    </row>
    <row r="8360" spans="1:3" x14ac:dyDescent="0.25">
      <c r="A8360" s="2" t="str">
        <f ca="1">IFERROR(__xludf.DUMMYFUNCTION("""COMPUTED_VALUE"""),"mist")</f>
        <v>mist</v>
      </c>
      <c r="B8360" s="2" t="str">
        <f ca="1">IFERROR(__xludf.DUMMYFUNCTION("""COMPUTED_VALUE"""),"mist")</f>
        <v>mist</v>
      </c>
      <c r="C8360" s="2" t="str">
        <f ca="1">IFERROR(__xludf.DUMMYFUNCTION("""COMPUTED_VALUE"""),"Mist")</f>
        <v>Mist</v>
      </c>
    </row>
    <row r="8361" spans="1:3" x14ac:dyDescent="0.25">
      <c r="A8361" s="2" t="str">
        <f ca="1">IFERROR(__xludf.DUMMYFUNCTION("""COMPUTED_VALUE"""),"mister-miggles")</f>
        <v>mister-miggles</v>
      </c>
      <c r="B8361" s="2" t="str">
        <f ca="1">IFERROR(__xludf.DUMMYFUNCTION("""COMPUTED_VALUE"""),"miggles")</f>
        <v>miggles</v>
      </c>
      <c r="C8361" s="2" t="str">
        <f ca="1">IFERROR(__xludf.DUMMYFUNCTION("""COMPUTED_VALUE"""),"Mister Miggles")</f>
        <v>Mister Miggles</v>
      </c>
    </row>
    <row r="8362" spans="1:3" x14ac:dyDescent="0.25">
      <c r="A8362" s="2" t="str">
        <f ca="1">IFERROR(__xludf.DUMMYFUNCTION("""COMPUTED_VALUE"""),"mistery")</f>
        <v>mistery</v>
      </c>
      <c r="B8362" s="2" t="str">
        <f ca="1">IFERROR(__xludf.DUMMYFUNCTION("""COMPUTED_VALUE"""),"mery")</f>
        <v>mery</v>
      </c>
      <c r="C8362" s="2" t="str">
        <f ca="1">IFERROR(__xludf.DUMMYFUNCTION("""COMPUTED_VALUE"""),"Mistery")</f>
        <v>Mistery</v>
      </c>
    </row>
    <row r="8363" spans="1:3" x14ac:dyDescent="0.25">
      <c r="A8363" s="2" t="str">
        <f ca="1">IFERROR(__xludf.DUMMYFUNCTION("""COMPUTED_VALUE"""),"misty-meets-pepe")</f>
        <v>misty-meets-pepe</v>
      </c>
      <c r="B8363" s="2" t="str">
        <f ca="1">IFERROR(__xludf.DUMMYFUNCTION("""COMPUTED_VALUE"""),"misty")</f>
        <v>misty</v>
      </c>
      <c r="C8363" s="2" t="str">
        <f ca="1">IFERROR(__xludf.DUMMYFUNCTION("""COMPUTED_VALUE"""),"Misty Meets Pepe")</f>
        <v>Misty Meets Pepe</v>
      </c>
    </row>
    <row r="8364" spans="1:3" x14ac:dyDescent="0.25">
      <c r="A8364" s="2" t="str">
        <f ca="1">IFERROR(__xludf.DUMMYFUNCTION("""COMPUTED_VALUE"""),"misty-pepe")</f>
        <v>misty-pepe</v>
      </c>
      <c r="B8364" s="2" t="str">
        <f ca="1">IFERROR(__xludf.DUMMYFUNCTION("""COMPUTED_VALUE"""),"mtpe")</f>
        <v>mtpe</v>
      </c>
      <c r="C8364" s="2" t="str">
        <f ca="1">IFERROR(__xludf.DUMMYFUNCTION("""COMPUTED_VALUE"""),"Misty Pepe")</f>
        <v>Misty Pepe</v>
      </c>
    </row>
    <row r="8365" spans="1:3" x14ac:dyDescent="0.25">
      <c r="A8365" s="2" t="str">
        <f ca="1">IFERROR(__xludf.DUMMYFUNCTION("""COMPUTED_VALUE"""),"mithril")</f>
        <v>mithril</v>
      </c>
      <c r="B8365" s="2" t="str">
        <f ca="1">IFERROR(__xludf.DUMMYFUNCTION("""COMPUTED_VALUE"""),"mith")</f>
        <v>mith</v>
      </c>
      <c r="C8365" s="2" t="str">
        <f ca="1">IFERROR(__xludf.DUMMYFUNCTION("""COMPUTED_VALUE"""),"Mithril")</f>
        <v>Mithril</v>
      </c>
    </row>
    <row r="8366" spans="1:3" x14ac:dyDescent="0.25">
      <c r="A8366" s="2" t="str">
        <f ca="1">IFERROR(__xludf.DUMMYFUNCTION("""COMPUTED_VALUE"""),"mithril-share")</f>
        <v>mithril-share</v>
      </c>
      <c r="B8366" s="2" t="str">
        <f ca="1">IFERROR(__xludf.DUMMYFUNCTION("""COMPUTED_VALUE"""),"mis")</f>
        <v>mis</v>
      </c>
      <c r="C8366" s="2" t="str">
        <f ca="1">IFERROR(__xludf.DUMMYFUNCTION("""COMPUTED_VALUE"""),"Mithril Share")</f>
        <v>Mithril Share</v>
      </c>
    </row>
    <row r="8367" spans="1:3" x14ac:dyDescent="0.25">
      <c r="A8367" s="2" t="str">
        <f ca="1">IFERROR(__xludf.DUMMYFUNCTION("""COMPUTED_VALUE"""),"mittens-2")</f>
        <v>mittens-2</v>
      </c>
      <c r="B8367" s="2" t="str">
        <f ca="1">IFERROR(__xludf.DUMMYFUNCTION("""COMPUTED_VALUE"""),"mittens")</f>
        <v>mittens</v>
      </c>
      <c r="C8367" s="2" t="str">
        <f ca="1">IFERROR(__xludf.DUMMYFUNCTION("""COMPUTED_VALUE"""),"Mittens")</f>
        <v>Mittens</v>
      </c>
    </row>
    <row r="8368" spans="1:3" x14ac:dyDescent="0.25">
      <c r="A8368" s="2" t="str">
        <f ca="1">IFERROR(__xludf.DUMMYFUNCTION("""COMPUTED_VALUE"""),"miu")</f>
        <v>miu</v>
      </c>
      <c r="B8368" s="2" t="str">
        <f ca="1">IFERROR(__xludf.DUMMYFUNCTION("""COMPUTED_VALUE"""),"miu")</f>
        <v>miu</v>
      </c>
      <c r="C8368" s="2" t="str">
        <f ca="1">IFERROR(__xludf.DUMMYFUNCTION("""COMPUTED_VALUE"""),"Miu")</f>
        <v>Miu</v>
      </c>
    </row>
    <row r="8369" spans="1:3" x14ac:dyDescent="0.25">
      <c r="A8369" s="2" t="str">
        <f ca="1">IFERROR(__xludf.DUMMYFUNCTION("""COMPUTED_VALUE"""),"miw-musk")</f>
        <v>miw-musk</v>
      </c>
      <c r="B8369" s="2" t="str">
        <f ca="1">IFERROR(__xludf.DUMMYFUNCTION("""COMPUTED_VALUE"""),"miw")</f>
        <v>miw</v>
      </c>
      <c r="C8369" s="2" t="str">
        <f ca="1">IFERROR(__xludf.DUMMYFUNCTION("""COMPUTED_VALUE"""),"Miw Musk")</f>
        <v>Miw Musk</v>
      </c>
    </row>
    <row r="8370" spans="1:3" x14ac:dyDescent="0.25">
      <c r="A8370" s="2" t="str">
        <f ca="1">IFERROR(__xludf.DUMMYFUNCTION("""COMPUTED_VALUE"""),"mixin")</f>
        <v>mixin</v>
      </c>
      <c r="B8370" s="2" t="str">
        <f ca="1">IFERROR(__xludf.DUMMYFUNCTION("""COMPUTED_VALUE"""),"xin")</f>
        <v>xin</v>
      </c>
      <c r="C8370" s="2" t="str">
        <f ca="1">IFERROR(__xludf.DUMMYFUNCTION("""COMPUTED_VALUE"""),"Mixin")</f>
        <v>Mixin</v>
      </c>
    </row>
    <row r="8371" spans="1:3" x14ac:dyDescent="0.25">
      <c r="A8371" s="2" t="str">
        <f ca="1">IFERROR(__xludf.DUMMYFUNCTION("""COMPUTED_VALUE"""),"mixmarvel")</f>
        <v>mixmarvel</v>
      </c>
      <c r="B8371" s="2" t="str">
        <f ca="1">IFERROR(__xludf.DUMMYFUNCTION("""COMPUTED_VALUE"""),"mix")</f>
        <v>mix</v>
      </c>
      <c r="C8371" s="2" t="str">
        <f ca="1">IFERROR(__xludf.DUMMYFUNCTION("""COMPUTED_VALUE"""),"MixMarvel")</f>
        <v>MixMarvel</v>
      </c>
    </row>
    <row r="8372" spans="1:3" x14ac:dyDescent="0.25">
      <c r="A8372" s="2" t="str">
        <f ca="1">IFERROR(__xludf.DUMMYFUNCTION("""COMPUTED_VALUE"""),"mixmob")</f>
        <v>mixmob</v>
      </c>
      <c r="B8372" s="2" t="str">
        <f ca="1">IFERROR(__xludf.DUMMYFUNCTION("""COMPUTED_VALUE"""),"mxm")</f>
        <v>mxm</v>
      </c>
      <c r="C8372" s="2" t="str">
        <f ca="1">IFERROR(__xludf.DUMMYFUNCTION("""COMPUTED_VALUE"""),"MixMob")</f>
        <v>MixMob</v>
      </c>
    </row>
    <row r="8373" spans="1:3" x14ac:dyDescent="0.25">
      <c r="A8373" s="2" t="str">
        <f ca="1">IFERROR(__xludf.DUMMYFUNCTION("""COMPUTED_VALUE"""),"mixtoearn")</f>
        <v>mixtoearn</v>
      </c>
      <c r="B8373" s="2" t="str">
        <f ca="1">IFERROR(__xludf.DUMMYFUNCTION("""COMPUTED_VALUE"""),"mte")</f>
        <v>mte</v>
      </c>
      <c r="C8373" s="2" t="str">
        <f ca="1">IFERROR(__xludf.DUMMYFUNCTION("""COMPUTED_VALUE"""),"MixToEarn")</f>
        <v>MixToEarn</v>
      </c>
    </row>
    <row r="8374" spans="1:3" x14ac:dyDescent="0.25">
      <c r="A8374" s="2" t="str">
        <f ca="1">IFERROR(__xludf.DUMMYFUNCTION("""COMPUTED_VALUE"""),"mizar")</f>
        <v>mizar</v>
      </c>
      <c r="B8374" s="2" t="str">
        <f ca="1">IFERROR(__xludf.DUMMYFUNCTION("""COMPUTED_VALUE"""),"mzr")</f>
        <v>mzr</v>
      </c>
      <c r="C8374" s="2" t="str">
        <f ca="1">IFERROR(__xludf.DUMMYFUNCTION("""COMPUTED_VALUE"""),"Mizar")</f>
        <v>Mizar</v>
      </c>
    </row>
    <row r="8375" spans="1:3" x14ac:dyDescent="0.25">
      <c r="A8375" s="2" t="str">
        <f ca="1">IFERROR(__xludf.DUMMYFUNCTION("""COMPUTED_VALUE"""),"mkr-fuse")</f>
        <v>mkr-fuse</v>
      </c>
      <c r="B8375" s="2" t="str">
        <f ca="1">IFERROR(__xludf.DUMMYFUNCTION("""COMPUTED_VALUE"""),"mkr")</f>
        <v>mkr</v>
      </c>
      <c r="C8375" s="2" t="str">
        <f ca="1">IFERROR(__xludf.DUMMYFUNCTION("""COMPUTED_VALUE"""),"MKR (Fuse)")</f>
        <v>MKR (Fuse)</v>
      </c>
    </row>
    <row r="8376" spans="1:3" x14ac:dyDescent="0.25">
      <c r="A8376" s="2" t="str">
        <f ca="1">IFERROR(__xludf.DUMMYFUNCTION("""COMPUTED_VALUE"""),"mktcash")</f>
        <v>mktcash</v>
      </c>
      <c r="B8376" s="2" t="str">
        <f ca="1">IFERROR(__xludf.DUMMYFUNCTION("""COMPUTED_VALUE"""),"mch")</f>
        <v>mch</v>
      </c>
      <c r="C8376" s="2" t="str">
        <f ca="1">IFERROR(__xludf.DUMMYFUNCTION("""COMPUTED_VALUE"""),"Mktcash")</f>
        <v>Mktcash</v>
      </c>
    </row>
    <row r="8377" spans="1:3" x14ac:dyDescent="0.25">
      <c r="A8377" s="2" t="str">
        <f ca="1">IFERROR(__xludf.DUMMYFUNCTION("""COMPUTED_VALUE"""),"mm72")</f>
        <v>mm72</v>
      </c>
      <c r="B8377" s="2" t="str">
        <f ca="1">IFERROR(__xludf.DUMMYFUNCTION("""COMPUTED_VALUE"""),"mm72")</f>
        <v>mm72</v>
      </c>
      <c r="C8377" s="2" t="str">
        <f ca="1">IFERROR(__xludf.DUMMYFUNCTION("""COMPUTED_VALUE"""),"MM72")</f>
        <v>MM72</v>
      </c>
    </row>
    <row r="8378" spans="1:3" x14ac:dyDescent="0.25">
      <c r="A8378" s="2" t="str">
        <f ca="1">IFERROR(__xludf.DUMMYFUNCTION("""COMPUTED_VALUE"""),"mmfinance")</f>
        <v>mmfinance</v>
      </c>
      <c r="B8378" s="2" t="str">
        <f ca="1">IFERROR(__xludf.DUMMYFUNCTION("""COMPUTED_VALUE"""),"mmf")</f>
        <v>mmf</v>
      </c>
      <c r="C8378" s="2" t="str">
        <f ca="1">IFERROR(__xludf.DUMMYFUNCTION("""COMPUTED_VALUE"""),"MMFinance (Cronos)")</f>
        <v>MMFinance (Cronos)</v>
      </c>
    </row>
    <row r="8379" spans="1:3" x14ac:dyDescent="0.25">
      <c r="A8379" s="2" t="str">
        <f ca="1">IFERROR(__xludf.DUMMYFUNCTION("""COMPUTED_VALUE"""),"mmfinance-arbitrum")</f>
        <v>mmfinance-arbitrum</v>
      </c>
      <c r="B8379" s="2" t="str">
        <f ca="1">IFERROR(__xludf.DUMMYFUNCTION("""COMPUTED_VALUE"""),"mmf")</f>
        <v>mmf</v>
      </c>
      <c r="C8379" s="2" t="str">
        <f ca="1">IFERROR(__xludf.DUMMYFUNCTION("""COMPUTED_VALUE"""),"MMFinance (Arbitrum)")</f>
        <v>MMFinance (Arbitrum)</v>
      </c>
    </row>
    <row r="8380" spans="1:3" x14ac:dyDescent="0.25">
      <c r="A8380" s="2" t="str">
        <f ca="1">IFERROR(__xludf.DUMMYFUNCTION("""COMPUTED_VALUE"""),"mmm")</f>
        <v>mmm</v>
      </c>
      <c r="B8380" s="2" t="str">
        <f ca="1">IFERROR(__xludf.DUMMYFUNCTION("""COMPUTED_VALUE"""),"mmm")</f>
        <v>mmm</v>
      </c>
      <c r="C8380" s="2" t="str">
        <f ca="1">IFERROR(__xludf.DUMMYFUNCTION("""COMPUTED_VALUE"""),"MMM")</f>
        <v>MMM</v>
      </c>
    </row>
    <row r="8381" spans="1:3" x14ac:dyDescent="0.25">
      <c r="A8381" s="2" t="str">
        <f ca="1">IFERROR(__xludf.DUMMYFUNCTION("""COMPUTED_VALUE"""),"mmocoin")</f>
        <v>mmocoin</v>
      </c>
      <c r="B8381" s="2" t="str">
        <f ca="1">IFERROR(__xludf.DUMMYFUNCTION("""COMPUTED_VALUE"""),"mmo")</f>
        <v>mmo</v>
      </c>
      <c r="C8381" s="2" t="str">
        <f ca="1">IFERROR(__xludf.DUMMYFUNCTION("""COMPUTED_VALUE"""),"MMOCoin")</f>
        <v>MMOCoin</v>
      </c>
    </row>
    <row r="8382" spans="1:3" x14ac:dyDescent="0.25">
      <c r="A8382" s="2" t="str">
        <f ca="1">IFERROR(__xludf.DUMMYFUNCTION("""COMPUTED_VALUE"""),"mmss")</f>
        <v>mmss</v>
      </c>
      <c r="B8382" s="2" t="str">
        <f ca="1">IFERROR(__xludf.DUMMYFUNCTION("""COMPUTED_VALUE"""),"mmss")</f>
        <v>mmss</v>
      </c>
      <c r="C8382" s="2" t="str">
        <f ca="1">IFERROR(__xludf.DUMMYFUNCTION("""COMPUTED_VALUE"""),"MMSS (Ordinals)")</f>
        <v>MMSS (Ordinals)</v>
      </c>
    </row>
    <row r="8383" spans="1:3" x14ac:dyDescent="0.25">
      <c r="A8383" s="2" t="str">
        <f ca="1">IFERROR(__xludf.DUMMYFUNCTION("""COMPUTED_VALUE"""),"mn-bridge")</f>
        <v>mn-bridge</v>
      </c>
      <c r="B8383" s="2" t="str">
        <f ca="1">IFERROR(__xludf.DUMMYFUNCTION("""COMPUTED_VALUE"""),"mnb")</f>
        <v>mnb</v>
      </c>
      <c r="C8383" s="2" t="str">
        <f ca="1">IFERROR(__xludf.DUMMYFUNCTION("""COMPUTED_VALUE"""),"MN Bridge")</f>
        <v>MN Bridge</v>
      </c>
    </row>
    <row r="8384" spans="1:3" x14ac:dyDescent="0.25">
      <c r="A8384" s="2" t="str">
        <f ca="1">IFERROR(__xludf.DUMMYFUNCTION("""COMPUTED_VALUE"""),"mnee-usd-stablecoin")</f>
        <v>mnee-usd-stablecoin</v>
      </c>
      <c r="B8384" s="2" t="str">
        <f ca="1">IFERROR(__xludf.DUMMYFUNCTION("""COMPUTED_VALUE"""),"mnee")</f>
        <v>mnee</v>
      </c>
      <c r="C8384" s="2" t="str">
        <f ca="1">IFERROR(__xludf.DUMMYFUNCTION("""COMPUTED_VALUE"""),"MNEE USD Stablecoin")</f>
        <v>MNEE USD Stablecoin</v>
      </c>
    </row>
    <row r="8385" spans="1:3" x14ac:dyDescent="0.25">
      <c r="A8385" s="2" t="str">
        <f ca="1">IFERROR(__xludf.DUMMYFUNCTION("""COMPUTED_VALUE"""),"mnet-continuum")</f>
        <v>mnet-continuum</v>
      </c>
      <c r="B8385" s="2" t="str">
        <f ca="1">IFERROR(__xludf.DUMMYFUNCTION("""COMPUTED_VALUE"""),"nuum")</f>
        <v>nuum</v>
      </c>
      <c r="C8385" s="2" t="str">
        <f ca="1">IFERROR(__xludf.DUMMYFUNCTION("""COMPUTED_VALUE"""),"MNet Continuum")</f>
        <v>MNet Continuum</v>
      </c>
    </row>
    <row r="8386" spans="1:3" x14ac:dyDescent="0.25">
      <c r="A8386" s="2" t="str">
        <f ca="1">IFERROR(__xludf.DUMMYFUNCTION("""COMPUTED_VALUE"""),"moai")</f>
        <v>moai</v>
      </c>
      <c r="B8386" s="2" t="str">
        <f ca="1">IFERROR(__xludf.DUMMYFUNCTION("""COMPUTED_VALUE"""),"moai")</f>
        <v>moai</v>
      </c>
      <c r="C8386" s="2" t="str">
        <f ca="1">IFERROR(__xludf.DUMMYFUNCTION("""COMPUTED_VALUE"""),"MOAI")</f>
        <v>MOAI</v>
      </c>
    </row>
    <row r="8387" spans="1:3" x14ac:dyDescent="0.25">
      <c r="A8387" s="2" t="str">
        <f ca="1">IFERROR(__xludf.DUMMYFUNCTION("""COMPUTED_VALUE"""),"moani")</f>
        <v>moani</v>
      </c>
      <c r="B8387" s="2" t="str">
        <f ca="1">IFERROR(__xludf.DUMMYFUNCTION("""COMPUTED_VALUE"""),"moani")</f>
        <v>moani</v>
      </c>
      <c r="C8387" s="2" t="str">
        <f ca="1">IFERROR(__xludf.DUMMYFUNCTION("""COMPUTED_VALUE"""),"MOANI")</f>
        <v>MOANI</v>
      </c>
    </row>
    <row r="8388" spans="1:3" x14ac:dyDescent="0.25">
      <c r="A8388" s="2" t="str">
        <f ca="1">IFERROR(__xludf.DUMMYFUNCTION("""COMPUTED_VALUE"""),"mobifi")</f>
        <v>mobifi</v>
      </c>
      <c r="B8388" s="2" t="str">
        <f ca="1">IFERROR(__xludf.DUMMYFUNCTION("""COMPUTED_VALUE"""),"mofi")</f>
        <v>mofi</v>
      </c>
      <c r="C8388" s="2" t="str">
        <f ca="1">IFERROR(__xludf.DUMMYFUNCTION("""COMPUTED_VALUE"""),"MobiFi")</f>
        <v>MobiFi</v>
      </c>
    </row>
    <row r="8389" spans="1:3" x14ac:dyDescent="0.25">
      <c r="A8389" s="2" t="str">
        <f ca="1">IFERROR(__xludf.DUMMYFUNCTION("""COMPUTED_VALUE"""),"mobilecoin")</f>
        <v>mobilecoin</v>
      </c>
      <c r="B8389" s="2" t="str">
        <f ca="1">IFERROR(__xludf.DUMMYFUNCTION("""COMPUTED_VALUE"""),"mob")</f>
        <v>mob</v>
      </c>
      <c r="C8389" s="2" t="str">
        <f ca="1">IFERROR(__xludf.DUMMYFUNCTION("""COMPUTED_VALUE"""),"MobileCoin")</f>
        <v>MobileCoin</v>
      </c>
    </row>
    <row r="8390" spans="1:3" x14ac:dyDescent="0.25">
      <c r="A8390" s="2" t="str">
        <f ca="1">IFERROR(__xludf.DUMMYFUNCTION("""COMPUTED_VALUE"""),"mobility-coin")</f>
        <v>mobility-coin</v>
      </c>
      <c r="B8390" s="2" t="str">
        <f ca="1">IFERROR(__xludf.DUMMYFUNCTION("""COMPUTED_VALUE"""),"mobic")</f>
        <v>mobic</v>
      </c>
      <c r="C8390" s="2" t="str">
        <f ca="1">IFERROR(__xludf.DUMMYFUNCTION("""COMPUTED_VALUE"""),"Mobility Coin")</f>
        <v>Mobility Coin</v>
      </c>
    </row>
    <row r="8391" spans="1:3" x14ac:dyDescent="0.25">
      <c r="A8391" s="2" t="str">
        <f ca="1">IFERROR(__xludf.DUMMYFUNCTION("""COMPUTED_VALUE"""),"mobipad")</f>
        <v>mobipad</v>
      </c>
      <c r="B8391" s="2" t="str">
        <f ca="1">IFERROR(__xludf.DUMMYFUNCTION("""COMPUTED_VALUE"""),"mbp")</f>
        <v>mbp</v>
      </c>
      <c r="C8391" s="2" t="str">
        <f ca="1">IFERROR(__xludf.DUMMYFUNCTION("""COMPUTED_VALUE"""),"Mobipad")</f>
        <v>Mobipad</v>
      </c>
    </row>
    <row r="8392" spans="1:3" x14ac:dyDescent="0.25">
      <c r="A8392" s="2" t="str">
        <f ca="1">IFERROR(__xludf.DUMMYFUNCTION("""COMPUTED_VALUE"""),"mobist")</f>
        <v>mobist</v>
      </c>
      <c r="B8392" s="2" t="str">
        <f ca="1">IFERROR(__xludf.DUMMYFUNCTION("""COMPUTED_VALUE"""),"mitx")</f>
        <v>mitx</v>
      </c>
      <c r="C8392" s="2" t="str">
        <f ca="1">IFERROR(__xludf.DUMMYFUNCTION("""COMPUTED_VALUE"""),"Mobist")</f>
        <v>Mobist</v>
      </c>
    </row>
    <row r="8393" spans="1:3" x14ac:dyDescent="0.25">
      <c r="A8393" s="2" t="str">
        <f ca="1">IFERROR(__xludf.DUMMYFUNCTION("""COMPUTED_VALUE"""),"mobius")</f>
        <v>mobius</v>
      </c>
      <c r="B8393" s="2" t="str">
        <f ca="1">IFERROR(__xludf.DUMMYFUNCTION("""COMPUTED_VALUE"""),"mobi")</f>
        <v>mobi</v>
      </c>
      <c r="C8393" s="2" t="str">
        <f ca="1">IFERROR(__xludf.DUMMYFUNCTION("""COMPUTED_VALUE"""),"Mobius")</f>
        <v>Mobius</v>
      </c>
    </row>
    <row r="8394" spans="1:3" x14ac:dyDescent="0.25">
      <c r="A8394" s="2" t="str">
        <f ca="1">IFERROR(__xludf.DUMMYFUNCTION("""COMPUTED_VALUE"""),"mobius-finance")</f>
        <v>mobius-finance</v>
      </c>
      <c r="B8394" s="2" t="str">
        <f ca="1">IFERROR(__xludf.DUMMYFUNCTION("""COMPUTED_VALUE"""),"mot")</f>
        <v>mot</v>
      </c>
      <c r="C8394" s="2" t="str">
        <f ca="1">IFERROR(__xludf.DUMMYFUNCTION("""COMPUTED_VALUE"""),"Mobius Finance")</f>
        <v>Mobius Finance</v>
      </c>
    </row>
    <row r="8395" spans="1:3" x14ac:dyDescent="0.25">
      <c r="A8395" s="2" t="str">
        <f ca="1">IFERROR(__xludf.DUMMYFUNCTION("""COMPUTED_VALUE"""),"mobius-money")</f>
        <v>mobius-money</v>
      </c>
      <c r="B8395" s="2" t="str">
        <f ca="1">IFERROR(__xludf.DUMMYFUNCTION("""COMPUTED_VALUE"""),"mobi")</f>
        <v>mobi</v>
      </c>
      <c r="C8395" s="2" t="str">
        <f ca="1">IFERROR(__xludf.DUMMYFUNCTION("""COMPUTED_VALUE"""),"Mobius Money")</f>
        <v>Mobius Money</v>
      </c>
    </row>
    <row r="8396" spans="1:3" x14ac:dyDescent="0.25">
      <c r="A8396" s="2" t="str">
        <f ca="1">IFERROR(__xludf.DUMMYFUNCTION("""COMPUTED_VALUE"""),"mobix")</f>
        <v>mobix</v>
      </c>
      <c r="B8396" s="2" t="str">
        <f ca="1">IFERROR(__xludf.DUMMYFUNCTION("""COMPUTED_VALUE"""),"mobx")</f>
        <v>mobx</v>
      </c>
      <c r="C8396" s="2" t="str">
        <f ca="1">IFERROR(__xludf.DUMMYFUNCTION("""COMPUTED_VALUE"""),"MOBIX")</f>
        <v>MOBIX</v>
      </c>
    </row>
    <row r="8397" spans="1:3" x14ac:dyDescent="0.25">
      <c r="A8397" s="2" t="str">
        <f ca="1">IFERROR(__xludf.DUMMYFUNCTION("""COMPUTED_VALUE"""),"mobox")</f>
        <v>mobox</v>
      </c>
      <c r="B8397" s="2" t="str">
        <f ca="1">IFERROR(__xludf.DUMMYFUNCTION("""COMPUTED_VALUE"""),"mbox")</f>
        <v>mbox</v>
      </c>
      <c r="C8397" s="2" t="str">
        <f ca="1">IFERROR(__xludf.DUMMYFUNCTION("""COMPUTED_VALUE"""),"Mobox")</f>
        <v>Mobox</v>
      </c>
    </row>
    <row r="8398" spans="1:3" x14ac:dyDescent="0.25">
      <c r="A8398" s="2" t="str">
        <f ca="1">IFERROR(__xludf.DUMMYFUNCTION("""COMPUTED_VALUE"""),"mobster")</f>
        <v>mobster</v>
      </c>
      <c r="B8398" s="2" t="str">
        <f ca="1">IFERROR(__xludf.DUMMYFUNCTION("""COMPUTED_VALUE"""),"mob")</f>
        <v>mob</v>
      </c>
      <c r="C8398" s="2" t="str">
        <f ca="1">IFERROR(__xludf.DUMMYFUNCTION("""COMPUTED_VALUE"""),"Mobster")</f>
        <v>Mobster</v>
      </c>
    </row>
    <row r="8399" spans="1:3" x14ac:dyDescent="0.25">
      <c r="A8399" s="2" t="str">
        <f ca="1">IFERROR(__xludf.DUMMYFUNCTION("""COMPUTED_VALUE"""),"moby")</f>
        <v>moby</v>
      </c>
      <c r="B8399" s="2" t="str">
        <f ca="1">IFERROR(__xludf.DUMMYFUNCTION("""COMPUTED_VALUE"""),"moby")</f>
        <v>moby</v>
      </c>
      <c r="C8399" s="2" t="str">
        <f ca="1">IFERROR(__xludf.DUMMYFUNCTION("""COMPUTED_VALUE"""),"Moby")</f>
        <v>Moby</v>
      </c>
    </row>
    <row r="8400" spans="1:3" x14ac:dyDescent="0.25">
      <c r="A8400" s="2" t="str">
        <f ca="1">IFERROR(__xludf.DUMMYFUNCTION("""COMPUTED_VALUE"""),"moby-2")</f>
        <v>moby-2</v>
      </c>
      <c r="B8400" s="2" t="str">
        <f ca="1">IFERROR(__xludf.DUMMYFUNCTION("""COMPUTED_VALUE"""),"moby")</f>
        <v>moby</v>
      </c>
      <c r="C8400" s="2" t="str">
        <f ca="1">IFERROR(__xludf.DUMMYFUNCTION("""COMPUTED_VALUE"""),"MOBY")</f>
        <v>MOBY</v>
      </c>
    </row>
    <row r="8401" spans="1:3" x14ac:dyDescent="0.25">
      <c r="A8401" s="2" t="str">
        <f ca="1">IFERROR(__xludf.DUMMYFUNCTION("""COMPUTED_VALUE"""),"mocaverse")</f>
        <v>mocaverse</v>
      </c>
      <c r="B8401" s="2" t="str">
        <f ca="1">IFERROR(__xludf.DUMMYFUNCTION("""COMPUTED_VALUE"""),"moca")</f>
        <v>moca</v>
      </c>
      <c r="C8401" s="2" t="str">
        <f ca="1">IFERROR(__xludf.DUMMYFUNCTION("""COMPUTED_VALUE"""),"Moca Coin")</f>
        <v>Moca Coin</v>
      </c>
    </row>
    <row r="8402" spans="1:3" x14ac:dyDescent="0.25">
      <c r="A8402" s="2" t="str">
        <f ca="1">IFERROR(__xludf.DUMMYFUNCTION("""COMPUTED_VALUE"""),"mochadcoin")</f>
        <v>mochadcoin</v>
      </c>
      <c r="B8402" s="2" t="str">
        <f ca="1">IFERROR(__xludf.DUMMYFUNCTION("""COMPUTED_VALUE"""),"mochad")</f>
        <v>mochad</v>
      </c>
      <c r="C8402" s="2" t="str">
        <f ca="1">IFERROR(__xludf.DUMMYFUNCTION("""COMPUTED_VALUE"""),"MoChadCoin")</f>
        <v>MoChadCoin</v>
      </c>
    </row>
    <row r="8403" spans="1:3" x14ac:dyDescent="0.25">
      <c r="A8403" s="2" t="str">
        <f ca="1">IFERROR(__xludf.DUMMYFUNCTION("""COMPUTED_VALUE"""),"mo-chain")</f>
        <v>mo-chain</v>
      </c>
      <c r="B8403" s="2" t="str">
        <f ca="1">IFERROR(__xludf.DUMMYFUNCTION("""COMPUTED_VALUE"""),"mo")</f>
        <v>mo</v>
      </c>
      <c r="C8403" s="2" t="str">
        <f ca="1">IFERROR(__xludf.DUMMYFUNCTION("""COMPUTED_VALUE"""),"MO Chain")</f>
        <v>MO Chain</v>
      </c>
    </row>
    <row r="8404" spans="1:3" x14ac:dyDescent="0.25">
      <c r="A8404" s="2" t="str">
        <f ca="1">IFERROR(__xludf.DUMMYFUNCTION("""COMPUTED_VALUE"""),"mochicat")</f>
        <v>mochicat</v>
      </c>
      <c r="B8404" s="2" t="str">
        <f ca="1">IFERROR(__xludf.DUMMYFUNCTION("""COMPUTED_VALUE"""),"mochicat")</f>
        <v>mochicat</v>
      </c>
      <c r="C8404" s="2" t="str">
        <f ca="1">IFERROR(__xludf.DUMMYFUNCTION("""COMPUTED_VALUE"""),"MOCHICAT")</f>
        <v>MOCHICAT</v>
      </c>
    </row>
    <row r="8405" spans="1:3" x14ac:dyDescent="0.25">
      <c r="A8405" s="2" t="str">
        <f ca="1">IFERROR(__xludf.DUMMYFUNCTION("""COMPUTED_VALUE"""),"mochi-defi")</f>
        <v>mochi-defi</v>
      </c>
      <c r="B8405" s="2" t="str">
        <f ca="1">IFERROR(__xludf.DUMMYFUNCTION("""COMPUTED_VALUE"""),"mochi")</f>
        <v>mochi</v>
      </c>
      <c r="C8405" s="2" t="str">
        <f ca="1">IFERROR(__xludf.DUMMYFUNCTION("""COMPUTED_VALUE"""),"Mochi DeFi")</f>
        <v>Mochi DeFi</v>
      </c>
    </row>
    <row r="8406" spans="1:3" x14ac:dyDescent="0.25">
      <c r="A8406" s="2" t="str">
        <f ca="1">IFERROR(__xludf.DUMMYFUNCTION("""COMPUTED_VALUE"""),"mochi-market")</f>
        <v>mochi-market</v>
      </c>
      <c r="B8406" s="2" t="str">
        <f ca="1">IFERROR(__xludf.DUMMYFUNCTION("""COMPUTED_VALUE"""),"moma")</f>
        <v>moma</v>
      </c>
      <c r="C8406" s="2" t="str">
        <f ca="1">IFERROR(__xludf.DUMMYFUNCTION("""COMPUTED_VALUE"""),"Mochi Market")</f>
        <v>Mochi Market</v>
      </c>
    </row>
    <row r="8407" spans="1:3" x14ac:dyDescent="0.25">
      <c r="A8407" s="2" t="str">
        <f ca="1">IFERROR(__xludf.DUMMYFUNCTION("""COMPUTED_VALUE"""),"mochi-thecatcoin")</f>
        <v>mochi-thecatcoin</v>
      </c>
      <c r="B8407" s="2" t="str">
        <f ca="1">IFERROR(__xludf.DUMMYFUNCTION("""COMPUTED_VALUE"""),"mochi")</f>
        <v>mochi</v>
      </c>
      <c r="C8407" s="2" t="str">
        <f ca="1">IFERROR(__xludf.DUMMYFUNCTION("""COMPUTED_VALUE"""),"Mochi")</f>
        <v>Mochi</v>
      </c>
    </row>
    <row r="8408" spans="1:3" x14ac:dyDescent="0.25">
      <c r="A8408" s="2" t="str">
        <f ca="1">IFERROR(__xludf.DUMMYFUNCTION("""COMPUTED_VALUE"""),"mock-capital")</f>
        <v>mock-capital</v>
      </c>
      <c r="B8408" s="2" t="str">
        <f ca="1">IFERROR(__xludf.DUMMYFUNCTION("""COMPUTED_VALUE"""),"mock")</f>
        <v>mock</v>
      </c>
      <c r="C8408" s="2" t="str">
        <f ca="1">IFERROR(__xludf.DUMMYFUNCTION("""COMPUTED_VALUE"""),"Mock Capital")</f>
        <v>Mock Capital</v>
      </c>
    </row>
    <row r="8409" spans="1:3" x14ac:dyDescent="0.25">
      <c r="A8409" s="2" t="str">
        <f ca="1">IFERROR(__xludf.DUMMYFUNCTION("""COMPUTED_VALUE"""),"mockjup")</f>
        <v>mockjup</v>
      </c>
      <c r="B8409" s="2" t="str">
        <f ca="1">IFERROR(__xludf.DUMMYFUNCTION("""COMPUTED_VALUE"""),"mockjup")</f>
        <v>mockjup</v>
      </c>
      <c r="C8409" s="2" t="str">
        <f ca="1">IFERROR(__xludf.DUMMYFUNCTION("""COMPUTED_VALUE"""),"mockJUP")</f>
        <v>mockJUP</v>
      </c>
    </row>
    <row r="8410" spans="1:3" x14ac:dyDescent="0.25">
      <c r="A8410" s="2" t="str">
        <f ca="1">IFERROR(__xludf.DUMMYFUNCTION("""COMPUTED_VALUE"""),"mocossi-planet")</f>
        <v>mocossi-planet</v>
      </c>
      <c r="B8410" s="2" t="str">
        <f ca="1">IFERROR(__xludf.DUMMYFUNCTION("""COMPUTED_VALUE"""),"mcos")</f>
        <v>mcos</v>
      </c>
      <c r="C8410" s="2" t="str">
        <f ca="1">IFERROR(__xludf.DUMMYFUNCTION("""COMPUTED_VALUE"""),"Mocossi Planet")</f>
        <v>Mocossi Planet</v>
      </c>
    </row>
    <row r="8411" spans="1:3" x14ac:dyDescent="0.25">
      <c r="A8411" s="2" t="str">
        <f ca="1">IFERROR(__xludf.DUMMYFUNCTION("""COMPUTED_VALUE"""),"moda-dao")</f>
        <v>moda-dao</v>
      </c>
      <c r="B8411" s="2" t="str">
        <f ca="1">IFERROR(__xludf.DUMMYFUNCTION("""COMPUTED_VALUE"""),"moda")</f>
        <v>moda</v>
      </c>
      <c r="C8411" s="2" t="str">
        <f ca="1">IFERROR(__xludf.DUMMYFUNCTION("""COMPUTED_VALUE"""),"MODA DAO")</f>
        <v>MODA DAO</v>
      </c>
    </row>
    <row r="8412" spans="1:3" x14ac:dyDescent="0.25">
      <c r="A8412" s="2" t="str">
        <f ca="1">IFERROR(__xludf.DUMMYFUNCTION("""COMPUTED_VALUE"""),"modai")</f>
        <v>modai</v>
      </c>
      <c r="B8412" s="2" t="str">
        <f ca="1">IFERROR(__xludf.DUMMYFUNCTION("""COMPUTED_VALUE"""),"modai")</f>
        <v>modai</v>
      </c>
      <c r="C8412" s="2" t="str">
        <f ca="1">IFERROR(__xludf.DUMMYFUNCTION("""COMPUTED_VALUE"""),"MODAI")</f>
        <v>MODAI</v>
      </c>
    </row>
    <row r="8413" spans="1:3" x14ac:dyDescent="0.25">
      <c r="A8413" s="2" t="str">
        <f ca="1">IFERROR(__xludf.DUMMYFUNCTION("""COMPUTED_VALUE"""),"modclub")</f>
        <v>modclub</v>
      </c>
      <c r="B8413" s="2" t="str">
        <f ca="1">IFERROR(__xludf.DUMMYFUNCTION("""COMPUTED_VALUE"""),"dcd")</f>
        <v>dcd</v>
      </c>
      <c r="C8413" s="2" t="str">
        <f ca="1">IFERROR(__xludf.DUMMYFUNCTION("""COMPUTED_VALUE"""),"DecideAI")</f>
        <v>DecideAI</v>
      </c>
    </row>
    <row r="8414" spans="1:3" x14ac:dyDescent="0.25">
      <c r="A8414" s="2" t="str">
        <f ca="1">IFERROR(__xludf.DUMMYFUNCTION("""COMPUTED_VALUE"""),"mode")</f>
        <v>mode</v>
      </c>
      <c r="B8414" s="2" t="str">
        <f ca="1">IFERROR(__xludf.DUMMYFUNCTION("""COMPUTED_VALUE"""),"mode")</f>
        <v>mode</v>
      </c>
      <c r="C8414" s="2" t="str">
        <f ca="1">IFERROR(__xludf.DUMMYFUNCTION("""COMPUTED_VALUE"""),"Mode")</f>
        <v>Mode</v>
      </c>
    </row>
    <row r="8415" spans="1:3" x14ac:dyDescent="0.25">
      <c r="A8415" s="2" t="str">
        <f ca="1">IFERROR(__xludf.DUMMYFUNCTION("""COMPUTED_VALUE"""),"mode-bridged-usdc-mode")</f>
        <v>mode-bridged-usdc-mode</v>
      </c>
      <c r="B8415" s="2" t="str">
        <f ca="1">IFERROR(__xludf.DUMMYFUNCTION("""COMPUTED_VALUE"""),"usdc")</f>
        <v>usdc</v>
      </c>
      <c r="C8415" s="2" t="str">
        <f ca="1">IFERROR(__xludf.DUMMYFUNCTION("""COMPUTED_VALUE"""),"Mode Bridged USDC (Mode)")</f>
        <v>Mode Bridged USDC (Mode)</v>
      </c>
    </row>
    <row r="8416" spans="1:3" x14ac:dyDescent="0.25">
      <c r="A8416" s="2" t="str">
        <f ca="1">IFERROR(__xludf.DUMMYFUNCTION("""COMPUTED_VALUE"""),"mode-bridged-usdt-mode")</f>
        <v>mode-bridged-usdt-mode</v>
      </c>
      <c r="B8416" s="2" t="str">
        <f ca="1">IFERROR(__xludf.DUMMYFUNCTION("""COMPUTED_VALUE"""),"usdt")</f>
        <v>usdt</v>
      </c>
      <c r="C8416" s="2" t="str">
        <f ca="1">IFERROR(__xludf.DUMMYFUNCTION("""COMPUTED_VALUE"""),"Mode Bridged USDT (Mode)")</f>
        <v>Mode Bridged USDT (Mode)</v>
      </c>
    </row>
    <row r="8417" spans="1:3" x14ac:dyDescent="0.25">
      <c r="A8417" s="2" t="str">
        <f ca="1">IFERROR(__xludf.DUMMYFUNCTION("""COMPUTED_VALUE"""),"mode-bridged-wbtc-mode")</f>
        <v>mode-bridged-wbtc-mode</v>
      </c>
      <c r="B8417" s="2" t="str">
        <f ca="1">IFERROR(__xludf.DUMMYFUNCTION("""COMPUTED_VALUE"""),"wbtc")</f>
        <v>wbtc</v>
      </c>
      <c r="C8417" s="2" t="str">
        <f ca="1">IFERROR(__xludf.DUMMYFUNCTION("""COMPUTED_VALUE"""),"Mode Bridged WBTC (Mode)")</f>
        <v>Mode Bridged WBTC (Mode)</v>
      </c>
    </row>
    <row r="8418" spans="1:3" x14ac:dyDescent="0.25">
      <c r="A8418" s="2" t="str">
        <f ca="1">IFERROR(__xludf.DUMMYFUNCTION("""COMPUTED_VALUE"""),"modefi")</f>
        <v>modefi</v>
      </c>
      <c r="B8418" s="2" t="str">
        <f ca="1">IFERROR(__xludf.DUMMYFUNCTION("""COMPUTED_VALUE"""),"mod")</f>
        <v>mod</v>
      </c>
      <c r="C8418" s="2" t="str">
        <f ca="1">IFERROR(__xludf.DUMMYFUNCTION("""COMPUTED_VALUE"""),"Modefi")</f>
        <v>Modefi</v>
      </c>
    </row>
    <row r="8419" spans="1:3" x14ac:dyDescent="0.25">
      <c r="A8419" s="2" t="str">
        <f ca="1">IFERROR(__xludf.DUMMYFUNCTION("""COMPUTED_VALUE"""),"modern-innovation-network-token")</f>
        <v>modern-innovation-network-token</v>
      </c>
      <c r="B8419" s="2" t="str">
        <f ca="1">IFERROR(__xludf.DUMMYFUNCTION("""COMPUTED_VALUE"""),"minx")</f>
        <v>minx</v>
      </c>
      <c r="C8419" s="2" t="str">
        <f ca="1">IFERROR(__xludf.DUMMYFUNCTION("""COMPUTED_VALUE"""),"Modern Innovation Network Token")</f>
        <v>Modern Innovation Network Token</v>
      </c>
    </row>
    <row r="8420" spans="1:3" x14ac:dyDescent="0.25">
      <c r="A8420" s="2" t="str">
        <f ca="1">IFERROR(__xludf.DUMMYFUNCTION("""COMPUTED_VALUE"""),"modex")</f>
        <v>modex</v>
      </c>
      <c r="B8420" s="2" t="str">
        <f ca="1">IFERROR(__xludf.DUMMYFUNCTION("""COMPUTED_VALUE"""),"modex")</f>
        <v>modex</v>
      </c>
      <c r="C8420" s="2" t="str">
        <f ca="1">IFERROR(__xludf.DUMMYFUNCTION("""COMPUTED_VALUE"""),"Modex")</f>
        <v>Modex</v>
      </c>
    </row>
    <row r="8421" spans="1:3" x14ac:dyDescent="0.25">
      <c r="A8421" s="2" t="str">
        <f ca="1">IFERROR(__xludf.DUMMYFUNCTION("""COMPUTED_VALUE"""),"modulus-domains-service")</f>
        <v>modulus-domains-service</v>
      </c>
      <c r="B8421" s="2" t="str">
        <f ca="1">IFERROR(__xludf.DUMMYFUNCTION("""COMPUTED_VALUE"""),"mods")</f>
        <v>mods</v>
      </c>
      <c r="C8421" s="2" t="str">
        <f ca="1">IFERROR(__xludf.DUMMYFUNCTION("""COMPUTED_VALUE"""),"Modulus Domain Service")</f>
        <v>Modulus Domain Service</v>
      </c>
    </row>
    <row r="8422" spans="1:3" x14ac:dyDescent="0.25">
      <c r="A8422" s="2" t="str">
        <f ca="1">IFERROR(__xludf.DUMMYFUNCTION("""COMPUTED_VALUE"""),"moe")</f>
        <v>moe</v>
      </c>
      <c r="B8422" s="2" t="str">
        <f ca="1">IFERROR(__xludf.DUMMYFUNCTION("""COMPUTED_VALUE"""),"moe")</f>
        <v>moe</v>
      </c>
      <c r="C8422" s="2" t="str">
        <f ca="1">IFERROR(__xludf.DUMMYFUNCTION("""COMPUTED_VALUE"""),"MOE")</f>
        <v>MOE</v>
      </c>
    </row>
    <row r="8423" spans="1:3" x14ac:dyDescent="0.25">
      <c r="A8423" s="2" t="str">
        <f ca="1">IFERROR(__xludf.DUMMYFUNCTION("""COMPUTED_VALUE"""),"moe-2")</f>
        <v>moe-2</v>
      </c>
      <c r="B8423" s="2" t="str">
        <f ca="1">IFERROR(__xludf.DUMMYFUNCTION("""COMPUTED_VALUE"""),"moe")</f>
        <v>moe</v>
      </c>
      <c r="C8423" s="2" t="str">
        <f ca="1">IFERROR(__xludf.DUMMYFUNCTION("""COMPUTED_VALUE"""),"Moe")</f>
        <v>Moe</v>
      </c>
    </row>
    <row r="8424" spans="1:3" x14ac:dyDescent="0.25">
      <c r="A8424" s="2" t="str">
        <f ca="1">IFERROR(__xludf.DUMMYFUNCTION("""COMPUTED_VALUE"""),"moe-3")</f>
        <v>moe-3</v>
      </c>
      <c r="B8424" s="2" t="str">
        <f ca="1">IFERROR(__xludf.DUMMYFUNCTION("""COMPUTED_VALUE"""),"moe")</f>
        <v>moe</v>
      </c>
      <c r="C8424" s="2" t="str">
        <f ca="1">IFERROR(__xludf.DUMMYFUNCTION("""COMPUTED_VALUE"""),"MOE")</f>
        <v>MOE</v>
      </c>
    </row>
    <row r="8425" spans="1:3" x14ac:dyDescent="0.25">
      <c r="A8425" s="2" t="str">
        <f ca="1">IFERROR(__xludf.DUMMYFUNCTION("""COMPUTED_VALUE"""),"moeda-loyalty-points")</f>
        <v>moeda-loyalty-points</v>
      </c>
      <c r="B8425" s="2" t="str">
        <f ca="1">IFERROR(__xludf.DUMMYFUNCTION("""COMPUTED_VALUE"""),"mda")</f>
        <v>mda</v>
      </c>
      <c r="C8425" s="2" t="str">
        <f ca="1">IFERROR(__xludf.DUMMYFUNCTION("""COMPUTED_VALUE"""),"Moeda Loyalty Points")</f>
        <v>Moeda Loyalty Points</v>
      </c>
    </row>
    <row r="8426" spans="1:3" x14ac:dyDescent="0.25">
      <c r="A8426" s="2" t="str">
        <f ca="1">IFERROR(__xludf.DUMMYFUNCTION("""COMPUTED_VALUE"""),"moew")</f>
        <v>moew</v>
      </c>
      <c r="B8426" s="2" t="str">
        <f ca="1">IFERROR(__xludf.DUMMYFUNCTION("""COMPUTED_VALUE"""),"moew")</f>
        <v>moew</v>
      </c>
      <c r="C8426" s="2" t="str">
        <f ca="1">IFERROR(__xludf.DUMMYFUNCTION("""COMPUTED_VALUE"""),"MOEW")</f>
        <v>MOEW</v>
      </c>
    </row>
    <row r="8427" spans="1:3" x14ac:dyDescent="0.25">
      <c r="A8427" s="2" t="str">
        <f ca="1">IFERROR(__xludf.DUMMYFUNCTION("""COMPUTED_VALUE"""),"mog")</f>
        <v>mog</v>
      </c>
      <c r="B8427" s="2" t="str">
        <f ca="1">IFERROR(__xludf.DUMMYFUNCTION("""COMPUTED_VALUE"""),"mog")</f>
        <v>mog</v>
      </c>
      <c r="C8427" s="2" t="str">
        <f ca="1">IFERROR(__xludf.DUMMYFUNCTION("""COMPUTED_VALUE"""),"MOG")</f>
        <v>MOG</v>
      </c>
    </row>
    <row r="8428" spans="1:3" x14ac:dyDescent="0.25">
      <c r="A8428" s="2" t="str">
        <f ca="1">IFERROR(__xludf.DUMMYFUNCTION("""COMPUTED_VALUE"""),"mog-2")</f>
        <v>mog-2</v>
      </c>
      <c r="B8428" s="2" t="str">
        <f ca="1">IFERROR(__xludf.DUMMYFUNCTION("""COMPUTED_VALUE"""),"mog")</f>
        <v>mog</v>
      </c>
      <c r="C8428" s="2" t="str">
        <f ca="1">IFERROR(__xludf.DUMMYFUNCTION("""COMPUTED_VALUE"""),"Mog")</f>
        <v>Mog</v>
      </c>
    </row>
    <row r="8429" spans="1:3" x14ac:dyDescent="0.25">
      <c r="A8429" s="2" t="str">
        <f ca="1">IFERROR(__xludf.DUMMYFUNCTION("""COMPUTED_VALUE"""),"mog-coin")</f>
        <v>mog-coin</v>
      </c>
      <c r="B8429" s="2" t="str">
        <f ca="1">IFERROR(__xludf.DUMMYFUNCTION("""COMPUTED_VALUE"""),"mog")</f>
        <v>mog</v>
      </c>
      <c r="C8429" s="2" t="str">
        <f ca="1">IFERROR(__xludf.DUMMYFUNCTION("""COMPUTED_VALUE"""),"Mog Coin")</f>
        <v>Mog Coin</v>
      </c>
    </row>
    <row r="8430" spans="1:3" x14ac:dyDescent="0.25">
      <c r="A8430" s="2" t="str">
        <f ca="1">IFERROR(__xludf.DUMMYFUNCTION("""COMPUTED_VALUE"""),"mogdog")</f>
        <v>mogdog</v>
      </c>
      <c r="B8430" s="2" t="str">
        <f ca="1">IFERROR(__xludf.DUMMYFUNCTION("""COMPUTED_VALUE"""),"mogdog")</f>
        <v>mogdog</v>
      </c>
      <c r="C8430" s="2" t="str">
        <f ca="1">IFERROR(__xludf.DUMMYFUNCTION("""COMPUTED_VALUE"""),"MOGDOG")</f>
        <v>MOGDOG</v>
      </c>
    </row>
    <row r="8431" spans="1:3" x14ac:dyDescent="0.25">
      <c r="A8431" s="2" t="str">
        <f ca="1">IFERROR(__xludf.DUMMYFUNCTION("""COMPUTED_VALUE"""),"moge")</f>
        <v>moge</v>
      </c>
      <c r="B8431" s="2" t="str">
        <f ca="1">IFERROR(__xludf.DUMMYFUNCTION("""COMPUTED_VALUE"""),"moge")</f>
        <v>moge</v>
      </c>
      <c r="C8431" s="2" t="str">
        <f ca="1">IFERROR(__xludf.DUMMYFUNCTION("""COMPUTED_VALUE"""),"Moge")</f>
        <v>Moge</v>
      </c>
    </row>
    <row r="8432" spans="1:3" x14ac:dyDescent="0.25">
      <c r="A8432" s="2" t="str">
        <f ca="1">IFERROR(__xludf.DUMMYFUNCTION("""COMPUTED_VALUE"""),"moggo")</f>
        <v>moggo</v>
      </c>
      <c r="B8432" s="2" t="str">
        <f ca="1">IFERROR(__xludf.DUMMYFUNCTION("""COMPUTED_VALUE"""),"moggo")</f>
        <v>moggo</v>
      </c>
      <c r="C8432" s="2" t="str">
        <f ca="1">IFERROR(__xludf.DUMMYFUNCTION("""COMPUTED_VALUE"""),"MOGGO")</f>
        <v>MOGGO</v>
      </c>
    </row>
    <row r="8433" spans="1:3" x14ac:dyDescent="0.25">
      <c r="A8433" s="2" t="str">
        <f ca="1">IFERROR(__xludf.DUMMYFUNCTION("""COMPUTED_VALUE"""),"mogi-cet")</f>
        <v>mogi-cet</v>
      </c>
      <c r="B8433" s="2" t="str">
        <f ca="1">IFERROR(__xludf.DUMMYFUNCTION("""COMPUTED_VALUE"""),"mogi")</f>
        <v>mogi</v>
      </c>
      <c r="C8433" s="2" t="str">
        <f ca="1">IFERROR(__xludf.DUMMYFUNCTION("""COMPUTED_VALUE"""),"Mogi cet")</f>
        <v>Mogi cet</v>
      </c>
    </row>
    <row r="8434" spans="1:3" x14ac:dyDescent="0.25">
      <c r="A8434" s="2" t="str">
        <f ca="1">IFERROR(__xludf.DUMMYFUNCTION("""COMPUTED_VALUE"""),"mogul-productions")</f>
        <v>mogul-productions</v>
      </c>
      <c r="B8434" s="2" t="str">
        <f ca="1">IFERROR(__xludf.DUMMYFUNCTION("""COMPUTED_VALUE"""),"stars")</f>
        <v>stars</v>
      </c>
      <c r="C8434" s="2" t="str">
        <f ca="1">IFERROR(__xludf.DUMMYFUNCTION("""COMPUTED_VALUE"""),"Mogul Productions [OLD]")</f>
        <v>Mogul Productions [OLD]</v>
      </c>
    </row>
    <row r="8435" spans="1:3" x14ac:dyDescent="0.25">
      <c r="A8435" s="2" t="str">
        <f ca="1">IFERROR(__xludf.DUMMYFUNCTION("""COMPUTED_VALUE"""),"mogul-productions-2")</f>
        <v>mogul-productions-2</v>
      </c>
      <c r="B8435" s="2" t="str">
        <f ca="1">IFERROR(__xludf.DUMMYFUNCTION("""COMPUTED_VALUE"""),"mogul")</f>
        <v>mogul</v>
      </c>
      <c r="C8435" s="2" t="str">
        <f ca="1">IFERROR(__xludf.DUMMYFUNCTION("""COMPUTED_VALUE"""),"Mogul Productions")</f>
        <v>Mogul Productions</v>
      </c>
    </row>
    <row r="8436" spans="1:3" x14ac:dyDescent="0.25">
      <c r="A8436" s="2" t="str">
        <f ca="1">IFERROR(__xludf.DUMMYFUNCTION("""COMPUTED_VALUE"""),"mogul-trumps-code-name")</f>
        <v>mogul-trumps-code-name</v>
      </c>
      <c r="B8436" s="2" t="str">
        <f ca="1">IFERROR(__xludf.DUMMYFUNCTION("""COMPUTED_VALUE"""),"mogul")</f>
        <v>mogul</v>
      </c>
      <c r="C8436" s="2" t="str">
        <f ca="1">IFERROR(__xludf.DUMMYFUNCTION("""COMPUTED_VALUE"""),"Mogul Trumps Code Name")</f>
        <v>Mogul Trumps Code Name</v>
      </c>
    </row>
    <row r="8437" spans="1:3" x14ac:dyDescent="0.25">
      <c r="A8437" s="2" t="str">
        <f ca="1">IFERROR(__xludf.DUMMYFUNCTION("""COMPUTED_VALUE"""),"mogutou")</f>
        <v>mogutou</v>
      </c>
      <c r="B8437" s="2" t="str">
        <f ca="1">IFERROR(__xludf.DUMMYFUNCTION("""COMPUTED_VALUE"""),"mogu")</f>
        <v>mogu</v>
      </c>
      <c r="C8437" s="2" t="str">
        <f ca="1">IFERROR(__xludf.DUMMYFUNCTION("""COMPUTED_VALUE"""),"Mogutou")</f>
        <v>Mogutou</v>
      </c>
    </row>
    <row r="8438" spans="1:3" x14ac:dyDescent="0.25">
      <c r="A8438" s="2" t="str">
        <f ca="1">IFERROR(__xludf.DUMMYFUNCTION("""COMPUTED_VALUE"""),"mohameme-bit-salman")</f>
        <v>mohameme-bit-salman</v>
      </c>
      <c r="B8438" s="2" t="str">
        <f ca="1">IFERROR(__xludf.DUMMYFUNCTION("""COMPUTED_VALUE"""),"salman")</f>
        <v>salman</v>
      </c>
      <c r="C8438" s="2" t="str">
        <f ca="1">IFERROR(__xludf.DUMMYFUNCTION("""COMPUTED_VALUE"""),"Mohameme Bit Salman")</f>
        <v>Mohameme Bit Salman</v>
      </c>
    </row>
    <row r="8439" spans="1:3" x14ac:dyDescent="0.25">
      <c r="A8439" s="2" t="str">
        <f ca="1">IFERROR(__xludf.DUMMYFUNCTION("""COMPUTED_VALUE"""),"mojitoswap")</f>
        <v>mojitoswap</v>
      </c>
      <c r="B8439" s="2" t="str">
        <f ca="1">IFERROR(__xludf.DUMMYFUNCTION("""COMPUTED_VALUE"""),"mjt")</f>
        <v>mjt</v>
      </c>
      <c r="C8439" s="2" t="str">
        <f ca="1">IFERROR(__xludf.DUMMYFUNCTION("""COMPUTED_VALUE"""),"MojitoSwap")</f>
        <v>MojitoSwap</v>
      </c>
    </row>
    <row r="8440" spans="1:3" x14ac:dyDescent="0.25">
      <c r="A8440" s="2" t="str">
        <f ca="1">IFERROR(__xludf.DUMMYFUNCTION("""COMPUTED_VALUE"""),"mojo")</f>
        <v>mojo</v>
      </c>
      <c r="B8440" s="2" t="str">
        <f ca="1">IFERROR(__xludf.DUMMYFUNCTION("""COMPUTED_VALUE"""),"mojo")</f>
        <v>mojo</v>
      </c>
      <c r="C8440" s="2" t="str">
        <f ca="1">IFERROR(__xludf.DUMMYFUNCTION("""COMPUTED_VALUE"""),"Mojo")</f>
        <v>Mojo</v>
      </c>
    </row>
    <row r="8441" spans="1:3" x14ac:dyDescent="0.25">
      <c r="A8441" s="2" t="str">
        <f ca="1">IFERROR(__xludf.DUMMYFUNCTION("""COMPUTED_VALUE"""),"mojo-meme")</f>
        <v>mojo-meme</v>
      </c>
      <c r="B8441" s="2" t="str">
        <f ca="1">IFERROR(__xludf.DUMMYFUNCTION("""COMPUTED_VALUE"""),"mojo")</f>
        <v>mojo</v>
      </c>
      <c r="C8441" s="2" t="str">
        <f ca="1">IFERROR(__xludf.DUMMYFUNCTION("""COMPUTED_VALUE"""),"Mojo Meme")</f>
        <v>Mojo Meme</v>
      </c>
    </row>
    <row r="8442" spans="1:3" x14ac:dyDescent="0.25">
      <c r="A8442" s="2" t="str">
        <f ca="1">IFERROR(__xludf.DUMMYFUNCTION("""COMPUTED_VALUE"""),"mojo-the-gorilla")</f>
        <v>mojo-the-gorilla</v>
      </c>
      <c r="B8442" s="2" t="str">
        <f ca="1">IFERROR(__xludf.DUMMYFUNCTION("""COMPUTED_VALUE"""),"mojo")</f>
        <v>mojo</v>
      </c>
      <c r="C8442" s="2" t="str">
        <f ca="1">IFERROR(__xludf.DUMMYFUNCTION("""COMPUTED_VALUE"""),"MOJO The Gorilla")</f>
        <v>MOJO The Gorilla</v>
      </c>
    </row>
    <row r="8443" spans="1:3" x14ac:dyDescent="0.25">
      <c r="A8443" s="2" t="str">
        <f ca="1">IFERROR(__xludf.DUMMYFUNCTION("""COMPUTED_VALUE"""),"mokens-league")</f>
        <v>mokens-league</v>
      </c>
      <c r="B8443" s="2" t="str">
        <f ca="1">IFERROR(__xludf.DUMMYFUNCTION("""COMPUTED_VALUE"""),"moka")</f>
        <v>moka</v>
      </c>
      <c r="C8443" s="2" t="str">
        <f ca="1">IFERROR(__xludf.DUMMYFUNCTION("""COMPUTED_VALUE"""),"Mokens League")</f>
        <v>Mokens League</v>
      </c>
    </row>
    <row r="8444" spans="1:3" x14ac:dyDescent="0.25">
      <c r="A8444" s="2" t="str">
        <f ca="1">IFERROR(__xludf.DUMMYFUNCTION("""COMPUTED_VALUE"""),"molandak")</f>
        <v>molandak</v>
      </c>
      <c r="B8444" s="2" t="str">
        <f ca="1">IFERROR(__xludf.DUMMYFUNCTION("""COMPUTED_VALUE"""),"molandak")</f>
        <v>molandak</v>
      </c>
      <c r="C8444" s="2" t="str">
        <f ca="1">IFERROR(__xludf.DUMMYFUNCTION("""COMPUTED_VALUE"""),"Molandak")</f>
        <v>Molandak</v>
      </c>
    </row>
    <row r="8445" spans="1:3" x14ac:dyDescent="0.25">
      <c r="A8445" s="2" t="str">
        <f ca="1">IFERROR(__xludf.DUMMYFUNCTION("""COMPUTED_VALUE"""),"molecules-of-korolchuk-ip-nft")</f>
        <v>molecules-of-korolchuk-ip-nft</v>
      </c>
      <c r="B8445" s="2" t="str">
        <f ca="1">IFERROR(__xludf.DUMMYFUNCTION("""COMPUTED_VALUE"""),"vita-fast")</f>
        <v>vita-fast</v>
      </c>
      <c r="C8445" s="2" t="str">
        <f ca="1">IFERROR(__xludf.DUMMYFUNCTION("""COMPUTED_VALUE"""),"Molecules of Korolchuk IP-NFT")</f>
        <v>Molecules of Korolchuk IP-NFT</v>
      </c>
    </row>
    <row r="8446" spans="1:3" x14ac:dyDescent="0.25">
      <c r="A8446" s="2" t="str">
        <f ca="1">IFERROR(__xludf.DUMMYFUNCTION("""COMPUTED_VALUE"""),"mollarstoken")</f>
        <v>mollarstoken</v>
      </c>
      <c r="B8446" s="2" t="str">
        <f ca="1">IFERROR(__xludf.DUMMYFUNCTION("""COMPUTED_VALUE"""),"mollars")</f>
        <v>mollars</v>
      </c>
      <c r="C8446" s="2" t="str">
        <f ca="1">IFERROR(__xludf.DUMMYFUNCTION("""COMPUTED_VALUE"""),"MollarsToken")</f>
        <v>MollarsToken</v>
      </c>
    </row>
    <row r="8447" spans="1:3" x14ac:dyDescent="0.25">
      <c r="A8447" s="2" t="str">
        <f ca="1">IFERROR(__xludf.DUMMYFUNCTION("""COMPUTED_VALUE"""),"molly")</f>
        <v>molly</v>
      </c>
      <c r="B8447" s="2" t="str">
        <f ca="1">IFERROR(__xludf.DUMMYFUNCTION("""COMPUTED_VALUE"""),"molly")</f>
        <v>molly</v>
      </c>
      <c r="C8447" s="2" t="str">
        <f ca="1">IFERROR(__xludf.DUMMYFUNCTION("""COMPUTED_VALUE"""),"Molly")</f>
        <v>Molly</v>
      </c>
    </row>
    <row r="8448" spans="1:3" x14ac:dyDescent="0.25">
      <c r="A8448" s="2" t="str">
        <f ca="1">IFERROR(__xludf.DUMMYFUNCTION("""COMPUTED_VALUE"""),"molly-ai")</f>
        <v>molly-ai</v>
      </c>
      <c r="B8448" s="2" t="str">
        <f ca="1">IFERROR(__xludf.DUMMYFUNCTION("""COMPUTED_VALUE"""),"molly")</f>
        <v>molly</v>
      </c>
      <c r="C8448" s="2" t="str">
        <f ca="1">IFERROR(__xludf.DUMMYFUNCTION("""COMPUTED_VALUE"""),"Molly AI")</f>
        <v>Molly AI</v>
      </c>
    </row>
    <row r="8449" spans="1:3" x14ac:dyDescent="0.25">
      <c r="A8449" s="2" t="str">
        <f ca="1">IFERROR(__xludf.DUMMYFUNCTION("""COMPUTED_VALUE"""),"molten-2")</f>
        <v>molten-2</v>
      </c>
      <c r="B8449" s="2" t="str">
        <f ca="1">IFERROR(__xludf.DUMMYFUNCTION("""COMPUTED_VALUE"""),"molten")</f>
        <v>molten</v>
      </c>
      <c r="C8449" s="2" t="str">
        <f ca="1">IFERROR(__xludf.DUMMYFUNCTION("""COMPUTED_VALUE"""),"Molten")</f>
        <v>Molten</v>
      </c>
    </row>
    <row r="8450" spans="1:3" x14ac:dyDescent="0.25">
      <c r="A8450" s="2" t="str">
        <f ca="1">IFERROR(__xludf.DUMMYFUNCTION("""COMPUTED_VALUE"""),"moments")</f>
        <v>moments</v>
      </c>
      <c r="B8450" s="2" t="str">
        <f ca="1">IFERROR(__xludf.DUMMYFUNCTION("""COMPUTED_VALUE"""),"mmt")</f>
        <v>mmt</v>
      </c>
      <c r="C8450" s="2" t="str">
        <f ca="1">IFERROR(__xludf.DUMMYFUNCTION("""COMPUTED_VALUE"""),"Moments Market")</f>
        <v>Moments Market</v>
      </c>
    </row>
    <row r="8451" spans="1:3" x14ac:dyDescent="0.25">
      <c r="A8451" s="2" t="str">
        <f ca="1">IFERROR(__xludf.DUMMYFUNCTION("""COMPUTED_VALUE"""),"mommy-doge")</f>
        <v>mommy-doge</v>
      </c>
      <c r="B8451" s="2" t="str">
        <f ca="1">IFERROR(__xludf.DUMMYFUNCTION("""COMPUTED_VALUE"""),"mommydoge")</f>
        <v>mommydoge</v>
      </c>
      <c r="C8451" s="2" t="str">
        <f ca="1">IFERROR(__xludf.DUMMYFUNCTION("""COMPUTED_VALUE"""),"Mommy Doge")</f>
        <v>Mommy Doge</v>
      </c>
    </row>
    <row r="8452" spans="1:3" x14ac:dyDescent="0.25">
      <c r="A8452" s="2" t="str">
        <f ca="1">IFERROR(__xludf.DUMMYFUNCTION("""COMPUTED_VALUE"""),"momo-2-0")</f>
        <v>momo-2-0</v>
      </c>
      <c r="B8452" s="2" t="str">
        <f ca="1">IFERROR(__xludf.DUMMYFUNCTION("""COMPUTED_VALUE"""),"momo")</f>
        <v>momo</v>
      </c>
      <c r="C8452" s="2" t="str">
        <f ca="1">IFERROR(__xludf.DUMMYFUNCTION("""COMPUTED_VALUE"""),"MOMO 2.0")</f>
        <v>MOMO 2.0</v>
      </c>
    </row>
    <row r="8453" spans="1:3" x14ac:dyDescent="0.25">
      <c r="A8453" s="2" t="str">
        <f ca="1">IFERROR(__xludf.DUMMYFUNCTION("""COMPUTED_VALUE"""),"momoji")</f>
        <v>momoji</v>
      </c>
      <c r="B8453" s="2" t="str">
        <f ca="1">IFERROR(__xludf.DUMMYFUNCTION("""COMPUTED_VALUE"""),"emoji")</f>
        <v>emoji</v>
      </c>
      <c r="C8453" s="2" t="str">
        <f ca="1">IFERROR(__xludf.DUMMYFUNCTION("""COMPUTED_VALUE"""),"MOMOJI")</f>
        <v>MOMOJI</v>
      </c>
    </row>
    <row r="8454" spans="1:3" x14ac:dyDescent="0.25">
      <c r="A8454" s="2" t="str">
        <f ca="1">IFERROR(__xludf.DUMMYFUNCTION("""COMPUTED_VALUE"""),"momo-key")</f>
        <v>momo-key</v>
      </c>
      <c r="B8454" s="2" t="str">
        <f ca="1">IFERROR(__xludf.DUMMYFUNCTION("""COMPUTED_VALUE"""),"key")</f>
        <v>key</v>
      </c>
      <c r="C8454" s="2" t="str">
        <f ca="1">IFERROR(__xludf.DUMMYFUNCTION("""COMPUTED_VALUE"""),"MoMo Key")</f>
        <v>MoMo Key</v>
      </c>
    </row>
    <row r="8455" spans="1:3" x14ac:dyDescent="0.25">
      <c r="A8455" s="2" t="str">
        <f ca="1">IFERROR(__xludf.DUMMYFUNCTION("""COMPUTED_VALUE"""),"momo-v2")</f>
        <v>momo-v2</v>
      </c>
      <c r="B8455" s="2" t="str">
        <f ca="1">IFERROR(__xludf.DUMMYFUNCTION("""COMPUTED_VALUE"""),"momo v2")</f>
        <v>momo v2</v>
      </c>
      <c r="C8455" s="2" t="str">
        <f ca="1">IFERROR(__xludf.DUMMYFUNCTION("""COMPUTED_VALUE"""),"Momo v2")</f>
        <v>Momo v2</v>
      </c>
    </row>
    <row r="8456" spans="1:3" x14ac:dyDescent="0.25">
      <c r="A8456" s="2" t="str">
        <f ca="1">IFERROR(__xludf.DUMMYFUNCTION("""COMPUTED_VALUE"""),"monacoin")</f>
        <v>monacoin</v>
      </c>
      <c r="B8456" s="2" t="str">
        <f ca="1">IFERROR(__xludf.DUMMYFUNCTION("""COMPUTED_VALUE"""),"mona")</f>
        <v>mona</v>
      </c>
      <c r="C8456" s="2" t="str">
        <f ca="1">IFERROR(__xludf.DUMMYFUNCTION("""COMPUTED_VALUE"""),"MonaCoin")</f>
        <v>MonaCoin</v>
      </c>
    </row>
    <row r="8457" spans="1:3" x14ac:dyDescent="0.25">
      <c r="A8457" s="2" t="str">
        <f ca="1">IFERROR(__xludf.DUMMYFUNCTION("""COMPUTED_VALUE"""),"monad")</f>
        <v>monad</v>
      </c>
      <c r="B8457" s="2" t="str">
        <f ca="1">IFERROR(__xludf.DUMMYFUNCTION("""COMPUTED_VALUE"""),"mona")</f>
        <v>mona</v>
      </c>
      <c r="C8457" s="2" t="str">
        <f ca="1">IFERROR(__xludf.DUMMYFUNCTION("""COMPUTED_VALUE"""),"Monad")</f>
        <v>Monad</v>
      </c>
    </row>
    <row r="8458" spans="1:3" x14ac:dyDescent="0.25">
      <c r="A8458" s="2" t="str">
        <f ca="1">IFERROR(__xludf.DUMMYFUNCTION("""COMPUTED_VALUE"""),"monai")</f>
        <v>monai</v>
      </c>
      <c r="B8458" s="2" t="str">
        <f ca="1">IFERROR(__xludf.DUMMYFUNCTION("""COMPUTED_VALUE"""),"monai")</f>
        <v>monai</v>
      </c>
      <c r="C8458" s="2" t="str">
        <f ca="1">IFERROR(__xludf.DUMMYFUNCTION("""COMPUTED_VALUE"""),"Monai")</f>
        <v>Monai</v>
      </c>
    </row>
    <row r="8459" spans="1:3" x14ac:dyDescent="0.25">
      <c r="A8459" s="2" t="str">
        <f ca="1">IFERROR(__xludf.DUMMYFUNCTION("""COMPUTED_VALUE"""),"monarch")</f>
        <v>monarch</v>
      </c>
      <c r="B8459" s="2" t="str">
        <f ca="1">IFERROR(__xludf.DUMMYFUNCTION("""COMPUTED_VALUE"""),"mnrch")</f>
        <v>mnrch</v>
      </c>
      <c r="C8459" s="2" t="str">
        <f ca="1">IFERROR(__xludf.DUMMYFUNCTION("""COMPUTED_VALUE"""),"Monarch")</f>
        <v>Monarch</v>
      </c>
    </row>
    <row r="8460" spans="1:3" x14ac:dyDescent="0.25">
      <c r="A8460" s="2" t="str">
        <f ca="1">IFERROR(__xludf.DUMMYFUNCTION("""COMPUTED_VALUE"""),"monat-money")</f>
        <v>monat-money</v>
      </c>
      <c r="B8460" s="2" t="str">
        <f ca="1">IFERROR(__xludf.DUMMYFUNCTION("""COMPUTED_VALUE"""),"monat")</f>
        <v>monat</v>
      </c>
      <c r="C8460" s="2" t="str">
        <f ca="1">IFERROR(__xludf.DUMMYFUNCTION("""COMPUTED_VALUE"""),"Monat Money")</f>
        <v>Monat Money</v>
      </c>
    </row>
    <row r="8461" spans="1:3" x14ac:dyDescent="0.25">
      <c r="A8461" s="2" t="str">
        <f ca="1">IFERROR(__xludf.DUMMYFUNCTION("""COMPUTED_VALUE"""),"mona-token")</f>
        <v>mona-token</v>
      </c>
      <c r="B8461" s="2" t="str">
        <f ca="1">IFERROR(__xludf.DUMMYFUNCTION("""COMPUTED_VALUE"""),"lisa")</f>
        <v>lisa</v>
      </c>
      <c r="C8461" s="2" t="str">
        <f ca="1">IFERROR(__xludf.DUMMYFUNCTION("""COMPUTED_VALUE"""),"Mona Token")</f>
        <v>Mona Token</v>
      </c>
    </row>
    <row r="8462" spans="1:3" x14ac:dyDescent="0.25">
      <c r="A8462" s="2" t="str">
        <f ca="1">IFERROR(__xludf.DUMMYFUNCTION("""COMPUTED_VALUE"""),"monavale")</f>
        <v>monavale</v>
      </c>
      <c r="B8462" s="2" t="str">
        <f ca="1">IFERROR(__xludf.DUMMYFUNCTION("""COMPUTED_VALUE"""),"mona")</f>
        <v>mona</v>
      </c>
      <c r="C8462" s="2" t="str">
        <f ca="1">IFERROR(__xludf.DUMMYFUNCTION("""COMPUTED_VALUE"""),"Monavale")</f>
        <v>Monavale</v>
      </c>
    </row>
    <row r="8463" spans="1:3" x14ac:dyDescent="0.25">
      <c r="A8463" s="2" t="str">
        <f ca="1">IFERROR(__xludf.DUMMYFUNCTION("""COMPUTED_VALUE"""),"monbasecoin")</f>
        <v>monbasecoin</v>
      </c>
      <c r="B8463" s="2" t="str">
        <f ca="1">IFERROR(__xludf.DUMMYFUNCTION("""COMPUTED_VALUE"""),"mbc")</f>
        <v>mbc</v>
      </c>
      <c r="C8463" s="2" t="str">
        <f ca="1">IFERROR(__xludf.DUMMYFUNCTION("""COMPUTED_VALUE"""),"MonbaseCoin")</f>
        <v>MonbaseCoin</v>
      </c>
    </row>
    <row r="8464" spans="1:3" x14ac:dyDescent="0.25">
      <c r="A8464" s="2" t="str">
        <f ca="1">IFERROR(__xludf.DUMMYFUNCTION("""COMPUTED_VALUE"""),"mondo-community-coin")</f>
        <v>mondo-community-coin</v>
      </c>
      <c r="B8464" s="2" t="str">
        <f ca="1">IFERROR(__xludf.DUMMYFUNCTION("""COMPUTED_VALUE"""),"mndcc")</f>
        <v>mndcc</v>
      </c>
      <c r="C8464" s="2" t="str">
        <f ca="1">IFERROR(__xludf.DUMMYFUNCTION("""COMPUTED_VALUE"""),"Mondo Community Coin")</f>
        <v>Mondo Community Coin</v>
      </c>
    </row>
    <row r="8465" spans="1:3" x14ac:dyDescent="0.25">
      <c r="A8465" s="2" t="str">
        <f ca="1">IFERROR(__xludf.DUMMYFUNCTION("""COMPUTED_VALUE"""),"mone-coin")</f>
        <v>mone-coin</v>
      </c>
      <c r="B8465" s="2" t="str">
        <f ca="1">IFERROR(__xludf.DUMMYFUNCTION("""COMPUTED_VALUE"""),"mone")</f>
        <v>mone</v>
      </c>
      <c r="C8465" s="2" t="str">
        <f ca="1">IFERROR(__xludf.DUMMYFUNCTION("""COMPUTED_VALUE"""),"Mone Coin")</f>
        <v>Mone Coin</v>
      </c>
    </row>
    <row r="8466" spans="1:3" x14ac:dyDescent="0.25">
      <c r="A8466" s="2" t="str">
        <f ca="1">IFERROR(__xludf.DUMMYFUNCTION("""COMPUTED_VALUE"""),"monerium-eur-money")</f>
        <v>monerium-eur-money</v>
      </c>
      <c r="B8466" s="2" t="str">
        <f ca="1">IFERROR(__xludf.DUMMYFUNCTION("""COMPUTED_VALUE"""),"eure")</f>
        <v>eure</v>
      </c>
      <c r="C8466" s="2" t="str">
        <f ca="1">IFERROR(__xludf.DUMMYFUNCTION("""COMPUTED_VALUE"""),"Monerium EUR emoney")</f>
        <v>Monerium EUR emoney</v>
      </c>
    </row>
    <row r="8467" spans="1:3" x14ac:dyDescent="0.25">
      <c r="A8467" s="2" t="str">
        <f ca="1">IFERROR(__xludf.DUMMYFUNCTION("""COMPUTED_VALUE"""),"monerium-gbp-emoney")</f>
        <v>monerium-gbp-emoney</v>
      </c>
      <c r="B8467" s="2" t="str">
        <f ca="1">IFERROR(__xludf.DUMMYFUNCTION("""COMPUTED_VALUE"""),"gbpe")</f>
        <v>gbpe</v>
      </c>
      <c r="C8467" s="2" t="str">
        <f ca="1">IFERROR(__xludf.DUMMYFUNCTION("""COMPUTED_VALUE"""),"Monerium GBP emoney")</f>
        <v>Monerium GBP emoney</v>
      </c>
    </row>
    <row r="8468" spans="1:3" x14ac:dyDescent="0.25">
      <c r="A8468" s="2" t="str">
        <f ca="1">IFERROR(__xludf.DUMMYFUNCTION("""COMPUTED_VALUE"""),"monero")</f>
        <v>monero</v>
      </c>
      <c r="B8468" s="2" t="str">
        <f ca="1">IFERROR(__xludf.DUMMYFUNCTION("""COMPUTED_VALUE"""),"xmr")</f>
        <v>xmr</v>
      </c>
      <c r="C8468" s="2" t="str">
        <f ca="1">IFERROR(__xludf.DUMMYFUNCTION("""COMPUTED_VALUE"""),"Monero")</f>
        <v>Monero</v>
      </c>
    </row>
    <row r="8469" spans="1:3" x14ac:dyDescent="0.25">
      <c r="A8469" s="2" t="str">
        <f ca="1">IFERROR(__xludf.DUMMYFUNCTION("""COMPUTED_VALUE"""),"monero-classic-xmc")</f>
        <v>monero-classic-xmc</v>
      </c>
      <c r="B8469" s="2" t="str">
        <f ca="1">IFERROR(__xludf.DUMMYFUNCTION("""COMPUTED_VALUE"""),"xmc")</f>
        <v>xmc</v>
      </c>
      <c r="C8469" s="2" t="str">
        <f ca="1">IFERROR(__xludf.DUMMYFUNCTION("""COMPUTED_VALUE"""),"Monero-Classic")</f>
        <v>Monero-Classic</v>
      </c>
    </row>
    <row r="8470" spans="1:3" x14ac:dyDescent="0.25">
      <c r="A8470" s="2" t="str">
        <f ca="1">IFERROR(__xludf.DUMMYFUNCTION("""COMPUTED_VALUE"""),"monerov")</f>
        <v>monerov</v>
      </c>
      <c r="B8470" s="2" t="str">
        <f ca="1">IFERROR(__xludf.DUMMYFUNCTION("""COMPUTED_VALUE"""),"xmv")</f>
        <v>xmv</v>
      </c>
      <c r="C8470" s="2" t="str">
        <f ca="1">IFERROR(__xludf.DUMMYFUNCTION("""COMPUTED_VALUE"""),"MoneroV")</f>
        <v>MoneroV</v>
      </c>
    </row>
    <row r="8471" spans="1:3" x14ac:dyDescent="0.25">
      <c r="A8471" s="2" t="str">
        <f ca="1">IFERROR(__xludf.DUMMYFUNCTION("""COMPUTED_VALUE"""),"moneta-2")</f>
        <v>moneta-2</v>
      </c>
      <c r="B8471" s="2" t="str">
        <f ca="1">IFERROR(__xludf.DUMMYFUNCTION("""COMPUTED_VALUE"""),"mnta")</f>
        <v>mnta</v>
      </c>
      <c r="C8471" s="2" t="str">
        <f ca="1">IFERROR(__xludf.DUMMYFUNCTION("""COMPUTED_VALUE"""),"Moneta")</f>
        <v>Moneta</v>
      </c>
    </row>
    <row r="8472" spans="1:3" x14ac:dyDescent="0.25">
      <c r="A8472" s="2" t="str">
        <f ca="1">IFERROR(__xludf.DUMMYFUNCTION("""COMPUTED_VALUE"""),"monetas")</f>
        <v>monetas</v>
      </c>
      <c r="B8472" s="2" t="str">
        <f ca="1">IFERROR(__xludf.DUMMYFUNCTION("""COMPUTED_VALUE"""),"mntg")</f>
        <v>mntg</v>
      </c>
      <c r="C8472" s="2" t="str">
        <f ca="1">IFERROR(__xludf.DUMMYFUNCTION("""COMPUTED_VALUE"""),"Monetas [OLD]")</f>
        <v>Monetas [OLD]</v>
      </c>
    </row>
    <row r="8473" spans="1:3" x14ac:dyDescent="0.25">
      <c r="A8473" s="2" t="str">
        <f ca="1">IFERROR(__xludf.DUMMYFUNCTION("""COMPUTED_VALUE"""),"monetha")</f>
        <v>monetha</v>
      </c>
      <c r="B8473" s="2" t="str">
        <f ca="1">IFERROR(__xludf.DUMMYFUNCTION("""COMPUTED_VALUE"""),"mth")</f>
        <v>mth</v>
      </c>
      <c r="C8473" s="2" t="str">
        <f ca="1">IFERROR(__xludf.DUMMYFUNCTION("""COMPUTED_VALUE"""),"Monetha")</f>
        <v>Monetha</v>
      </c>
    </row>
    <row r="8474" spans="1:3" x14ac:dyDescent="0.25">
      <c r="A8474" s="2" t="str">
        <f ca="1">IFERROR(__xludf.DUMMYFUNCTION("""COMPUTED_VALUE"""),"monet-society")</f>
        <v>monet-society</v>
      </c>
      <c r="B8474" s="2" t="str">
        <f ca="1">IFERROR(__xludf.DUMMYFUNCTION("""COMPUTED_VALUE"""),"monet")</f>
        <v>monet</v>
      </c>
      <c r="C8474" s="2" t="str">
        <f ca="1">IFERROR(__xludf.DUMMYFUNCTION("""COMPUTED_VALUE"""),"Monet Society")</f>
        <v>Monet Society</v>
      </c>
    </row>
    <row r="8475" spans="1:3" x14ac:dyDescent="0.25">
      <c r="A8475" s="2" t="str">
        <f ca="1">IFERROR(__xludf.DUMMYFUNCTION("""COMPUTED_VALUE"""),"moneyark")</f>
        <v>moneyark</v>
      </c>
      <c r="B8475" s="2" t="str">
        <f ca="1">IFERROR(__xludf.DUMMYFUNCTION("""COMPUTED_VALUE"""),"mark")</f>
        <v>mark</v>
      </c>
      <c r="C8475" s="2" t="str">
        <f ca="1">IFERROR(__xludf.DUMMYFUNCTION("""COMPUTED_VALUE"""),"MoneyArk")</f>
        <v>MoneyArk</v>
      </c>
    </row>
    <row r="8476" spans="1:3" x14ac:dyDescent="0.25">
      <c r="A8476" s="2" t="str">
        <f ca="1">IFERROR(__xludf.DUMMYFUNCTION("""COMPUTED_VALUE"""),"moneybee")</f>
        <v>moneybee</v>
      </c>
      <c r="B8476" s="2" t="str">
        <f ca="1">IFERROR(__xludf.DUMMYFUNCTION("""COMPUTED_VALUE"""),"moneybee")</f>
        <v>moneybee</v>
      </c>
      <c r="C8476" s="2" t="str">
        <f ca="1">IFERROR(__xludf.DUMMYFUNCTION("""COMPUTED_VALUE"""),"MONEYBEE")</f>
        <v>MONEYBEE</v>
      </c>
    </row>
    <row r="8477" spans="1:3" x14ac:dyDescent="0.25">
      <c r="A8477" s="2" t="str">
        <f ca="1">IFERROR(__xludf.DUMMYFUNCTION("""COMPUTED_VALUE"""),"moneybrain-bips")</f>
        <v>moneybrain-bips</v>
      </c>
      <c r="B8477" s="2" t="str">
        <f ca="1">IFERROR(__xludf.DUMMYFUNCTION("""COMPUTED_VALUE"""),"bips")</f>
        <v>bips</v>
      </c>
      <c r="C8477" s="2" t="str">
        <f ca="1">IFERROR(__xludf.DUMMYFUNCTION("""COMPUTED_VALUE"""),"Moneybrain BiPS")</f>
        <v>Moneybrain BiPS</v>
      </c>
    </row>
    <row r="8478" spans="1:3" x14ac:dyDescent="0.25">
      <c r="A8478" s="2" t="str">
        <f ca="1">IFERROR(__xludf.DUMMYFUNCTION("""COMPUTED_VALUE"""),"moneybyte")</f>
        <v>moneybyte</v>
      </c>
      <c r="B8478" s="2" t="str">
        <f ca="1">IFERROR(__xludf.DUMMYFUNCTION("""COMPUTED_VALUE"""),"mon")</f>
        <v>mon</v>
      </c>
      <c r="C8478" s="2" t="str">
        <f ca="1">IFERROR(__xludf.DUMMYFUNCTION("""COMPUTED_VALUE"""),"Moneybyte")</f>
        <v>Moneybyte</v>
      </c>
    </row>
    <row r="8479" spans="1:3" x14ac:dyDescent="0.25">
      <c r="A8479" s="2" t="str">
        <f ca="1">IFERROR(__xludf.DUMMYFUNCTION("""COMPUTED_VALUE"""),"money-on-chain")</f>
        <v>money-on-chain</v>
      </c>
      <c r="B8479" s="2" t="str">
        <f ca="1">IFERROR(__xludf.DUMMYFUNCTION("""COMPUTED_VALUE"""),"moc")</f>
        <v>moc</v>
      </c>
      <c r="C8479" s="2" t="str">
        <f ca="1">IFERROR(__xludf.DUMMYFUNCTION("""COMPUTED_VALUE"""),"Money On Chain")</f>
        <v>Money On Chain</v>
      </c>
    </row>
    <row r="8480" spans="1:3" x14ac:dyDescent="0.25">
      <c r="A8480" s="2" t="str">
        <f ca="1">IFERROR(__xludf.DUMMYFUNCTION("""COMPUTED_VALUE"""),"moneyswap")</f>
        <v>moneyswap</v>
      </c>
      <c r="B8480" s="2" t="str">
        <f ca="1">IFERROR(__xludf.DUMMYFUNCTION("""COMPUTED_VALUE"""),"mswap")</f>
        <v>mswap</v>
      </c>
      <c r="C8480" s="2" t="str">
        <f ca="1">IFERROR(__xludf.DUMMYFUNCTION("""COMPUTED_VALUE"""),"MoneySwap")</f>
        <v>MoneySwap</v>
      </c>
    </row>
    <row r="8481" spans="1:3" x14ac:dyDescent="0.25">
      <c r="A8481" s="2" t="str">
        <f ca="1">IFERROR(__xludf.DUMMYFUNCTION("""COMPUTED_VALUE"""),"mongcoin")</f>
        <v>mongcoin</v>
      </c>
      <c r="B8481" s="2" t="str">
        <f ca="1">IFERROR(__xludf.DUMMYFUNCTION("""COMPUTED_VALUE"""),"mong")</f>
        <v>mong</v>
      </c>
      <c r="C8481" s="2" t="str">
        <f ca="1">IFERROR(__xludf.DUMMYFUNCTION("""COMPUTED_VALUE"""),"MongCoin")</f>
        <v>MongCoin</v>
      </c>
    </row>
    <row r="8482" spans="1:3" x14ac:dyDescent="0.25">
      <c r="A8482" s="2" t="str">
        <f ca="1">IFERROR(__xludf.DUMMYFUNCTION("""COMPUTED_VALUE"""),"mongol-nft")</f>
        <v>mongol-nft</v>
      </c>
      <c r="B8482" s="2" t="str">
        <f ca="1">IFERROR(__xludf.DUMMYFUNCTION("""COMPUTED_VALUE"""),"mnft")</f>
        <v>mnft</v>
      </c>
      <c r="C8482" s="2" t="str">
        <f ca="1">IFERROR(__xludf.DUMMYFUNCTION("""COMPUTED_VALUE"""),"Mongol NFT")</f>
        <v>Mongol NFT</v>
      </c>
    </row>
    <row r="8483" spans="1:3" x14ac:dyDescent="0.25">
      <c r="A8483" s="2" t="str">
        <f ca="1">IFERROR(__xludf.DUMMYFUNCTION("""COMPUTED_VALUE"""),"mongoose")</f>
        <v>mongoose</v>
      </c>
      <c r="B8483" s="2" t="str">
        <f ca="1">IFERROR(__xludf.DUMMYFUNCTION("""COMPUTED_VALUE"""),"mongoose")</f>
        <v>mongoose</v>
      </c>
      <c r="C8483" s="2" t="str">
        <f ca="1">IFERROR(__xludf.DUMMYFUNCTION("""COMPUTED_VALUE"""),"Mongoose")</f>
        <v>Mongoose</v>
      </c>
    </row>
    <row r="8484" spans="1:3" x14ac:dyDescent="0.25">
      <c r="A8484" s="2" t="str">
        <f ca="1">IFERROR(__xludf.DUMMYFUNCTION("""COMPUTED_VALUE"""),"mongy")</f>
        <v>mongy</v>
      </c>
      <c r="B8484" s="2" t="str">
        <f ca="1">IFERROR(__xludf.DUMMYFUNCTION("""COMPUTED_VALUE"""),"mongy")</f>
        <v>mongy</v>
      </c>
      <c r="C8484" s="2" t="str">
        <f ca="1">IFERROR(__xludf.DUMMYFUNCTION("""COMPUTED_VALUE"""),"Mongy")</f>
        <v>Mongy</v>
      </c>
    </row>
    <row r="8485" spans="1:3" x14ac:dyDescent="0.25">
      <c r="A8485" s="2" t="str">
        <f ca="1">IFERROR(__xludf.DUMMYFUNCTION("""COMPUTED_VALUE"""),"moni")</f>
        <v>moni</v>
      </c>
      <c r="B8485" s="2" t="str">
        <f ca="1">IFERROR(__xludf.DUMMYFUNCTION("""COMPUTED_VALUE"""),"moni")</f>
        <v>moni</v>
      </c>
      <c r="C8485" s="2" t="str">
        <f ca="1">IFERROR(__xludf.DUMMYFUNCTION("""COMPUTED_VALUE"""),"Moni")</f>
        <v>Moni</v>
      </c>
    </row>
    <row r="8486" spans="1:3" x14ac:dyDescent="0.25">
      <c r="A8486" s="2" t="str">
        <f ca="1">IFERROR(__xludf.DUMMYFUNCTION("""COMPUTED_VALUE"""),"monk")</f>
        <v>monk</v>
      </c>
      <c r="B8486" s="2" t="str">
        <f ca="1">IFERROR(__xludf.DUMMYFUNCTION("""COMPUTED_VALUE"""),"monk")</f>
        <v>monk</v>
      </c>
      <c r="C8486" s="2" t="str">
        <f ca="1">IFERROR(__xludf.DUMMYFUNCTION("""COMPUTED_VALUE"""),"Monk")</f>
        <v>Monk</v>
      </c>
    </row>
    <row r="8487" spans="1:3" x14ac:dyDescent="0.25">
      <c r="A8487" s="2" t="str">
        <f ca="1">IFERROR(__xludf.DUMMYFUNCTION("""COMPUTED_VALUE"""),"monkas")</f>
        <v>monkas</v>
      </c>
      <c r="B8487" s="2" t="str">
        <f ca="1">IFERROR(__xludf.DUMMYFUNCTION("""COMPUTED_VALUE"""),"monkas")</f>
        <v>monkas</v>
      </c>
      <c r="C8487" s="2" t="str">
        <f ca="1">IFERROR(__xludf.DUMMYFUNCTION("""COMPUTED_VALUE"""),"Monkas")</f>
        <v>Monkas</v>
      </c>
    </row>
    <row r="8488" spans="1:3" x14ac:dyDescent="0.25">
      <c r="A8488" s="2" t="str">
        <f ca="1">IFERROR(__xludf.DUMMYFUNCTION("""COMPUTED_VALUE"""),"monke")</f>
        <v>monke</v>
      </c>
      <c r="B8488" s="2" t="str">
        <f ca="1">IFERROR(__xludf.DUMMYFUNCTION("""COMPUTED_VALUE"""),"monke")</f>
        <v>monke</v>
      </c>
      <c r="C8488" s="2" t="str">
        <f ca="1">IFERROR(__xludf.DUMMYFUNCTION("""COMPUTED_VALUE"""),"Monke")</f>
        <v>Monke</v>
      </c>
    </row>
    <row r="8489" spans="1:3" x14ac:dyDescent="0.25">
      <c r="A8489" s="2" t="str">
        <f ca="1">IFERROR(__xludf.DUMMYFUNCTION("""COMPUTED_VALUE"""),"monke-3")</f>
        <v>monke-3</v>
      </c>
      <c r="B8489" s="2" t="str">
        <f ca="1">IFERROR(__xludf.DUMMYFUNCTION("""COMPUTED_VALUE"""),"monke")</f>
        <v>monke</v>
      </c>
      <c r="C8489" s="2" t="str">
        <f ca="1">IFERROR(__xludf.DUMMYFUNCTION("""COMPUTED_VALUE"""),"MONKE")</f>
        <v>MONKE</v>
      </c>
    </row>
    <row r="8490" spans="1:3" x14ac:dyDescent="0.25">
      <c r="A8490" s="2" t="str">
        <f ca="1">IFERROR(__xludf.DUMMYFUNCTION("""COMPUTED_VALUE"""),"monkecoin")</f>
        <v>monkecoin</v>
      </c>
      <c r="B8490" s="2" t="str">
        <f ca="1">IFERROR(__xludf.DUMMYFUNCTION("""COMPUTED_VALUE"""),"monke")</f>
        <v>monke</v>
      </c>
      <c r="C8490" s="2" t="str">
        <f ca="1">IFERROR(__xludf.DUMMYFUNCTION("""COMPUTED_VALUE"""),"Monkecoin")</f>
        <v>Monkecoin</v>
      </c>
    </row>
    <row r="8491" spans="1:3" x14ac:dyDescent="0.25">
      <c r="A8491" s="2" t="str">
        <f ca="1">IFERROR(__xludf.DUMMYFUNCTION("""COMPUTED_VALUE"""),"monke-coin")</f>
        <v>monke-coin</v>
      </c>
      <c r="B8491" s="2" t="str">
        <f ca="1">IFERROR(__xludf.DUMMYFUNCTION("""COMPUTED_VALUE"""),"monke")</f>
        <v>monke</v>
      </c>
      <c r="C8491" s="2" t="str">
        <f ca="1">IFERROR(__xludf.DUMMYFUNCTION("""COMPUTED_VALUE"""),"Monke")</f>
        <v>Monke</v>
      </c>
    </row>
    <row r="8492" spans="1:3" x14ac:dyDescent="0.25">
      <c r="A8492" s="2" t="str">
        <f ca="1">IFERROR(__xludf.DUMMYFUNCTION("""COMPUTED_VALUE"""),"monke-coin-eth")</f>
        <v>monke-coin-eth</v>
      </c>
      <c r="B8492" s="2" t="str">
        <f ca="1">IFERROR(__xludf.DUMMYFUNCTION("""COMPUTED_VALUE"""),"monke")</f>
        <v>monke</v>
      </c>
      <c r="C8492" s="2" t="str">
        <f ca="1">IFERROR(__xludf.DUMMYFUNCTION("""COMPUTED_VALUE"""),"Monke Coin")</f>
        <v>Monke Coin</v>
      </c>
    </row>
    <row r="8493" spans="1:3" x14ac:dyDescent="0.25">
      <c r="A8493" s="2" t="str">
        <f ca="1">IFERROR(__xludf.DUMMYFUNCTION("""COMPUTED_VALUE"""),"monkei")</f>
        <v>monkei</v>
      </c>
      <c r="B8493" s="2" t="str">
        <f ca="1">IFERROR(__xludf.DUMMYFUNCTION("""COMPUTED_VALUE"""),"monkei")</f>
        <v>monkei</v>
      </c>
      <c r="C8493" s="2" t="str">
        <f ca="1">IFERROR(__xludf.DUMMYFUNCTION("""COMPUTED_VALUE"""),"Monkei")</f>
        <v>Monkei</v>
      </c>
    </row>
    <row r="8494" spans="1:3" x14ac:dyDescent="0.25">
      <c r="A8494" s="2" t="str">
        <f ca="1">IFERROR(__xludf.DUMMYFUNCTION("""COMPUTED_VALUE"""),"monkeonbase")</f>
        <v>monkeonbase</v>
      </c>
      <c r="B8494" s="2" t="str">
        <f ca="1">IFERROR(__xludf.DUMMYFUNCTION("""COMPUTED_VALUE"""),"monke")</f>
        <v>monke</v>
      </c>
      <c r="C8494" s="2" t="str">
        <f ca="1">IFERROR(__xludf.DUMMYFUNCTION("""COMPUTED_VALUE"""),"Monke")</f>
        <v>Monke</v>
      </c>
    </row>
    <row r="8495" spans="1:3" x14ac:dyDescent="0.25">
      <c r="A8495" s="2" t="str">
        <f ca="1">IFERROR(__xludf.DUMMYFUNCTION("""COMPUTED_VALUE"""),"monkex")</f>
        <v>monkex</v>
      </c>
      <c r="B8495" s="2" t="str">
        <f ca="1">IFERROR(__xludf.DUMMYFUNCTION("""COMPUTED_VALUE"""),"monkex")</f>
        <v>monkex</v>
      </c>
      <c r="C8495" s="2" t="str">
        <f ca="1">IFERROR(__xludf.DUMMYFUNCTION("""COMPUTED_VALUE"""),"Monkex")</f>
        <v>Monkex</v>
      </c>
    </row>
    <row r="8496" spans="1:3" x14ac:dyDescent="0.25">
      <c r="A8496" s="2" t="str">
        <f ca="1">IFERROR(__xludf.DUMMYFUNCTION("""COMPUTED_VALUE"""),"monkey")</f>
        <v>monkey</v>
      </c>
      <c r="B8496" s="2" t="str">
        <f ca="1">IFERROR(__xludf.DUMMYFUNCTION("""COMPUTED_VALUE"""),"monkey")</f>
        <v>monkey</v>
      </c>
      <c r="C8496" s="2" t="str">
        <f ca="1">IFERROR(__xludf.DUMMYFUNCTION("""COMPUTED_VALUE"""),"MONKEY")</f>
        <v>MONKEY</v>
      </c>
    </row>
    <row r="8497" spans="1:3" x14ac:dyDescent="0.25">
      <c r="A8497" s="2" t="str">
        <f ca="1">IFERROR(__xludf.DUMMYFUNCTION("""COMPUTED_VALUE"""),"monkey-2")</f>
        <v>monkey-2</v>
      </c>
      <c r="B8497" s="2" t="str">
        <f ca="1">IFERROR(__xludf.DUMMYFUNCTION("""COMPUTED_VALUE"""),"monkey")</f>
        <v>monkey</v>
      </c>
      <c r="C8497" s="2" t="str">
        <f ca="1">IFERROR(__xludf.DUMMYFUNCTION("""COMPUTED_VALUE"""),"Monkey")</f>
        <v>Monkey</v>
      </c>
    </row>
    <row r="8498" spans="1:3" x14ac:dyDescent="0.25">
      <c r="A8498" s="2" t="str">
        <f ca="1">IFERROR(__xludf.DUMMYFUNCTION("""COMPUTED_VALUE"""),"monkeyball")</f>
        <v>monkeyball</v>
      </c>
      <c r="B8498" s="2" t="str">
        <f ca="1">IFERROR(__xludf.DUMMYFUNCTION("""COMPUTED_VALUE"""),"mbs")</f>
        <v>mbs</v>
      </c>
      <c r="C8498" s="2" t="str">
        <f ca="1">IFERROR(__xludf.DUMMYFUNCTION("""COMPUTED_VALUE"""),"UNKJD")</f>
        <v>UNKJD</v>
      </c>
    </row>
    <row r="8499" spans="1:3" x14ac:dyDescent="0.25">
      <c r="A8499" s="2" t="str">
        <f ca="1">IFERROR(__xludf.DUMMYFUNCTION("""COMPUTED_VALUE"""),"monkeycoin")</f>
        <v>monkeycoin</v>
      </c>
      <c r="B8499" s="2" t="str">
        <f ca="1">IFERROR(__xludf.DUMMYFUNCTION("""COMPUTED_VALUE"""),"mkc")</f>
        <v>mkc</v>
      </c>
      <c r="C8499" s="2" t="str">
        <f ca="1">IFERROR(__xludf.DUMMYFUNCTION("""COMPUTED_VALUE"""),"MonkeyCoin")</f>
        <v>MonkeyCoin</v>
      </c>
    </row>
    <row r="8500" spans="1:3" x14ac:dyDescent="0.25">
      <c r="A8500" s="2" t="str">
        <f ca="1">IFERROR(__xludf.DUMMYFUNCTION("""COMPUTED_VALUE"""),"monkeyhaircut")</f>
        <v>monkeyhaircut</v>
      </c>
      <c r="B8500" s="2" t="str">
        <f ca="1">IFERROR(__xludf.DUMMYFUNCTION("""COMPUTED_VALUE"""),"monk")</f>
        <v>monk</v>
      </c>
      <c r="C8500" s="2" t="str">
        <f ca="1">IFERROR(__xludf.DUMMYFUNCTION("""COMPUTED_VALUE"""),"monkeyhaircut")</f>
        <v>monkeyhaircut</v>
      </c>
    </row>
    <row r="8501" spans="1:3" x14ac:dyDescent="0.25">
      <c r="A8501" s="2" t="str">
        <f ca="1">IFERROR(__xludf.DUMMYFUNCTION("""COMPUTED_VALUE"""),"monkey-peepo")</f>
        <v>monkey-peepo</v>
      </c>
      <c r="B8501" s="2" t="str">
        <f ca="1">IFERROR(__xludf.DUMMYFUNCTION("""COMPUTED_VALUE"""),"bananas")</f>
        <v>bananas</v>
      </c>
      <c r="C8501" s="2" t="str">
        <f ca="1">IFERROR(__xludf.DUMMYFUNCTION("""COMPUTED_VALUE"""),"Monkey Peepo")</f>
        <v>Monkey Peepo</v>
      </c>
    </row>
    <row r="8502" spans="1:3" x14ac:dyDescent="0.25">
      <c r="A8502" s="2" t="str">
        <f ca="1">IFERROR(__xludf.DUMMYFUNCTION("""COMPUTED_VALUE"""),"monkey-pox")</f>
        <v>monkey-pox</v>
      </c>
      <c r="B8502" s="2" t="str">
        <f ca="1">IFERROR(__xludf.DUMMYFUNCTION("""COMPUTED_VALUE"""),"pox")</f>
        <v>pox</v>
      </c>
      <c r="C8502" s="2" t="str">
        <f ca="1">IFERROR(__xludf.DUMMYFUNCTION("""COMPUTED_VALUE"""),"Monkey Pox")</f>
        <v>Monkey Pox</v>
      </c>
    </row>
    <row r="8503" spans="1:3" x14ac:dyDescent="0.25">
      <c r="A8503" s="2" t="str">
        <f ca="1">IFERROR(__xludf.DUMMYFUNCTION("""COMPUTED_VALUE"""),"monkeys")</f>
        <v>monkeys</v>
      </c>
      <c r="B8503" s="2" t="str">
        <f ca="1">IFERROR(__xludf.DUMMYFUNCTION("""COMPUTED_VALUE"""),"monkeys")</f>
        <v>monkeys</v>
      </c>
      <c r="C8503" s="2" t="str">
        <f ca="1">IFERROR(__xludf.DUMMYFUNCTION("""COMPUTED_VALUE"""),"Monkeys")</f>
        <v>Monkeys</v>
      </c>
    </row>
    <row r="8504" spans="1:3" x14ac:dyDescent="0.25">
      <c r="A8504" s="2" t="str">
        <f ca="1">IFERROR(__xludf.DUMMYFUNCTION("""COMPUTED_VALUE"""),"monkey-shit-inu")</f>
        <v>monkey-shit-inu</v>
      </c>
      <c r="B8504" s="2" t="str">
        <f ca="1">IFERROR(__xludf.DUMMYFUNCTION("""COMPUTED_VALUE"""),"msi")</f>
        <v>msi</v>
      </c>
      <c r="C8504" s="2" t="str">
        <f ca="1">IFERROR(__xludf.DUMMYFUNCTION("""COMPUTED_VALUE"""),"Monkey Shit Inu")</f>
        <v>Monkey Shit Inu</v>
      </c>
    </row>
    <row r="8505" spans="1:3" x14ac:dyDescent="0.25">
      <c r="A8505" s="2" t="str">
        <f ca="1">IFERROR(__xludf.DUMMYFUNCTION("""COMPUTED_VALUE"""),"monkeys-token")</f>
        <v>monkeys-token</v>
      </c>
      <c r="B8505" s="2" t="str">
        <f ca="1">IFERROR(__xludf.DUMMYFUNCTION("""COMPUTED_VALUE"""),"monkeys")</f>
        <v>monkeys</v>
      </c>
      <c r="C8505" s="2" t="str">
        <f ca="1">IFERROR(__xludf.DUMMYFUNCTION("""COMPUTED_VALUE"""),"Monkeys Token")</f>
        <v>Monkeys Token</v>
      </c>
    </row>
    <row r="8506" spans="1:3" x14ac:dyDescent="0.25">
      <c r="A8506" s="2" t="str">
        <f ca="1">IFERROR(__xludf.DUMMYFUNCTION("""COMPUTED_VALUE"""),"monk-gg")</f>
        <v>monk-gg</v>
      </c>
      <c r="B8506" s="2" t="str">
        <f ca="1">IFERROR(__xludf.DUMMYFUNCTION("""COMPUTED_VALUE"""),"monk")</f>
        <v>monk</v>
      </c>
      <c r="C8506" s="3" t="str">
        <f ca="1">IFERROR(__xludf.DUMMYFUNCTION("""COMPUTED_VALUE"""),"Monk.gg")</f>
        <v>Monk.gg</v>
      </c>
    </row>
    <row r="8507" spans="1:3" x14ac:dyDescent="0.25">
      <c r="A8507" s="2" t="str">
        <f ca="1">IFERROR(__xludf.DUMMYFUNCTION("""COMPUTED_VALUE"""),"monkie")</f>
        <v>monkie</v>
      </c>
      <c r="B8507" s="2" t="str">
        <f ca="1">IFERROR(__xludf.DUMMYFUNCTION("""COMPUTED_VALUE"""),"monkie")</f>
        <v>monkie</v>
      </c>
      <c r="C8507" s="2" t="str">
        <f ca="1">IFERROR(__xludf.DUMMYFUNCTION("""COMPUTED_VALUE"""),"MONKIE")</f>
        <v>MONKIE</v>
      </c>
    </row>
    <row r="8508" spans="1:3" x14ac:dyDescent="0.25">
      <c r="A8508" s="2" t="str">
        <f ca="1">IFERROR(__xludf.DUMMYFUNCTION("""COMPUTED_VALUE"""),"monku")</f>
        <v>monku</v>
      </c>
      <c r="B8508" s="2" t="str">
        <f ca="1">IFERROR(__xludf.DUMMYFUNCTION("""COMPUTED_VALUE"""),"monku")</f>
        <v>monku</v>
      </c>
      <c r="C8508" s="2" t="str">
        <f ca="1">IFERROR(__xludf.DUMMYFUNCTION("""COMPUTED_VALUE"""),"Monku")</f>
        <v>Monku</v>
      </c>
    </row>
    <row r="8509" spans="1:3" x14ac:dyDescent="0.25">
      <c r="A8509" s="2" t="str">
        <f ca="1">IFERROR(__xludf.DUMMYFUNCTION("""COMPUTED_VALUE"""),"monky")</f>
        <v>monky</v>
      </c>
      <c r="B8509" s="2" t="str">
        <f ca="1">IFERROR(__xludf.DUMMYFUNCTION("""COMPUTED_VALUE"""),"$monky")</f>
        <v>$monky</v>
      </c>
      <c r="C8509" s="2" t="str">
        <f ca="1">IFERROR(__xludf.DUMMYFUNCTION("""COMPUTED_VALUE"""),"Monky")</f>
        <v>Monky</v>
      </c>
    </row>
    <row r="8510" spans="1:3" x14ac:dyDescent="0.25">
      <c r="A8510" s="2" t="str">
        <f ca="1">IFERROR(__xludf.DUMMYFUNCTION("""COMPUTED_VALUE"""),"monnos")</f>
        <v>monnos</v>
      </c>
      <c r="B8510" s="2" t="str">
        <f ca="1">IFERROR(__xludf.DUMMYFUNCTION("""COMPUTED_VALUE"""),"mns")</f>
        <v>mns</v>
      </c>
      <c r="C8510" s="2" t="str">
        <f ca="1">IFERROR(__xludf.DUMMYFUNCTION("""COMPUTED_VALUE"""),"Monnos")</f>
        <v>Monnos</v>
      </c>
    </row>
    <row r="8511" spans="1:3" x14ac:dyDescent="0.25">
      <c r="A8511" s="2" t="str">
        <f ca="1">IFERROR(__xludf.DUMMYFUNCTION("""COMPUTED_VALUE"""),"mononoke-inu")</f>
        <v>mononoke-inu</v>
      </c>
      <c r="B8511" s="2" t="str">
        <f ca="1">IFERROR(__xludf.DUMMYFUNCTION("""COMPUTED_VALUE"""),"mononoke-inu")</f>
        <v>mononoke-inu</v>
      </c>
      <c r="C8511" s="2" t="str">
        <f ca="1">IFERROR(__xludf.DUMMYFUNCTION("""COMPUTED_VALUE"""),"Mononoke Inu")</f>
        <v>Mononoke Inu</v>
      </c>
    </row>
    <row r="8512" spans="1:3" x14ac:dyDescent="0.25">
      <c r="A8512" s="2" t="str">
        <f ca="1">IFERROR(__xludf.DUMMYFUNCTION("""COMPUTED_VALUE"""),"monorix")</f>
        <v>monorix</v>
      </c>
      <c r="B8512" s="2" t="str">
        <f ca="1">IFERROR(__xludf.DUMMYFUNCTION("""COMPUTED_VALUE"""),"mrx")</f>
        <v>mrx</v>
      </c>
      <c r="C8512" s="2" t="str">
        <f ca="1">IFERROR(__xludf.DUMMYFUNCTION("""COMPUTED_VALUE"""),"Monorix")</f>
        <v>Monorix</v>
      </c>
    </row>
    <row r="8513" spans="1:3" x14ac:dyDescent="0.25">
      <c r="A8513" s="2" t="str">
        <f ca="1">IFERROR(__xludf.DUMMYFUNCTION("""COMPUTED_VALUE"""),"monoswap-usd")</f>
        <v>monoswap-usd</v>
      </c>
      <c r="B8513" s="2" t="str">
        <f ca="1">IFERROR(__xludf.DUMMYFUNCTION("""COMPUTED_VALUE"""),"musd")</f>
        <v>musd</v>
      </c>
      <c r="C8513" s="2" t="str">
        <f ca="1">IFERROR(__xludf.DUMMYFUNCTION("""COMPUTED_VALUE"""),"MonoSwap USD")</f>
        <v>MonoSwap USD</v>
      </c>
    </row>
    <row r="8514" spans="1:3" x14ac:dyDescent="0.25">
      <c r="A8514" s="2" t="str">
        <f ca="1">IFERROR(__xludf.DUMMYFUNCTION("""COMPUTED_VALUE"""),"mon-protocol")</f>
        <v>mon-protocol</v>
      </c>
      <c r="B8514" s="2" t="str">
        <f ca="1">IFERROR(__xludf.DUMMYFUNCTION("""COMPUTED_VALUE"""),"mon")</f>
        <v>mon</v>
      </c>
      <c r="C8514" s="2" t="str">
        <f ca="1">IFERROR(__xludf.DUMMYFUNCTION("""COMPUTED_VALUE"""),"MON Protocol")</f>
        <v>MON Protocol</v>
      </c>
    </row>
    <row r="8515" spans="1:3" x14ac:dyDescent="0.25">
      <c r="A8515" s="2" t="str">
        <f ca="1">IFERROR(__xludf.DUMMYFUNCTION("""COMPUTED_VALUE"""),"monsoon-finance")</f>
        <v>monsoon-finance</v>
      </c>
      <c r="B8515" s="2" t="str">
        <f ca="1">IFERROR(__xludf.DUMMYFUNCTION("""COMPUTED_VALUE"""),"mcash")</f>
        <v>mcash</v>
      </c>
      <c r="C8515" s="2" t="str">
        <f ca="1">IFERROR(__xludf.DUMMYFUNCTION("""COMPUTED_VALUE"""),"Monsoon Finance")</f>
        <v>Monsoon Finance</v>
      </c>
    </row>
    <row r="8516" spans="1:3" x14ac:dyDescent="0.25">
      <c r="A8516" s="2" t="str">
        <f ca="1">IFERROR(__xludf.DUMMYFUNCTION("""COMPUTED_VALUE"""),"monsta-infinite")</f>
        <v>monsta-infinite</v>
      </c>
      <c r="B8516" s="2" t="str">
        <f ca="1">IFERROR(__xludf.DUMMYFUNCTION("""COMPUTED_VALUE"""),"moni")</f>
        <v>moni</v>
      </c>
      <c r="C8516" s="2" t="str">
        <f ca="1">IFERROR(__xludf.DUMMYFUNCTION("""COMPUTED_VALUE"""),"Monsta Infinite")</f>
        <v>Monsta Infinite</v>
      </c>
    </row>
    <row r="8517" spans="1:3" x14ac:dyDescent="0.25">
      <c r="A8517" s="2" t="str">
        <f ca="1">IFERROR(__xludf.DUMMYFUNCTION("""COMPUTED_VALUE"""),"monster-galaxy")</f>
        <v>monster-galaxy</v>
      </c>
      <c r="B8517" s="2" t="str">
        <f ca="1">IFERROR(__xludf.DUMMYFUNCTION("""COMPUTED_VALUE"""),"ggm")</f>
        <v>ggm</v>
      </c>
      <c r="C8517" s="2" t="str">
        <f ca="1">IFERROR(__xludf.DUMMYFUNCTION("""COMPUTED_VALUE"""),"Monster Galaxy")</f>
        <v>Monster Galaxy</v>
      </c>
    </row>
    <row r="8518" spans="1:3" x14ac:dyDescent="0.25">
      <c r="A8518" s="2" t="str">
        <f ca="1">IFERROR(__xludf.DUMMYFUNCTION("""COMPUTED_VALUE"""),"monsterra")</f>
        <v>monsterra</v>
      </c>
      <c r="B8518" s="2" t="str">
        <f ca="1">IFERROR(__xludf.DUMMYFUNCTION("""COMPUTED_VALUE"""),"mstr")</f>
        <v>mstr</v>
      </c>
      <c r="C8518" s="2" t="str">
        <f ca="1">IFERROR(__xludf.DUMMYFUNCTION("""COMPUTED_VALUE"""),"Monsterra")</f>
        <v>Monsterra</v>
      </c>
    </row>
    <row r="8519" spans="1:3" x14ac:dyDescent="0.25">
      <c r="A8519" s="2" t="str">
        <f ca="1">IFERROR(__xludf.DUMMYFUNCTION("""COMPUTED_VALUE"""),"monsterra-mag")</f>
        <v>monsterra-mag</v>
      </c>
      <c r="B8519" s="2" t="str">
        <f ca="1">IFERROR(__xludf.DUMMYFUNCTION("""COMPUTED_VALUE"""),"mag")</f>
        <v>mag</v>
      </c>
      <c r="C8519" s="2" t="str">
        <f ca="1">IFERROR(__xludf.DUMMYFUNCTION("""COMPUTED_VALUE"""),"Monsterra MAG")</f>
        <v>Monsterra MAG</v>
      </c>
    </row>
    <row r="8520" spans="1:3" x14ac:dyDescent="0.25">
      <c r="A8520" s="2" t="str">
        <f ca="1">IFERROR(__xludf.DUMMYFUNCTION("""COMPUTED_VALUE"""),"monstock")</f>
        <v>monstock</v>
      </c>
      <c r="B8520" s="2" t="str">
        <f ca="1">IFERROR(__xludf.DUMMYFUNCTION("""COMPUTED_VALUE"""),"mon")</f>
        <v>mon</v>
      </c>
      <c r="C8520" s="2" t="str">
        <f ca="1">IFERROR(__xludf.DUMMYFUNCTION("""COMPUTED_VALUE"""),"Monstock")</f>
        <v>Monstock</v>
      </c>
    </row>
    <row r="8521" spans="1:3" x14ac:dyDescent="0.25">
      <c r="A8521" s="2" t="str">
        <f ca="1">IFERROR(__xludf.DUMMYFUNCTION("""COMPUTED_VALUE"""),"montage-token")</f>
        <v>montage-token</v>
      </c>
      <c r="B8521" s="2" t="str">
        <f ca="1">IFERROR(__xludf.DUMMYFUNCTION("""COMPUTED_VALUE"""),"mtgx")</f>
        <v>mtgx</v>
      </c>
      <c r="C8521" s="2" t="str">
        <f ca="1">IFERROR(__xludf.DUMMYFUNCTION("""COMPUTED_VALUE"""),"Montage Token")</f>
        <v>Montage Token</v>
      </c>
    </row>
    <row r="8522" spans="1:3" x14ac:dyDescent="0.25">
      <c r="A8522" s="2" t="str">
        <f ca="1">IFERROR(__xludf.DUMMYFUNCTION("""COMPUTED_VALUE"""),"moocat")</f>
        <v>moocat</v>
      </c>
      <c r="B8522" s="2" t="str">
        <f ca="1">IFERROR(__xludf.DUMMYFUNCTION("""COMPUTED_VALUE"""),"moocat")</f>
        <v>moocat</v>
      </c>
      <c r="C8522" s="2" t="str">
        <f ca="1">IFERROR(__xludf.DUMMYFUNCTION("""COMPUTED_VALUE"""),"MooCat")</f>
        <v>MooCat</v>
      </c>
    </row>
    <row r="8523" spans="1:3" x14ac:dyDescent="0.25">
      <c r="A8523" s="2" t="str">
        <f ca="1">IFERROR(__xludf.DUMMYFUNCTION("""COMPUTED_VALUE"""),"moochii")</f>
        <v>moochii</v>
      </c>
      <c r="B8523" s="2" t="str">
        <f ca="1">IFERROR(__xludf.DUMMYFUNCTION("""COMPUTED_VALUE"""),"moochii")</f>
        <v>moochii</v>
      </c>
      <c r="C8523" s="2" t="str">
        <f ca="1">IFERROR(__xludf.DUMMYFUNCTION("""COMPUTED_VALUE"""),"Moochii")</f>
        <v>Moochii</v>
      </c>
    </row>
    <row r="8524" spans="1:3" x14ac:dyDescent="0.25">
      <c r="A8524" s="2" t="str">
        <f ca="1">IFERROR(__xludf.DUMMYFUNCTION("""COMPUTED_VALUE"""),"moo-deng")</f>
        <v>moo-deng</v>
      </c>
      <c r="B8524" s="2" t="str">
        <f ca="1">IFERROR(__xludf.DUMMYFUNCTION("""COMPUTED_VALUE"""),"moodeng")</f>
        <v>moodeng</v>
      </c>
      <c r="C8524" s="2" t="str">
        <f ca="1">IFERROR(__xludf.DUMMYFUNCTION("""COMPUTED_VALUE"""),"Moo Deng")</f>
        <v>Moo Deng</v>
      </c>
    </row>
    <row r="8525" spans="1:3" x14ac:dyDescent="0.25">
      <c r="A8525" s="2" t="str">
        <f ca="1">IFERROR(__xludf.DUMMYFUNCTION("""COMPUTED_VALUE"""),"moo-deng-2")</f>
        <v>moo-deng-2</v>
      </c>
      <c r="B8525" s="2" t="str">
        <f ca="1">IFERROR(__xludf.DUMMYFUNCTION("""COMPUTED_VALUE"""),"moodeng")</f>
        <v>moodeng</v>
      </c>
      <c r="C8525" s="2" t="str">
        <f ca="1">IFERROR(__xludf.DUMMYFUNCTION("""COMPUTED_VALUE"""),"MOO DENG")</f>
        <v>MOO DENG</v>
      </c>
    </row>
    <row r="8526" spans="1:3" x14ac:dyDescent="0.25">
      <c r="A8526" s="2" t="str">
        <f ca="1">IFERROR(__xludf.DUMMYFUNCTION("""COMPUTED_VALUE"""),"mooi-network")</f>
        <v>mooi-network</v>
      </c>
      <c r="B8526" s="2" t="str">
        <f ca="1">IFERROR(__xludf.DUMMYFUNCTION("""COMPUTED_VALUE"""),"mooi")</f>
        <v>mooi</v>
      </c>
      <c r="C8526" s="2" t="str">
        <f ca="1">IFERROR(__xludf.DUMMYFUNCTION("""COMPUTED_VALUE"""),"MOOI Network")</f>
        <v>MOOI Network</v>
      </c>
    </row>
    <row r="8527" spans="1:3" x14ac:dyDescent="0.25">
      <c r="A8527" s="2" t="str">
        <f ca="1">IFERROR(__xludf.DUMMYFUNCTION("""COMPUTED_VALUE"""),"moola-celo-dollars")</f>
        <v>moola-celo-dollars</v>
      </c>
      <c r="B8527" s="2" t="str">
        <f ca="1">IFERROR(__xludf.DUMMYFUNCTION("""COMPUTED_VALUE"""),"mcusd")</f>
        <v>mcusd</v>
      </c>
      <c r="C8527" s="2" t="str">
        <f ca="1">IFERROR(__xludf.DUMMYFUNCTION("""COMPUTED_VALUE"""),"Moola Celo Dollars")</f>
        <v>Moola Celo Dollars</v>
      </c>
    </row>
    <row r="8528" spans="1:3" x14ac:dyDescent="0.25">
      <c r="A8528" s="2" t="str">
        <f ca="1">IFERROR(__xludf.DUMMYFUNCTION("""COMPUTED_VALUE"""),"moolahverse")</f>
        <v>moolahverse</v>
      </c>
      <c r="B8528" s="2" t="str">
        <f ca="1">IFERROR(__xludf.DUMMYFUNCTION("""COMPUTED_VALUE"""),"mlh")</f>
        <v>mlh</v>
      </c>
      <c r="C8528" s="2" t="str">
        <f ca="1">IFERROR(__xludf.DUMMYFUNCTION("""COMPUTED_VALUE"""),"Moolahverse")</f>
        <v>Moolahverse</v>
      </c>
    </row>
    <row r="8529" spans="1:3" x14ac:dyDescent="0.25">
      <c r="A8529" s="2" t="str">
        <f ca="1">IFERROR(__xludf.DUMMYFUNCTION("""COMPUTED_VALUE"""),"moola-interest-bearing-creal")</f>
        <v>moola-interest-bearing-creal</v>
      </c>
      <c r="B8529" s="2" t="str">
        <f ca="1">IFERROR(__xludf.DUMMYFUNCTION("""COMPUTED_VALUE"""),"mcreal")</f>
        <v>mcreal</v>
      </c>
      <c r="C8529" s="2" t="str">
        <f ca="1">IFERROR(__xludf.DUMMYFUNCTION("""COMPUTED_VALUE"""),"Moola interest bearing CREAL")</f>
        <v>Moola interest bearing CREAL</v>
      </c>
    </row>
    <row r="8530" spans="1:3" x14ac:dyDescent="0.25">
      <c r="A8530" s="2" t="str">
        <f ca="1">IFERROR(__xludf.DUMMYFUNCTION("""COMPUTED_VALUE"""),"moola-market")</f>
        <v>moola-market</v>
      </c>
      <c r="B8530" s="2" t="str">
        <f ca="1">IFERROR(__xludf.DUMMYFUNCTION("""COMPUTED_VALUE"""),"moo")</f>
        <v>moo</v>
      </c>
      <c r="C8530" s="2" t="str">
        <f ca="1">IFERROR(__xludf.DUMMYFUNCTION("""COMPUTED_VALUE"""),"Moola Market")</f>
        <v>Moola Market</v>
      </c>
    </row>
    <row r="8531" spans="1:3" x14ac:dyDescent="0.25">
      <c r="A8531" s="2" t="str">
        <f ca="1">IFERROR(__xludf.DUMMYFUNCTION("""COMPUTED_VALUE"""),"moomoo-token")</f>
        <v>moomoo-token</v>
      </c>
      <c r="B8531" s="2" t="str">
        <f ca="1">IFERROR(__xludf.DUMMYFUNCTION("""COMPUTED_VALUE"""),"moo")</f>
        <v>moo</v>
      </c>
      <c r="C8531" s="2" t="str">
        <f ca="1">IFERROR(__xludf.DUMMYFUNCTION("""COMPUTED_VALUE"""),"MooMoo Token")</f>
        <v>MooMoo Token</v>
      </c>
    </row>
    <row r="8532" spans="1:3" x14ac:dyDescent="0.25">
      <c r="A8532" s="2" t="str">
        <f ca="1">IFERROR(__xludf.DUMMYFUNCTION("""COMPUTED_VALUE"""),"moon")</f>
        <v>moon</v>
      </c>
      <c r="B8532" s="2" t="str">
        <f ca="1">IFERROR(__xludf.DUMMYFUNCTION("""COMPUTED_VALUE"""),"moon")</f>
        <v>moon</v>
      </c>
      <c r="C8532" s="2" t="str">
        <f ca="1">IFERROR(__xludf.DUMMYFUNCTION("""COMPUTED_VALUE"""),"r/CryptoCurrency Moons")</f>
        <v>r/CryptoCurrency Moons</v>
      </c>
    </row>
    <row r="8533" spans="1:3" x14ac:dyDescent="0.25">
      <c r="A8533" s="2" t="str">
        <f ca="1">IFERROR(__xludf.DUMMYFUNCTION("""COMPUTED_VALUE"""),"moon-air")</f>
        <v>moon-air</v>
      </c>
      <c r="B8533" s="2" t="str">
        <f ca="1">IFERROR(__xludf.DUMMYFUNCTION("""COMPUTED_VALUE"""),"moonair")</f>
        <v>moonair</v>
      </c>
      <c r="C8533" s="2" t="str">
        <f ca="1">IFERROR(__xludf.DUMMYFUNCTION("""COMPUTED_VALUE"""),"Moon Air")</f>
        <v>Moon Air</v>
      </c>
    </row>
    <row r="8534" spans="1:3" x14ac:dyDescent="0.25">
      <c r="A8534" s="2" t="str">
        <f ca="1">IFERROR(__xludf.DUMMYFUNCTION("""COMPUTED_VALUE"""),"moon-app")</f>
        <v>moon-app</v>
      </c>
      <c r="B8534" s="2" t="str">
        <f ca="1">IFERROR(__xludf.DUMMYFUNCTION("""COMPUTED_VALUE"""),"app")</f>
        <v>app</v>
      </c>
      <c r="C8534" s="2" t="str">
        <f ca="1">IFERROR(__xludf.DUMMYFUNCTION("""COMPUTED_VALUE"""),"Moon App")</f>
        <v>Moon App</v>
      </c>
    </row>
    <row r="8535" spans="1:3" x14ac:dyDescent="0.25">
      <c r="A8535" s="2" t="str">
        <f ca="1">IFERROR(__xludf.DUMMYFUNCTION("""COMPUTED_VALUE"""),"moonarch")</f>
        <v>moonarch</v>
      </c>
      <c r="B8535" s="2" t="str">
        <f ca="1">IFERROR(__xludf.DUMMYFUNCTION("""COMPUTED_VALUE"""),"moonarch")</f>
        <v>moonarch</v>
      </c>
      <c r="C8535" s="2" t="str">
        <f ca="1">IFERROR(__xludf.DUMMYFUNCTION("""COMPUTED_VALUE"""),"Moonarch")</f>
        <v>Moonarch</v>
      </c>
    </row>
    <row r="8536" spans="1:3" x14ac:dyDescent="0.25">
      <c r="A8536" s="2" t="str">
        <f ca="1">IFERROR(__xludf.DUMMYFUNCTION("""COMPUTED_VALUE"""),"moonbase-2")</f>
        <v>moonbase-2</v>
      </c>
      <c r="B8536" s="2" t="str">
        <f ca="1">IFERROR(__xludf.DUMMYFUNCTION("""COMPUTED_VALUE"""),"moon")</f>
        <v>moon</v>
      </c>
      <c r="C8536" s="2" t="str">
        <f ca="1">IFERROR(__xludf.DUMMYFUNCTION("""COMPUTED_VALUE"""),"MoonBase")</f>
        <v>MoonBase</v>
      </c>
    </row>
    <row r="8537" spans="1:3" x14ac:dyDescent="0.25">
      <c r="A8537" s="2" t="str">
        <f ca="1">IFERROR(__xludf.DUMMYFUNCTION("""COMPUTED_VALUE"""),"moon-bay")</f>
        <v>moon-bay</v>
      </c>
      <c r="B8537" s="2" t="str">
        <f ca="1">IFERROR(__xludf.DUMMYFUNCTION("""COMPUTED_VALUE"""),"bay")</f>
        <v>bay</v>
      </c>
      <c r="C8537" s="2" t="str">
        <f ca="1">IFERROR(__xludf.DUMMYFUNCTION("""COMPUTED_VALUE"""),"Moon Bay")</f>
        <v>Moon Bay</v>
      </c>
    </row>
    <row r="8538" spans="1:3" x14ac:dyDescent="0.25">
      <c r="A8538" s="2" t="str">
        <f ca="1">IFERROR(__xludf.DUMMYFUNCTION("""COMPUTED_VALUE"""),"moonbeam")</f>
        <v>moonbeam</v>
      </c>
      <c r="B8538" s="2" t="str">
        <f ca="1">IFERROR(__xludf.DUMMYFUNCTION("""COMPUTED_VALUE"""),"glmr")</f>
        <v>glmr</v>
      </c>
      <c r="C8538" s="2" t="str">
        <f ca="1">IFERROR(__xludf.DUMMYFUNCTION("""COMPUTED_VALUE"""),"Moonbeam")</f>
        <v>Moonbeam</v>
      </c>
    </row>
    <row r="8539" spans="1:3" x14ac:dyDescent="0.25">
      <c r="A8539" s="2" t="str">
        <f ca="1">IFERROR(__xludf.DUMMYFUNCTION("""COMPUTED_VALUE"""),"moonbeans")</f>
        <v>moonbeans</v>
      </c>
      <c r="B8539" s="2" t="str">
        <f ca="1">IFERROR(__xludf.DUMMYFUNCTION("""COMPUTED_VALUE"""),"beans")</f>
        <v>beans</v>
      </c>
      <c r="C8539" s="2" t="str">
        <f ca="1">IFERROR(__xludf.DUMMYFUNCTION("""COMPUTED_VALUE"""),"MoonBeans")</f>
        <v>MoonBeans</v>
      </c>
    </row>
    <row r="8540" spans="1:3" x14ac:dyDescent="0.25">
      <c r="A8540" s="2" t="str">
        <f ca="1">IFERROR(__xludf.DUMMYFUNCTION("""COMPUTED_VALUE"""),"moonboots-dao")</f>
        <v>moonboots-dao</v>
      </c>
      <c r="B8540" s="2" t="str">
        <f ca="1">IFERROR(__xludf.DUMMYFUNCTION("""COMPUTED_VALUE"""),"mbdao")</f>
        <v>mbdao</v>
      </c>
      <c r="C8540" s="2" t="str">
        <f ca="1">IFERROR(__xludf.DUMMYFUNCTION("""COMPUTED_VALUE"""),"Moonboots DAO")</f>
        <v>Moonboots DAO</v>
      </c>
    </row>
    <row r="8541" spans="1:3" x14ac:dyDescent="0.25">
      <c r="A8541" s="2" t="str">
        <f ca="1">IFERROR(__xludf.DUMMYFUNCTION("""COMPUTED_VALUE"""),"moon-cat")</f>
        <v>moon-cat</v>
      </c>
      <c r="B8541" s="2" t="str">
        <f ca="1">IFERROR(__xludf.DUMMYFUNCTION("""COMPUTED_VALUE"""),"mc")</f>
        <v>mc</v>
      </c>
      <c r="C8541" s="2" t="str">
        <f ca="1">IFERROR(__xludf.DUMMYFUNCTION("""COMPUTED_VALUE"""),"Moon Cat")</f>
        <v>Moon Cat</v>
      </c>
    </row>
    <row r="8542" spans="1:3" x14ac:dyDescent="0.25">
      <c r="A8542" s="2" t="str">
        <f ca="1">IFERROR(__xludf.DUMMYFUNCTION("""COMPUTED_VALUE"""),"mooncats-on-base")</f>
        <v>mooncats-on-base</v>
      </c>
      <c r="B8542" s="2" t="str">
        <f ca="1">IFERROR(__xludf.DUMMYFUNCTION("""COMPUTED_VALUE"""),"mooncats")</f>
        <v>mooncats</v>
      </c>
      <c r="C8542" s="2" t="str">
        <f ca="1">IFERROR(__xludf.DUMMYFUNCTION("""COMPUTED_VALUE"""),"Mooncats on Base")</f>
        <v>Mooncats on Base</v>
      </c>
    </row>
    <row r="8543" spans="1:3" x14ac:dyDescent="0.25">
      <c r="A8543" s="2" t="str">
        <f ca="1">IFERROR(__xludf.DUMMYFUNCTION("""COMPUTED_VALUE"""),"mooncat-vault-nftx")</f>
        <v>mooncat-vault-nftx</v>
      </c>
      <c r="B8543" s="2" t="str">
        <f ca="1">IFERROR(__xludf.DUMMYFUNCTION("""COMPUTED_VALUE"""),"mooncat")</f>
        <v>mooncat</v>
      </c>
      <c r="C8543" s="2" t="str">
        <f ca="1">IFERROR(__xludf.DUMMYFUNCTION("""COMPUTED_VALUE"""),"MOONCAT Vault (NFTX)")</f>
        <v>MOONCAT Vault (NFTX)</v>
      </c>
    </row>
    <row r="8544" spans="1:3" x14ac:dyDescent="0.25">
      <c r="A8544" s="2" t="str">
        <f ca="1">IFERROR(__xludf.DUMMYFUNCTION("""COMPUTED_VALUE"""),"mooncloud-ai")</f>
        <v>mooncloud-ai</v>
      </c>
      <c r="B8544" s="2" t="str">
        <f ca="1">IFERROR(__xludf.DUMMYFUNCTION("""COMPUTED_VALUE"""),"mcloud")</f>
        <v>mcloud</v>
      </c>
      <c r="C8544" s="3" t="str">
        <f ca="1">IFERROR(__xludf.DUMMYFUNCTION("""COMPUTED_VALUE"""),"MoonCloud.ai")</f>
        <v>MoonCloud.ai</v>
      </c>
    </row>
    <row r="8545" spans="1:3" x14ac:dyDescent="0.25">
      <c r="A8545" s="2" t="str">
        <f ca="1">IFERROR(__xludf.DUMMYFUNCTION("""COMPUTED_VALUE"""),"moondogs")</f>
        <v>moondogs</v>
      </c>
      <c r="B8545" s="2" t="str">
        <f ca="1">IFERROR(__xludf.DUMMYFUNCTION("""COMPUTED_VALUE"""),"woof")</f>
        <v>woof</v>
      </c>
      <c r="C8545" s="2" t="str">
        <f ca="1">IFERROR(__xludf.DUMMYFUNCTION("""COMPUTED_VALUE"""),"Moondogs")</f>
        <v>Moondogs</v>
      </c>
    </row>
    <row r="8546" spans="1:3" x14ac:dyDescent="0.25">
      <c r="A8546" s="2" t="str">
        <f ca="1">IFERROR(__xludf.DUMMYFUNCTION("""COMPUTED_VALUE"""),"moonedge")</f>
        <v>moonedge</v>
      </c>
      <c r="B8546" s="2" t="str">
        <f ca="1">IFERROR(__xludf.DUMMYFUNCTION("""COMPUTED_VALUE"""),"mooned")</f>
        <v>mooned</v>
      </c>
      <c r="C8546" s="2" t="str">
        <f ca="1">IFERROR(__xludf.DUMMYFUNCTION("""COMPUTED_VALUE"""),"MoonEdge")</f>
        <v>MoonEdge</v>
      </c>
    </row>
    <row r="8547" spans="1:3" x14ac:dyDescent="0.25">
      <c r="A8547" s="2" t="str">
        <f ca="1">IFERROR(__xludf.DUMMYFUNCTION("""COMPUTED_VALUE"""),"mooner")</f>
        <v>mooner</v>
      </c>
      <c r="B8547" s="2" t="str">
        <f ca="1">IFERROR(__xludf.DUMMYFUNCTION("""COMPUTED_VALUE"""),"mnr")</f>
        <v>mnr</v>
      </c>
      <c r="C8547" s="2" t="str">
        <f ca="1">IFERROR(__xludf.DUMMYFUNCTION("""COMPUTED_VALUE"""),"Mooner")</f>
        <v>Mooner</v>
      </c>
    </row>
    <row r="8548" spans="1:3" x14ac:dyDescent="0.25">
      <c r="A8548" s="2" t="str">
        <f ca="1">IFERROR(__xludf.DUMMYFUNCTION("""COMPUTED_VALUE"""),"mooney")</f>
        <v>mooney</v>
      </c>
      <c r="B8548" s="2" t="str">
        <f ca="1">IFERROR(__xludf.DUMMYFUNCTION("""COMPUTED_VALUE"""),"mooney")</f>
        <v>mooney</v>
      </c>
      <c r="C8548" s="2" t="str">
        <f ca="1">IFERROR(__xludf.DUMMYFUNCTION("""COMPUTED_VALUE"""),"Moon DAO")</f>
        <v>Moon DAO</v>
      </c>
    </row>
    <row r="8549" spans="1:3" x14ac:dyDescent="0.25">
      <c r="A8549" s="2" t="str">
        <f ca="1">IFERROR(__xludf.DUMMYFUNCTION("""COMPUTED_VALUE"""),"moonflow")</f>
        <v>moonflow</v>
      </c>
      <c r="B8549" s="2" t="str">
        <f ca="1">IFERROR(__xludf.DUMMYFUNCTION("""COMPUTED_VALUE"""),"moon")</f>
        <v>moon</v>
      </c>
      <c r="C8549" s="2" t="str">
        <f ca="1">IFERROR(__xludf.DUMMYFUNCTION("""COMPUTED_VALUE"""),"Moonflow")</f>
        <v>Moonflow</v>
      </c>
    </row>
    <row r="8550" spans="1:3" x14ac:dyDescent="0.25">
      <c r="A8550" s="2" t="str">
        <f ca="1">IFERROR(__xludf.DUMMYFUNCTION("""COMPUTED_VALUE"""),"moonft")</f>
        <v>moonft</v>
      </c>
      <c r="B8550" s="2" t="str">
        <f ca="1">IFERROR(__xludf.DUMMYFUNCTION("""COMPUTED_VALUE"""),"mtc")</f>
        <v>mtc</v>
      </c>
      <c r="C8550" s="2" t="str">
        <f ca="1">IFERROR(__xludf.DUMMYFUNCTION("""COMPUTED_VALUE"""),"Moonft")</f>
        <v>Moonft</v>
      </c>
    </row>
    <row r="8551" spans="1:3" x14ac:dyDescent="0.25">
      <c r="A8551" s="2" t="str">
        <f ca="1">IFERROR(__xludf.DUMMYFUNCTION("""COMPUTED_VALUE"""),"moon-inu")</f>
        <v>moon-inu</v>
      </c>
      <c r="B8551" s="2" t="str">
        <f ca="1">IFERROR(__xludf.DUMMYFUNCTION("""COMPUTED_VALUE"""),"moon")</f>
        <v>moon</v>
      </c>
      <c r="C8551" s="2" t="str">
        <f ca="1">IFERROR(__xludf.DUMMYFUNCTION("""COMPUTED_VALUE"""),"MOON INU")</f>
        <v>MOON INU</v>
      </c>
    </row>
    <row r="8552" spans="1:3" x14ac:dyDescent="0.25">
      <c r="A8552" s="2" t="str">
        <f ca="1">IFERROR(__xludf.DUMMYFUNCTION("""COMPUTED_VALUE"""),"moonions")</f>
        <v>moonions</v>
      </c>
      <c r="B8552" s="2" t="str">
        <f ca="1">IFERROR(__xludf.DUMMYFUNCTION("""COMPUTED_VALUE"""),"moonion")</f>
        <v>moonion</v>
      </c>
      <c r="C8552" s="2" t="str">
        <f ca="1">IFERROR(__xludf.DUMMYFUNCTION("""COMPUTED_VALUE"""),"Moonions")</f>
        <v>Moonions</v>
      </c>
    </row>
    <row r="8553" spans="1:3" x14ac:dyDescent="0.25">
      <c r="A8553" s="2" t="str">
        <f ca="1">IFERROR(__xludf.DUMMYFUNCTION("""COMPUTED_VALUE"""),"moonke")</f>
        <v>moonke</v>
      </c>
      <c r="B8553" s="2" t="str">
        <f ca="1">IFERROR(__xludf.DUMMYFUNCTION("""COMPUTED_VALUE"""),"moonke")</f>
        <v>moonke</v>
      </c>
      <c r="C8553" s="2" t="str">
        <f ca="1">IFERROR(__xludf.DUMMYFUNCTION("""COMPUTED_VALUE"""),"Moonke")</f>
        <v>Moonke</v>
      </c>
    </row>
    <row r="8554" spans="1:3" x14ac:dyDescent="0.25">
      <c r="A8554" s="2" t="str">
        <f ca="1">IFERROR(__xludf.DUMMYFUNCTION("""COMPUTED_VALUE"""),"moonkize")</f>
        <v>moonkize</v>
      </c>
      <c r="B8554" s="2" t="str">
        <f ca="1">IFERROR(__xludf.DUMMYFUNCTION("""COMPUTED_VALUE"""),"moonkize")</f>
        <v>moonkize</v>
      </c>
      <c r="C8554" s="2" t="str">
        <f ca="1">IFERROR(__xludf.DUMMYFUNCTION("""COMPUTED_VALUE"""),"MoonKize")</f>
        <v>MoonKize</v>
      </c>
    </row>
    <row r="8555" spans="1:3" x14ac:dyDescent="0.25">
      <c r="A8555" s="2" t="str">
        <f ca="1">IFERROR(__xludf.DUMMYFUNCTION("""COMPUTED_VALUE"""),"moonlana")</f>
        <v>moonlana</v>
      </c>
      <c r="B8555" s="2" t="str">
        <f ca="1">IFERROR(__xludf.DUMMYFUNCTION("""COMPUTED_VALUE"""),"mola")</f>
        <v>mola</v>
      </c>
      <c r="C8555" s="2" t="str">
        <f ca="1">IFERROR(__xludf.DUMMYFUNCTION("""COMPUTED_VALUE"""),"MoonLana")</f>
        <v>MoonLana</v>
      </c>
    </row>
    <row r="8556" spans="1:3" x14ac:dyDescent="0.25">
      <c r="A8556" s="2" t="str">
        <f ca="1">IFERROR(__xludf.DUMMYFUNCTION("""COMPUTED_VALUE"""),"moonland-metaverse-token")</f>
        <v>moonland-metaverse-token</v>
      </c>
      <c r="B8556" s="2" t="str">
        <f ca="1">IFERROR(__xludf.DUMMYFUNCTION("""COMPUTED_VALUE"""),"mtk")</f>
        <v>mtk</v>
      </c>
      <c r="C8556" s="2" t="str">
        <f ca="1">IFERROR(__xludf.DUMMYFUNCTION("""COMPUTED_VALUE"""),"Moonland Metaverse Token")</f>
        <v>Moonland Metaverse Token</v>
      </c>
    </row>
    <row r="8557" spans="1:3" x14ac:dyDescent="0.25">
      <c r="A8557" s="2" t="str">
        <f ca="1">IFERROR(__xludf.DUMMYFUNCTION("""COMPUTED_VALUE"""),"moonlight-token")</f>
        <v>moonlight-token</v>
      </c>
      <c r="B8557" s="2" t="str">
        <f ca="1">IFERROR(__xludf.DUMMYFUNCTION("""COMPUTED_VALUE"""),"moonlight")</f>
        <v>moonlight</v>
      </c>
      <c r="C8557" s="2" t="str">
        <f ca="1">IFERROR(__xludf.DUMMYFUNCTION("""COMPUTED_VALUE"""),"Moonlight")</f>
        <v>Moonlight</v>
      </c>
    </row>
    <row r="8558" spans="1:3" x14ac:dyDescent="0.25">
      <c r="A8558" s="2" t="str">
        <f ca="1">IFERROR(__xludf.DUMMYFUNCTION("""COMPUTED_VALUE"""),"moon-maker-protocol")</f>
        <v>moon-maker-protocol</v>
      </c>
      <c r="B8558" s="2" t="str">
        <f ca="1">IFERROR(__xludf.DUMMYFUNCTION("""COMPUTED_VALUE"""),"mmp")</f>
        <v>mmp</v>
      </c>
      <c r="C8558" s="2" t="str">
        <f ca="1">IFERROR(__xludf.DUMMYFUNCTION("""COMPUTED_VALUE"""),"Moon Maker Protocol")</f>
        <v>Moon Maker Protocol</v>
      </c>
    </row>
    <row r="8559" spans="1:3" x14ac:dyDescent="0.25">
      <c r="A8559" s="2" t="str">
        <f ca="1">IFERROR(__xludf.DUMMYFUNCTION("""COMPUTED_VALUE"""),"moonman")</f>
        <v>moonman</v>
      </c>
      <c r="B8559" s="2" t="str">
        <f ca="1">IFERROR(__xludf.DUMMYFUNCTION("""COMPUTED_VALUE"""),"mm")</f>
        <v>mm</v>
      </c>
      <c r="C8559" s="2" t="str">
        <f ca="1">IFERROR(__xludf.DUMMYFUNCTION("""COMPUTED_VALUE"""),"MoonMan")</f>
        <v>MoonMan</v>
      </c>
    </row>
    <row r="8560" spans="1:3" x14ac:dyDescent="0.25">
      <c r="A8560" s="2" t="str">
        <f ca="1">IFERROR(__xludf.DUMMYFUNCTION("""COMPUTED_VALUE"""),"moon-market")</f>
        <v>moon-market</v>
      </c>
      <c r="B8560" s="2" t="str">
        <f ca="1">IFERROR(__xludf.DUMMYFUNCTION("""COMPUTED_VALUE"""),"moon")</f>
        <v>moon</v>
      </c>
      <c r="C8560" s="2" t="str">
        <f ca="1">IFERROR(__xludf.DUMMYFUNCTION("""COMPUTED_VALUE"""),"Moon Market")</f>
        <v>Moon Market</v>
      </c>
    </row>
    <row r="8561" spans="1:3" x14ac:dyDescent="0.25">
      <c r="A8561" s="2" t="str">
        <f ca="1">IFERROR(__xludf.DUMMYFUNCTION("""COMPUTED_VALUE"""),"moon-on-base")</f>
        <v>moon-on-base</v>
      </c>
      <c r="B8561" s="2" t="str">
        <f ca="1">IFERROR(__xludf.DUMMYFUNCTION("""COMPUTED_VALUE"""),"moon")</f>
        <v>moon</v>
      </c>
      <c r="C8561" s="2" t="str">
        <f ca="1">IFERROR(__xludf.DUMMYFUNCTION("""COMPUTED_VALUE"""),"Moon on Base")</f>
        <v>Moon on Base</v>
      </c>
    </row>
    <row r="8562" spans="1:3" x14ac:dyDescent="0.25">
      <c r="A8562" s="2" t="str">
        <f ca="1">IFERROR(__xludf.DUMMYFUNCTION("""COMPUTED_VALUE"""),"moonpot")</f>
        <v>moonpot</v>
      </c>
      <c r="B8562" s="2" t="str">
        <f ca="1">IFERROR(__xludf.DUMMYFUNCTION("""COMPUTED_VALUE"""),"pots")</f>
        <v>pots</v>
      </c>
      <c r="C8562" s="2" t="str">
        <f ca="1">IFERROR(__xludf.DUMMYFUNCTION("""COMPUTED_VALUE"""),"Moonpot")</f>
        <v>Moonpot</v>
      </c>
    </row>
    <row r="8563" spans="1:3" x14ac:dyDescent="0.25">
      <c r="A8563" s="2" t="str">
        <f ca="1">IFERROR(__xludf.DUMMYFUNCTION("""COMPUTED_VALUE"""),"moonpot-finance")</f>
        <v>moonpot-finance</v>
      </c>
      <c r="B8563" s="2" t="str">
        <f ca="1">IFERROR(__xludf.DUMMYFUNCTION("""COMPUTED_VALUE"""),"moonpot")</f>
        <v>moonpot</v>
      </c>
      <c r="C8563" s="2" t="str">
        <f ca="1">IFERROR(__xludf.DUMMYFUNCTION("""COMPUTED_VALUE"""),"MoonPot Finance")</f>
        <v>MoonPot Finance</v>
      </c>
    </row>
    <row r="8564" spans="1:3" x14ac:dyDescent="0.25">
      <c r="A8564" s="2" t="str">
        <f ca="1">IFERROR(__xludf.DUMMYFUNCTION("""COMPUTED_VALUE"""),"moon-rabbit")</f>
        <v>moon-rabbit</v>
      </c>
      <c r="B8564" s="2" t="str">
        <f ca="1">IFERROR(__xludf.DUMMYFUNCTION("""COMPUTED_VALUE"""),"aaa")</f>
        <v>aaa</v>
      </c>
      <c r="C8564" s="2" t="str">
        <f ca="1">IFERROR(__xludf.DUMMYFUNCTION("""COMPUTED_VALUE"""),"Moon Rabbit")</f>
        <v>Moon Rabbit</v>
      </c>
    </row>
    <row r="8565" spans="1:3" x14ac:dyDescent="0.25">
      <c r="A8565" s="2" t="str">
        <f ca="1">IFERROR(__xludf.DUMMYFUNCTION("""COMPUTED_VALUE"""),"moonriver")</f>
        <v>moonriver</v>
      </c>
      <c r="B8565" s="2" t="str">
        <f ca="1">IFERROR(__xludf.DUMMYFUNCTION("""COMPUTED_VALUE"""),"movr")</f>
        <v>movr</v>
      </c>
      <c r="C8565" s="2" t="str">
        <f ca="1">IFERROR(__xludf.DUMMYFUNCTION("""COMPUTED_VALUE"""),"Moonriver")</f>
        <v>Moonriver</v>
      </c>
    </row>
    <row r="8566" spans="1:3" x14ac:dyDescent="0.25">
      <c r="A8566" s="2" t="str">
        <f ca="1">IFERROR(__xludf.DUMMYFUNCTION("""COMPUTED_VALUE"""),"moon-roll-coin")</f>
        <v>moon-roll-coin</v>
      </c>
      <c r="B8566" s="2" t="str">
        <f ca="1">IFERROR(__xludf.DUMMYFUNCTION("""COMPUTED_VALUE"""),"mrc")</f>
        <v>mrc</v>
      </c>
      <c r="C8566" s="2" t="str">
        <f ca="1">IFERROR(__xludf.DUMMYFUNCTION("""COMPUTED_VALUE"""),"Moon Roll Coin")</f>
        <v>Moon Roll Coin</v>
      </c>
    </row>
    <row r="8567" spans="1:3" x14ac:dyDescent="0.25">
      <c r="A8567" s="2" t="str">
        <f ca="1">IFERROR(__xludf.DUMMYFUNCTION("""COMPUTED_VALUE"""),"moonscape")</f>
        <v>moonscape</v>
      </c>
      <c r="B8567" s="2" t="str">
        <f ca="1">IFERROR(__xludf.DUMMYFUNCTION("""COMPUTED_VALUE"""),"mscp")</f>
        <v>mscp</v>
      </c>
      <c r="C8567" s="2" t="str">
        <f ca="1">IFERROR(__xludf.DUMMYFUNCTION("""COMPUTED_VALUE"""),"Moonscape")</f>
        <v>Moonscape</v>
      </c>
    </row>
    <row r="8568" spans="1:3" x14ac:dyDescent="0.25">
      <c r="A8568" s="2" t="str">
        <f ca="1">IFERROR(__xludf.DUMMYFUNCTION("""COMPUTED_VALUE"""),"moonscape-2")</f>
        <v>moonscape-2</v>
      </c>
      <c r="B8568" s="2" t="str">
        <f ca="1">IFERROR(__xludf.DUMMYFUNCTION("""COMPUTED_VALUE"""),"moon")</f>
        <v>moon</v>
      </c>
      <c r="C8568" s="2" t="str">
        <f ca="1">IFERROR(__xludf.DUMMYFUNCTION("""COMPUTED_VALUE"""),"MoonScape")</f>
        <v>MoonScape</v>
      </c>
    </row>
    <row r="8569" spans="1:3" x14ac:dyDescent="0.25">
      <c r="A8569" s="2" t="str">
        <f ca="1">IFERROR(__xludf.DUMMYFUNCTION("""COMPUTED_VALUE"""),"moonsdust")</f>
        <v>moonsdust</v>
      </c>
      <c r="B8569" s="2" t="str">
        <f ca="1">IFERROR(__xludf.DUMMYFUNCTION("""COMPUTED_VALUE"""),"moond")</f>
        <v>moond</v>
      </c>
      <c r="C8569" s="2" t="str">
        <f ca="1">IFERROR(__xludf.DUMMYFUNCTION("""COMPUTED_VALUE"""),"MoonsDust")</f>
        <v>MoonsDust</v>
      </c>
    </row>
    <row r="8570" spans="1:3" x14ac:dyDescent="0.25">
      <c r="A8570" s="2" t="str">
        <f ca="1">IFERROR(__xludf.DUMMYFUNCTION("""COMPUTED_VALUE"""),"moonstarter")</f>
        <v>moonstarter</v>
      </c>
      <c r="B8570" s="2" t="str">
        <f ca="1">IFERROR(__xludf.DUMMYFUNCTION("""COMPUTED_VALUE"""),"mnst")</f>
        <v>mnst</v>
      </c>
      <c r="C8570" s="2" t="str">
        <f ca="1">IFERROR(__xludf.DUMMYFUNCTION("""COMPUTED_VALUE"""),"MoonStarter")</f>
        <v>MoonStarter</v>
      </c>
    </row>
    <row r="8571" spans="1:3" x14ac:dyDescent="0.25">
      <c r="A8571" s="2" t="str">
        <f ca="1">IFERROR(__xludf.DUMMYFUNCTION("""COMPUTED_VALUE"""),"moon-tropica")</f>
        <v>moon-tropica</v>
      </c>
      <c r="B8571" s="2" t="str">
        <f ca="1">IFERROR(__xludf.DUMMYFUNCTION("""COMPUTED_VALUE"""),"cah")</f>
        <v>cah</v>
      </c>
      <c r="C8571" s="2" t="str">
        <f ca="1">IFERROR(__xludf.DUMMYFUNCTION("""COMPUTED_VALUE"""),"Moon Tropica")</f>
        <v>Moon Tropica</v>
      </c>
    </row>
    <row r="8572" spans="1:3" x14ac:dyDescent="0.25">
      <c r="A8572" s="2" t="str">
        <f ca="1">IFERROR(__xludf.DUMMYFUNCTION("""COMPUTED_VALUE"""),"moontrump")</f>
        <v>moontrump</v>
      </c>
      <c r="B8572" s="2" t="str">
        <f ca="1">IFERROR(__xludf.DUMMYFUNCTION("""COMPUTED_VALUE"""),"trump")</f>
        <v>trump</v>
      </c>
      <c r="C8572" s="2" t="str">
        <f ca="1">IFERROR(__xludf.DUMMYFUNCTION("""COMPUTED_VALUE"""),"MoonTrump")</f>
        <v>MoonTrump</v>
      </c>
    </row>
    <row r="8573" spans="1:3" x14ac:dyDescent="0.25">
      <c r="A8573" s="2" t="str">
        <f ca="1">IFERROR(__xludf.DUMMYFUNCTION("""COMPUTED_VALUE"""),"moonwell")</f>
        <v>moonwell</v>
      </c>
      <c r="B8573" s="2" t="str">
        <f ca="1">IFERROR(__xludf.DUMMYFUNCTION("""COMPUTED_VALUE"""),"mfam")</f>
        <v>mfam</v>
      </c>
      <c r="C8573" s="2" t="str">
        <f ca="1">IFERROR(__xludf.DUMMYFUNCTION("""COMPUTED_VALUE"""),"Moonwell Apollo")</f>
        <v>Moonwell Apollo</v>
      </c>
    </row>
    <row r="8574" spans="1:3" x14ac:dyDescent="0.25">
      <c r="A8574" s="2" t="str">
        <f ca="1">IFERROR(__xludf.DUMMYFUNCTION("""COMPUTED_VALUE"""),"moonwell-artemis")</f>
        <v>moonwell-artemis</v>
      </c>
      <c r="B8574" s="2" t="str">
        <f ca="1">IFERROR(__xludf.DUMMYFUNCTION("""COMPUTED_VALUE"""),"well")</f>
        <v>well</v>
      </c>
      <c r="C8574" s="2" t="str">
        <f ca="1">IFERROR(__xludf.DUMMYFUNCTION("""COMPUTED_VALUE"""),"Moonwell")</f>
        <v>Moonwell</v>
      </c>
    </row>
    <row r="8575" spans="1:3" x14ac:dyDescent="0.25">
      <c r="A8575" s="2" t="str">
        <f ca="1">IFERROR(__xludf.DUMMYFUNCTION("""COMPUTED_VALUE"""),"moonwolf-io")</f>
        <v>moonwolf-io</v>
      </c>
      <c r="B8575" s="2" t="str">
        <f ca="1">IFERROR(__xludf.DUMMYFUNCTION("""COMPUTED_VALUE"""),"wolf")</f>
        <v>wolf</v>
      </c>
      <c r="C8575" s="3" t="str">
        <f ca="1">IFERROR(__xludf.DUMMYFUNCTION("""COMPUTED_VALUE"""),"moonwolf.io")</f>
        <v>moonwolf.io</v>
      </c>
    </row>
    <row r="8576" spans="1:3" x14ac:dyDescent="0.25">
      <c r="A8576" s="2" t="str">
        <f ca="1">IFERROR(__xludf.DUMMYFUNCTION("""COMPUTED_VALUE"""),"moo-tun")</f>
        <v>moo-tun</v>
      </c>
      <c r="B8576" s="2" t="str">
        <f ca="1">IFERROR(__xludf.DUMMYFUNCTION("""COMPUTED_VALUE"""),"mootun")</f>
        <v>mootun</v>
      </c>
      <c r="C8576" s="2" t="str">
        <f ca="1">IFERROR(__xludf.DUMMYFUNCTION("""COMPUTED_VALUE"""),"Moo Tun")</f>
        <v>Moo Tun</v>
      </c>
    </row>
    <row r="8577" spans="1:3" x14ac:dyDescent="0.25">
      <c r="A8577" s="2" t="str">
        <f ca="1">IFERROR(__xludf.DUMMYFUNCTION("""COMPUTED_VALUE"""),"moove-protocol")</f>
        <v>moove-protocol</v>
      </c>
      <c r="B8577" s="2" t="str">
        <f ca="1">IFERROR(__xludf.DUMMYFUNCTION("""COMPUTED_VALUE"""),"moove")</f>
        <v>moove</v>
      </c>
      <c r="C8577" s="2" t="str">
        <f ca="1">IFERROR(__xludf.DUMMYFUNCTION("""COMPUTED_VALUE"""),"Moove Protocol")</f>
        <v>Moove Protocol</v>
      </c>
    </row>
    <row r="8578" spans="1:3" x14ac:dyDescent="0.25">
      <c r="A8578" s="2" t="str">
        <f ca="1">IFERROR(__xludf.DUMMYFUNCTION("""COMPUTED_VALUE"""),"mooxmoo")</f>
        <v>mooxmoo</v>
      </c>
      <c r="B8578" s="2" t="str">
        <f ca="1">IFERROR(__xludf.DUMMYFUNCTION("""COMPUTED_VALUE"""),"moox")</f>
        <v>moox</v>
      </c>
      <c r="C8578" s="2" t="str">
        <f ca="1">IFERROR(__xludf.DUMMYFUNCTION("""COMPUTED_VALUE"""),"MOOxMOO")</f>
        <v>MOOxMOO</v>
      </c>
    </row>
    <row r="8579" spans="1:3" x14ac:dyDescent="0.25">
      <c r="A8579" s="2" t="str">
        <f ca="1">IFERROR(__xludf.DUMMYFUNCTION("""COMPUTED_VALUE"""),"mops")</f>
        <v>mops</v>
      </c>
      <c r="B8579" s="2" t="str">
        <f ca="1">IFERROR(__xludf.DUMMYFUNCTION("""COMPUTED_VALUE"""),"mops")</f>
        <v>mops</v>
      </c>
      <c r="C8579" s="2" t="str">
        <f ca="1">IFERROR(__xludf.DUMMYFUNCTION("""COMPUTED_VALUE"""),"Mops")</f>
        <v>Mops</v>
      </c>
    </row>
    <row r="8580" spans="1:3" x14ac:dyDescent="0.25">
      <c r="A8580" s="2" t="str">
        <f ca="1">IFERROR(__xludf.DUMMYFUNCTION("""COMPUTED_VALUE"""),"mora")</f>
        <v>mora</v>
      </c>
      <c r="B8580" s="2" t="str">
        <f ca="1">IFERROR(__xludf.DUMMYFUNCTION("""COMPUTED_VALUE"""),"mora")</f>
        <v>mora</v>
      </c>
      <c r="C8580" s="2" t="str">
        <f ca="1">IFERROR(__xludf.DUMMYFUNCTION("""COMPUTED_VALUE"""),"Mora")</f>
        <v>Mora</v>
      </c>
    </row>
    <row r="8581" spans="1:3" x14ac:dyDescent="0.25">
      <c r="A8581" s="2" t="str">
        <f ca="1">IFERROR(__xludf.DUMMYFUNCTION("""COMPUTED_VALUE"""),"mora-2")</f>
        <v>mora-2</v>
      </c>
      <c r="B8581" s="2" t="str">
        <f ca="1">IFERROR(__xludf.DUMMYFUNCTION("""COMPUTED_VALUE"""),"mora")</f>
        <v>mora</v>
      </c>
      <c r="C8581" s="2" t="str">
        <f ca="1">IFERROR(__xludf.DUMMYFUNCTION("""COMPUTED_VALUE"""),"Mora")</f>
        <v>Mora</v>
      </c>
    </row>
    <row r="8582" spans="1:3" x14ac:dyDescent="0.25">
      <c r="A8582" s="2" t="str">
        <f ca="1">IFERROR(__xludf.DUMMYFUNCTION("""COMPUTED_VALUE"""),"moremoney-usd")</f>
        <v>moremoney-usd</v>
      </c>
      <c r="B8582" s="2" t="str">
        <f ca="1">IFERROR(__xludf.DUMMYFUNCTION("""COMPUTED_VALUE"""),"money")</f>
        <v>money</v>
      </c>
      <c r="C8582" s="2" t="str">
        <f ca="1">IFERROR(__xludf.DUMMYFUNCTION("""COMPUTED_VALUE"""),"Moremoney USD")</f>
        <v>Moremoney USD</v>
      </c>
    </row>
    <row r="8583" spans="1:3" x14ac:dyDescent="0.25">
      <c r="A8583" s="2" t="str">
        <f ca="1">IFERROR(__xludf.DUMMYFUNCTION("""COMPUTED_VALUE"""),"more-token")</f>
        <v>more-token</v>
      </c>
      <c r="B8583" s="2" t="str">
        <f ca="1">IFERROR(__xludf.DUMMYFUNCTION("""COMPUTED_VALUE"""),"more")</f>
        <v>more</v>
      </c>
      <c r="C8583" s="2" t="str">
        <f ca="1">IFERROR(__xludf.DUMMYFUNCTION("""COMPUTED_VALUE"""),"Moremoney Finance")</f>
        <v>Moremoney Finance</v>
      </c>
    </row>
    <row r="8584" spans="1:3" x14ac:dyDescent="0.25">
      <c r="A8584" s="2" t="str">
        <f ca="1">IFERROR(__xludf.DUMMYFUNCTION("""COMPUTED_VALUE"""),"morfey")</f>
        <v>morfey</v>
      </c>
      <c r="B8584" s="2" t="str">
        <f ca="1">IFERROR(__xludf.DUMMYFUNCTION("""COMPUTED_VALUE"""),"morfey")</f>
        <v>morfey</v>
      </c>
      <c r="C8584" s="2" t="str">
        <f ca="1">IFERROR(__xludf.DUMMYFUNCTION("""COMPUTED_VALUE"""),"Morfey")</f>
        <v>Morfey</v>
      </c>
    </row>
    <row r="8585" spans="1:3" x14ac:dyDescent="0.25">
      <c r="A8585" s="2" t="str">
        <f ca="1">IFERROR(__xludf.DUMMYFUNCTION("""COMPUTED_VALUE"""),"morion")</f>
        <v>morion</v>
      </c>
      <c r="B8585" s="2" t="str">
        <f ca="1">IFERROR(__xludf.DUMMYFUNCTION("""COMPUTED_VALUE"""),"mor")</f>
        <v>mor</v>
      </c>
      <c r="C8585" s="2" t="str">
        <f ca="1">IFERROR(__xludf.DUMMYFUNCTION("""COMPUTED_VALUE"""),"MORION")</f>
        <v>MORION</v>
      </c>
    </row>
    <row r="8586" spans="1:3" x14ac:dyDescent="0.25">
      <c r="A8586" s="2" t="str">
        <f ca="1">IFERROR(__xludf.DUMMYFUNCTION("""COMPUTED_VALUE"""),"mork-2")</f>
        <v>mork-2</v>
      </c>
      <c r="B8586" s="2" t="str">
        <f ca="1">IFERROR(__xludf.DUMMYFUNCTION("""COMPUTED_VALUE"""),"mork")</f>
        <v>mork</v>
      </c>
      <c r="C8586" s="2" t="str">
        <f ca="1">IFERROR(__xludf.DUMMYFUNCTION("""COMPUTED_VALUE"""),"MORK")</f>
        <v>MORK</v>
      </c>
    </row>
    <row r="8587" spans="1:3" x14ac:dyDescent="0.25">
      <c r="A8587" s="2" t="str">
        <f ca="1">IFERROR(__xludf.DUMMYFUNCTION("""COMPUTED_VALUE"""),"morkie")</f>
        <v>morkie</v>
      </c>
      <c r="B8587" s="2" t="str">
        <f ca="1">IFERROR(__xludf.DUMMYFUNCTION("""COMPUTED_VALUE"""),"mork")</f>
        <v>mork</v>
      </c>
      <c r="C8587" s="2" t="str">
        <f ca="1">IFERROR(__xludf.DUMMYFUNCTION("""COMPUTED_VALUE"""),"Morkie")</f>
        <v>Morkie</v>
      </c>
    </row>
    <row r="8588" spans="1:3" x14ac:dyDescent="0.25">
      <c r="A8588" s="2" t="str">
        <f ca="1">IFERROR(__xludf.DUMMYFUNCTION("""COMPUTED_VALUE"""),"moros-net")</f>
        <v>moros-net</v>
      </c>
      <c r="B8588" s="2" t="str">
        <f ca="1">IFERROR(__xludf.DUMMYFUNCTION("""COMPUTED_VALUE"""),"moros")</f>
        <v>moros</v>
      </c>
      <c r="C8588" s="2" t="str">
        <f ca="1">IFERROR(__xludf.DUMMYFUNCTION("""COMPUTED_VALUE"""),"MOROS NET")</f>
        <v>MOROS NET</v>
      </c>
    </row>
    <row r="8589" spans="1:3" x14ac:dyDescent="0.25">
      <c r="A8589" s="2" t="str">
        <f ca="1">IFERROR(__xludf.DUMMYFUNCTION("""COMPUTED_VALUE"""),"morph")</f>
        <v>morph</v>
      </c>
      <c r="B8589" s="2" t="str">
        <f ca="1">IFERROR(__xludf.DUMMYFUNCTION("""COMPUTED_VALUE"""),"morph")</f>
        <v>morph</v>
      </c>
      <c r="C8589" s="2" t="str">
        <f ca="1">IFERROR(__xludf.DUMMYFUNCTION("""COMPUTED_VALUE"""),"MORPH")</f>
        <v>MORPH</v>
      </c>
    </row>
    <row r="8590" spans="1:3" x14ac:dyDescent="0.25">
      <c r="A8590" s="2" t="str">
        <f ca="1">IFERROR(__xludf.DUMMYFUNCTION("""COMPUTED_VALUE"""),"morphacoin")</f>
        <v>morphacoin</v>
      </c>
      <c r="B8590" s="2" t="str">
        <f ca="1">IFERROR(__xludf.DUMMYFUNCTION("""COMPUTED_VALUE"""),"morpha")</f>
        <v>morpha</v>
      </c>
      <c r="C8590" s="2" t="str">
        <f ca="1">IFERROR(__xludf.DUMMYFUNCTION("""COMPUTED_VALUE"""),"MORPHACOIN")</f>
        <v>MORPHACOIN</v>
      </c>
    </row>
    <row r="8591" spans="1:3" x14ac:dyDescent="0.25">
      <c r="A8591" s="2" t="str">
        <f ca="1">IFERROR(__xludf.DUMMYFUNCTION("""COMPUTED_VALUE"""),"morpher")</f>
        <v>morpher</v>
      </c>
      <c r="B8591" s="2" t="str">
        <f ca="1">IFERROR(__xludf.DUMMYFUNCTION("""COMPUTED_VALUE"""),"mph")</f>
        <v>mph</v>
      </c>
      <c r="C8591" s="2" t="str">
        <f ca="1">IFERROR(__xludf.DUMMYFUNCTION("""COMPUTED_VALUE"""),"Morpher")</f>
        <v>Morpher</v>
      </c>
    </row>
    <row r="8592" spans="1:3" x14ac:dyDescent="0.25">
      <c r="A8592" s="2" t="str">
        <f ca="1">IFERROR(__xludf.DUMMYFUNCTION("""COMPUTED_VALUE"""),"morpheusai")</f>
        <v>morpheusai</v>
      </c>
      <c r="B8592" s="2" t="str">
        <f ca="1">IFERROR(__xludf.DUMMYFUNCTION("""COMPUTED_VALUE"""),"mor")</f>
        <v>mor</v>
      </c>
      <c r="C8592" s="2" t="str">
        <f ca="1">IFERROR(__xludf.DUMMYFUNCTION("""COMPUTED_VALUE"""),"MorpheusAI")</f>
        <v>MorpheusAI</v>
      </c>
    </row>
    <row r="8593" spans="1:3" x14ac:dyDescent="0.25">
      <c r="A8593" s="2" t="str">
        <f ca="1">IFERROR(__xludf.DUMMYFUNCTION("""COMPUTED_VALUE"""),"morpheus-labs")</f>
        <v>morpheus-labs</v>
      </c>
      <c r="B8593" s="2" t="str">
        <f ca="1">IFERROR(__xludf.DUMMYFUNCTION("""COMPUTED_VALUE"""),"mind")</f>
        <v>mind</v>
      </c>
      <c r="C8593" s="2" t="str">
        <f ca="1">IFERROR(__xludf.DUMMYFUNCTION("""COMPUTED_VALUE"""),"Morpheus Labs")</f>
        <v>Morpheus Labs</v>
      </c>
    </row>
    <row r="8594" spans="1:3" x14ac:dyDescent="0.25">
      <c r="A8594" s="2" t="str">
        <f ca="1">IFERROR(__xludf.DUMMYFUNCTION("""COMPUTED_VALUE"""),"morpheus-network")</f>
        <v>morpheus-network</v>
      </c>
      <c r="B8594" s="2" t="str">
        <f ca="1">IFERROR(__xludf.DUMMYFUNCTION("""COMPUTED_VALUE"""),"mnw")</f>
        <v>mnw</v>
      </c>
      <c r="C8594" s="2" t="str">
        <f ca="1">IFERROR(__xludf.DUMMYFUNCTION("""COMPUTED_VALUE"""),"Morpheus Network")</f>
        <v>Morpheus Network</v>
      </c>
    </row>
    <row r="8595" spans="1:3" x14ac:dyDescent="0.25">
      <c r="A8595" s="2" t="str">
        <f ca="1">IFERROR(__xludf.DUMMYFUNCTION("""COMPUTED_VALUE"""),"morpheus-token")</f>
        <v>morpheus-token</v>
      </c>
      <c r="B8595" s="2" t="str">
        <f ca="1">IFERROR(__xludf.DUMMYFUNCTION("""COMPUTED_VALUE"""),"pills")</f>
        <v>pills</v>
      </c>
      <c r="C8595" s="2" t="str">
        <f ca="1">IFERROR(__xludf.DUMMYFUNCTION("""COMPUTED_VALUE"""),"Morpheus Swap")</f>
        <v>Morpheus Swap</v>
      </c>
    </row>
    <row r="8596" spans="1:3" x14ac:dyDescent="0.25">
      <c r="A8596" s="2" t="str">
        <f ca="1">IFERROR(__xludf.DUMMYFUNCTION("""COMPUTED_VALUE"""),"morpho")</f>
        <v>morpho</v>
      </c>
      <c r="B8596" s="2" t="str">
        <f ca="1">IFERROR(__xludf.DUMMYFUNCTION("""COMPUTED_VALUE"""),"morpho")</f>
        <v>morpho</v>
      </c>
      <c r="C8596" s="2" t="str">
        <f ca="1">IFERROR(__xludf.DUMMYFUNCTION("""COMPUTED_VALUE"""),"Morpho")</f>
        <v>Morpho</v>
      </c>
    </row>
    <row r="8597" spans="1:3" x14ac:dyDescent="0.25">
      <c r="A8597" s="2" t="str">
        <f ca="1">IFERROR(__xludf.DUMMYFUNCTION("""COMPUTED_VALUE"""),"morpho-aave-curve-dao-token")</f>
        <v>morpho-aave-curve-dao-token</v>
      </c>
      <c r="B8597" s="2" t="str">
        <f ca="1">IFERROR(__xludf.DUMMYFUNCTION("""COMPUTED_VALUE"""),"macrv")</f>
        <v>macrv</v>
      </c>
      <c r="C8597" s="2" t="str">
        <f ca="1">IFERROR(__xludf.DUMMYFUNCTION("""COMPUTED_VALUE"""),"Morpho-Aave Curve DAO Token")</f>
        <v>Morpho-Aave Curve DAO Token</v>
      </c>
    </row>
    <row r="8598" spans="1:3" x14ac:dyDescent="0.25">
      <c r="A8598" s="2" t="str">
        <f ca="1">IFERROR(__xludf.DUMMYFUNCTION("""COMPUTED_VALUE"""),"morpho-aave-wrapped-btc")</f>
        <v>morpho-aave-wrapped-btc</v>
      </c>
      <c r="B8598" s="2" t="str">
        <f ca="1">IFERROR(__xludf.DUMMYFUNCTION("""COMPUTED_VALUE"""),"mawbtc")</f>
        <v>mawbtc</v>
      </c>
      <c r="C8598" s="2" t="str">
        <f ca="1">IFERROR(__xludf.DUMMYFUNCTION("""COMPUTED_VALUE"""),"Morpho-Aave Wrapped BTC")</f>
        <v>Morpho-Aave Wrapped BTC</v>
      </c>
    </row>
    <row r="8599" spans="1:3" x14ac:dyDescent="0.25">
      <c r="A8599" s="2" t="str">
        <f ca="1">IFERROR(__xludf.DUMMYFUNCTION("""COMPUTED_VALUE"""),"morphware")</f>
        <v>morphware</v>
      </c>
      <c r="B8599" s="2" t="str">
        <f ca="1">IFERROR(__xludf.DUMMYFUNCTION("""COMPUTED_VALUE"""),"xmw")</f>
        <v>xmw</v>
      </c>
      <c r="C8599" s="2" t="str">
        <f ca="1">IFERROR(__xludf.DUMMYFUNCTION("""COMPUTED_VALUE"""),"Morphware")</f>
        <v>Morphware</v>
      </c>
    </row>
    <row r="8600" spans="1:3" x14ac:dyDescent="0.25">
      <c r="A8600" s="2" t="str">
        <f ca="1">IFERROR(__xludf.DUMMYFUNCTION("""COMPUTED_VALUE"""),"morra")</f>
        <v>morra</v>
      </c>
      <c r="B8600" s="2" t="str">
        <f ca="1">IFERROR(__xludf.DUMMYFUNCTION("""COMPUTED_VALUE"""),"morra")</f>
        <v>morra</v>
      </c>
      <c r="C8600" s="2" t="str">
        <f ca="1">IFERROR(__xludf.DUMMYFUNCTION("""COMPUTED_VALUE"""),"Morra")</f>
        <v>Morra</v>
      </c>
    </row>
    <row r="8601" spans="1:3" x14ac:dyDescent="0.25">
      <c r="A8601" s="2" t="str">
        <f ca="1">IFERROR(__xludf.DUMMYFUNCTION("""COMPUTED_VALUE"""),"morti")</f>
        <v>morti</v>
      </c>
      <c r="B8601" s="2" t="str">
        <f ca="1">IFERROR(__xludf.DUMMYFUNCTION("""COMPUTED_VALUE"""),"morti")</f>
        <v>morti</v>
      </c>
      <c r="C8601" s="2" t="str">
        <f ca="1">IFERROR(__xludf.DUMMYFUNCTION("""COMPUTED_VALUE"""),"Morti")</f>
        <v>Morti</v>
      </c>
    </row>
    <row r="8602" spans="1:3" x14ac:dyDescent="0.25">
      <c r="A8602" s="2" t="str">
        <f ca="1">IFERROR(__xludf.DUMMYFUNCTION("""COMPUTED_VALUE"""),"moshi")</f>
        <v>moshi</v>
      </c>
      <c r="B8602" s="2" t="str">
        <f ca="1">IFERROR(__xludf.DUMMYFUNCTION("""COMPUTED_VALUE"""),"moshi")</f>
        <v>moshi</v>
      </c>
      <c r="C8602" s="2" t="str">
        <f ca="1">IFERROR(__xludf.DUMMYFUNCTION("""COMPUTED_VALUE"""),"Moshi")</f>
        <v>Moshi</v>
      </c>
    </row>
    <row r="8603" spans="1:3" x14ac:dyDescent="0.25">
      <c r="A8603" s="2" t="str">
        <f ca="1">IFERROR(__xludf.DUMMYFUNCTION("""COMPUTED_VALUE"""),"moss-carbon-credit")</f>
        <v>moss-carbon-credit</v>
      </c>
      <c r="B8603" s="2" t="str">
        <f ca="1">IFERROR(__xludf.DUMMYFUNCTION("""COMPUTED_VALUE"""),"mco2")</f>
        <v>mco2</v>
      </c>
      <c r="C8603" s="2" t="str">
        <f ca="1">IFERROR(__xludf.DUMMYFUNCTION("""COMPUTED_VALUE"""),"Moss Carbon Credit")</f>
        <v>Moss Carbon Credit</v>
      </c>
    </row>
    <row r="8604" spans="1:3" x14ac:dyDescent="0.25">
      <c r="A8604" s="2" t="str">
        <f ca="1">IFERROR(__xludf.DUMMYFUNCTION("""COMPUTED_VALUE"""),"mossland")</f>
        <v>mossland</v>
      </c>
      <c r="B8604" s="2" t="str">
        <f ca="1">IFERROR(__xludf.DUMMYFUNCTION("""COMPUTED_VALUE"""),"moc")</f>
        <v>moc</v>
      </c>
      <c r="C8604" s="2" t="str">
        <f ca="1">IFERROR(__xludf.DUMMYFUNCTION("""COMPUTED_VALUE"""),"Mossland")</f>
        <v>Mossland</v>
      </c>
    </row>
    <row r="8605" spans="1:3" x14ac:dyDescent="0.25">
      <c r="A8605" s="2" t="str">
        <f ca="1">IFERROR(__xludf.DUMMYFUNCTION("""COMPUTED_VALUE"""),"most-bridged-usdc-aleph-zero")</f>
        <v>most-bridged-usdc-aleph-zero</v>
      </c>
      <c r="B8605" s="2" t="str">
        <f ca="1">IFERROR(__xludf.DUMMYFUNCTION("""COMPUTED_VALUE"""),"usdc")</f>
        <v>usdc</v>
      </c>
      <c r="C8605" s="2" t="str">
        <f ca="1">IFERROR(__xludf.DUMMYFUNCTION("""COMPUTED_VALUE"""),"Most Bridged USDC (Aleph Zero)")</f>
        <v>Most Bridged USDC (Aleph Zero)</v>
      </c>
    </row>
    <row r="8606" spans="1:3" x14ac:dyDescent="0.25">
      <c r="A8606" s="2" t="str">
        <f ca="1">IFERROR(__xludf.DUMMYFUNCTION("""COMPUTED_VALUE"""),"most-bridged-weth-aleph-zero")</f>
        <v>most-bridged-weth-aleph-zero</v>
      </c>
      <c r="B8606" s="2" t="str">
        <f ca="1">IFERROR(__xludf.DUMMYFUNCTION("""COMPUTED_VALUE"""),"weth")</f>
        <v>weth</v>
      </c>
      <c r="C8606" s="2" t="str">
        <f ca="1">IFERROR(__xludf.DUMMYFUNCTION("""COMPUTED_VALUE"""),"Most Bridged WETH (Aleph Zero)")</f>
        <v>Most Bridged WETH (Aleph Zero)</v>
      </c>
    </row>
    <row r="8607" spans="1:3" x14ac:dyDescent="0.25">
      <c r="A8607" s="2" t="str">
        <f ca="1">IFERROR(__xludf.DUMMYFUNCTION("""COMPUTED_VALUE"""),"most-global")</f>
        <v>most-global</v>
      </c>
      <c r="B8607" s="2" t="str">
        <f ca="1">IFERROR(__xludf.DUMMYFUNCTION("""COMPUTED_VALUE"""),"mgp")</f>
        <v>mgp</v>
      </c>
      <c r="C8607" s="2" t="str">
        <f ca="1">IFERROR(__xludf.DUMMYFUNCTION("""COMPUTED_VALUE"""),"MOST Global")</f>
        <v>MOST Global</v>
      </c>
    </row>
    <row r="8608" spans="1:3" x14ac:dyDescent="0.25">
      <c r="A8608" s="2" t="str">
        <f ca="1">IFERROR(__xludf.DUMMYFUNCTION("""COMPUTED_VALUE"""),"most-wanted")</f>
        <v>most-wanted</v>
      </c>
      <c r="B8608" s="2" t="str">
        <f ca="1">IFERROR(__xludf.DUMMYFUNCTION("""COMPUTED_VALUE"""),"$wanted")</f>
        <v>$wanted</v>
      </c>
      <c r="C8608" s="2" t="str">
        <f ca="1">IFERROR(__xludf.DUMMYFUNCTION("""COMPUTED_VALUE"""),"Most Wanted")</f>
        <v>Most Wanted</v>
      </c>
    </row>
    <row r="8609" spans="1:3" x14ac:dyDescent="0.25">
      <c r="A8609" s="2" t="str">
        <f ca="1">IFERROR(__xludf.DUMMYFUNCTION("""COMPUTED_VALUE"""),"motacoin")</f>
        <v>motacoin</v>
      </c>
      <c r="B8609" s="2" t="str">
        <f ca="1">IFERROR(__xludf.DUMMYFUNCTION("""COMPUTED_VALUE"""),"mota")</f>
        <v>mota</v>
      </c>
      <c r="C8609" s="2" t="str">
        <f ca="1">IFERROR(__xludf.DUMMYFUNCTION("""COMPUTED_VALUE"""),"MotaCoin")</f>
        <v>MotaCoin</v>
      </c>
    </row>
    <row r="8610" spans="1:3" x14ac:dyDescent="0.25">
      <c r="A8610" s="2" t="str">
        <f ca="1">IFERROR(__xludf.DUMMYFUNCTION("""COMPUTED_VALUE"""),"moth")</f>
        <v>moth</v>
      </c>
      <c r="B8610" s="2" t="str">
        <f ca="1">IFERROR(__xludf.DUMMYFUNCTION("""COMPUTED_VALUE"""),"møth")</f>
        <v>møth</v>
      </c>
      <c r="C8610" s="2" t="str">
        <f ca="1">IFERROR(__xludf.DUMMYFUNCTION("""COMPUTED_VALUE"""),"MOTH")</f>
        <v>MOTH</v>
      </c>
    </row>
    <row r="8611" spans="1:3" x14ac:dyDescent="0.25">
      <c r="A8611" s="2" t="str">
        <f ca="1">IFERROR(__xludf.DUMMYFUNCTION("""COMPUTED_VALUE"""),"moth-2")</f>
        <v>moth-2</v>
      </c>
      <c r="B8611" s="2" t="str">
        <f ca="1">IFERROR(__xludf.DUMMYFUNCTION("""COMPUTED_VALUE"""),"moth")</f>
        <v>moth</v>
      </c>
      <c r="C8611" s="2" t="str">
        <f ca="1">IFERROR(__xludf.DUMMYFUNCTION("""COMPUTED_VALUE"""),"Moth")</f>
        <v>Moth</v>
      </c>
    </row>
    <row r="8612" spans="1:3" x14ac:dyDescent="0.25">
      <c r="A8612" s="2" t="str">
        <f ca="1">IFERROR(__xludf.DUMMYFUNCTION("""COMPUTED_VALUE"""),"mother-earth")</f>
        <v>mother-earth</v>
      </c>
      <c r="B8612" s="2" t="str">
        <f ca="1">IFERROR(__xludf.DUMMYFUNCTION("""COMPUTED_VALUE"""),"mot")</f>
        <v>mot</v>
      </c>
      <c r="C8612" s="2" t="str">
        <f ca="1">IFERROR(__xludf.DUMMYFUNCTION("""COMPUTED_VALUE"""),"Mother Earth")</f>
        <v>Mother Earth</v>
      </c>
    </row>
    <row r="8613" spans="1:3" x14ac:dyDescent="0.25">
      <c r="A8613" s="2" t="str">
        <f ca="1">IFERROR(__xludf.DUMMYFUNCTION("""COMPUTED_VALUE"""),"mother-iggy")</f>
        <v>mother-iggy</v>
      </c>
      <c r="B8613" s="2" t="str">
        <f ca="1">IFERROR(__xludf.DUMMYFUNCTION("""COMPUTED_VALUE"""),"mother")</f>
        <v>mother</v>
      </c>
      <c r="C8613" s="2" t="str">
        <f ca="1">IFERROR(__xludf.DUMMYFUNCTION("""COMPUTED_VALUE"""),"Mother Iggy")</f>
        <v>Mother Iggy</v>
      </c>
    </row>
    <row r="8614" spans="1:3" x14ac:dyDescent="0.25">
      <c r="A8614" s="2" t="str">
        <f ca="1">IFERROR(__xludf.DUMMYFUNCTION("""COMPUTED_VALUE"""),"mother-of-memes")</f>
        <v>mother-of-memes</v>
      </c>
      <c r="B8614" s="2" t="str">
        <f ca="1">IFERROR(__xludf.DUMMYFUNCTION("""COMPUTED_VALUE"""),"mom")</f>
        <v>mom</v>
      </c>
      <c r="C8614" s="2" t="str">
        <f ca="1">IFERROR(__xludf.DUMMYFUNCTION("""COMPUTED_VALUE"""),"Mother of Memes")</f>
        <v>Mother of Memes</v>
      </c>
    </row>
    <row r="8615" spans="1:3" x14ac:dyDescent="0.25">
      <c r="A8615" s="2" t="str">
        <f ca="1">IFERROR(__xludf.DUMMYFUNCTION("""COMPUTED_VALUE"""),"mother-of-memes-2")</f>
        <v>mother-of-memes-2</v>
      </c>
      <c r="B8615" s="2" t="str">
        <f ca="1">IFERROR(__xludf.DUMMYFUNCTION("""COMPUTED_VALUE"""),"haha")</f>
        <v>haha</v>
      </c>
      <c r="C8615" s="2" t="str">
        <f ca="1">IFERROR(__xludf.DUMMYFUNCTION("""COMPUTED_VALUE"""),"Mother of Memes")</f>
        <v>Mother of Memes</v>
      </c>
    </row>
    <row r="8616" spans="1:3" x14ac:dyDescent="0.25">
      <c r="A8616" s="2" t="str">
        <f ca="1">IFERROR(__xludf.DUMMYFUNCTION("""COMPUTED_VALUE"""),"motion-2")</f>
        <v>motion-2</v>
      </c>
      <c r="B8616" s="2" t="str">
        <f ca="1">IFERROR(__xludf.DUMMYFUNCTION("""COMPUTED_VALUE"""),"motion")</f>
        <v>motion</v>
      </c>
      <c r="C8616" s="2" t="str">
        <f ca="1">IFERROR(__xludf.DUMMYFUNCTION("""COMPUTED_VALUE"""),"MOTION")</f>
        <v>MOTION</v>
      </c>
    </row>
    <row r="8617" spans="1:3" x14ac:dyDescent="0.25">
      <c r="A8617" s="2" t="str">
        <f ca="1">IFERROR(__xludf.DUMMYFUNCTION("""COMPUTED_VALUE"""),"motion-coin")</f>
        <v>motion-coin</v>
      </c>
      <c r="B8617" s="2" t="str">
        <f ca="1">IFERROR(__xludf.DUMMYFUNCTION("""COMPUTED_VALUE"""),"motion")</f>
        <v>motion</v>
      </c>
      <c r="C8617" s="2" t="str">
        <f ca="1">IFERROR(__xludf.DUMMYFUNCTION("""COMPUTED_VALUE"""),"Motion Coin")</f>
        <v>Motion Coin</v>
      </c>
    </row>
    <row r="8618" spans="1:3" x14ac:dyDescent="0.25">
      <c r="A8618" s="2" t="str">
        <f ca="1">IFERROR(__xludf.DUMMYFUNCTION("""COMPUTED_VALUE"""),"motion-motn")</f>
        <v>motion-motn</v>
      </c>
      <c r="B8618" s="2" t="str">
        <f ca="1">IFERROR(__xludf.DUMMYFUNCTION("""COMPUTED_VALUE"""),"motn")</f>
        <v>motn</v>
      </c>
      <c r="C8618" s="2" t="str">
        <f ca="1">IFERROR(__xludf.DUMMYFUNCTION("""COMPUTED_VALUE"""),"Motion Token")</f>
        <v>Motion Token</v>
      </c>
    </row>
    <row r="8619" spans="1:3" x14ac:dyDescent="0.25">
      <c r="A8619" s="2" t="str">
        <f ca="1">IFERROR(__xludf.DUMMYFUNCTION("""COMPUTED_VALUE"""),"moto")</f>
        <v>moto</v>
      </c>
      <c r="B8619" s="2" t="str">
        <f ca="1">IFERROR(__xludf.DUMMYFUNCTION("""COMPUTED_VALUE"""),"moto")</f>
        <v>moto</v>
      </c>
      <c r="C8619" s="2" t="str">
        <f ca="1">IFERROR(__xludf.DUMMYFUNCTION("""COMPUTED_VALUE"""),"MOTO")</f>
        <v>MOTO</v>
      </c>
    </row>
    <row r="8620" spans="1:3" x14ac:dyDescent="0.25">
      <c r="A8620" s="2" t="str">
        <f ca="1">IFERROR(__xludf.DUMMYFUNCTION("""COMPUTED_VALUE"""),"moto-dog")</f>
        <v>moto-dog</v>
      </c>
      <c r="B8620" s="2" t="str">
        <f ca="1">IFERROR(__xludf.DUMMYFUNCTION("""COMPUTED_VALUE"""),"tobi")</f>
        <v>tobi</v>
      </c>
      <c r="C8620" s="2" t="str">
        <f ca="1">IFERROR(__xludf.DUMMYFUNCTION("""COMPUTED_VALUE"""),"MOTO DOG")</f>
        <v>MOTO DOG</v>
      </c>
    </row>
    <row r="8621" spans="1:3" x14ac:dyDescent="0.25">
      <c r="A8621" s="2" t="str">
        <f ca="1">IFERROR(__xludf.DUMMYFUNCTION("""COMPUTED_VALUE"""),"motogp-fan-token")</f>
        <v>motogp-fan-token</v>
      </c>
      <c r="B8621" s="2" t="str">
        <f ca="1">IFERROR(__xludf.DUMMYFUNCTION("""COMPUTED_VALUE"""),"mgpt")</f>
        <v>mgpt</v>
      </c>
      <c r="C8621" s="2" t="str">
        <f ca="1">IFERROR(__xludf.DUMMYFUNCTION("""COMPUTED_VALUE"""),"MotoGP Fan Token")</f>
        <v>MotoGP Fan Token</v>
      </c>
    </row>
    <row r="8622" spans="1:3" x14ac:dyDescent="0.25">
      <c r="A8622" s="2" t="str">
        <f ca="1">IFERROR(__xludf.DUMMYFUNCTION("""COMPUTED_VALUE"""),"motorcoin")</f>
        <v>motorcoin</v>
      </c>
      <c r="B8622" s="2" t="str">
        <f ca="1">IFERROR(__xludf.DUMMYFUNCTION("""COMPUTED_VALUE"""),"mtrc")</f>
        <v>mtrc</v>
      </c>
      <c r="C8622" s="2" t="str">
        <f ca="1">IFERROR(__xludf.DUMMYFUNCTION("""COMPUTED_VALUE"""),"Motorcoin")</f>
        <v>Motorcoin</v>
      </c>
    </row>
    <row r="8623" spans="1:3" x14ac:dyDescent="0.25">
      <c r="A8623" s="2" t="str">
        <f ca="1">IFERROR(__xludf.DUMMYFUNCTION("""COMPUTED_VALUE"""),"mound-token")</f>
        <v>mound-token</v>
      </c>
      <c r="B8623" s="2" t="str">
        <f ca="1">IFERROR(__xludf.DUMMYFUNCTION("""COMPUTED_VALUE"""),"mnd")</f>
        <v>mnd</v>
      </c>
      <c r="C8623" s="2" t="str">
        <f ca="1">IFERROR(__xludf.DUMMYFUNCTION("""COMPUTED_VALUE"""),"Mound")</f>
        <v>Mound</v>
      </c>
    </row>
    <row r="8624" spans="1:3" x14ac:dyDescent="0.25">
      <c r="A8624" s="2" t="str">
        <f ca="1">IFERROR(__xludf.DUMMYFUNCTION("""COMPUTED_VALUE"""),"mountain-protocol-usdm")</f>
        <v>mountain-protocol-usdm</v>
      </c>
      <c r="B8624" s="2" t="str">
        <f ca="1">IFERROR(__xludf.DUMMYFUNCTION("""COMPUTED_VALUE"""),"usdm")</f>
        <v>usdm</v>
      </c>
      <c r="C8624" s="2" t="str">
        <f ca="1">IFERROR(__xludf.DUMMYFUNCTION("""COMPUTED_VALUE"""),"Mountain Protocol USD")</f>
        <v>Mountain Protocol USD</v>
      </c>
    </row>
    <row r="8625" spans="1:3" x14ac:dyDescent="0.25">
      <c r="A8625" s="2" t="str">
        <f ca="1">IFERROR(__xludf.DUMMYFUNCTION("""COMPUTED_VALUE"""),"mouse-in-a-cats-world")</f>
        <v>mouse-in-a-cats-world</v>
      </c>
      <c r="B8625" s="2" t="str">
        <f ca="1">IFERROR(__xludf.DUMMYFUNCTION("""COMPUTED_VALUE"""),"mow")</f>
        <v>mow</v>
      </c>
      <c r="C8625" s="2" t="str">
        <f ca="1">IFERROR(__xludf.DUMMYFUNCTION("""COMPUTED_VALUE"""),"mouse in a cats world")</f>
        <v>mouse in a cats world</v>
      </c>
    </row>
    <row r="8626" spans="1:3" x14ac:dyDescent="0.25">
      <c r="A8626" s="2" t="str">
        <f ca="1">IFERROR(__xludf.DUMMYFUNCTION("""COMPUTED_VALUE"""),"mouse-in-pasta")</f>
        <v>mouse-in-pasta</v>
      </c>
      <c r="B8626" s="2" t="str">
        <f ca="1">IFERROR(__xludf.DUMMYFUNCTION("""COMPUTED_VALUE"""),"stuck")</f>
        <v>stuck</v>
      </c>
      <c r="C8626" s="2" t="str">
        <f ca="1">IFERROR(__xludf.DUMMYFUNCTION("""COMPUTED_VALUE"""),"Mouse In Pasta")</f>
        <v>Mouse In Pasta</v>
      </c>
    </row>
    <row r="8627" spans="1:3" x14ac:dyDescent="0.25">
      <c r="A8627" s="2" t="str">
        <f ca="1">IFERROR(__xludf.DUMMYFUNCTION("""COMPUTED_VALUE"""),"moveapp")</f>
        <v>moveapp</v>
      </c>
      <c r="B8627" s="2" t="str">
        <f ca="1">IFERROR(__xludf.DUMMYFUNCTION("""COMPUTED_VALUE"""),"move")</f>
        <v>move</v>
      </c>
      <c r="C8627" s="2" t="str">
        <f ca="1">IFERROR(__xludf.DUMMYFUNCTION("""COMPUTED_VALUE"""),"MoveApp")</f>
        <v>MoveApp</v>
      </c>
    </row>
    <row r="8628" spans="1:3" x14ac:dyDescent="0.25">
      <c r="A8628" s="2" t="str">
        <f ca="1">IFERROR(__xludf.DUMMYFUNCTION("""COMPUTED_VALUE"""),"move-dollar")</f>
        <v>move-dollar</v>
      </c>
      <c r="B8628" s="2" t="str">
        <f ca="1">IFERROR(__xludf.DUMMYFUNCTION("""COMPUTED_VALUE"""),"mod")</f>
        <v>mod</v>
      </c>
      <c r="C8628" s="2" t="str">
        <f ca="1">IFERROR(__xludf.DUMMYFUNCTION("""COMPUTED_VALUE"""),"Move Dollar")</f>
        <v>Move Dollar</v>
      </c>
    </row>
    <row r="8629" spans="1:3" x14ac:dyDescent="0.25">
      <c r="A8629" s="2" t="str">
        <f ca="1">IFERROR(__xludf.DUMMYFUNCTION("""COMPUTED_VALUE"""),"movegpt")</f>
        <v>movegpt</v>
      </c>
      <c r="B8629" s="2" t="str">
        <f ca="1">IFERROR(__xludf.DUMMYFUNCTION("""COMPUTED_VALUE"""),"mgpt")</f>
        <v>mgpt</v>
      </c>
      <c r="C8629" s="2" t="str">
        <f ca="1">IFERROR(__xludf.DUMMYFUNCTION("""COMPUTED_VALUE"""),"MoveGPT")</f>
        <v>MoveGPT</v>
      </c>
    </row>
    <row r="8630" spans="1:3" x14ac:dyDescent="0.25">
      <c r="A8630" s="2" t="str">
        <f ca="1">IFERROR(__xludf.DUMMYFUNCTION("""COMPUTED_VALUE"""),"movement")</f>
        <v>movement</v>
      </c>
      <c r="B8630" s="2" t="str">
        <f ca="1">IFERROR(__xludf.DUMMYFUNCTION("""COMPUTED_VALUE"""),"move")</f>
        <v>move</v>
      </c>
      <c r="C8630" s="2" t="str">
        <f ca="1">IFERROR(__xludf.DUMMYFUNCTION("""COMPUTED_VALUE"""),"Movement")</f>
        <v>Movement</v>
      </c>
    </row>
    <row r="8631" spans="1:3" x14ac:dyDescent="0.25">
      <c r="A8631" s="2" t="str">
        <f ca="1">IFERROR(__xludf.DUMMYFUNCTION("""COMPUTED_VALUE"""),"movemovecoin")</f>
        <v>movemovecoin</v>
      </c>
      <c r="B8631" s="2" t="str">
        <f ca="1">IFERROR(__xludf.DUMMYFUNCTION("""COMPUTED_VALUE"""),"mmc")</f>
        <v>mmc</v>
      </c>
      <c r="C8631" s="2" t="str">
        <f ca="1">IFERROR(__xludf.DUMMYFUNCTION("""COMPUTED_VALUE"""),"MoveMoveCoin")</f>
        <v>MoveMoveCoin</v>
      </c>
    </row>
    <row r="8632" spans="1:3" x14ac:dyDescent="0.25">
      <c r="A8632" s="2" t="str">
        <f ca="1">IFERROR(__xludf.DUMMYFUNCTION("""COMPUTED_VALUE"""),"movepump")</f>
        <v>movepump</v>
      </c>
      <c r="B8632" s="2" t="str">
        <f ca="1">IFERROR(__xludf.DUMMYFUNCTION("""COMPUTED_VALUE"""),"movepump")</f>
        <v>movepump</v>
      </c>
      <c r="C8632" s="2" t="str">
        <f ca="1">IFERROR(__xludf.DUMMYFUNCTION("""COMPUTED_VALUE"""),"MovePump")</f>
        <v>MovePump</v>
      </c>
    </row>
    <row r="8633" spans="1:3" x14ac:dyDescent="0.25">
      <c r="A8633" s="2" t="str">
        <f ca="1">IFERROR(__xludf.DUMMYFUNCTION("""COMPUTED_VALUE"""),"movex-token")</f>
        <v>movex-token</v>
      </c>
      <c r="B8633" s="2" t="str">
        <f ca="1">IFERROR(__xludf.DUMMYFUNCTION("""COMPUTED_VALUE"""),"movex")</f>
        <v>movex</v>
      </c>
      <c r="C8633" s="2" t="str">
        <f ca="1">IFERROR(__xludf.DUMMYFUNCTION("""COMPUTED_VALUE"""),"Movex Token")</f>
        <v>Movex Token</v>
      </c>
    </row>
    <row r="8634" spans="1:3" x14ac:dyDescent="0.25">
      <c r="A8634" s="2" t="str">
        <f ca="1">IFERROR(__xludf.DUMMYFUNCTION("""COMPUTED_VALUE"""),"movez")</f>
        <v>movez</v>
      </c>
      <c r="B8634" s="2" t="str">
        <f ca="1">IFERROR(__xludf.DUMMYFUNCTION("""COMPUTED_VALUE"""),"movez")</f>
        <v>movez</v>
      </c>
      <c r="C8634" s="2" t="str">
        <f ca="1">IFERROR(__xludf.DUMMYFUNCTION("""COMPUTED_VALUE"""),"MoveZ")</f>
        <v>MoveZ</v>
      </c>
    </row>
    <row r="8635" spans="1:3" x14ac:dyDescent="0.25">
      <c r="A8635" s="2" t="str">
        <f ca="1">IFERROR(__xludf.DUMMYFUNCTION("""COMPUTED_VALUE"""),"moviebloc")</f>
        <v>moviebloc</v>
      </c>
      <c r="B8635" s="2" t="str">
        <f ca="1">IFERROR(__xludf.DUMMYFUNCTION("""COMPUTED_VALUE"""),"mbl")</f>
        <v>mbl</v>
      </c>
      <c r="C8635" s="2" t="str">
        <f ca="1">IFERROR(__xludf.DUMMYFUNCTION("""COMPUTED_VALUE"""),"MovieBloc")</f>
        <v>MovieBloc</v>
      </c>
    </row>
    <row r="8636" spans="1:3" x14ac:dyDescent="0.25">
      <c r="A8636" s="2" t="str">
        <f ca="1">IFERROR(__xludf.DUMMYFUNCTION("""COMPUTED_VALUE"""),"moxie")</f>
        <v>moxie</v>
      </c>
      <c r="B8636" s="2" t="str">
        <f ca="1">IFERROR(__xludf.DUMMYFUNCTION("""COMPUTED_VALUE"""),"moxie")</f>
        <v>moxie</v>
      </c>
      <c r="C8636" s="2" t="str">
        <f ca="1">IFERROR(__xludf.DUMMYFUNCTION("""COMPUTED_VALUE"""),"Moxie")</f>
        <v>Moxie</v>
      </c>
    </row>
    <row r="8637" spans="1:3" x14ac:dyDescent="0.25">
      <c r="A8637" s="2" t="str">
        <f ca="1">IFERROR(__xludf.DUMMYFUNCTION("""COMPUTED_VALUE"""),"mox-studio")</f>
        <v>mox-studio</v>
      </c>
      <c r="B8637" s="2" t="str">
        <f ca="1">IFERROR(__xludf.DUMMYFUNCTION("""COMPUTED_VALUE"""),"mox")</f>
        <v>mox</v>
      </c>
      <c r="C8637" s="2" t="str">
        <f ca="1">IFERROR(__xludf.DUMMYFUNCTION("""COMPUTED_VALUE"""),"Mox Studio")</f>
        <v>Mox Studio</v>
      </c>
    </row>
    <row r="8638" spans="1:3" x14ac:dyDescent="0.25">
      <c r="A8638" s="2" t="str">
        <f ca="1">IFERROR(__xludf.DUMMYFUNCTION("""COMPUTED_VALUE"""),"moya")</f>
        <v>moya</v>
      </c>
      <c r="B8638" s="2" t="str">
        <f ca="1">IFERROR(__xludf.DUMMYFUNCTION("""COMPUTED_VALUE"""),"moya")</f>
        <v>moya</v>
      </c>
      <c r="C8638" s="2" t="str">
        <f ca="1">IFERROR(__xludf.DUMMYFUNCTION("""COMPUTED_VALUE"""),"MOYA")</f>
        <v>MOYA</v>
      </c>
    </row>
    <row r="8639" spans="1:3" x14ac:dyDescent="0.25">
      <c r="A8639" s="2" t="str">
        <f ca="1">IFERROR(__xludf.DUMMYFUNCTION("""COMPUTED_VALUE"""),"mozaic")</f>
        <v>mozaic</v>
      </c>
      <c r="B8639" s="2" t="str">
        <f ca="1">IFERROR(__xludf.DUMMYFUNCTION("""COMPUTED_VALUE"""),"moz")</f>
        <v>moz</v>
      </c>
      <c r="C8639" s="2" t="str">
        <f ca="1">IFERROR(__xludf.DUMMYFUNCTION("""COMPUTED_VALUE"""),"Mozaic")</f>
        <v>Mozaic</v>
      </c>
    </row>
    <row r="8640" spans="1:3" x14ac:dyDescent="0.25">
      <c r="A8640" s="2" t="str">
        <f ca="1">IFERROR(__xludf.DUMMYFUNCTION("""COMPUTED_VALUE"""),"mozfire")</f>
        <v>mozfire</v>
      </c>
      <c r="B8640" s="2" t="str">
        <f ca="1">IFERROR(__xludf.DUMMYFUNCTION("""COMPUTED_VALUE"""),"moz")</f>
        <v>moz</v>
      </c>
      <c r="C8640" s="2" t="str">
        <f ca="1">IFERROR(__xludf.DUMMYFUNCTION("""COMPUTED_VALUE"""),"MOZFIRE")</f>
        <v>MOZFIRE</v>
      </c>
    </row>
    <row r="8641" spans="1:3" x14ac:dyDescent="0.25">
      <c r="A8641" s="2" t="str">
        <f ca="1">IFERROR(__xludf.DUMMYFUNCTION("""COMPUTED_VALUE"""),"mpaa")</f>
        <v>mpaa</v>
      </c>
      <c r="B8641" s="2" t="str">
        <f ca="1">IFERROR(__xludf.DUMMYFUNCTION("""COMPUTED_VALUE"""),"mpaa")</f>
        <v>mpaa</v>
      </c>
      <c r="C8641" s="2" t="str">
        <f ca="1">IFERROR(__xludf.DUMMYFUNCTION("""COMPUTED_VALUE"""),"MPAA")</f>
        <v>MPAA</v>
      </c>
    </row>
    <row r="8642" spans="1:3" x14ac:dyDescent="0.25">
      <c r="A8642" s="2" t="str">
        <f ca="1">IFERROR(__xludf.DUMMYFUNCTION("""COMPUTED_VALUE"""),"mpendle")</f>
        <v>mpendle</v>
      </c>
      <c r="B8642" s="2" t="str">
        <f ca="1">IFERROR(__xludf.DUMMYFUNCTION("""COMPUTED_VALUE"""),"mpendle")</f>
        <v>mpendle</v>
      </c>
      <c r="C8642" s="2" t="str">
        <f ca="1">IFERROR(__xludf.DUMMYFUNCTION("""COMPUTED_VALUE"""),"mPendle")</f>
        <v>mPendle</v>
      </c>
    </row>
    <row r="8643" spans="1:3" x14ac:dyDescent="0.25">
      <c r="A8643" s="2" t="str">
        <f ca="1">IFERROR(__xludf.DUMMYFUNCTION("""COMPUTED_VALUE"""),"mpeth")</f>
        <v>mpeth</v>
      </c>
      <c r="B8643" s="2" t="str">
        <f ca="1">IFERROR(__xludf.DUMMYFUNCTION("""COMPUTED_VALUE"""),"mpeth")</f>
        <v>mpeth</v>
      </c>
      <c r="C8643" s="2" t="str">
        <f ca="1">IFERROR(__xludf.DUMMYFUNCTION("""COMPUTED_VALUE"""),"mpETH")</f>
        <v>mpETH</v>
      </c>
    </row>
    <row r="8644" spans="1:3" x14ac:dyDescent="0.25">
      <c r="A8644" s="2" t="str">
        <f ca="1">IFERROR(__xludf.DUMMYFUNCTION("""COMPUTED_VALUE"""),"mpro-lab")</f>
        <v>mpro-lab</v>
      </c>
      <c r="B8644" s="2" t="str">
        <f ca="1">IFERROR(__xludf.DUMMYFUNCTION("""COMPUTED_VALUE"""),"mpro")</f>
        <v>mpro</v>
      </c>
      <c r="C8644" s="2" t="str">
        <f ca="1">IFERROR(__xludf.DUMMYFUNCTION("""COMPUTED_VALUE"""),"Metapro")</f>
        <v>Metapro</v>
      </c>
    </row>
    <row r="8645" spans="1:3" x14ac:dyDescent="0.25">
      <c r="A8645" s="2" t="str">
        <f ca="1">IFERROR(__xludf.DUMMYFUNCTION("""COMPUTED_VALUE"""),"mpx")</f>
        <v>mpx</v>
      </c>
      <c r="B8645" s="2" t="str">
        <f ca="1">IFERROR(__xludf.DUMMYFUNCTION("""COMPUTED_VALUE"""),"mpx")</f>
        <v>mpx</v>
      </c>
      <c r="C8645" s="2" t="str">
        <f ca="1">IFERROR(__xludf.DUMMYFUNCTION("""COMPUTED_VALUE"""),"Morphex")</f>
        <v>Morphex</v>
      </c>
    </row>
    <row r="8646" spans="1:3" x14ac:dyDescent="0.25">
      <c r="A8646" s="2" t="str">
        <f ca="1">IFERROR(__xludf.DUMMYFUNCTION("""COMPUTED_VALUE"""),"mr-beast-dog")</f>
        <v>mr-beast-dog</v>
      </c>
      <c r="B8646" s="2" t="str">
        <f ca="1">IFERROR(__xludf.DUMMYFUNCTION("""COMPUTED_VALUE"""),"pinky")</f>
        <v>pinky</v>
      </c>
      <c r="C8646" s="2" t="str">
        <f ca="1">IFERROR(__xludf.DUMMYFUNCTION("""COMPUTED_VALUE"""),"Mr.Beast Dog")</f>
        <v>Mr.Beast Dog</v>
      </c>
    </row>
    <row r="8647" spans="1:3" x14ac:dyDescent="0.25">
      <c r="A8647" s="2" t="str">
        <f ca="1">IFERROR(__xludf.DUMMYFUNCTION("""COMPUTED_VALUE"""),"mr-mint")</f>
        <v>mr-mint</v>
      </c>
      <c r="B8647" s="2" t="str">
        <f ca="1">IFERROR(__xludf.DUMMYFUNCTION("""COMPUTED_VALUE"""),"mnt")</f>
        <v>mnt</v>
      </c>
      <c r="C8647" s="2" t="str">
        <f ca="1">IFERROR(__xludf.DUMMYFUNCTION("""COMPUTED_VALUE"""),"Mr. Mint")</f>
        <v>Mr. Mint</v>
      </c>
    </row>
    <row r="8648" spans="1:3" x14ac:dyDescent="0.25">
      <c r="A8648" s="2" t="str">
        <f ca="1">IFERROR(__xludf.DUMMYFUNCTION("""COMPUTED_VALUE"""),"mrs-miggles")</f>
        <v>mrs-miggles</v>
      </c>
      <c r="B8648" s="2" t="str">
        <f ca="1">IFERROR(__xludf.DUMMYFUNCTION("""COMPUTED_VALUE"""),"mrsmiggles")</f>
        <v>mrsmiggles</v>
      </c>
      <c r="C8648" s="2" t="str">
        <f ca="1">IFERROR(__xludf.DUMMYFUNCTION("""COMPUTED_VALUE"""),"Mrs Miggles")</f>
        <v>Mrs Miggles</v>
      </c>
    </row>
    <row r="8649" spans="1:3" x14ac:dyDescent="0.25">
      <c r="A8649" s="2" t="str">
        <f ca="1">IFERROR(__xludf.DUMMYFUNCTION("""COMPUTED_VALUE"""),"mrweb-finance-2")</f>
        <v>mrweb-finance-2</v>
      </c>
      <c r="B8649" s="2" t="str">
        <f ca="1">IFERROR(__xludf.DUMMYFUNCTION("""COMPUTED_VALUE"""),"ama")</f>
        <v>ama</v>
      </c>
      <c r="C8649" s="2" t="str">
        <f ca="1">IFERROR(__xludf.DUMMYFUNCTION("""COMPUTED_VALUE"""),"MrWeb Finance")</f>
        <v>MrWeb Finance</v>
      </c>
    </row>
    <row r="8650" spans="1:3" x14ac:dyDescent="0.25">
      <c r="A8650" s="2" t="str">
        <f ca="1">IFERROR(__xludf.DUMMYFUNCTION("""COMPUTED_VALUE"""),"mr-west")</f>
        <v>mr-west</v>
      </c>
      <c r="B8650" s="2" t="str">
        <f ca="1">IFERROR(__xludf.DUMMYFUNCTION("""COMPUTED_VALUE"""),"ye")</f>
        <v>ye</v>
      </c>
      <c r="C8650" s="2" t="str">
        <f ca="1">IFERROR(__xludf.DUMMYFUNCTION("""COMPUTED_VALUE"""),"Mr West")</f>
        <v>Mr West</v>
      </c>
    </row>
    <row r="8651" spans="1:3" x14ac:dyDescent="0.25">
      <c r="A8651" s="2" t="str">
        <f ca="1">IFERROR(__xludf.DUMMYFUNCTION("""COMPUTED_VALUE"""),"mr-yen-japanese-businessman-runes")</f>
        <v>mr-yen-japanese-businessman-runes</v>
      </c>
      <c r="B8651" s="2" t="str">
        <f ca="1">IFERROR(__xludf.DUMMYFUNCTION("""COMPUTED_VALUE"""),"mryen")</f>
        <v>mryen</v>
      </c>
      <c r="C8651" s="2" t="str">
        <f ca="1">IFERROR(__xludf.DUMMYFUNCTION("""COMPUTED_VALUE"""),"MR•YEN•JAPANESE•BUSINESSMAN (Runes)")</f>
        <v>MR•YEN•JAPANESE•BUSINESSMAN (Runes)</v>
      </c>
    </row>
    <row r="8652" spans="1:3" x14ac:dyDescent="0.25">
      <c r="A8652" s="2" t="str">
        <f ca="1">IFERROR(__xludf.DUMMYFUNCTION("""COMPUTED_VALUE"""),"msol")</f>
        <v>msol</v>
      </c>
      <c r="B8652" s="2" t="str">
        <f ca="1">IFERROR(__xludf.DUMMYFUNCTION("""COMPUTED_VALUE"""),"msol")</f>
        <v>msol</v>
      </c>
      <c r="C8652" s="2" t="str">
        <f ca="1">IFERROR(__xludf.DUMMYFUNCTION("""COMPUTED_VALUE"""),"Marinade Staked SOL")</f>
        <v>Marinade Staked SOL</v>
      </c>
    </row>
    <row r="8653" spans="1:3" x14ac:dyDescent="0.25">
      <c r="A8653" s="2" t="str">
        <f ca="1">IFERROR(__xludf.DUMMYFUNCTION("""COMPUTED_VALUE"""),"ms-paint")</f>
        <v>ms-paint</v>
      </c>
      <c r="B8653" s="2" t="str">
        <f ca="1">IFERROR(__xludf.DUMMYFUNCTION("""COMPUTED_VALUE"""),"paint")</f>
        <v>paint</v>
      </c>
      <c r="C8653" s="2" t="str">
        <f ca="1">IFERROR(__xludf.DUMMYFUNCTION("""COMPUTED_VALUE"""),"MS Paint")</f>
        <v>MS Paint</v>
      </c>
    </row>
    <row r="8654" spans="1:3" x14ac:dyDescent="0.25">
      <c r="A8654" s="2" t="str">
        <f ca="1">IFERROR(__xludf.DUMMYFUNCTION("""COMPUTED_VALUE"""),"msq-cycle-burn")</f>
        <v>msq-cycle-burn</v>
      </c>
      <c r="B8654" s="2" t="str">
        <f ca="1">IFERROR(__xludf.DUMMYFUNCTION("""COMPUTED_VALUE"""),"burn")</f>
        <v>burn</v>
      </c>
      <c r="C8654" s="2" t="str">
        <f ca="1">IFERROR(__xludf.DUMMYFUNCTION("""COMPUTED_VALUE"""),"MSQ Cycle Burn")</f>
        <v>MSQ Cycle Burn</v>
      </c>
    </row>
    <row r="8655" spans="1:3" x14ac:dyDescent="0.25">
      <c r="A8655" s="2" t="str">
        <f ca="1">IFERROR(__xludf.DUMMYFUNCTION("""COMPUTED_VALUE"""),"msquare-global")</f>
        <v>msquare-global</v>
      </c>
      <c r="B8655" s="2" t="str">
        <f ca="1">IFERROR(__xludf.DUMMYFUNCTION("""COMPUTED_VALUE"""),"msq")</f>
        <v>msq</v>
      </c>
      <c r="C8655" s="2" t="str">
        <f ca="1">IFERROR(__xludf.DUMMYFUNCTION("""COMPUTED_VALUE"""),"MSquare Global")</f>
        <v>MSquare Global</v>
      </c>
    </row>
    <row r="8656" spans="1:3" x14ac:dyDescent="0.25">
      <c r="A8656" s="2" t="str">
        <f ca="1">IFERROR(__xludf.DUMMYFUNCTION("""COMPUTED_VALUE"""),"mstr2100")</f>
        <v>mstr2100</v>
      </c>
      <c r="B8656" s="2" t="str">
        <f ca="1">IFERROR(__xludf.DUMMYFUNCTION("""COMPUTED_VALUE"""),"mstr")</f>
        <v>mstr</v>
      </c>
      <c r="C8656" s="2" t="str">
        <f ca="1">IFERROR(__xludf.DUMMYFUNCTION("""COMPUTED_VALUE"""),"MSTR2100")</f>
        <v>MSTR2100</v>
      </c>
    </row>
    <row r="8657" spans="1:3" x14ac:dyDescent="0.25">
      <c r="A8657" s="2" t="str">
        <f ca="1">IFERROR(__xludf.DUMMYFUNCTION("""COMPUTED_VALUE"""),"mtfi")</f>
        <v>mtfi</v>
      </c>
      <c r="B8657" s="2" t="str">
        <f ca="1">IFERROR(__xludf.DUMMYFUNCTION("""COMPUTED_VALUE"""),"mtfi")</f>
        <v>mtfi</v>
      </c>
      <c r="C8657" s="2" t="str">
        <f ca="1">IFERROR(__xludf.DUMMYFUNCTION("""COMPUTED_VALUE"""),"MTFi")</f>
        <v>MTFi</v>
      </c>
    </row>
    <row r="8658" spans="1:3" x14ac:dyDescent="0.25">
      <c r="A8658" s="2" t="str">
        <f ca="1">IFERROR(__xludf.DUMMYFUNCTION("""COMPUTED_VALUE"""),"mtg-token")</f>
        <v>mtg-token</v>
      </c>
      <c r="B8658" s="2" t="str">
        <f ca="1">IFERROR(__xludf.DUMMYFUNCTION("""COMPUTED_VALUE"""),"mtg")</f>
        <v>mtg</v>
      </c>
      <c r="C8658" s="2" t="str">
        <f ca="1">IFERROR(__xludf.DUMMYFUNCTION("""COMPUTED_VALUE"""),"MTG Token")</f>
        <v>MTG Token</v>
      </c>
    </row>
    <row r="8659" spans="1:3" x14ac:dyDescent="0.25">
      <c r="A8659" s="2" t="str">
        <f ca="1">IFERROR(__xludf.DUMMYFUNCTION("""COMPUTED_VALUE"""),"mth-network")</f>
        <v>mth-network</v>
      </c>
      <c r="B8659" s="2" t="str">
        <f ca="1">IFERROR(__xludf.DUMMYFUNCTION("""COMPUTED_VALUE"""),"mthn")</f>
        <v>mthn</v>
      </c>
      <c r="C8659" s="2" t="str">
        <f ca="1">IFERROR(__xludf.DUMMYFUNCTION("""COMPUTED_VALUE"""),"MTH Network")</f>
        <v>MTH Network</v>
      </c>
    </row>
    <row r="8660" spans="1:3" x14ac:dyDescent="0.25">
      <c r="A8660" s="2" t="str">
        <f ca="1">IFERROR(__xludf.DUMMYFUNCTION("""COMPUTED_VALUE"""),"mtms-network")</f>
        <v>mtms-network</v>
      </c>
      <c r="B8660" s="2" t="str">
        <f ca="1">IFERROR(__xludf.DUMMYFUNCTION("""COMPUTED_VALUE"""),"mtms")</f>
        <v>mtms</v>
      </c>
      <c r="C8660" s="2" t="str">
        <f ca="1">IFERROR(__xludf.DUMMYFUNCTION("""COMPUTED_VALUE"""),"MTMS Network")</f>
        <v>MTMS Network</v>
      </c>
    </row>
    <row r="8661" spans="1:3" x14ac:dyDescent="0.25">
      <c r="A8661" s="2" t="str">
        <f ca="1">IFERROR(__xludf.DUMMYFUNCTION("""COMPUTED_VALUE"""),"mt-pelerin-shares")</f>
        <v>mt-pelerin-shares</v>
      </c>
      <c r="B8661" s="2" t="str">
        <f ca="1">IFERROR(__xludf.DUMMYFUNCTION("""COMPUTED_VALUE"""),"mps")</f>
        <v>mps</v>
      </c>
      <c r="C8661" s="2" t="str">
        <f ca="1">IFERROR(__xludf.DUMMYFUNCTION("""COMPUTED_VALUE"""),"Mt Pelerin Shares")</f>
        <v>Mt Pelerin Shares</v>
      </c>
    </row>
    <row r="8662" spans="1:3" x14ac:dyDescent="0.25">
      <c r="A8662" s="2" t="str">
        <f ca="1">IFERROR(__xludf.DUMMYFUNCTION("""COMPUTED_VALUE"""),"mt-token")</f>
        <v>mt-token</v>
      </c>
      <c r="B8662" s="2" t="str">
        <f ca="1">IFERROR(__xludf.DUMMYFUNCTION("""COMPUTED_VALUE"""),"mt")</f>
        <v>mt</v>
      </c>
      <c r="C8662" s="2" t="str">
        <f ca="1">IFERROR(__xludf.DUMMYFUNCTION("""COMPUTED_VALUE"""),"MT Tower")</f>
        <v>MT Tower</v>
      </c>
    </row>
    <row r="8663" spans="1:3" x14ac:dyDescent="0.25">
      <c r="A8663" s="2" t="str">
        <f ca="1">IFERROR(__xludf.DUMMYFUNCTION("""COMPUTED_VALUE"""),"mu-coin")</f>
        <v>mu-coin</v>
      </c>
      <c r="B8663" s="2" t="str">
        <f ca="1">IFERROR(__xludf.DUMMYFUNCTION("""COMPUTED_VALUE"""),"mu")</f>
        <v>mu</v>
      </c>
      <c r="C8663" s="2" t="str">
        <f ca="1">IFERROR(__xludf.DUMMYFUNCTION("""COMPUTED_VALUE"""),"Mu Coin")</f>
        <v>Mu Coin</v>
      </c>
    </row>
    <row r="8664" spans="1:3" x14ac:dyDescent="0.25">
      <c r="A8664" s="2" t="str">
        <f ca="1">IFERROR(__xludf.DUMMYFUNCTION("""COMPUTED_VALUE"""),"mudai")</f>
        <v>mudai</v>
      </c>
      <c r="B8664" s="2" t="str">
        <f ca="1">IFERROR(__xludf.DUMMYFUNCTION("""COMPUTED_VALUE"""),"mudai")</f>
        <v>mudai</v>
      </c>
      <c r="C8664" s="2" t="str">
        <f ca="1">IFERROR(__xludf.DUMMYFUNCTION("""COMPUTED_VALUE"""),"MudAi")</f>
        <v>MudAi</v>
      </c>
    </row>
    <row r="8665" spans="1:3" x14ac:dyDescent="0.25">
      <c r="A8665" s="2" t="str">
        <f ca="1">IFERROR(__xludf.DUMMYFUNCTION("""COMPUTED_VALUE"""),"muesliswap-milk")</f>
        <v>muesliswap-milk</v>
      </c>
      <c r="B8665" s="2" t="str">
        <f ca="1">IFERROR(__xludf.DUMMYFUNCTION("""COMPUTED_VALUE"""),"milk")</f>
        <v>milk</v>
      </c>
      <c r="C8665" s="2" t="str">
        <f ca="1">IFERROR(__xludf.DUMMYFUNCTION("""COMPUTED_VALUE"""),"MuesliSwap MILK")</f>
        <v>MuesliSwap MILK</v>
      </c>
    </row>
    <row r="8666" spans="1:3" x14ac:dyDescent="0.25">
      <c r="A8666" s="2" t="str">
        <f ca="1">IFERROR(__xludf.DUMMYFUNCTION("""COMPUTED_VALUE"""),"muesliswap-yield-token")</f>
        <v>muesliswap-yield-token</v>
      </c>
      <c r="B8666" s="2" t="str">
        <f ca="1">IFERROR(__xludf.DUMMYFUNCTION("""COMPUTED_VALUE"""),"myield")</f>
        <v>myield</v>
      </c>
      <c r="C8666" s="2" t="str">
        <f ca="1">IFERROR(__xludf.DUMMYFUNCTION("""COMPUTED_VALUE"""),"MuesliSwap Yield")</f>
        <v>MuesliSwap Yield</v>
      </c>
    </row>
    <row r="8667" spans="1:3" x14ac:dyDescent="0.25">
      <c r="A8667" s="2" t="str">
        <f ca="1">IFERROR(__xludf.DUMMYFUNCTION("""COMPUTED_VALUE"""),"muffin")</f>
        <v>muffin</v>
      </c>
      <c r="B8667" s="2" t="str">
        <f ca="1">IFERROR(__xludf.DUMMYFUNCTION("""COMPUTED_VALUE"""),"muffin")</f>
        <v>muffin</v>
      </c>
      <c r="C8667" s="2" t="str">
        <f ca="1">IFERROR(__xludf.DUMMYFUNCTION("""COMPUTED_VALUE"""),"Muffin")</f>
        <v>Muffin</v>
      </c>
    </row>
    <row r="8668" spans="1:3" x14ac:dyDescent="0.25">
      <c r="A8668" s="2" t="str">
        <f ca="1">IFERROR(__xludf.DUMMYFUNCTION("""COMPUTED_VALUE"""),"mugi")</f>
        <v>mugi</v>
      </c>
      <c r="B8668" s="2" t="str">
        <f ca="1">IFERROR(__xludf.DUMMYFUNCTION("""COMPUTED_VALUE"""),"mugi")</f>
        <v>mugi</v>
      </c>
      <c r="C8668" s="2" t="str">
        <f ca="1">IFERROR(__xludf.DUMMYFUNCTION("""COMPUTED_VALUE"""),"Mugi")</f>
        <v>Mugi</v>
      </c>
    </row>
    <row r="8669" spans="1:3" x14ac:dyDescent="0.25">
      <c r="A8669" s="2" t="str">
        <f ca="1">IFERROR(__xludf.DUMMYFUNCTION("""COMPUTED_VALUE"""),"muki")</f>
        <v>muki</v>
      </c>
      <c r="B8669" s="2" t="str">
        <f ca="1">IFERROR(__xludf.DUMMYFUNCTION("""COMPUTED_VALUE"""),"muki")</f>
        <v>muki</v>
      </c>
      <c r="C8669" s="2" t="str">
        <f ca="1">IFERROR(__xludf.DUMMYFUNCTION("""COMPUTED_VALUE"""),"MUKI")</f>
        <v>MUKI</v>
      </c>
    </row>
    <row r="8670" spans="1:3" x14ac:dyDescent="0.25">
      <c r="A8670" s="2" t="str">
        <f ca="1">IFERROR(__xludf.DUMMYFUNCTION("""COMPUTED_VALUE"""),"mulitchain-bridged-wbtc-moonbeam")</f>
        <v>mulitchain-bridged-wbtc-moonbeam</v>
      </c>
      <c r="B8670" s="2" t="str">
        <f ca="1">IFERROR(__xludf.DUMMYFUNCTION("""COMPUTED_VALUE"""),"wbtc")</f>
        <v>wbtc</v>
      </c>
      <c r="C8670" s="2" t="str">
        <f ca="1">IFERROR(__xludf.DUMMYFUNCTION("""COMPUTED_VALUE"""),"Mulitchain Bridged WBTC (Moonbeam)")</f>
        <v>Mulitchain Bridged WBTC (Moonbeam)</v>
      </c>
    </row>
    <row r="8671" spans="1:3" x14ac:dyDescent="0.25">
      <c r="A8671" s="2" t="str">
        <f ca="1">IFERROR(__xludf.DUMMYFUNCTION("""COMPUTED_VALUE"""),"mullenarmy")</f>
        <v>mullenarmy</v>
      </c>
      <c r="B8671" s="2" t="str">
        <f ca="1">IFERROR(__xludf.DUMMYFUNCTION("""COMPUTED_VALUE"""),"muln")</f>
        <v>muln</v>
      </c>
      <c r="C8671" s="2" t="str">
        <f ca="1">IFERROR(__xludf.DUMMYFUNCTION("""COMPUTED_VALUE"""),"MullenArmy")</f>
        <v>MullenArmy</v>
      </c>
    </row>
    <row r="8672" spans="1:3" x14ac:dyDescent="0.25">
      <c r="A8672" s="2" t="str">
        <f ca="1">IFERROR(__xludf.DUMMYFUNCTION("""COMPUTED_VALUE"""),"multi-ai")</f>
        <v>multi-ai</v>
      </c>
      <c r="B8672" s="2" t="str">
        <f ca="1">IFERROR(__xludf.DUMMYFUNCTION("""COMPUTED_VALUE"""),"mai")</f>
        <v>mai</v>
      </c>
      <c r="C8672" s="2" t="str">
        <f ca="1">IFERROR(__xludf.DUMMYFUNCTION("""COMPUTED_VALUE"""),"Multi AI")</f>
        <v>Multi AI</v>
      </c>
    </row>
    <row r="8673" spans="1:3" x14ac:dyDescent="0.25">
      <c r="A8673" s="2" t="str">
        <f ca="1">IFERROR(__xludf.DUMMYFUNCTION("""COMPUTED_VALUE"""),"multibit")</f>
        <v>multibit</v>
      </c>
      <c r="B8673" s="2" t="str">
        <f ca="1">IFERROR(__xludf.DUMMYFUNCTION("""COMPUTED_VALUE"""),"mubi")</f>
        <v>mubi</v>
      </c>
      <c r="C8673" s="2" t="str">
        <f ca="1">IFERROR(__xludf.DUMMYFUNCTION("""COMPUTED_VALUE"""),"Multibit")</f>
        <v>Multibit</v>
      </c>
    </row>
    <row r="8674" spans="1:3" x14ac:dyDescent="0.25">
      <c r="A8674" s="2" t="str">
        <f ca="1">IFERROR(__xludf.DUMMYFUNCTION("""COMPUTED_VALUE"""),"multichain")</f>
        <v>multichain</v>
      </c>
      <c r="B8674" s="2" t="str">
        <f ca="1">IFERROR(__xludf.DUMMYFUNCTION("""COMPUTED_VALUE"""),"multi")</f>
        <v>multi</v>
      </c>
      <c r="C8674" s="2" t="str">
        <f ca="1">IFERROR(__xludf.DUMMYFUNCTION("""COMPUTED_VALUE"""),"Multichain")</f>
        <v>Multichain</v>
      </c>
    </row>
    <row r="8675" spans="1:3" x14ac:dyDescent="0.25">
      <c r="A8675" s="2" t="str">
        <f ca="1">IFERROR(__xludf.DUMMYFUNCTION("""COMPUTED_VALUE"""),"multichain-bridged-busd-moonriver")</f>
        <v>multichain-bridged-busd-moonriver</v>
      </c>
      <c r="B8675" s="2" t="str">
        <f ca="1">IFERROR(__xludf.DUMMYFUNCTION("""COMPUTED_VALUE"""),"busd")</f>
        <v>busd</v>
      </c>
      <c r="C8675" s="2" t="str">
        <f ca="1">IFERROR(__xludf.DUMMYFUNCTION("""COMPUTED_VALUE"""),"Multichain Bridged BUSD (Moonriver)")</f>
        <v>Multichain Bridged BUSD (Moonriver)</v>
      </c>
    </row>
    <row r="8676" spans="1:3" x14ac:dyDescent="0.25">
      <c r="A8676" s="2" t="str">
        <f ca="1">IFERROR(__xludf.DUMMYFUNCTION("""COMPUTED_VALUE"""),"multichain-bridged-dai-energi")</f>
        <v>multichain-bridged-dai-energi</v>
      </c>
      <c r="B8676" s="2" t="str">
        <f ca="1">IFERROR(__xludf.DUMMYFUNCTION("""COMPUTED_VALUE"""),"dai")</f>
        <v>dai</v>
      </c>
      <c r="C8676" s="2" t="str">
        <f ca="1">IFERROR(__xludf.DUMMYFUNCTION("""COMPUTED_VALUE"""),"Multichain Bridged DAI (Energi)")</f>
        <v>Multichain Bridged DAI (Energi)</v>
      </c>
    </row>
    <row r="8677" spans="1:3" x14ac:dyDescent="0.25">
      <c r="A8677" s="2" t="str">
        <f ca="1">IFERROR(__xludf.DUMMYFUNCTION("""COMPUTED_VALUE"""),"multichain-bridged-dai-fantom")</f>
        <v>multichain-bridged-dai-fantom</v>
      </c>
      <c r="B8677" s="2" t="str">
        <f ca="1">IFERROR(__xludf.DUMMYFUNCTION("""COMPUTED_VALUE"""),"dai")</f>
        <v>dai</v>
      </c>
      <c r="C8677" s="2" t="str">
        <f ca="1">IFERROR(__xludf.DUMMYFUNCTION("""COMPUTED_VALUE"""),"Multichain Bridged DAI (Fantom)")</f>
        <v>Multichain Bridged DAI (Fantom)</v>
      </c>
    </row>
    <row r="8678" spans="1:3" x14ac:dyDescent="0.25">
      <c r="A8678" s="2" t="str">
        <f ca="1">IFERROR(__xludf.DUMMYFUNCTION("""COMPUTED_VALUE"""),"multichain-bridged-dai-kava")</f>
        <v>multichain-bridged-dai-kava</v>
      </c>
      <c r="B8678" s="2" t="str">
        <f ca="1">IFERROR(__xludf.DUMMYFUNCTION("""COMPUTED_VALUE"""),"dai")</f>
        <v>dai</v>
      </c>
      <c r="C8678" s="2" t="str">
        <f ca="1">IFERROR(__xludf.DUMMYFUNCTION("""COMPUTED_VALUE"""),"Multichain Bridged DAI (Kava)")</f>
        <v>Multichain Bridged DAI (Kava)</v>
      </c>
    </row>
    <row r="8679" spans="1:3" x14ac:dyDescent="0.25">
      <c r="A8679" s="2" t="str">
        <f ca="1">IFERROR(__xludf.DUMMYFUNCTION("""COMPUTED_VALUE"""),"multichain-bridged-dai-moonbeam")</f>
        <v>multichain-bridged-dai-moonbeam</v>
      </c>
      <c r="B8679" s="2" t="str">
        <f ca="1">IFERROR(__xludf.DUMMYFUNCTION("""COMPUTED_VALUE"""),"dai")</f>
        <v>dai</v>
      </c>
      <c r="C8679" s="2" t="str">
        <f ca="1">IFERROR(__xludf.DUMMYFUNCTION("""COMPUTED_VALUE"""),"Multichain Bridged DAI (Moonbeam)")</f>
        <v>Multichain Bridged DAI (Moonbeam)</v>
      </c>
    </row>
    <row r="8680" spans="1:3" x14ac:dyDescent="0.25">
      <c r="A8680" s="2" t="str">
        <f ca="1">IFERROR(__xludf.DUMMYFUNCTION("""COMPUTED_VALUE"""),"multichain-bridged-dai-moonriver")</f>
        <v>multichain-bridged-dai-moonriver</v>
      </c>
      <c r="B8680" s="2" t="str">
        <f ca="1">IFERROR(__xludf.DUMMYFUNCTION("""COMPUTED_VALUE"""),"dai")</f>
        <v>dai</v>
      </c>
      <c r="C8680" s="2" t="str">
        <f ca="1">IFERROR(__xludf.DUMMYFUNCTION("""COMPUTED_VALUE"""),"Multichain Bridged DAI (Moonriver)")</f>
        <v>Multichain Bridged DAI (Moonriver)</v>
      </c>
    </row>
    <row r="8681" spans="1:3" x14ac:dyDescent="0.25">
      <c r="A8681" s="2" t="str">
        <f ca="1">IFERROR(__xludf.DUMMYFUNCTION("""COMPUTED_VALUE"""),"multichain-bridged-dai-syscoin-nevm")</f>
        <v>multichain-bridged-dai-syscoin-nevm</v>
      </c>
      <c r="B8681" s="2" t="str">
        <f ca="1">IFERROR(__xludf.DUMMYFUNCTION("""COMPUTED_VALUE"""),"dai")</f>
        <v>dai</v>
      </c>
      <c r="C8681" s="2" t="str">
        <f ca="1">IFERROR(__xludf.DUMMYFUNCTION("""COMPUTED_VALUE"""),"Multichain Bridged DAI (Syscoin NEVM)")</f>
        <v>Multichain Bridged DAI (Syscoin NEVM)</v>
      </c>
    </row>
    <row r="8682" spans="1:3" x14ac:dyDescent="0.25">
      <c r="A8682" s="2" t="str">
        <f ca="1">IFERROR(__xludf.DUMMYFUNCTION("""COMPUTED_VALUE"""),"multichain-bridged-usdc-dogechain")</f>
        <v>multichain-bridged-usdc-dogechain</v>
      </c>
      <c r="B8682" s="2" t="str">
        <f ca="1">IFERROR(__xludf.DUMMYFUNCTION("""COMPUTED_VALUE"""),"usdc")</f>
        <v>usdc</v>
      </c>
      <c r="C8682" s="2" t="str">
        <f ca="1">IFERROR(__xludf.DUMMYFUNCTION("""COMPUTED_VALUE"""),"Multichain Bridged USDC (Dogechain)")</f>
        <v>Multichain Bridged USDC (Dogechain)</v>
      </c>
    </row>
    <row r="8683" spans="1:3" x14ac:dyDescent="0.25">
      <c r="A8683" s="2" t="str">
        <f ca="1">IFERROR(__xludf.DUMMYFUNCTION("""COMPUTED_VALUE"""),"multichain-bridged-usdc-fantom")</f>
        <v>multichain-bridged-usdc-fantom</v>
      </c>
      <c r="B8683" s="2" t="str">
        <f ca="1">IFERROR(__xludf.DUMMYFUNCTION("""COMPUTED_VALUE"""),"usdc")</f>
        <v>usdc</v>
      </c>
      <c r="C8683" s="2" t="str">
        <f ca="1">IFERROR(__xludf.DUMMYFUNCTION("""COMPUTED_VALUE"""),"Multichain Bridged USDC (Fantom)")</f>
        <v>Multichain Bridged USDC (Fantom)</v>
      </c>
    </row>
    <row r="8684" spans="1:3" x14ac:dyDescent="0.25">
      <c r="A8684" s="2" t="str">
        <f ca="1">IFERROR(__xludf.DUMMYFUNCTION("""COMPUTED_VALUE"""),"multichain-bridged-usdc-kardiachain")</f>
        <v>multichain-bridged-usdc-kardiachain</v>
      </c>
      <c r="B8684" s="2" t="str">
        <f ca="1">IFERROR(__xludf.DUMMYFUNCTION("""COMPUTED_VALUE"""),"usdc")</f>
        <v>usdc</v>
      </c>
      <c r="C8684" s="2" t="str">
        <f ca="1">IFERROR(__xludf.DUMMYFUNCTION("""COMPUTED_VALUE"""),"Multichain Bridged USDC (KardiaChain)")</f>
        <v>Multichain Bridged USDC (KardiaChain)</v>
      </c>
    </row>
    <row r="8685" spans="1:3" x14ac:dyDescent="0.25">
      <c r="A8685" s="2" t="str">
        <f ca="1">IFERROR(__xludf.DUMMYFUNCTION("""COMPUTED_VALUE"""),"multichain-bridged-usdc-kava")</f>
        <v>multichain-bridged-usdc-kava</v>
      </c>
      <c r="B8685" s="2" t="str">
        <f ca="1">IFERROR(__xludf.DUMMYFUNCTION("""COMPUTED_VALUE"""),"usdc")</f>
        <v>usdc</v>
      </c>
      <c r="C8685" s="2" t="str">
        <f ca="1">IFERROR(__xludf.DUMMYFUNCTION("""COMPUTED_VALUE"""),"Multichain Bridged USDC (Kava)")</f>
        <v>Multichain Bridged USDC (Kava)</v>
      </c>
    </row>
    <row r="8686" spans="1:3" x14ac:dyDescent="0.25">
      <c r="A8686" s="2" t="str">
        <f ca="1">IFERROR(__xludf.DUMMYFUNCTION("""COMPUTED_VALUE"""),"multichain-bridged-usdc-moonbeam")</f>
        <v>multichain-bridged-usdc-moonbeam</v>
      </c>
      <c r="B8686" s="2" t="str">
        <f ca="1">IFERROR(__xludf.DUMMYFUNCTION("""COMPUTED_VALUE"""),"usdc")</f>
        <v>usdc</v>
      </c>
      <c r="C8686" s="2" t="str">
        <f ca="1">IFERROR(__xludf.DUMMYFUNCTION("""COMPUTED_VALUE"""),"Multichain Bridged USDC (Moonbeam)")</f>
        <v>Multichain Bridged USDC (Moonbeam)</v>
      </c>
    </row>
    <row r="8687" spans="1:3" x14ac:dyDescent="0.25">
      <c r="A8687" s="2" t="str">
        <f ca="1">IFERROR(__xludf.DUMMYFUNCTION("""COMPUTED_VALUE"""),"multichain-bridged-usdc-syscoin")</f>
        <v>multichain-bridged-usdc-syscoin</v>
      </c>
      <c r="B8687" s="2" t="str">
        <f ca="1">IFERROR(__xludf.DUMMYFUNCTION("""COMPUTED_VALUE"""),"usdc")</f>
        <v>usdc</v>
      </c>
      <c r="C8687" s="2" t="str">
        <f ca="1">IFERROR(__xludf.DUMMYFUNCTION("""COMPUTED_VALUE"""),"Multichain Bridged USDC (Syscoin)")</f>
        <v>Multichain Bridged USDC (Syscoin)</v>
      </c>
    </row>
    <row r="8688" spans="1:3" x14ac:dyDescent="0.25">
      <c r="A8688" s="2" t="str">
        <f ca="1">IFERROR(__xludf.DUMMYFUNCTION("""COMPUTED_VALUE"""),"multichain-bridged-usdc-telos")</f>
        <v>multichain-bridged-usdc-telos</v>
      </c>
      <c r="B8688" s="2" t="str">
        <f ca="1">IFERROR(__xludf.DUMMYFUNCTION("""COMPUTED_VALUE"""),"usdc")</f>
        <v>usdc</v>
      </c>
      <c r="C8688" s="2" t="str">
        <f ca="1">IFERROR(__xludf.DUMMYFUNCTION("""COMPUTED_VALUE"""),"Multichain Bridged USDC (Telos)")</f>
        <v>Multichain Bridged USDC (Telos)</v>
      </c>
    </row>
    <row r="8689" spans="1:3" x14ac:dyDescent="0.25">
      <c r="A8689" s="2" t="str">
        <f ca="1">IFERROR(__xludf.DUMMYFUNCTION("""COMPUTED_VALUE"""),"multichain-bridged-usdt-bittorrent")</f>
        <v>multichain-bridged-usdt-bittorrent</v>
      </c>
      <c r="B8689" s="2" t="str">
        <f ca="1">IFERROR(__xludf.DUMMYFUNCTION("""COMPUTED_VALUE"""),"usdt_t")</f>
        <v>usdt_t</v>
      </c>
      <c r="C8689" s="2" t="str">
        <f ca="1">IFERROR(__xludf.DUMMYFUNCTION("""COMPUTED_VALUE"""),"Multichain Bridged USDT (BitTorrent)")</f>
        <v>Multichain Bridged USDT (BitTorrent)</v>
      </c>
    </row>
    <row r="8690" spans="1:3" x14ac:dyDescent="0.25">
      <c r="A8690" s="2" t="str">
        <f ca="1">IFERROR(__xludf.DUMMYFUNCTION("""COMPUTED_VALUE"""),"multichain-bridged-usdt-syscoin")</f>
        <v>multichain-bridged-usdt-syscoin</v>
      </c>
      <c r="B8690" s="2" t="str">
        <f ca="1">IFERROR(__xludf.DUMMYFUNCTION("""COMPUTED_VALUE"""),"usdt")</f>
        <v>usdt</v>
      </c>
      <c r="C8690" s="2" t="str">
        <f ca="1">IFERROR(__xludf.DUMMYFUNCTION("""COMPUTED_VALUE"""),"Multichain Bridged USDT (Syscoin)")</f>
        <v>Multichain Bridged USDT (Syscoin)</v>
      </c>
    </row>
    <row r="8691" spans="1:3" x14ac:dyDescent="0.25">
      <c r="A8691" s="2" t="str">
        <f ca="1">IFERROR(__xludf.DUMMYFUNCTION("""COMPUTED_VALUE"""),"multichain-bridged-wbtc-energi")</f>
        <v>multichain-bridged-wbtc-energi</v>
      </c>
      <c r="B8691" s="2" t="str">
        <f ca="1">IFERROR(__xludf.DUMMYFUNCTION("""COMPUTED_VALUE"""),"wbtc")</f>
        <v>wbtc</v>
      </c>
      <c r="C8691" s="2" t="str">
        <f ca="1">IFERROR(__xludf.DUMMYFUNCTION("""COMPUTED_VALUE"""),"Multichain Bridged WBTC (Energi)")</f>
        <v>Multichain Bridged WBTC (Energi)</v>
      </c>
    </row>
    <row r="8692" spans="1:3" x14ac:dyDescent="0.25">
      <c r="A8692" s="2" t="str">
        <f ca="1">IFERROR(__xludf.DUMMYFUNCTION("""COMPUTED_VALUE"""),"multichain-bridged-wbtc-kava")</f>
        <v>multichain-bridged-wbtc-kava</v>
      </c>
      <c r="B8692" s="2" t="str">
        <f ca="1">IFERROR(__xludf.DUMMYFUNCTION("""COMPUTED_VALUE"""),"wbtc")</f>
        <v>wbtc</v>
      </c>
      <c r="C8692" s="2" t="str">
        <f ca="1">IFERROR(__xludf.DUMMYFUNCTION("""COMPUTED_VALUE"""),"Multichain Bridged WBTC (Kava)")</f>
        <v>Multichain Bridged WBTC (Kava)</v>
      </c>
    </row>
    <row r="8693" spans="1:3" x14ac:dyDescent="0.25">
      <c r="A8693" s="2" t="str">
        <f ca="1">IFERROR(__xludf.DUMMYFUNCTION("""COMPUTED_VALUE"""),"multichain-bridged-wbtc-milkomeda")</f>
        <v>multichain-bridged-wbtc-milkomeda</v>
      </c>
      <c r="B8693" s="2" t="str">
        <f ca="1">IFERROR(__xludf.DUMMYFUNCTION("""COMPUTED_VALUE"""),"wbtc")</f>
        <v>wbtc</v>
      </c>
      <c r="C8693" s="2" t="str">
        <f ca="1">IFERROR(__xludf.DUMMYFUNCTION("""COMPUTED_VALUE"""),"Multichain Bridged WBTC (Milkomeda)")</f>
        <v>Multichain Bridged WBTC (Milkomeda)</v>
      </c>
    </row>
    <row r="8694" spans="1:3" x14ac:dyDescent="0.25">
      <c r="A8694" s="2" t="str">
        <f ca="1">IFERROR(__xludf.DUMMYFUNCTION("""COMPUTED_VALUE"""),"multichain-bridged-wbtc-moonriver")</f>
        <v>multichain-bridged-wbtc-moonriver</v>
      </c>
      <c r="B8694" s="2" t="str">
        <f ca="1">IFERROR(__xludf.DUMMYFUNCTION("""COMPUTED_VALUE"""),"wbtc")</f>
        <v>wbtc</v>
      </c>
      <c r="C8694" s="2" t="str">
        <f ca="1">IFERROR(__xludf.DUMMYFUNCTION("""COMPUTED_VALUE"""),"Multichain Bridged WBTC (Moonriver)")</f>
        <v>Multichain Bridged WBTC (Moonriver)</v>
      </c>
    </row>
    <row r="8695" spans="1:3" x14ac:dyDescent="0.25">
      <c r="A8695" s="2" t="str">
        <f ca="1">IFERROR(__xludf.DUMMYFUNCTION("""COMPUTED_VALUE"""),"multichain-bridged-wbtc-syscoin-nevm")</f>
        <v>multichain-bridged-wbtc-syscoin-nevm</v>
      </c>
      <c r="B8695" s="2" t="str">
        <f ca="1">IFERROR(__xludf.DUMMYFUNCTION("""COMPUTED_VALUE"""),"wbtc")</f>
        <v>wbtc</v>
      </c>
      <c r="C8695" s="2" t="str">
        <f ca="1">IFERROR(__xludf.DUMMYFUNCTION("""COMPUTED_VALUE"""),"Multichain Bridged WBTC (Syscoin NEVM)")</f>
        <v>Multichain Bridged WBTC (Syscoin NEVM)</v>
      </c>
    </row>
    <row r="8696" spans="1:3" x14ac:dyDescent="0.25">
      <c r="A8696" s="2" t="str">
        <f ca="1">IFERROR(__xludf.DUMMYFUNCTION("""COMPUTED_VALUE"""),"multichain-bridged-wbtc-telos")</f>
        <v>multichain-bridged-wbtc-telos</v>
      </c>
      <c r="B8696" s="2" t="str">
        <f ca="1">IFERROR(__xludf.DUMMYFUNCTION("""COMPUTED_VALUE"""),"wbtc")</f>
        <v>wbtc</v>
      </c>
      <c r="C8696" s="2" t="str">
        <f ca="1">IFERROR(__xludf.DUMMYFUNCTION("""COMPUTED_VALUE"""),"Multichain Bridged WBTC (Telos)")</f>
        <v>Multichain Bridged WBTC (Telos)</v>
      </c>
    </row>
    <row r="8697" spans="1:3" x14ac:dyDescent="0.25">
      <c r="A8697" s="2" t="str">
        <f ca="1">IFERROR(__xludf.DUMMYFUNCTION("""COMPUTED_VALUE"""),"multichain-bridged-weth-dogechain")</f>
        <v>multichain-bridged-weth-dogechain</v>
      </c>
      <c r="B8697" s="2" t="str">
        <f ca="1">IFERROR(__xludf.DUMMYFUNCTION("""COMPUTED_VALUE"""),"weth")</f>
        <v>weth</v>
      </c>
      <c r="C8697" s="2" t="str">
        <f ca="1">IFERROR(__xludf.DUMMYFUNCTION("""COMPUTED_VALUE"""),"Multichain Bridged WETH (Dogechain)")</f>
        <v>Multichain Bridged WETH (Dogechain)</v>
      </c>
    </row>
    <row r="8698" spans="1:3" x14ac:dyDescent="0.25">
      <c r="A8698" s="2" t="str">
        <f ca="1">IFERROR(__xludf.DUMMYFUNCTION("""COMPUTED_VALUE"""),"multichain-bridged-weth-energi")</f>
        <v>multichain-bridged-weth-energi</v>
      </c>
      <c r="B8698" s="2" t="str">
        <f ca="1">IFERROR(__xludf.DUMMYFUNCTION("""COMPUTED_VALUE"""),"weth")</f>
        <v>weth</v>
      </c>
      <c r="C8698" s="2" t="str">
        <f ca="1">IFERROR(__xludf.DUMMYFUNCTION("""COMPUTED_VALUE"""),"Multichain Bridged WETH (Energi)")</f>
        <v>Multichain Bridged WETH (Energi)</v>
      </c>
    </row>
    <row r="8699" spans="1:3" x14ac:dyDescent="0.25">
      <c r="A8699" s="2" t="str">
        <f ca="1">IFERROR(__xludf.DUMMYFUNCTION("""COMPUTED_VALUE"""),"multichain-bridged-weth-fantom")</f>
        <v>multichain-bridged-weth-fantom</v>
      </c>
      <c r="B8699" s="2" t="str">
        <f ca="1">IFERROR(__xludf.DUMMYFUNCTION("""COMPUTED_VALUE"""),"weth")</f>
        <v>weth</v>
      </c>
      <c r="C8699" s="2" t="str">
        <f ca="1">IFERROR(__xludf.DUMMYFUNCTION("""COMPUTED_VALUE"""),"Multichain Bridged WETH (Fantom)")</f>
        <v>Multichain Bridged WETH (Fantom)</v>
      </c>
    </row>
    <row r="8700" spans="1:3" x14ac:dyDescent="0.25">
      <c r="A8700" s="2" t="str">
        <f ca="1">IFERROR(__xludf.DUMMYFUNCTION("""COMPUTED_VALUE"""),"multichain-bridged-weth-kava")</f>
        <v>multichain-bridged-weth-kava</v>
      </c>
      <c r="B8700" s="2" t="str">
        <f ca="1">IFERROR(__xludf.DUMMYFUNCTION("""COMPUTED_VALUE"""),"weth")</f>
        <v>weth</v>
      </c>
      <c r="C8700" s="2" t="str">
        <f ca="1">IFERROR(__xludf.DUMMYFUNCTION("""COMPUTED_VALUE"""),"Multichain Bridged WETH (Kava)")</f>
        <v>Multichain Bridged WETH (Kava)</v>
      </c>
    </row>
    <row r="8701" spans="1:3" x14ac:dyDescent="0.25">
      <c r="A8701" s="2" t="str">
        <f ca="1">IFERROR(__xludf.DUMMYFUNCTION("""COMPUTED_VALUE"""),"multichain-bridged-weth-moonbeam")</f>
        <v>multichain-bridged-weth-moonbeam</v>
      </c>
      <c r="B8701" s="2" t="str">
        <f ca="1">IFERROR(__xludf.DUMMYFUNCTION("""COMPUTED_VALUE"""),"weth")</f>
        <v>weth</v>
      </c>
      <c r="C8701" s="2" t="str">
        <f ca="1">IFERROR(__xludf.DUMMYFUNCTION("""COMPUTED_VALUE"""),"Multichain Bridged WETH (Moonbeam)")</f>
        <v>Multichain Bridged WETH (Moonbeam)</v>
      </c>
    </row>
    <row r="8702" spans="1:3" x14ac:dyDescent="0.25">
      <c r="A8702" s="2" t="str">
        <f ca="1">IFERROR(__xludf.DUMMYFUNCTION("""COMPUTED_VALUE"""),"multichain-bridged-weth-moonriver")</f>
        <v>multichain-bridged-weth-moonriver</v>
      </c>
      <c r="B8702" s="2" t="str">
        <f ca="1">IFERROR(__xludf.DUMMYFUNCTION("""COMPUTED_VALUE"""),"weth")</f>
        <v>weth</v>
      </c>
      <c r="C8702" s="2" t="str">
        <f ca="1">IFERROR(__xludf.DUMMYFUNCTION("""COMPUTED_VALUE"""),"Multichain Bridged WETH (Moonriver)")</f>
        <v>Multichain Bridged WETH (Moonriver)</v>
      </c>
    </row>
    <row r="8703" spans="1:3" x14ac:dyDescent="0.25">
      <c r="A8703" s="2" t="str">
        <f ca="1">IFERROR(__xludf.DUMMYFUNCTION("""COMPUTED_VALUE"""),"multichain-bridged-weth-syscoin-nevm")</f>
        <v>multichain-bridged-weth-syscoin-nevm</v>
      </c>
      <c r="B8703" s="2" t="str">
        <f ca="1">IFERROR(__xludf.DUMMYFUNCTION("""COMPUTED_VALUE"""),"weth")</f>
        <v>weth</v>
      </c>
      <c r="C8703" s="2" t="str">
        <f ca="1">IFERROR(__xludf.DUMMYFUNCTION("""COMPUTED_VALUE"""),"Multichain Bridged WETH (Syscoin NEVM)")</f>
        <v>Multichain Bridged WETH (Syscoin NEVM)</v>
      </c>
    </row>
    <row r="8704" spans="1:3" x14ac:dyDescent="0.25">
      <c r="A8704" s="2" t="str">
        <f ca="1">IFERROR(__xludf.DUMMYFUNCTION("""COMPUTED_VALUE"""),"multichain-bridged-weth-telos")</f>
        <v>multichain-bridged-weth-telos</v>
      </c>
      <c r="B8704" s="2" t="str">
        <f ca="1">IFERROR(__xludf.DUMMYFUNCTION("""COMPUTED_VALUE"""),"weth")</f>
        <v>weth</v>
      </c>
      <c r="C8704" s="2" t="str">
        <f ca="1">IFERROR(__xludf.DUMMYFUNCTION("""COMPUTED_VALUE"""),"Multichain Bridged WETH (Telos)")</f>
        <v>Multichain Bridged WETH (Telos)</v>
      </c>
    </row>
    <row r="8705" spans="1:3" x14ac:dyDescent="0.25">
      <c r="A8705" s="2" t="str">
        <f ca="1">IFERROR(__xludf.DUMMYFUNCTION("""COMPUTED_VALUE"""),"multichain-bsc")</f>
        <v>multichain-bsc</v>
      </c>
      <c r="B8705" s="2" t="str">
        <f ca="1">IFERROR(__xludf.DUMMYFUNCTION("""COMPUTED_VALUE"""),"multi")</f>
        <v>multi</v>
      </c>
      <c r="C8705" s="2" t="str">
        <f ca="1">IFERROR(__xludf.DUMMYFUNCTION("""COMPUTED_VALUE"""),"Multichain (BSC)")</f>
        <v>Multichain (BSC)</v>
      </c>
    </row>
    <row r="8706" spans="1:3" x14ac:dyDescent="0.25">
      <c r="A8706" s="2" t="str">
        <f ca="1">IFERROR(__xludf.DUMMYFUNCTION("""COMPUTED_VALUE"""),"multichain-fantom")</f>
        <v>multichain-fantom</v>
      </c>
      <c r="B8706" s="2" t="str">
        <f ca="1">IFERROR(__xludf.DUMMYFUNCTION("""COMPUTED_VALUE"""),"multi")</f>
        <v>multi</v>
      </c>
      <c r="C8706" s="2" t="str">
        <f ca="1">IFERROR(__xludf.DUMMYFUNCTION("""COMPUTED_VALUE"""),"Multichain (Fantom)")</f>
        <v>Multichain (Fantom)</v>
      </c>
    </row>
    <row r="8707" spans="1:3" x14ac:dyDescent="0.25">
      <c r="A8707" s="2" t="str">
        <f ca="1">IFERROR(__xludf.DUMMYFUNCTION("""COMPUTED_VALUE"""),"multidex-ai")</f>
        <v>multidex-ai</v>
      </c>
      <c r="B8707" s="2" t="str">
        <f ca="1">IFERROR(__xludf.DUMMYFUNCTION("""COMPUTED_VALUE"""),"mdx")</f>
        <v>mdx</v>
      </c>
      <c r="C8707" s="2" t="str">
        <f ca="1">IFERROR(__xludf.DUMMYFUNCTION("""COMPUTED_VALUE"""),"MultiDEX AI")</f>
        <v>MultiDEX AI</v>
      </c>
    </row>
    <row r="8708" spans="1:3" x14ac:dyDescent="0.25">
      <c r="A8708" s="2" t="str">
        <f ca="1">IFERROR(__xludf.DUMMYFUNCTION("""COMPUTED_VALUE"""),"multimoney-global")</f>
        <v>multimoney-global</v>
      </c>
      <c r="B8708" s="2" t="str">
        <f ca="1">IFERROR(__xludf.DUMMYFUNCTION("""COMPUTED_VALUE"""),"mmgt")</f>
        <v>mmgt</v>
      </c>
      <c r="C8708" s="2" t="str">
        <f ca="1">IFERROR(__xludf.DUMMYFUNCTION("""COMPUTED_VALUE"""),"MultiMoney.Global")</f>
        <v>MultiMoney.Global</v>
      </c>
    </row>
    <row r="8709" spans="1:3" x14ac:dyDescent="0.25">
      <c r="A8709" s="2" t="str">
        <f ca="1">IFERROR(__xludf.DUMMYFUNCTION("""COMPUTED_VALUE"""),"multipad")</f>
        <v>multipad</v>
      </c>
      <c r="B8709" s="2" t="str">
        <f ca="1">IFERROR(__xludf.DUMMYFUNCTION("""COMPUTED_VALUE"""),"mpad")</f>
        <v>mpad</v>
      </c>
      <c r="C8709" s="2" t="str">
        <f ca="1">IFERROR(__xludf.DUMMYFUNCTION("""COMPUTED_VALUE"""),"MultiPad")</f>
        <v>MultiPad</v>
      </c>
    </row>
    <row r="8710" spans="1:3" x14ac:dyDescent="0.25">
      <c r="A8710" s="2" t="str">
        <f ca="1">IFERROR(__xludf.DUMMYFUNCTION("""COMPUTED_VALUE"""),"multiplanetary-inus")</f>
        <v>multiplanetary-inus</v>
      </c>
      <c r="B8710" s="2" t="str">
        <f ca="1">IFERROR(__xludf.DUMMYFUNCTION("""COMPUTED_VALUE"""),"inus")</f>
        <v>inus</v>
      </c>
      <c r="C8710" s="2" t="str">
        <f ca="1">IFERROR(__xludf.DUMMYFUNCTION("""COMPUTED_VALUE"""),"MultiPlanetary Inus")</f>
        <v>MultiPlanetary Inus</v>
      </c>
    </row>
    <row r="8711" spans="1:3" x14ac:dyDescent="0.25">
      <c r="A8711" s="2" t="str">
        <f ca="1">IFERROR(__xludf.DUMMYFUNCTION("""COMPUTED_VALUE"""),"multipool")</f>
        <v>multipool</v>
      </c>
      <c r="B8711" s="2" t="str">
        <f ca="1">IFERROR(__xludf.DUMMYFUNCTION("""COMPUTED_VALUE"""),"mul")</f>
        <v>mul</v>
      </c>
      <c r="C8711" s="2" t="str">
        <f ca="1">IFERROR(__xludf.DUMMYFUNCTION("""COMPUTED_VALUE"""),"Multipool")</f>
        <v>Multipool</v>
      </c>
    </row>
    <row r="8712" spans="1:3" x14ac:dyDescent="0.25">
      <c r="A8712" s="2" t="str">
        <f ca="1">IFERROR(__xludf.DUMMYFUNCTION("""COMPUTED_VALUE"""),"multisys")</f>
        <v>multisys</v>
      </c>
      <c r="B8712" s="2" t="str">
        <f ca="1">IFERROR(__xludf.DUMMYFUNCTION("""COMPUTED_VALUE"""),"myus")</f>
        <v>myus</v>
      </c>
      <c r="C8712" s="2" t="str">
        <f ca="1">IFERROR(__xludf.DUMMYFUNCTION("""COMPUTED_VALUE"""),"Multisys")</f>
        <v>Multisys</v>
      </c>
    </row>
    <row r="8713" spans="1:3" x14ac:dyDescent="0.25">
      <c r="A8713" s="2" t="str">
        <f ca="1">IFERROR(__xludf.DUMMYFUNCTION("""COMPUTED_VALUE"""),"multi-universe-central")</f>
        <v>multi-universe-central</v>
      </c>
      <c r="B8713" s="2" t="str">
        <f ca="1">IFERROR(__xludf.DUMMYFUNCTION("""COMPUTED_VALUE"""),"muc")</f>
        <v>muc</v>
      </c>
      <c r="C8713" s="2" t="str">
        <f ca="1">IFERROR(__xludf.DUMMYFUNCTION("""COMPUTED_VALUE"""),"Multi Universe Central")</f>
        <v>Multi Universe Central</v>
      </c>
    </row>
    <row r="8714" spans="1:3" x14ac:dyDescent="0.25">
      <c r="A8714" s="2" t="str">
        <f ca="1">IFERROR(__xludf.DUMMYFUNCTION("""COMPUTED_VALUE"""),"multivac")</f>
        <v>multivac</v>
      </c>
      <c r="B8714" s="2" t="str">
        <f ca="1">IFERROR(__xludf.DUMMYFUNCTION("""COMPUTED_VALUE"""),"mtv")</f>
        <v>mtv</v>
      </c>
      <c r="C8714" s="2" t="str">
        <f ca="1">IFERROR(__xludf.DUMMYFUNCTION("""COMPUTED_VALUE"""),"MultiVAC")</f>
        <v>MultiVAC</v>
      </c>
    </row>
    <row r="8715" spans="1:3" x14ac:dyDescent="0.25">
      <c r="A8715" s="2" t="str">
        <f ca="1">IFERROR(__xludf.DUMMYFUNCTION("""COMPUTED_VALUE"""),"multiverse")</f>
        <v>multiverse</v>
      </c>
      <c r="B8715" s="2" t="str">
        <f ca="1">IFERROR(__xludf.DUMMYFUNCTION("""COMPUTED_VALUE"""),"ai")</f>
        <v>ai</v>
      </c>
      <c r="C8715" s="2" t="str">
        <f ca="1">IFERROR(__xludf.DUMMYFUNCTION("""COMPUTED_VALUE"""),"Multiverse")</f>
        <v>Multiverse</v>
      </c>
    </row>
    <row r="8716" spans="1:3" x14ac:dyDescent="0.25">
      <c r="A8716" s="2" t="str">
        <f ca="1">IFERROR(__xludf.DUMMYFUNCTION("""COMPUTED_VALUE"""),"multiverse-capital")</f>
        <v>multiverse-capital</v>
      </c>
      <c r="B8716" s="2" t="str">
        <f ca="1">IFERROR(__xludf.DUMMYFUNCTION("""COMPUTED_VALUE"""),"mvc")</f>
        <v>mvc</v>
      </c>
      <c r="C8716" s="2" t="str">
        <f ca="1">IFERROR(__xludf.DUMMYFUNCTION("""COMPUTED_VALUE"""),"Multiverse Capital")</f>
        <v>Multiverse Capital</v>
      </c>
    </row>
    <row r="8717" spans="1:3" x14ac:dyDescent="0.25">
      <c r="A8717" s="2" t="str">
        <f ca="1">IFERROR(__xludf.DUMMYFUNCTION("""COMPUTED_VALUE"""),"mumba")</f>
        <v>mumba</v>
      </c>
      <c r="B8717" s="2" t="str">
        <f ca="1">IFERROR(__xludf.DUMMYFUNCTION("""COMPUTED_VALUE"""),"mumba")</f>
        <v>mumba</v>
      </c>
      <c r="C8717" s="2" t="str">
        <f ca="1">IFERROR(__xludf.DUMMYFUNCTION("""COMPUTED_VALUE"""),"Mumba")</f>
        <v>Mumba</v>
      </c>
    </row>
    <row r="8718" spans="1:3" x14ac:dyDescent="0.25">
      <c r="A8718" s="2" t="str">
        <f ca="1">IFERROR(__xludf.DUMMYFUNCTION("""COMPUTED_VALUE"""),"mummat")</f>
        <v>mummat</v>
      </c>
      <c r="B8718" s="2" t="str">
        <f ca="1">IFERROR(__xludf.DUMMYFUNCTION("""COMPUTED_VALUE"""),"mummat")</f>
        <v>mummat</v>
      </c>
      <c r="C8718" s="2" t="str">
        <f ca="1">IFERROR(__xludf.DUMMYFUNCTION("""COMPUTED_VALUE"""),"MUMMAT")</f>
        <v>MUMMAT</v>
      </c>
    </row>
    <row r="8719" spans="1:3" x14ac:dyDescent="0.25">
      <c r="A8719" s="2" t="str">
        <f ca="1">IFERROR(__xludf.DUMMYFUNCTION("""COMPUTED_VALUE"""),"mummy-finance")</f>
        <v>mummy-finance</v>
      </c>
      <c r="B8719" s="2" t="str">
        <f ca="1">IFERROR(__xludf.DUMMYFUNCTION("""COMPUTED_VALUE"""),"mmy")</f>
        <v>mmy</v>
      </c>
      <c r="C8719" s="2" t="str">
        <f ca="1">IFERROR(__xludf.DUMMYFUNCTION("""COMPUTED_VALUE"""),"Mummy Finance")</f>
        <v>Mummy Finance</v>
      </c>
    </row>
    <row r="8720" spans="1:3" x14ac:dyDescent="0.25">
      <c r="A8720" s="2" t="str">
        <f ca="1">IFERROR(__xludf.DUMMYFUNCTION("""COMPUTED_VALUE"""),"mumu")</f>
        <v>mumu</v>
      </c>
      <c r="B8720" s="2" t="str">
        <f ca="1">IFERROR(__xludf.DUMMYFUNCTION("""COMPUTED_VALUE"""),"mumu")</f>
        <v>mumu</v>
      </c>
      <c r="C8720" s="2" t="str">
        <f ca="1">IFERROR(__xludf.DUMMYFUNCTION("""COMPUTED_VALUE"""),"Mumu")</f>
        <v>Mumu</v>
      </c>
    </row>
    <row r="8721" spans="1:3" x14ac:dyDescent="0.25">
      <c r="A8721" s="2" t="str">
        <f ca="1">IFERROR(__xludf.DUMMYFUNCTION("""COMPUTED_VALUE"""),"mumu-the-bull-2")</f>
        <v>mumu-the-bull-2</v>
      </c>
      <c r="B8721" s="2" t="str">
        <f ca="1">IFERROR(__xludf.DUMMYFUNCTION("""COMPUTED_VALUE"""),"bull")</f>
        <v>bull</v>
      </c>
      <c r="C8721" s="2" t="str">
        <f ca="1">IFERROR(__xludf.DUMMYFUNCTION("""COMPUTED_VALUE"""),"Mumu the Bull")</f>
        <v>Mumu the Bull</v>
      </c>
    </row>
    <row r="8722" spans="1:3" x14ac:dyDescent="0.25">
      <c r="A8722" s="2" t="str">
        <f ca="1">IFERROR(__xludf.DUMMYFUNCTION("""COMPUTED_VALUE"""),"mumu-the-bull-3")</f>
        <v>mumu-the-bull-3</v>
      </c>
      <c r="B8722" s="2" t="str">
        <f ca="1">IFERROR(__xludf.DUMMYFUNCTION("""COMPUTED_VALUE"""),"mumu")</f>
        <v>mumu</v>
      </c>
      <c r="C8722" s="2" t="str">
        <f ca="1">IFERROR(__xludf.DUMMYFUNCTION("""COMPUTED_VALUE"""),"MUMU THE BULL")</f>
        <v>MUMU THE BULL</v>
      </c>
    </row>
    <row r="8723" spans="1:3" x14ac:dyDescent="0.25">
      <c r="A8723" s="2" t="str">
        <f ca="1">IFERROR(__xludf.DUMMYFUNCTION("""COMPUTED_VALUE"""),"muncat")</f>
        <v>muncat</v>
      </c>
      <c r="B8723" s="2" t="str">
        <f ca="1">IFERROR(__xludf.DUMMYFUNCTION("""COMPUTED_VALUE"""),"muncat")</f>
        <v>muncat</v>
      </c>
      <c r="C8723" s="2" t="str">
        <f ca="1">IFERROR(__xludf.DUMMYFUNCTION("""COMPUTED_VALUE"""),"MUNCAT")</f>
        <v>MUNCAT</v>
      </c>
    </row>
    <row r="8724" spans="1:3" x14ac:dyDescent="0.25">
      <c r="A8724" s="2" t="str">
        <f ca="1">IFERROR(__xludf.DUMMYFUNCTION("""COMPUTED_VALUE"""),"munch")</f>
        <v>munch</v>
      </c>
      <c r="B8724" s="2" t="str">
        <f ca="1">IFERROR(__xludf.DUMMYFUNCTION("""COMPUTED_VALUE"""),"munch")</f>
        <v>munch</v>
      </c>
      <c r="C8724" s="2" t="str">
        <f ca="1">IFERROR(__xludf.DUMMYFUNCTION("""COMPUTED_VALUE"""),"Munch")</f>
        <v>Munch</v>
      </c>
    </row>
    <row r="8725" spans="1:3" x14ac:dyDescent="0.25">
      <c r="A8725" s="2" t="str">
        <f ca="1">IFERROR(__xludf.DUMMYFUNCTION("""COMPUTED_VALUE"""),"mundoteam")</f>
        <v>mundoteam</v>
      </c>
      <c r="B8725" s="2" t="str">
        <f ca="1">IFERROR(__xludf.DUMMYFUNCTION("""COMPUTED_VALUE"""),"mnt")</f>
        <v>mnt</v>
      </c>
      <c r="C8725" s="2" t="str">
        <f ca="1">IFERROR(__xludf.DUMMYFUNCTION("""COMPUTED_VALUE"""),"Mundoteam")</f>
        <v>Mundoteam</v>
      </c>
    </row>
    <row r="8726" spans="1:3" x14ac:dyDescent="0.25">
      <c r="A8726" s="2" t="str">
        <f ca="1">IFERROR(__xludf.DUMMYFUNCTION("""COMPUTED_VALUE"""),"murasaki")</f>
        <v>murasaki</v>
      </c>
      <c r="B8726" s="2" t="str">
        <f ca="1">IFERROR(__xludf.DUMMYFUNCTION("""COMPUTED_VALUE"""),"mura")</f>
        <v>mura</v>
      </c>
      <c r="C8726" s="2" t="str">
        <f ca="1">IFERROR(__xludf.DUMMYFUNCTION("""COMPUTED_VALUE"""),"Murasaki")</f>
        <v>Murasaki</v>
      </c>
    </row>
    <row r="8727" spans="1:3" x14ac:dyDescent="0.25">
      <c r="A8727" s="2" t="str">
        <f ca="1">IFERROR(__xludf.DUMMYFUNCTION("""COMPUTED_VALUE"""),"muratiai")</f>
        <v>muratiai</v>
      </c>
      <c r="B8727" s="2" t="str">
        <f ca="1">IFERROR(__xludf.DUMMYFUNCTION("""COMPUTED_VALUE"""),"muratiai")</f>
        <v>muratiai</v>
      </c>
      <c r="C8727" s="2" t="str">
        <f ca="1">IFERROR(__xludf.DUMMYFUNCTION("""COMPUTED_VALUE"""),"MuratiAI")</f>
        <v>MuratiAI</v>
      </c>
    </row>
    <row r="8728" spans="1:3" x14ac:dyDescent="0.25">
      <c r="A8728" s="2" t="str">
        <f ca="1">IFERROR(__xludf.DUMMYFUNCTION("""COMPUTED_VALUE"""),"mur-cat")</f>
        <v>mur-cat</v>
      </c>
      <c r="B8728" s="2" t="str">
        <f ca="1">IFERROR(__xludf.DUMMYFUNCTION("""COMPUTED_VALUE"""),"mur")</f>
        <v>mur</v>
      </c>
      <c r="C8728" s="2" t="str">
        <f ca="1">IFERROR(__xludf.DUMMYFUNCTION("""COMPUTED_VALUE"""),"Mur Cat")</f>
        <v>Mur Cat</v>
      </c>
    </row>
    <row r="8729" spans="1:3" x14ac:dyDescent="0.25">
      <c r="A8729" s="2" t="str">
        <f ca="1">IFERROR(__xludf.DUMMYFUNCTION("""COMPUTED_VALUE"""),"musd")</f>
        <v>musd</v>
      </c>
      <c r="B8729" s="2" t="str">
        <f ca="1">IFERROR(__xludf.DUMMYFUNCTION("""COMPUTED_VALUE"""),"musd")</f>
        <v>musd</v>
      </c>
      <c r="C8729" s="2" t="str">
        <f ca="1">IFERROR(__xludf.DUMMYFUNCTION("""COMPUTED_VALUE"""),"mStable USD")</f>
        <v>mStable USD</v>
      </c>
    </row>
    <row r="8730" spans="1:3" x14ac:dyDescent="0.25">
      <c r="A8730" s="2" t="str">
        <f ca="1">IFERROR(__xludf.DUMMYFUNCTION("""COMPUTED_VALUE"""),"muse-2")</f>
        <v>muse-2</v>
      </c>
      <c r="B8730" s="2" t="str">
        <f ca="1">IFERROR(__xludf.DUMMYFUNCTION("""COMPUTED_VALUE"""),"muse")</f>
        <v>muse</v>
      </c>
      <c r="C8730" s="2" t="str">
        <f ca="1">IFERROR(__xludf.DUMMYFUNCTION("""COMPUTED_VALUE"""),"Muse DAO")</f>
        <v>Muse DAO</v>
      </c>
    </row>
    <row r="8731" spans="1:3" x14ac:dyDescent="0.25">
      <c r="A8731" s="2" t="str">
        <f ca="1">IFERROR(__xludf.DUMMYFUNCTION("""COMPUTED_VALUE"""),"museum-of-crypto-art")</f>
        <v>museum-of-crypto-art</v>
      </c>
      <c r="B8731" s="2" t="str">
        <f ca="1">IFERROR(__xludf.DUMMYFUNCTION("""COMPUTED_VALUE"""),"moca")</f>
        <v>moca</v>
      </c>
      <c r="C8731" s="2" t="str">
        <f ca="1">IFERROR(__xludf.DUMMYFUNCTION("""COMPUTED_VALUE"""),"Museum of Crypto Art")</f>
        <v>Museum of Crypto Art</v>
      </c>
    </row>
    <row r="8732" spans="1:3" x14ac:dyDescent="0.25">
      <c r="A8732" s="2" t="str">
        <f ca="1">IFERROR(__xludf.DUMMYFUNCTION("""COMPUTED_VALUE"""),"museum-of-influencers")</f>
        <v>museum-of-influencers</v>
      </c>
      <c r="B8732" s="2" t="str">
        <f ca="1">IFERROR(__xludf.DUMMYFUNCTION("""COMPUTED_VALUE"""),"mofi")</f>
        <v>mofi</v>
      </c>
      <c r="C8732" s="2" t="str">
        <f ca="1">IFERROR(__xludf.DUMMYFUNCTION("""COMPUTED_VALUE"""),"Museum Of Influencers")</f>
        <v>Museum Of Influencers</v>
      </c>
    </row>
    <row r="8733" spans="1:3" x14ac:dyDescent="0.25">
      <c r="A8733" s="2" t="str">
        <f ca="1">IFERROR(__xludf.DUMMYFUNCTION("""COMPUTED_VALUE"""),"musicn")</f>
        <v>musicn</v>
      </c>
      <c r="B8733" s="2" t="str">
        <f ca="1">IFERROR(__xludf.DUMMYFUNCTION("""COMPUTED_VALUE"""),"mint")</f>
        <v>mint</v>
      </c>
      <c r="C8733" s="2" t="str">
        <f ca="1">IFERROR(__xludf.DUMMYFUNCTION("""COMPUTED_VALUE"""),"MusicN")</f>
        <v>MusicN</v>
      </c>
    </row>
    <row r="8734" spans="1:3" x14ac:dyDescent="0.25">
      <c r="A8734" s="2" t="str">
        <f ca="1">IFERROR(__xludf.DUMMYFUNCTION("""COMPUTED_VALUE"""),"music-protocol")</f>
        <v>music-protocol</v>
      </c>
      <c r="B8734" s="2" t="str">
        <f ca="1">IFERROR(__xludf.DUMMYFUNCTION("""COMPUTED_VALUE"""),"record")</f>
        <v>record</v>
      </c>
      <c r="C8734" s="2" t="str">
        <f ca="1">IFERROR(__xludf.DUMMYFUNCTION("""COMPUTED_VALUE"""),"Music Protocol")</f>
        <v>Music Protocol</v>
      </c>
    </row>
    <row r="8735" spans="1:3" x14ac:dyDescent="0.25">
      <c r="A8735" s="2" t="str">
        <f ca="1">IFERROR(__xludf.DUMMYFUNCTION("""COMPUTED_VALUE"""),"musk-dao")</f>
        <v>musk-dao</v>
      </c>
      <c r="B8735" s="2" t="str">
        <f ca="1">IFERROR(__xludf.DUMMYFUNCTION("""COMPUTED_VALUE"""),"musk")</f>
        <v>musk</v>
      </c>
      <c r="C8735" s="2" t="str">
        <f ca="1">IFERROR(__xludf.DUMMYFUNCTION("""COMPUTED_VALUE"""),"MUSK DAO")</f>
        <v>MUSK DAO</v>
      </c>
    </row>
    <row r="8736" spans="1:3" x14ac:dyDescent="0.25">
      <c r="A8736" s="2" t="str">
        <f ca="1">IFERROR(__xludf.DUMMYFUNCTION("""COMPUTED_VALUE"""),"musk-gold")</f>
        <v>musk-gold</v>
      </c>
      <c r="B8736" s="2" t="str">
        <f ca="1">IFERROR(__xludf.DUMMYFUNCTION("""COMPUTED_VALUE"""),"musk")</f>
        <v>musk</v>
      </c>
      <c r="C8736" s="2" t="str">
        <f ca="1">IFERROR(__xludf.DUMMYFUNCTION("""COMPUTED_VALUE"""),"MUSK Gold")</f>
        <v>MUSK Gold</v>
      </c>
    </row>
    <row r="8737" spans="1:3" x14ac:dyDescent="0.25">
      <c r="A8737" s="2" t="str">
        <f ca="1">IFERROR(__xludf.DUMMYFUNCTION("""COMPUTED_VALUE"""),"must")</f>
        <v>must</v>
      </c>
      <c r="B8737" s="2" t="str">
        <f ca="1">IFERROR(__xludf.DUMMYFUNCTION("""COMPUTED_VALUE"""),"must")</f>
        <v>must</v>
      </c>
      <c r="C8737" s="2" t="str">
        <f ca="1">IFERROR(__xludf.DUMMYFUNCTION("""COMPUTED_VALUE"""),"Must")</f>
        <v>Must</v>
      </c>
    </row>
    <row r="8738" spans="1:3" x14ac:dyDescent="0.25">
      <c r="A8738" s="2" t="str">
        <f ca="1">IFERROR(__xludf.DUMMYFUNCTION("""COMPUTED_VALUE"""),"mustafa")</f>
        <v>mustafa</v>
      </c>
      <c r="B8738" s="2" t="str">
        <f ca="1">IFERROR(__xludf.DUMMYFUNCTION("""COMPUTED_VALUE"""),"must")</f>
        <v>must</v>
      </c>
      <c r="C8738" s="2" t="str">
        <f ca="1">IFERROR(__xludf.DUMMYFUNCTION("""COMPUTED_VALUE"""),"Mustafa")</f>
        <v>Mustafa</v>
      </c>
    </row>
    <row r="8739" spans="1:3" x14ac:dyDescent="0.25">
      <c r="A8739" s="2" t="str">
        <f ca="1">IFERROR(__xludf.DUMMYFUNCTION("""COMPUTED_VALUE"""),"mutatio-flies")</f>
        <v>mutatio-flies</v>
      </c>
      <c r="B8739" s="2" t="str">
        <f ca="1">IFERROR(__xludf.DUMMYFUNCTION("""COMPUTED_VALUE"""),"flies")</f>
        <v>flies</v>
      </c>
      <c r="C8739" s="2" t="str">
        <f ca="1">IFERROR(__xludf.DUMMYFUNCTION("""COMPUTED_VALUE"""),"MUTATIO")</f>
        <v>MUTATIO</v>
      </c>
    </row>
    <row r="8740" spans="1:3" x14ac:dyDescent="0.25">
      <c r="A8740" s="2" t="str">
        <f ca="1">IFERROR(__xludf.DUMMYFUNCTION("""COMPUTED_VALUE"""),"mutatio-xcopyflies")</f>
        <v>mutatio-xcopyflies</v>
      </c>
      <c r="B8740" s="2" t="str">
        <f ca="1">IFERROR(__xludf.DUMMYFUNCTION("""COMPUTED_VALUE"""),"flies")</f>
        <v>flies</v>
      </c>
      <c r="C8740" s="2" t="str">
        <f ca="1">IFERROR(__xludf.DUMMYFUNCTION("""COMPUTED_VALUE"""),"XCOPYFLIES")</f>
        <v>XCOPYFLIES</v>
      </c>
    </row>
    <row r="8741" spans="1:3" x14ac:dyDescent="0.25">
      <c r="A8741" s="2" t="str">
        <f ca="1">IFERROR(__xludf.DUMMYFUNCTION("""COMPUTED_VALUE"""),"mute")</f>
        <v>mute</v>
      </c>
      <c r="B8741" s="2" t="str">
        <f ca="1">IFERROR(__xludf.DUMMYFUNCTION("""COMPUTED_VALUE"""),"mute")</f>
        <v>mute</v>
      </c>
      <c r="C8741" s="2" t="str">
        <f ca="1">IFERROR(__xludf.DUMMYFUNCTION("""COMPUTED_VALUE"""),"Mute")</f>
        <v>Mute</v>
      </c>
    </row>
    <row r="8742" spans="1:3" x14ac:dyDescent="0.25">
      <c r="A8742" s="2" t="str">
        <f ca="1">IFERROR(__xludf.DUMMYFUNCTION("""COMPUTED_VALUE"""),"muttski")</f>
        <v>muttski</v>
      </c>
      <c r="B8742" s="2" t="str">
        <f ca="1">IFERROR(__xludf.DUMMYFUNCTION("""COMPUTED_VALUE"""),"muttski")</f>
        <v>muttski</v>
      </c>
      <c r="C8742" s="2" t="str">
        <f ca="1">IFERROR(__xludf.DUMMYFUNCTION("""COMPUTED_VALUE"""),"Muttski")</f>
        <v>Muttski</v>
      </c>
    </row>
    <row r="8743" spans="1:3" x14ac:dyDescent="0.25">
      <c r="A8743" s="2" t="str">
        <f ca="1">IFERROR(__xludf.DUMMYFUNCTION("""COMPUTED_VALUE"""),"muu-inu")</f>
        <v>muu-inu</v>
      </c>
      <c r="B8743" s="2" t="str">
        <f ca="1">IFERROR(__xludf.DUMMYFUNCTION("""COMPUTED_VALUE"""),"$muu")</f>
        <v>$muu</v>
      </c>
      <c r="C8743" s="2" t="str">
        <f ca="1">IFERROR(__xludf.DUMMYFUNCTION("""COMPUTED_VALUE"""),"MUU")</f>
        <v>MUU</v>
      </c>
    </row>
    <row r="8744" spans="1:3" x14ac:dyDescent="0.25">
      <c r="A8744" s="2" t="str">
        <f ca="1">IFERROR(__xludf.DUMMYFUNCTION("""COMPUTED_VALUE"""),"muva")</f>
        <v>muva</v>
      </c>
      <c r="B8744" s="2" t="str">
        <f ca="1">IFERROR(__xludf.DUMMYFUNCTION("""COMPUTED_VALUE"""),"$muva")</f>
        <v>$muva</v>
      </c>
      <c r="C8744" s="2" t="str">
        <f ca="1">IFERROR(__xludf.DUMMYFUNCTION("""COMPUTED_VALUE"""),"MUVA")</f>
        <v>MUVA</v>
      </c>
    </row>
    <row r="8745" spans="1:3" x14ac:dyDescent="0.25">
      <c r="A8745" s="2" t="str">
        <f ca="1">IFERROR(__xludf.DUMMYFUNCTION("""COMPUTED_VALUE"""),"muzki")</f>
        <v>muzki</v>
      </c>
      <c r="B8745" s="2" t="str">
        <f ca="1">IFERROR(__xludf.DUMMYFUNCTION("""COMPUTED_VALUE"""),"muzki")</f>
        <v>muzki</v>
      </c>
      <c r="C8745" s="2" t="str">
        <f ca="1">IFERROR(__xludf.DUMMYFUNCTION("""COMPUTED_VALUE"""),"Muzki")</f>
        <v>Muzki</v>
      </c>
    </row>
    <row r="8746" spans="1:3" x14ac:dyDescent="0.25">
      <c r="A8746" s="2" t="str">
        <f ca="1">IFERROR(__xludf.DUMMYFUNCTION("""COMPUTED_VALUE"""),"muzzle")</f>
        <v>muzzle</v>
      </c>
      <c r="B8746" s="2" t="str">
        <f ca="1">IFERROR(__xludf.DUMMYFUNCTION("""COMPUTED_VALUE"""),"muzz")</f>
        <v>muzz</v>
      </c>
      <c r="C8746" s="2" t="str">
        <f ca="1">IFERROR(__xludf.DUMMYFUNCTION("""COMPUTED_VALUE"""),"MUZZLE")</f>
        <v>MUZZLE</v>
      </c>
    </row>
    <row r="8747" spans="1:3" x14ac:dyDescent="0.25">
      <c r="A8747" s="2" t="str">
        <f ca="1">IFERROR(__xludf.DUMMYFUNCTION("""COMPUTED_VALUE"""),"mvcswap")</f>
        <v>mvcswap</v>
      </c>
      <c r="B8747" s="2" t="str">
        <f ca="1">IFERROR(__xludf.DUMMYFUNCTION("""COMPUTED_VALUE"""),"msp")</f>
        <v>msp</v>
      </c>
      <c r="C8747" s="2" t="str">
        <f ca="1">IFERROR(__xludf.DUMMYFUNCTION("""COMPUTED_VALUE"""),"MvcSwap")</f>
        <v>MvcSwap</v>
      </c>
    </row>
    <row r="8748" spans="1:3" x14ac:dyDescent="0.25">
      <c r="A8748" s="2" t="str">
        <f ca="1">IFERROR(__xludf.DUMMYFUNCTION("""COMPUTED_VALUE"""),"mvs-multiverse")</f>
        <v>mvs-multiverse</v>
      </c>
      <c r="B8748" s="2" t="str">
        <f ca="1">IFERROR(__xludf.DUMMYFUNCTION("""COMPUTED_VALUE"""),"mvs")</f>
        <v>mvs</v>
      </c>
      <c r="C8748" s="2" t="str">
        <f ca="1">IFERROR(__xludf.DUMMYFUNCTION("""COMPUTED_VALUE"""),"MVS Multiverse")</f>
        <v>MVS Multiverse</v>
      </c>
    </row>
    <row r="8749" spans="1:3" x14ac:dyDescent="0.25">
      <c r="A8749" s="2" t="str">
        <f ca="1">IFERROR(__xludf.DUMMYFUNCTION("""COMPUTED_VALUE"""),"mxc")</f>
        <v>mxc</v>
      </c>
      <c r="B8749" s="2" t="str">
        <f ca="1">IFERROR(__xludf.DUMMYFUNCTION("""COMPUTED_VALUE"""),"mxc")</f>
        <v>mxc</v>
      </c>
      <c r="C8749" s="2" t="str">
        <f ca="1">IFERROR(__xludf.DUMMYFUNCTION("""COMPUTED_VALUE"""),"Moonchain")</f>
        <v>Moonchain</v>
      </c>
    </row>
    <row r="8750" spans="1:3" x14ac:dyDescent="0.25">
      <c r="A8750" s="2" t="str">
        <f ca="1">IFERROR(__xludf.DUMMYFUNCTION("""COMPUTED_VALUE"""),"mxgp-fan-token")</f>
        <v>mxgp-fan-token</v>
      </c>
      <c r="B8750" s="2" t="str">
        <f ca="1">IFERROR(__xludf.DUMMYFUNCTION("""COMPUTED_VALUE"""),"mxgp")</f>
        <v>mxgp</v>
      </c>
      <c r="C8750" s="2" t="str">
        <f ca="1">IFERROR(__xludf.DUMMYFUNCTION("""COMPUTED_VALUE"""),"MXGP Fan Token")</f>
        <v>MXGP Fan Token</v>
      </c>
    </row>
    <row r="8751" spans="1:3" x14ac:dyDescent="0.25">
      <c r="A8751" s="2" t="str">
        <f ca="1">IFERROR(__xludf.DUMMYFUNCTION("""COMPUTED_VALUE"""),"mxmboxceus-token")</f>
        <v>mxmboxceus-token</v>
      </c>
      <c r="B8751" s="2" t="str">
        <f ca="1">IFERROR(__xludf.DUMMYFUNCTION("""COMPUTED_VALUE"""),"mbe")</f>
        <v>mbe</v>
      </c>
      <c r="C8751" s="2" t="str">
        <f ca="1">IFERROR(__xludf.DUMMYFUNCTION("""COMPUTED_VALUE"""),"MxmBoxcEus Token")</f>
        <v>MxmBoxcEus Token</v>
      </c>
    </row>
    <row r="8752" spans="1:3" x14ac:dyDescent="0.25">
      <c r="A8752" s="2" t="str">
        <f ca="1">IFERROR(__xludf.DUMMYFUNCTION("""COMPUTED_VALUE"""),"mxnb")</f>
        <v>mxnb</v>
      </c>
      <c r="B8752" s="2" t="str">
        <f ca="1">IFERROR(__xludf.DUMMYFUNCTION("""COMPUTED_VALUE"""),"mxnb")</f>
        <v>mxnb</v>
      </c>
      <c r="C8752" s="2" t="str">
        <f ca="1">IFERROR(__xludf.DUMMYFUNCTION("""COMPUTED_VALUE"""),"MXNB")</f>
        <v>MXNB</v>
      </c>
    </row>
    <row r="8753" spans="1:3" x14ac:dyDescent="0.25">
      <c r="A8753" s="2" t="str">
        <f ca="1">IFERROR(__xludf.DUMMYFUNCTION("""COMPUTED_VALUE"""),"mxs-games")</f>
        <v>mxs-games</v>
      </c>
      <c r="B8753" s="2" t="str">
        <f ca="1">IFERROR(__xludf.DUMMYFUNCTION("""COMPUTED_VALUE"""),"xseed")</f>
        <v>xseed</v>
      </c>
      <c r="C8753" s="2" t="str">
        <f ca="1">IFERROR(__xludf.DUMMYFUNCTION("""COMPUTED_VALUE"""),"MXS Games")</f>
        <v>MXS Games</v>
      </c>
    </row>
    <row r="8754" spans="1:3" x14ac:dyDescent="0.25">
      <c r="A8754" s="2" t="str">
        <f ca="1">IFERROR(__xludf.DUMMYFUNCTION("""COMPUTED_VALUE"""),"mx-token")</f>
        <v>mx-token</v>
      </c>
      <c r="B8754" s="2" t="str">
        <f ca="1">IFERROR(__xludf.DUMMYFUNCTION("""COMPUTED_VALUE"""),"mx")</f>
        <v>mx</v>
      </c>
      <c r="C8754" s="2" t="str">
        <f ca="1">IFERROR(__xludf.DUMMYFUNCTION("""COMPUTED_VALUE"""),"MX")</f>
        <v>MX</v>
      </c>
    </row>
    <row r="8755" spans="1:3" x14ac:dyDescent="0.25">
      <c r="A8755" s="2" t="str">
        <f ca="1">IFERROR(__xludf.DUMMYFUNCTION("""COMPUTED_VALUE"""),"mx-token-2")</f>
        <v>mx-token-2</v>
      </c>
      <c r="B8755" s="2" t="str">
        <f ca="1">IFERROR(__xludf.DUMMYFUNCTION("""COMPUTED_VALUE"""),"mxt")</f>
        <v>mxt</v>
      </c>
      <c r="C8755" s="2" t="str">
        <f ca="1">IFERROR(__xludf.DUMMYFUNCTION("""COMPUTED_VALUE"""),"MX TOKEN")</f>
        <v>MX TOKEN</v>
      </c>
    </row>
    <row r="8756" spans="1:3" x14ac:dyDescent="0.25">
      <c r="A8756" s="2" t="str">
        <f ca="1">IFERROR(__xludf.DUMMYFUNCTION("""COMPUTED_VALUE"""),"myancat-coin")</f>
        <v>myancat-coin</v>
      </c>
      <c r="B8756" s="2" t="str">
        <f ca="1">IFERROR(__xludf.DUMMYFUNCTION("""COMPUTED_VALUE"""),"myan")</f>
        <v>myan</v>
      </c>
      <c r="C8756" s="2" t="str">
        <f ca="1">IFERROR(__xludf.DUMMYFUNCTION("""COMPUTED_VALUE"""),"MyanCat Coin")</f>
        <v>MyanCat Coin</v>
      </c>
    </row>
    <row r="8757" spans="1:3" x14ac:dyDescent="0.25">
      <c r="A8757" s="2" t="str">
        <f ca="1">IFERROR(__xludf.DUMMYFUNCTION("""COMPUTED_VALUE"""),"mybid")</f>
        <v>mybid</v>
      </c>
      <c r="B8757" s="2" t="str">
        <f ca="1">IFERROR(__xludf.DUMMYFUNCTION("""COMPUTED_VALUE"""),"mbid")</f>
        <v>mbid</v>
      </c>
      <c r="C8757" s="2" t="str">
        <f ca="1">IFERROR(__xludf.DUMMYFUNCTION("""COMPUTED_VALUE"""),"myBID")</f>
        <v>myBID</v>
      </c>
    </row>
    <row r="8758" spans="1:3" x14ac:dyDescent="0.25">
      <c r="A8758" s="2" t="str">
        <f ca="1">IFERROR(__xludf.DUMMYFUNCTION("""COMPUTED_VALUE"""),"mybit-token")</f>
        <v>mybit-token</v>
      </c>
      <c r="B8758" s="2" t="str">
        <f ca="1">IFERROR(__xludf.DUMMYFUNCTION("""COMPUTED_VALUE"""),"myb")</f>
        <v>myb</v>
      </c>
      <c r="C8758" s="2" t="str">
        <f ca="1">IFERROR(__xludf.DUMMYFUNCTION("""COMPUTED_VALUE"""),"MyBit")</f>
        <v>MyBit</v>
      </c>
    </row>
    <row r="8759" spans="1:3" x14ac:dyDescent="0.25">
      <c r="A8759" s="2" t="str">
        <f ca="1">IFERROR(__xludf.DUMMYFUNCTION("""COMPUTED_VALUE"""),"mybricks")</f>
        <v>mybricks</v>
      </c>
      <c r="B8759" s="2" t="str">
        <f ca="1">IFERROR(__xludf.DUMMYFUNCTION("""COMPUTED_VALUE"""),"bricks")</f>
        <v>bricks</v>
      </c>
      <c r="C8759" s="2" t="str">
        <f ca="1">IFERROR(__xludf.DUMMYFUNCTION("""COMPUTED_VALUE"""),"MyBricks")</f>
        <v>MyBricks</v>
      </c>
    </row>
    <row r="8760" spans="1:3" x14ac:dyDescent="0.25">
      <c r="A8760" s="2" t="str">
        <f ca="1">IFERROR(__xludf.DUMMYFUNCTION("""COMPUTED_VALUE"""),"my-defi-legends")</f>
        <v>my-defi-legends</v>
      </c>
      <c r="B8760" s="2" t="str">
        <f ca="1">IFERROR(__xludf.DUMMYFUNCTION("""COMPUTED_VALUE"""),"dlegends")</f>
        <v>dlegends</v>
      </c>
      <c r="C8760" s="2" t="str">
        <f ca="1">IFERROR(__xludf.DUMMYFUNCTION("""COMPUTED_VALUE"""),"My DeFi Legends")</f>
        <v>My DeFi Legends</v>
      </c>
    </row>
    <row r="8761" spans="1:3" x14ac:dyDescent="0.25">
      <c r="A8761" s="2" t="str">
        <f ca="1">IFERROR(__xludf.DUMMYFUNCTION("""COMPUTED_VALUE"""),"my-defi-pet")</f>
        <v>my-defi-pet</v>
      </c>
      <c r="B8761" s="2" t="str">
        <f ca="1">IFERROR(__xludf.DUMMYFUNCTION("""COMPUTED_VALUE"""),"dpet")</f>
        <v>dpet</v>
      </c>
      <c r="C8761" s="2" t="str">
        <f ca="1">IFERROR(__xludf.DUMMYFUNCTION("""COMPUTED_VALUE"""),"My DeFi Pet")</f>
        <v>My DeFi Pet</v>
      </c>
    </row>
    <row r="8762" spans="1:3" x14ac:dyDescent="0.25">
      <c r="A8762" s="2" t="str">
        <f ca="1">IFERROR(__xludf.DUMMYFUNCTION("""COMPUTED_VALUE"""),"my-dog-is-the-dev")</f>
        <v>my-dog-is-the-dev</v>
      </c>
      <c r="B8762" s="2" t="str">
        <f ca="1">IFERROR(__xludf.DUMMYFUNCTION("""COMPUTED_VALUE"""),"dev")</f>
        <v>dev</v>
      </c>
      <c r="C8762" s="2" t="str">
        <f ca="1">IFERROR(__xludf.DUMMYFUNCTION("""COMPUTED_VALUE"""),"MY DOG IS THE DEV")</f>
        <v>MY DOG IS THE DEV</v>
      </c>
    </row>
    <row r="8763" spans="1:3" x14ac:dyDescent="0.25">
      <c r="A8763" s="2" t="str">
        <f ca="1">IFERROR(__xludf.DUMMYFUNCTION("""COMPUTED_VALUE"""),"my-lovely-coin")</f>
        <v>my-lovely-coin</v>
      </c>
      <c r="B8763" s="2" t="str">
        <f ca="1">IFERROR(__xludf.DUMMYFUNCTION("""COMPUTED_VALUE"""),"mlc")</f>
        <v>mlc</v>
      </c>
      <c r="C8763" s="2" t="str">
        <f ca="1">IFERROR(__xludf.DUMMYFUNCTION("""COMPUTED_VALUE"""),"My Lovely Coin")</f>
        <v>My Lovely Coin</v>
      </c>
    </row>
    <row r="8764" spans="1:3" x14ac:dyDescent="0.25">
      <c r="A8764" s="2" t="str">
        <f ca="1">IFERROR(__xludf.DUMMYFUNCTION("""COMPUTED_VALUE"""),"my-master-war")</f>
        <v>my-master-war</v>
      </c>
      <c r="B8764" s="2" t="str">
        <f ca="1">IFERROR(__xludf.DUMMYFUNCTION("""COMPUTED_VALUE"""),"mat")</f>
        <v>mat</v>
      </c>
      <c r="C8764" s="2" t="str">
        <f ca="1">IFERROR(__xludf.DUMMYFUNCTION("""COMPUTED_VALUE"""),"My Master War")</f>
        <v>My Master War</v>
      </c>
    </row>
    <row r="8765" spans="1:3" x14ac:dyDescent="0.25">
      <c r="A8765" s="2" t="str">
        <f ca="1">IFERROR(__xludf.DUMMYFUNCTION("""COMPUTED_VALUE"""),"my-metatrader")</f>
        <v>my-metatrader</v>
      </c>
      <c r="B8765" s="2" t="str">
        <f ca="1">IFERROR(__xludf.DUMMYFUNCTION("""COMPUTED_VALUE"""),"mmt")</f>
        <v>mmt</v>
      </c>
      <c r="C8765" s="2" t="str">
        <f ca="1">IFERROR(__xludf.DUMMYFUNCTION("""COMPUTED_VALUE"""),"My MetaTrader")</f>
        <v>My MetaTrader</v>
      </c>
    </row>
    <row r="8766" spans="1:3" x14ac:dyDescent="0.25">
      <c r="A8766" s="2" t="str">
        <f ca="1">IFERROR(__xludf.DUMMYFUNCTION("""COMPUTED_VALUE"""),"my-mom")</f>
        <v>my-mom</v>
      </c>
      <c r="B8766" s="2" t="str">
        <f ca="1">IFERROR(__xludf.DUMMYFUNCTION("""COMPUTED_VALUE"""),"mom")</f>
        <v>mom</v>
      </c>
      <c r="C8766" s="2" t="str">
        <f ca="1">IFERROR(__xludf.DUMMYFUNCTION("""COMPUTED_VALUE"""),"My MOM")</f>
        <v>My MOM</v>
      </c>
    </row>
    <row r="8767" spans="1:3" x14ac:dyDescent="0.25">
      <c r="A8767" s="2" t="str">
        <f ca="1">IFERROR(__xludf.DUMMYFUNCTION("""COMPUTED_VALUE"""),"my-neighbor-alice")</f>
        <v>my-neighbor-alice</v>
      </c>
      <c r="B8767" s="2" t="str">
        <f ca="1">IFERROR(__xludf.DUMMYFUNCTION("""COMPUTED_VALUE"""),"alice")</f>
        <v>alice</v>
      </c>
      <c r="C8767" s="2" t="str">
        <f ca="1">IFERROR(__xludf.DUMMYFUNCTION("""COMPUTED_VALUE"""),"My Neighbor Alice")</f>
        <v>My Neighbor Alice</v>
      </c>
    </row>
    <row r="8768" spans="1:3" x14ac:dyDescent="0.25">
      <c r="A8768" s="2" t="str">
        <f ca="1">IFERROR(__xludf.DUMMYFUNCTION("""COMPUTED_VALUE"""),"mynth")</f>
        <v>mynth</v>
      </c>
      <c r="B8768" s="2" t="str">
        <f ca="1">IFERROR(__xludf.DUMMYFUNCTION("""COMPUTED_VALUE"""),"mnt")</f>
        <v>mnt</v>
      </c>
      <c r="C8768" s="2" t="str">
        <f ca="1">IFERROR(__xludf.DUMMYFUNCTION("""COMPUTED_VALUE"""),"Mynth")</f>
        <v>Mynth</v>
      </c>
    </row>
    <row r="8769" spans="1:3" x14ac:dyDescent="0.25">
      <c r="A8769" s="2" t="str">
        <f ca="1">IFERROR(__xludf.DUMMYFUNCTION("""COMPUTED_VALUE"""),"myntpay")</f>
        <v>myntpay</v>
      </c>
      <c r="B8769" s="2" t="str">
        <f ca="1">IFERROR(__xludf.DUMMYFUNCTION("""COMPUTED_VALUE"""),"mynt")</f>
        <v>mynt</v>
      </c>
      <c r="C8769" s="2" t="str">
        <f ca="1">IFERROR(__xludf.DUMMYFUNCTION("""COMPUTED_VALUE"""),"MyntPay")</f>
        <v>MyntPay</v>
      </c>
    </row>
    <row r="8770" spans="1:3" x14ac:dyDescent="0.25">
      <c r="A8770" s="2" t="str">
        <f ca="1">IFERROR(__xludf.DUMMYFUNCTION("""COMPUTED_VALUE"""),"mypiggiesbank")</f>
        <v>mypiggiesbank</v>
      </c>
      <c r="B8770" s="2" t="str">
        <f ca="1">IFERROR(__xludf.DUMMYFUNCTION("""COMPUTED_VALUE"""),"piggie")</f>
        <v>piggie</v>
      </c>
      <c r="C8770" s="2" t="str">
        <f ca="1">IFERROR(__xludf.DUMMYFUNCTION("""COMPUTED_VALUE"""),"MyPiggiesBank")</f>
        <v>MyPiggiesBank</v>
      </c>
    </row>
    <row r="8771" spans="1:3" x14ac:dyDescent="0.25">
      <c r="A8771" s="2" t="str">
        <f ca="1">IFERROR(__xludf.DUMMYFUNCTION("""COMPUTED_VALUE"""),"my-pronouns-are-high-er")</f>
        <v>my-pronouns-are-high-er</v>
      </c>
      <c r="B8771" s="2" t="str">
        <f ca="1">IFERROR(__xludf.DUMMYFUNCTION("""COMPUTED_VALUE"""),"higher")</f>
        <v>higher</v>
      </c>
      <c r="C8771" s="2" t="str">
        <f ca="1">IFERROR(__xludf.DUMMYFUNCTION("""COMPUTED_VALUE"""),"My Pronouns Are High/er")</f>
        <v>My Pronouns Are High/er</v>
      </c>
    </row>
    <row r="8772" spans="1:3" x14ac:dyDescent="0.25">
      <c r="A8772" s="2" t="str">
        <f ca="1">IFERROR(__xludf.DUMMYFUNCTION("""COMPUTED_VALUE"""),"myra")</f>
        <v>myra</v>
      </c>
      <c r="B8772" s="2" t="str">
        <f ca="1">IFERROR(__xludf.DUMMYFUNCTION("""COMPUTED_VALUE"""),"myra")</f>
        <v>myra</v>
      </c>
      <c r="C8772" s="2" t="str">
        <f ca="1">IFERROR(__xludf.DUMMYFUNCTION("""COMPUTED_VALUE"""),"Myra")</f>
        <v>Myra</v>
      </c>
    </row>
    <row r="8773" spans="1:3" x14ac:dyDescent="0.25">
      <c r="A8773" s="2" t="str">
        <f ca="1">IFERROR(__xludf.DUMMYFUNCTION("""COMPUTED_VALUE"""),"myre-the-dog")</f>
        <v>myre-the-dog</v>
      </c>
      <c r="B8773" s="2" t="str">
        <f ca="1">IFERROR(__xludf.DUMMYFUNCTION("""COMPUTED_VALUE"""),"$myre")</f>
        <v>$myre</v>
      </c>
      <c r="C8773" s="2" t="str">
        <f ca="1">IFERROR(__xludf.DUMMYFUNCTION("""COMPUTED_VALUE"""),"Myre The Dog")</f>
        <v>Myre The Dog</v>
      </c>
    </row>
    <row r="8774" spans="1:3" x14ac:dyDescent="0.25">
      <c r="A8774" s="2" t="str">
        <f ca="1">IFERROR(__xludf.DUMMYFUNCTION("""COMPUTED_VALUE"""),"myria")</f>
        <v>myria</v>
      </c>
      <c r="B8774" s="2" t="str">
        <f ca="1">IFERROR(__xludf.DUMMYFUNCTION("""COMPUTED_VALUE"""),"myria")</f>
        <v>myria</v>
      </c>
      <c r="C8774" s="2" t="str">
        <f ca="1">IFERROR(__xludf.DUMMYFUNCTION("""COMPUTED_VALUE"""),"Myria")</f>
        <v>Myria</v>
      </c>
    </row>
    <row r="8775" spans="1:3" x14ac:dyDescent="0.25">
      <c r="A8775" s="2" t="str">
        <f ca="1">IFERROR(__xludf.DUMMYFUNCTION("""COMPUTED_VALUE"""),"myriadcoin")</f>
        <v>myriadcoin</v>
      </c>
      <c r="B8775" s="2" t="str">
        <f ca="1">IFERROR(__xludf.DUMMYFUNCTION("""COMPUTED_VALUE"""),"xmy")</f>
        <v>xmy</v>
      </c>
      <c r="C8775" s="2" t="str">
        <f ca="1">IFERROR(__xludf.DUMMYFUNCTION("""COMPUTED_VALUE"""),"Myriad")</f>
        <v>Myriad</v>
      </c>
    </row>
    <row r="8776" spans="1:3" x14ac:dyDescent="0.25">
      <c r="A8776" s="2" t="str">
        <f ca="1">IFERROR(__xludf.DUMMYFUNCTION("""COMPUTED_VALUE"""),"myriad-social")</f>
        <v>myriad-social</v>
      </c>
      <c r="B8776" s="2" t="str">
        <f ca="1">IFERROR(__xludf.DUMMYFUNCTION("""COMPUTED_VALUE"""),"myria")</f>
        <v>myria</v>
      </c>
      <c r="C8776" s="2" t="str">
        <f ca="1">IFERROR(__xludf.DUMMYFUNCTION("""COMPUTED_VALUE"""),"Myriad Social")</f>
        <v>Myriad Social</v>
      </c>
    </row>
    <row r="8777" spans="1:3" x14ac:dyDescent="0.25">
      <c r="A8777" s="2" t="str">
        <f ca="1">IFERROR(__xludf.DUMMYFUNCTION("""COMPUTED_VALUE"""),"myro")</f>
        <v>myro</v>
      </c>
      <c r="B8777" s="2" t="str">
        <f ca="1">IFERROR(__xludf.DUMMYFUNCTION("""COMPUTED_VALUE"""),"$myro")</f>
        <v>$myro</v>
      </c>
      <c r="C8777" s="2" t="str">
        <f ca="1">IFERROR(__xludf.DUMMYFUNCTION("""COMPUTED_VALUE"""),"Myro")</f>
        <v>Myro</v>
      </c>
    </row>
    <row r="8778" spans="1:3" x14ac:dyDescent="0.25">
      <c r="A8778" s="2" t="str">
        <f ca="1">IFERROR(__xludf.DUMMYFUNCTION("""COMPUTED_VALUE"""),"myro-floki-ceo")</f>
        <v>myro-floki-ceo</v>
      </c>
      <c r="B8778" s="2" t="str">
        <f ca="1">IFERROR(__xludf.DUMMYFUNCTION("""COMPUTED_VALUE"""),"myrofloki")</f>
        <v>myrofloki</v>
      </c>
      <c r="C8778" s="2" t="str">
        <f ca="1">IFERROR(__xludf.DUMMYFUNCTION("""COMPUTED_VALUE"""),"Myro Floki CEO")</f>
        <v>Myro Floki CEO</v>
      </c>
    </row>
    <row r="8779" spans="1:3" x14ac:dyDescent="0.25">
      <c r="A8779" s="2" t="str">
        <f ca="1">IFERROR(__xludf.DUMMYFUNCTION("""COMPUTED_VALUE"""),"myrowif")</f>
        <v>myrowif</v>
      </c>
      <c r="B8779" s="2" t="str">
        <f ca="1">IFERROR(__xludf.DUMMYFUNCTION("""COMPUTED_VALUE"""),"myrowif")</f>
        <v>myrowif</v>
      </c>
      <c r="C8779" s="2" t="str">
        <f ca="1">IFERROR(__xludf.DUMMYFUNCTION("""COMPUTED_VALUE"""),"MYROWIF")</f>
        <v>MYROWIF</v>
      </c>
    </row>
    <row r="8780" spans="1:3" x14ac:dyDescent="0.25">
      <c r="A8780" s="2" t="str">
        <f ca="1">IFERROR(__xludf.DUMMYFUNCTION("""COMPUTED_VALUE"""),"myrowifhat")</f>
        <v>myrowifhat</v>
      </c>
      <c r="B8780" s="2" t="str">
        <f ca="1">IFERROR(__xludf.DUMMYFUNCTION("""COMPUTED_VALUE"""),"mif")</f>
        <v>mif</v>
      </c>
      <c r="C8780" s="2" t="str">
        <f ca="1">IFERROR(__xludf.DUMMYFUNCTION("""COMPUTED_VALUE"""),"MyroWifHat")</f>
        <v>MyroWifHat</v>
      </c>
    </row>
    <row r="8781" spans="1:3" x14ac:dyDescent="0.25">
      <c r="A8781" s="2" t="str">
        <f ca="1">IFERROR(__xludf.DUMMYFUNCTION("""COMPUTED_VALUE"""),"myso-token")</f>
        <v>myso-token</v>
      </c>
      <c r="B8781" s="2" t="str">
        <f ca="1">IFERROR(__xludf.DUMMYFUNCTION("""COMPUTED_VALUE"""),"myt")</f>
        <v>myt</v>
      </c>
      <c r="C8781" s="2" t="str">
        <f ca="1">IFERROR(__xludf.DUMMYFUNCTION("""COMPUTED_VALUE"""),"MYSO Token")</f>
        <v>MYSO Token</v>
      </c>
    </row>
    <row r="8782" spans="1:3" x14ac:dyDescent="0.25">
      <c r="A8782" s="2" t="str">
        <f ca="1">IFERROR(__xludf.DUMMYFUNCTION("""COMPUTED_VALUE"""),"mystcl")</f>
        <v>mystcl</v>
      </c>
      <c r="B8782" s="2" t="str">
        <f ca="1">IFERROR(__xludf.DUMMYFUNCTION("""COMPUTED_VALUE"""),"myst")</f>
        <v>myst</v>
      </c>
      <c r="C8782" s="2" t="str">
        <f ca="1">IFERROR(__xludf.DUMMYFUNCTION("""COMPUTED_VALUE"""),"MYSTCL")</f>
        <v>MYSTCL</v>
      </c>
    </row>
    <row r="8783" spans="1:3" x14ac:dyDescent="0.25">
      <c r="A8783" s="2" t="str">
        <f ca="1">IFERROR(__xludf.DUMMYFUNCTION("""COMPUTED_VALUE"""),"mysterium")</f>
        <v>mysterium</v>
      </c>
      <c r="B8783" s="2" t="str">
        <f ca="1">IFERROR(__xludf.DUMMYFUNCTION("""COMPUTED_VALUE"""),"myst")</f>
        <v>myst</v>
      </c>
      <c r="C8783" s="2" t="str">
        <f ca="1">IFERROR(__xludf.DUMMYFUNCTION("""COMPUTED_VALUE"""),"Mysterium")</f>
        <v>Mysterium</v>
      </c>
    </row>
    <row r="8784" spans="1:3" x14ac:dyDescent="0.25">
      <c r="A8784" s="2" t="str">
        <f ca="1">IFERROR(__xludf.DUMMYFUNCTION("""COMPUTED_VALUE"""),"mystic-treasure")</f>
        <v>mystic-treasure</v>
      </c>
      <c r="B8784" s="2" t="str">
        <f ca="1">IFERROR(__xludf.DUMMYFUNCTION("""COMPUTED_VALUE"""),"myt")</f>
        <v>myt</v>
      </c>
      <c r="C8784" s="2" t="str">
        <f ca="1">IFERROR(__xludf.DUMMYFUNCTION("""COMPUTED_VALUE"""),"Mystic Treasure")</f>
        <v>Mystic Treasure</v>
      </c>
    </row>
    <row r="8785" spans="1:3" x14ac:dyDescent="0.25">
      <c r="A8785" s="2" t="str">
        <f ca="1">IFERROR(__xludf.DUMMYFUNCTION("""COMPUTED_VALUE"""),"mytheria")</f>
        <v>mytheria</v>
      </c>
      <c r="B8785" s="2" t="str">
        <f ca="1">IFERROR(__xludf.DUMMYFUNCTION("""COMPUTED_VALUE"""),"myra")</f>
        <v>myra</v>
      </c>
      <c r="C8785" s="2" t="str">
        <f ca="1">IFERROR(__xludf.DUMMYFUNCTION("""COMPUTED_VALUE"""),"Mytheria")</f>
        <v>Mytheria</v>
      </c>
    </row>
    <row r="8786" spans="1:3" x14ac:dyDescent="0.25">
      <c r="A8786" s="2" t="str">
        <f ca="1">IFERROR(__xludf.DUMMYFUNCTION("""COMPUTED_VALUE"""),"mythos")</f>
        <v>mythos</v>
      </c>
      <c r="B8786" s="2" t="str">
        <f ca="1">IFERROR(__xludf.DUMMYFUNCTION("""COMPUTED_VALUE"""),"myth")</f>
        <v>myth</v>
      </c>
      <c r="C8786" s="2" t="str">
        <f ca="1">IFERROR(__xludf.DUMMYFUNCTION("""COMPUTED_VALUE"""),"Mythos")</f>
        <v>Mythos</v>
      </c>
    </row>
    <row r="8787" spans="1:3" x14ac:dyDescent="0.25">
      <c r="A8787" s="2" t="str">
        <f ca="1">IFERROR(__xludf.DUMMYFUNCTION("""COMPUTED_VALUE"""),"mytoken")</f>
        <v>mytoken</v>
      </c>
      <c r="B8787" s="2" t="str">
        <f ca="1">IFERROR(__xludf.DUMMYFUNCTION("""COMPUTED_VALUE"""),"mt")</f>
        <v>mt</v>
      </c>
      <c r="C8787" s="2" t="str">
        <f ca="1">IFERROR(__xludf.DUMMYFUNCTION("""COMPUTED_VALUE"""),"MyToken")</f>
        <v>MyToken</v>
      </c>
    </row>
    <row r="8788" spans="1:3" x14ac:dyDescent="0.25">
      <c r="A8788" s="2" t="str">
        <f ca="1">IFERROR(__xludf.DUMMYFUNCTION("""COMPUTED_VALUE"""),"nabox")</f>
        <v>nabox</v>
      </c>
      <c r="B8788" s="2" t="str">
        <f ca="1">IFERROR(__xludf.DUMMYFUNCTION("""COMPUTED_VALUE"""),"nabox")</f>
        <v>nabox</v>
      </c>
      <c r="C8788" s="2" t="str">
        <f ca="1">IFERROR(__xludf.DUMMYFUNCTION("""COMPUTED_VALUE"""),"Nabox")</f>
        <v>Nabox</v>
      </c>
    </row>
    <row r="8789" spans="1:3" x14ac:dyDescent="0.25">
      <c r="A8789" s="2" t="str">
        <f ca="1">IFERROR(__xludf.DUMMYFUNCTION("""COMPUTED_VALUE"""),"nacho-finance")</f>
        <v>nacho-finance</v>
      </c>
      <c r="B8789" s="2" t="str">
        <f ca="1">IFERROR(__xludf.DUMMYFUNCTION("""COMPUTED_VALUE"""),"nacho")</f>
        <v>nacho</v>
      </c>
      <c r="C8789" s="2" t="str">
        <f ca="1">IFERROR(__xludf.DUMMYFUNCTION("""COMPUTED_VALUE"""),"Nacho Finance")</f>
        <v>Nacho Finance</v>
      </c>
    </row>
    <row r="8790" spans="1:3" x14ac:dyDescent="0.25">
      <c r="A8790" s="2" t="str">
        <f ca="1">IFERROR(__xludf.DUMMYFUNCTION("""COMPUTED_VALUE"""),"nada-protocol-token")</f>
        <v>nada-protocol-token</v>
      </c>
      <c r="B8790" s="2" t="str">
        <f ca="1">IFERROR(__xludf.DUMMYFUNCTION("""COMPUTED_VALUE"""),"nada")</f>
        <v>nada</v>
      </c>
      <c r="C8790" s="2" t="str">
        <f ca="1">IFERROR(__xludf.DUMMYFUNCTION("""COMPUTED_VALUE"""),"NADA Protocol Token")</f>
        <v>NADA Protocol Token</v>
      </c>
    </row>
    <row r="8791" spans="1:3" x14ac:dyDescent="0.25">
      <c r="A8791" s="2" t="str">
        <f ca="1">IFERROR(__xludf.DUMMYFUNCTION("""COMPUTED_VALUE"""),"nafter")</f>
        <v>nafter</v>
      </c>
      <c r="B8791" s="2" t="str">
        <f ca="1">IFERROR(__xludf.DUMMYFUNCTION("""COMPUTED_VALUE"""),"naft")</f>
        <v>naft</v>
      </c>
      <c r="C8791" s="2" t="str">
        <f ca="1">IFERROR(__xludf.DUMMYFUNCTION("""COMPUTED_VALUE"""),"Nafter")</f>
        <v>Nafter</v>
      </c>
    </row>
    <row r="8792" spans="1:3" x14ac:dyDescent="0.25">
      <c r="A8792" s="2" t="str">
        <f ca="1">IFERROR(__xludf.DUMMYFUNCTION("""COMPUTED_VALUE"""),"naga")</f>
        <v>naga</v>
      </c>
      <c r="B8792" s="2" t="str">
        <f ca="1">IFERROR(__xludf.DUMMYFUNCTION("""COMPUTED_VALUE"""),"ngc")</f>
        <v>ngc</v>
      </c>
      <c r="C8792" s="2" t="str">
        <f ca="1">IFERROR(__xludf.DUMMYFUNCTION("""COMPUTED_VALUE"""),"NAGA")</f>
        <v>NAGA</v>
      </c>
    </row>
    <row r="8793" spans="1:3" x14ac:dyDescent="0.25">
      <c r="A8793" s="2" t="str">
        <f ca="1">IFERROR(__xludf.DUMMYFUNCTION("""COMPUTED_VALUE"""),"nagaya")</f>
        <v>nagaya</v>
      </c>
      <c r="B8793" s="2" t="str">
        <f ca="1">IFERROR(__xludf.DUMMYFUNCTION("""COMPUTED_VALUE"""),"ngy")</f>
        <v>ngy</v>
      </c>
      <c r="C8793" s="2" t="str">
        <f ca="1">IFERROR(__xludf.DUMMYFUNCTION("""COMPUTED_VALUE"""),"NAGAYA")</f>
        <v>NAGAYA</v>
      </c>
    </row>
    <row r="8794" spans="1:3" x14ac:dyDescent="0.25">
      <c r="A8794" s="2" t="str">
        <f ca="1">IFERROR(__xludf.DUMMYFUNCTION("""COMPUTED_VALUE"""),"nahmii")</f>
        <v>nahmii</v>
      </c>
      <c r="B8794" s="2" t="str">
        <f ca="1">IFERROR(__xludf.DUMMYFUNCTION("""COMPUTED_VALUE"""),"nii")</f>
        <v>nii</v>
      </c>
      <c r="C8794" s="2" t="str">
        <f ca="1">IFERROR(__xludf.DUMMYFUNCTION("""COMPUTED_VALUE"""),"Nahmii")</f>
        <v>Nahmii</v>
      </c>
    </row>
    <row r="8795" spans="1:3" x14ac:dyDescent="0.25">
      <c r="A8795" s="2" t="str">
        <f ca="1">IFERROR(__xludf.DUMMYFUNCTION("""COMPUTED_VALUE"""),"nailong")</f>
        <v>nailong</v>
      </c>
      <c r="B8795" s="2" t="str">
        <f ca="1">IFERROR(__xludf.DUMMYFUNCTION("""COMPUTED_VALUE"""),"nailong")</f>
        <v>nailong</v>
      </c>
      <c r="C8795" s="2" t="str">
        <f ca="1">IFERROR(__xludf.DUMMYFUNCTION("""COMPUTED_VALUE"""),"Nailong")</f>
        <v>Nailong</v>
      </c>
    </row>
    <row r="8796" spans="1:3" x14ac:dyDescent="0.25">
      <c r="A8796" s="2" t="str">
        <f ca="1">IFERROR(__xludf.DUMMYFUNCTION("""COMPUTED_VALUE"""),"naka-bodhi-token")</f>
        <v>naka-bodhi-token</v>
      </c>
      <c r="B8796" s="2" t="str">
        <f ca="1">IFERROR(__xludf.DUMMYFUNCTION("""COMPUTED_VALUE"""),"nbot")</f>
        <v>nbot</v>
      </c>
      <c r="C8796" s="2" t="str">
        <f ca="1">IFERROR(__xludf.DUMMYFUNCTION("""COMPUTED_VALUE"""),"Naka Bodhi")</f>
        <v>Naka Bodhi</v>
      </c>
    </row>
    <row r="8797" spans="1:3" x14ac:dyDescent="0.25">
      <c r="A8797" s="2" t="str">
        <f ca="1">IFERROR(__xludf.DUMMYFUNCTION("""COMPUTED_VALUE"""),"nakachain")</f>
        <v>nakachain</v>
      </c>
      <c r="B8797" s="2" t="str">
        <f ca="1">IFERROR(__xludf.DUMMYFUNCTION("""COMPUTED_VALUE"""),"naka")</f>
        <v>naka</v>
      </c>
      <c r="C8797" s="2" t="str">
        <f ca="1">IFERROR(__xludf.DUMMYFUNCTION("""COMPUTED_VALUE"""),"NakaChain")</f>
        <v>NakaChain</v>
      </c>
    </row>
    <row r="8798" spans="1:3" x14ac:dyDescent="0.25">
      <c r="A8798" s="2" t="str">
        <f ca="1">IFERROR(__xludf.DUMMYFUNCTION("""COMPUTED_VALUE"""),"nakamoto-games")</f>
        <v>nakamoto-games</v>
      </c>
      <c r="B8798" s="2" t="str">
        <f ca="1">IFERROR(__xludf.DUMMYFUNCTION("""COMPUTED_VALUE"""),"naka")</f>
        <v>naka</v>
      </c>
      <c r="C8798" s="2" t="str">
        <f ca="1">IFERROR(__xludf.DUMMYFUNCTION("""COMPUTED_VALUE"""),"Nakamoto Games")</f>
        <v>Nakamoto Games</v>
      </c>
    </row>
    <row r="8799" spans="1:3" x14ac:dyDescent="0.25">
      <c r="A8799" s="2" t="str">
        <f ca="1">IFERROR(__xludf.DUMMYFUNCTION("""COMPUTED_VALUE"""),"nals")</f>
        <v>nals</v>
      </c>
      <c r="B8799" s="2" t="str">
        <f ca="1">IFERROR(__xludf.DUMMYFUNCTION("""COMPUTED_VALUE"""),"nals")</f>
        <v>nals</v>
      </c>
      <c r="C8799" s="2" t="str">
        <f ca="1">IFERROR(__xludf.DUMMYFUNCTION("""COMPUTED_VALUE"""),"NALS")</f>
        <v>NALS</v>
      </c>
    </row>
    <row r="8800" spans="1:3" x14ac:dyDescent="0.25">
      <c r="A8800" s="2" t="str">
        <f ca="1">IFERROR(__xludf.DUMMYFUNCTION("""COMPUTED_VALUE"""),"namecoin")</f>
        <v>namecoin</v>
      </c>
      <c r="B8800" s="2" t="str">
        <f ca="1">IFERROR(__xludf.DUMMYFUNCTION("""COMPUTED_VALUE"""),"nmc")</f>
        <v>nmc</v>
      </c>
      <c r="C8800" s="2" t="str">
        <f ca="1">IFERROR(__xludf.DUMMYFUNCTION("""COMPUTED_VALUE"""),"Namecoin")</f>
        <v>Namecoin</v>
      </c>
    </row>
    <row r="8801" spans="1:3" x14ac:dyDescent="0.25">
      <c r="A8801" s="2" t="str">
        <f ca="1">IFERROR(__xludf.DUMMYFUNCTION("""COMPUTED_VALUE"""),"nami-frame-futures")</f>
        <v>nami-frame-futures</v>
      </c>
      <c r="B8801" s="2" t="str">
        <f ca="1">IFERROR(__xludf.DUMMYFUNCTION("""COMPUTED_VALUE"""),"nao")</f>
        <v>nao</v>
      </c>
      <c r="C8801" s="2" t="str">
        <f ca="1">IFERROR(__xludf.DUMMYFUNCTION("""COMPUTED_VALUE"""),"Nami Frame Futures")</f>
        <v>Nami Frame Futures</v>
      </c>
    </row>
    <row r="8802" spans="1:3" x14ac:dyDescent="0.25">
      <c r="A8802" s="2" t="str">
        <f ca="1">IFERROR(__xludf.DUMMYFUNCTION("""COMPUTED_VALUE"""),"nami-protocol")</f>
        <v>nami-protocol</v>
      </c>
      <c r="B8802" s="2" t="str">
        <f ca="1">IFERROR(__xludf.DUMMYFUNCTION("""COMPUTED_VALUE"""),"nami")</f>
        <v>nami</v>
      </c>
      <c r="C8802" s="2" t="str">
        <f ca="1">IFERROR(__xludf.DUMMYFUNCTION("""COMPUTED_VALUE"""),"NAMI Protocol")</f>
        <v>NAMI Protocol</v>
      </c>
    </row>
    <row r="8803" spans="1:3" x14ac:dyDescent="0.25">
      <c r="A8803" s="2" t="str">
        <f ca="1">IFERROR(__xludf.DUMMYFUNCTION("""COMPUTED_VALUE"""),"nana-token")</f>
        <v>nana-token</v>
      </c>
      <c r="B8803" s="2" t="str">
        <f ca="1">IFERROR(__xludf.DUMMYFUNCTION("""COMPUTED_VALUE"""),"nana")</f>
        <v>nana</v>
      </c>
      <c r="C8803" s="2" t="str">
        <f ca="1">IFERROR(__xludf.DUMMYFUNCTION("""COMPUTED_VALUE"""),"NANA Token")</f>
        <v>NANA Token</v>
      </c>
    </row>
    <row r="8804" spans="1:3" x14ac:dyDescent="0.25">
      <c r="A8804" s="2" t="str">
        <f ca="1">IFERROR(__xludf.DUMMYFUNCTION("""COMPUTED_VALUE"""),"nano")</f>
        <v>nano</v>
      </c>
      <c r="B8804" s="2" t="str">
        <f ca="1">IFERROR(__xludf.DUMMYFUNCTION("""COMPUTED_VALUE"""),"xno")</f>
        <v>xno</v>
      </c>
      <c r="C8804" s="2" t="str">
        <f ca="1">IFERROR(__xludf.DUMMYFUNCTION("""COMPUTED_VALUE"""),"Nano")</f>
        <v>Nano</v>
      </c>
    </row>
    <row r="8805" spans="1:3" x14ac:dyDescent="0.25">
      <c r="A8805" s="2" t="str">
        <f ca="1">IFERROR(__xludf.DUMMYFUNCTION("""COMPUTED_VALUE"""),"nanobyte")</f>
        <v>nanobyte</v>
      </c>
      <c r="B8805" s="2" t="str">
        <f ca="1">IFERROR(__xludf.DUMMYFUNCTION("""COMPUTED_VALUE"""),"nbt")</f>
        <v>nbt</v>
      </c>
      <c r="C8805" s="2" t="str">
        <f ca="1">IFERROR(__xludf.DUMMYFUNCTION("""COMPUTED_VALUE"""),"NanoByte")</f>
        <v>NanoByte</v>
      </c>
    </row>
    <row r="8806" spans="1:3" x14ac:dyDescent="0.25">
      <c r="A8806" s="2" t="str">
        <f ca="1">IFERROR(__xludf.DUMMYFUNCTION("""COMPUTED_VALUE"""),"nanomatic")</f>
        <v>nanomatic</v>
      </c>
      <c r="B8806" s="2" t="str">
        <f ca="1">IFERROR(__xludf.DUMMYFUNCTION("""COMPUTED_VALUE"""),"nano")</f>
        <v>nano</v>
      </c>
      <c r="C8806" s="2" t="str">
        <f ca="1">IFERROR(__xludf.DUMMYFUNCTION("""COMPUTED_VALUE"""),"Nanomatic")</f>
        <v>Nanomatic</v>
      </c>
    </row>
    <row r="8807" spans="1:3" x14ac:dyDescent="0.25">
      <c r="A8807" s="2" t="str">
        <f ca="1">IFERROR(__xludf.DUMMYFUNCTION("""COMPUTED_VALUE"""),"nanometer-bitcoin")</f>
        <v>nanometer-bitcoin</v>
      </c>
      <c r="B8807" s="2" t="str">
        <f ca="1">IFERROR(__xludf.DUMMYFUNCTION("""COMPUTED_VALUE"""),"nmbtc")</f>
        <v>nmbtc</v>
      </c>
      <c r="C8807" s="2" t="str">
        <f ca="1">IFERROR(__xludf.DUMMYFUNCTION("""COMPUTED_VALUE"""),"NanoMeter Bitcoin")</f>
        <v>NanoMeter Bitcoin</v>
      </c>
    </row>
    <row r="8808" spans="1:3" x14ac:dyDescent="0.25">
      <c r="A8808" s="2" t="str">
        <f ca="1">IFERROR(__xludf.DUMMYFUNCTION("""COMPUTED_VALUE"""),"naos-finance")</f>
        <v>naos-finance</v>
      </c>
      <c r="B8808" s="2" t="str">
        <f ca="1">IFERROR(__xludf.DUMMYFUNCTION("""COMPUTED_VALUE"""),"naos")</f>
        <v>naos</v>
      </c>
      <c r="C8808" s="2" t="str">
        <f ca="1">IFERROR(__xludf.DUMMYFUNCTION("""COMPUTED_VALUE"""),"NAOS Finance")</f>
        <v>NAOS Finance</v>
      </c>
    </row>
    <row r="8809" spans="1:3" x14ac:dyDescent="0.25">
      <c r="A8809" s="2" t="str">
        <f ca="1">IFERROR(__xludf.DUMMYFUNCTION("""COMPUTED_VALUE"""),"napoleon-x")</f>
        <v>napoleon-x</v>
      </c>
      <c r="B8809" s="2" t="str">
        <f ca="1">IFERROR(__xludf.DUMMYFUNCTION("""COMPUTED_VALUE"""),"npx")</f>
        <v>npx</v>
      </c>
      <c r="C8809" s="2" t="str">
        <f ca="1">IFERROR(__xludf.DUMMYFUNCTION("""COMPUTED_VALUE"""),"Napoleon X")</f>
        <v>Napoleon X</v>
      </c>
    </row>
    <row r="8810" spans="1:3" x14ac:dyDescent="0.25">
      <c r="A8810" s="2" t="str">
        <f ca="1">IFERROR(__xludf.DUMMYFUNCTION("""COMPUTED_VALUE"""),"napoli-fan-token")</f>
        <v>napoli-fan-token</v>
      </c>
      <c r="B8810" s="2" t="str">
        <f ca="1">IFERROR(__xludf.DUMMYFUNCTION("""COMPUTED_VALUE"""),"nap")</f>
        <v>nap</v>
      </c>
      <c r="C8810" s="2" t="str">
        <f ca="1">IFERROR(__xludf.DUMMYFUNCTION("""COMPUTED_VALUE"""),"Napoli Fan Token")</f>
        <v>Napoli Fan Token</v>
      </c>
    </row>
    <row r="8811" spans="1:3" x14ac:dyDescent="0.25">
      <c r="A8811" s="2" t="str">
        <f ca="1">IFERROR(__xludf.DUMMYFUNCTION("""COMPUTED_VALUE"""),"naruto")</f>
        <v>naruto</v>
      </c>
      <c r="B8811" s="2" t="str">
        <f ca="1">IFERROR(__xludf.DUMMYFUNCTION("""COMPUTED_VALUE"""),"naruto")</f>
        <v>naruto</v>
      </c>
      <c r="C8811" s="2" t="str">
        <f ca="1">IFERROR(__xludf.DUMMYFUNCTION("""COMPUTED_VALUE"""),"Naruto")</f>
        <v>Naruto</v>
      </c>
    </row>
    <row r="8812" spans="1:3" x14ac:dyDescent="0.25">
      <c r="A8812" s="2" t="str">
        <f ca="1">IFERROR(__xludf.DUMMYFUNCTION("""COMPUTED_VALUE"""),"nasdex-token")</f>
        <v>nasdex-token</v>
      </c>
      <c r="B8812" s="2" t="str">
        <f ca="1">IFERROR(__xludf.DUMMYFUNCTION("""COMPUTED_VALUE"""),"nsdx")</f>
        <v>nsdx</v>
      </c>
      <c r="C8812" s="2" t="str">
        <f ca="1">IFERROR(__xludf.DUMMYFUNCTION("""COMPUTED_VALUE"""),"NASDEX")</f>
        <v>NASDEX</v>
      </c>
    </row>
    <row r="8813" spans="1:3" x14ac:dyDescent="0.25">
      <c r="A8813" s="2" t="str">
        <f ca="1">IFERROR(__xludf.DUMMYFUNCTION("""COMPUTED_VALUE"""),"natcoin-ai")</f>
        <v>natcoin-ai</v>
      </c>
      <c r="B8813" s="2" t="str">
        <f ca="1">IFERROR(__xludf.DUMMYFUNCTION("""COMPUTED_VALUE"""),"nat")</f>
        <v>nat</v>
      </c>
      <c r="C8813" s="2" t="str">
        <f ca="1">IFERROR(__xludf.DUMMYFUNCTION("""COMPUTED_VALUE"""),"NatCoin")</f>
        <v>NatCoin</v>
      </c>
    </row>
    <row r="8814" spans="1:3" x14ac:dyDescent="0.25">
      <c r="A8814" s="2" t="str">
        <f ca="1">IFERROR(__xludf.DUMMYFUNCTION("""COMPUTED_VALUE"""),"nation3")</f>
        <v>nation3</v>
      </c>
      <c r="B8814" s="2" t="str">
        <f ca="1">IFERROR(__xludf.DUMMYFUNCTION("""COMPUTED_VALUE"""),"nation")</f>
        <v>nation</v>
      </c>
      <c r="C8814" s="2" t="str">
        <f ca="1">IFERROR(__xludf.DUMMYFUNCTION("""COMPUTED_VALUE"""),"Nation3")</f>
        <v>Nation3</v>
      </c>
    </row>
    <row r="8815" spans="1:3" x14ac:dyDescent="0.25">
      <c r="A8815" s="2" t="str">
        <f ca="1">IFERROR(__xludf.DUMMYFUNCTION("""COMPUTED_VALUE"""),"natix-network")</f>
        <v>natix-network</v>
      </c>
      <c r="B8815" s="2" t="str">
        <f ca="1">IFERROR(__xludf.DUMMYFUNCTION("""COMPUTED_VALUE"""),"natix")</f>
        <v>natix</v>
      </c>
      <c r="C8815" s="2" t="str">
        <f ca="1">IFERROR(__xludf.DUMMYFUNCTION("""COMPUTED_VALUE"""),"NATIX Network")</f>
        <v>NATIX Network</v>
      </c>
    </row>
    <row r="8816" spans="1:3" x14ac:dyDescent="0.25">
      <c r="A8816" s="2" t="str">
        <f ca="1">IFERROR(__xludf.DUMMYFUNCTION("""COMPUTED_VALUE"""),"natus-vincere-fan-token")</f>
        <v>natus-vincere-fan-token</v>
      </c>
      <c r="B8816" s="2" t="str">
        <f ca="1">IFERROR(__xludf.DUMMYFUNCTION("""COMPUTED_VALUE"""),"navi")</f>
        <v>navi</v>
      </c>
      <c r="C8816" s="2" t="str">
        <f ca="1">IFERROR(__xludf.DUMMYFUNCTION("""COMPUTED_VALUE"""),"Natus Vincere Fan Token")</f>
        <v>Natus Vincere Fan Token</v>
      </c>
    </row>
    <row r="8817" spans="1:3" x14ac:dyDescent="0.25">
      <c r="A8817" s="2" t="str">
        <f ca="1">IFERROR(__xludf.DUMMYFUNCTION("""COMPUTED_VALUE"""),"nautilus-network")</f>
        <v>nautilus-network</v>
      </c>
      <c r="B8817" s="2" t="str">
        <f ca="1">IFERROR(__xludf.DUMMYFUNCTION("""COMPUTED_VALUE"""),"ntl")</f>
        <v>ntl</v>
      </c>
      <c r="C8817" s="2" t="str">
        <f ca="1">IFERROR(__xludf.DUMMYFUNCTION("""COMPUTED_VALUE"""),"Nautilus Network")</f>
        <v>Nautilus Network</v>
      </c>
    </row>
    <row r="8818" spans="1:3" x14ac:dyDescent="0.25">
      <c r="A8818" s="2" t="str">
        <f ca="1">IFERROR(__xludf.DUMMYFUNCTION("""COMPUTED_VALUE"""),"nav-coin")</f>
        <v>nav-coin</v>
      </c>
      <c r="B8818" s="2" t="str">
        <f ca="1">IFERROR(__xludf.DUMMYFUNCTION("""COMPUTED_VALUE"""),"nav")</f>
        <v>nav</v>
      </c>
      <c r="C8818" s="2" t="str">
        <f ca="1">IFERROR(__xludf.DUMMYFUNCTION("""COMPUTED_VALUE"""),"Navcoin")</f>
        <v>Navcoin</v>
      </c>
    </row>
    <row r="8819" spans="1:3" x14ac:dyDescent="0.25">
      <c r="A8819" s="2" t="str">
        <f ca="1">IFERROR(__xludf.DUMMYFUNCTION("""COMPUTED_VALUE"""),"navi")</f>
        <v>navi</v>
      </c>
      <c r="B8819" s="2" t="str">
        <f ca="1">IFERROR(__xludf.DUMMYFUNCTION("""COMPUTED_VALUE"""),"navx")</f>
        <v>navx</v>
      </c>
      <c r="C8819" s="2" t="str">
        <f ca="1">IFERROR(__xludf.DUMMYFUNCTION("""COMPUTED_VALUE"""),"NAVI Protocol")</f>
        <v>NAVI Protocol</v>
      </c>
    </row>
    <row r="8820" spans="1:3" x14ac:dyDescent="0.25">
      <c r="A8820" s="2" t="str">
        <f ca="1">IFERROR(__xludf.DUMMYFUNCTION("""COMPUTED_VALUE"""),"navy-seal")</f>
        <v>navy-seal</v>
      </c>
      <c r="B8820" s="2" t="str">
        <f ca="1">IFERROR(__xludf.DUMMYFUNCTION("""COMPUTED_VALUE"""),"navyseal")</f>
        <v>navyseal</v>
      </c>
      <c r="C8820" s="2" t="str">
        <f ca="1">IFERROR(__xludf.DUMMYFUNCTION("""COMPUTED_VALUE"""),"Navy seal")</f>
        <v>Navy seal</v>
      </c>
    </row>
    <row r="8821" spans="1:3" x14ac:dyDescent="0.25">
      <c r="A8821" s="2" t="str">
        <f ca="1">IFERROR(__xludf.DUMMYFUNCTION("""COMPUTED_VALUE"""),"naws-ai")</f>
        <v>naws-ai</v>
      </c>
      <c r="B8821" s="2" t="str">
        <f ca="1">IFERROR(__xludf.DUMMYFUNCTION("""COMPUTED_VALUE"""),"naws")</f>
        <v>naws</v>
      </c>
      <c r="C8821" s="3" t="str">
        <f ca="1">IFERROR(__xludf.DUMMYFUNCTION("""COMPUTED_VALUE"""),"NAWS.AI")</f>
        <v>NAWS.AI</v>
      </c>
    </row>
    <row r="8822" spans="1:3" x14ac:dyDescent="0.25">
      <c r="A8822" s="2" t="str">
        <f ca="1">IFERROR(__xludf.DUMMYFUNCTION("""COMPUTED_VALUE"""),"naxion")</f>
        <v>naxion</v>
      </c>
      <c r="B8822" s="2" t="str">
        <f ca="1">IFERROR(__xludf.DUMMYFUNCTION("""COMPUTED_VALUE"""),"nxn")</f>
        <v>nxn</v>
      </c>
      <c r="C8822" s="2" t="str">
        <f ca="1">IFERROR(__xludf.DUMMYFUNCTION("""COMPUTED_VALUE"""),"Naxion")</f>
        <v>Naxion</v>
      </c>
    </row>
    <row r="8823" spans="1:3" x14ac:dyDescent="0.25">
      <c r="A8823" s="2" t="str">
        <f ca="1">IFERROR(__xludf.DUMMYFUNCTION("""COMPUTED_VALUE"""),"nbl")</f>
        <v>nbl</v>
      </c>
      <c r="B8823" s="2" t="str">
        <f ca="1">IFERROR(__xludf.DUMMYFUNCTION("""COMPUTED_VALUE"""),"nbl")</f>
        <v>nbl</v>
      </c>
      <c r="C8823" s="2" t="str">
        <f ca="1">IFERROR(__xludf.DUMMYFUNCTION("""COMPUTED_VALUE"""),"NBL")</f>
        <v>NBL</v>
      </c>
    </row>
    <row r="8824" spans="1:3" x14ac:dyDescent="0.25">
      <c r="A8824" s="2" t="str">
        <f ca="1">IFERROR(__xludf.DUMMYFUNCTION("""COMPUTED_VALUE"""),"nchart")</f>
        <v>nchart</v>
      </c>
      <c r="B8824" s="2" t="str">
        <f ca="1">IFERROR(__xludf.DUMMYFUNCTION("""COMPUTED_VALUE"""),"chart")</f>
        <v>chart</v>
      </c>
      <c r="C8824" s="2" t="str">
        <f ca="1">IFERROR(__xludf.DUMMYFUNCTION("""COMPUTED_VALUE"""),"Nchart Token")</f>
        <v>Nchart Token</v>
      </c>
    </row>
    <row r="8825" spans="1:3" x14ac:dyDescent="0.25">
      <c r="A8825" s="2" t="str">
        <f ca="1">IFERROR(__xludf.DUMMYFUNCTION("""COMPUTED_VALUE"""),"ndau")</f>
        <v>ndau</v>
      </c>
      <c r="B8825" s="2" t="str">
        <f ca="1">IFERROR(__xludf.DUMMYFUNCTION("""COMPUTED_VALUE"""),"ndau")</f>
        <v>ndau</v>
      </c>
      <c r="C8825" s="2" t="str">
        <f ca="1">IFERROR(__xludf.DUMMYFUNCTION("""COMPUTED_VALUE"""),"Ndau")</f>
        <v>Ndau</v>
      </c>
    </row>
    <row r="8826" spans="1:3" x14ac:dyDescent="0.25">
      <c r="A8826" s="2" t="str">
        <f ca="1">IFERROR(__xludf.DUMMYFUNCTION("""COMPUTED_VALUE"""),"ndb")</f>
        <v>ndb</v>
      </c>
      <c r="B8826" s="2" t="str">
        <f ca="1">IFERROR(__xludf.DUMMYFUNCTION("""COMPUTED_VALUE"""),"ndb")</f>
        <v>ndb</v>
      </c>
      <c r="C8826" s="2" t="str">
        <f ca="1">IFERROR(__xludf.DUMMYFUNCTION("""COMPUTED_VALUE"""),"NDB")</f>
        <v>NDB</v>
      </c>
    </row>
    <row r="8827" spans="1:3" x14ac:dyDescent="0.25">
      <c r="A8827" s="2" t="str">
        <f ca="1">IFERROR(__xludf.DUMMYFUNCTION("""COMPUTED_VALUE"""),"ndc")</f>
        <v>ndc</v>
      </c>
      <c r="B8827" s="2" t="str">
        <f ca="1">IFERROR(__xludf.DUMMYFUNCTION("""COMPUTED_VALUE"""),"ndc")</f>
        <v>ndc</v>
      </c>
      <c r="C8827" s="2" t="str">
        <f ca="1">IFERROR(__xludf.DUMMYFUNCTION("""COMPUTED_VALUE"""),"NDC")</f>
        <v>NDC</v>
      </c>
    </row>
    <row r="8828" spans="1:3" x14ac:dyDescent="0.25">
      <c r="A8828" s="2" t="str">
        <f ca="1">IFERROR(__xludf.DUMMYFUNCTION("""COMPUTED_VALUE"""),"near")</f>
        <v>near</v>
      </c>
      <c r="B8828" s="2" t="str">
        <f ca="1">IFERROR(__xludf.DUMMYFUNCTION("""COMPUTED_VALUE"""),"near")</f>
        <v>near</v>
      </c>
      <c r="C8828" s="2" t="str">
        <f ca="1">IFERROR(__xludf.DUMMYFUNCTION("""COMPUTED_VALUE"""),"NEAR Protocol")</f>
        <v>NEAR Protocol</v>
      </c>
    </row>
    <row r="8829" spans="1:3" x14ac:dyDescent="0.25">
      <c r="A8829" s="2" t="str">
        <f ca="1">IFERROR(__xludf.DUMMYFUNCTION("""COMPUTED_VALUE"""),"nearlend-dao")</f>
        <v>nearlend-dao</v>
      </c>
      <c r="B8829" s="2" t="str">
        <f ca="1">IFERROR(__xludf.DUMMYFUNCTION("""COMPUTED_VALUE"""),"neld")</f>
        <v>neld</v>
      </c>
      <c r="C8829" s="2" t="str">
        <f ca="1">IFERROR(__xludf.DUMMYFUNCTION("""COMPUTED_VALUE"""),"Nearlend DAO")</f>
        <v>Nearlend DAO</v>
      </c>
    </row>
    <row r="8830" spans="1:3" x14ac:dyDescent="0.25">
      <c r="A8830" s="2" t="str">
        <f ca="1">IFERROR(__xludf.DUMMYFUNCTION("""COMPUTED_VALUE"""),"nearpad")</f>
        <v>nearpad</v>
      </c>
      <c r="B8830" s="2" t="str">
        <f ca="1">IFERROR(__xludf.DUMMYFUNCTION("""COMPUTED_VALUE"""),"pad")</f>
        <v>pad</v>
      </c>
      <c r="C8830" s="3" t="str">
        <f ca="1">IFERROR(__xludf.DUMMYFUNCTION("""COMPUTED_VALUE"""),"Pad.Fi")</f>
        <v>Pad.Fi</v>
      </c>
    </row>
    <row r="8831" spans="1:3" x14ac:dyDescent="0.25">
      <c r="A8831" s="2" t="str">
        <f ca="1">IFERROR(__xludf.DUMMYFUNCTION("""COMPUTED_VALUE"""),"nearstarter")</f>
        <v>nearstarter</v>
      </c>
      <c r="B8831" s="2" t="str">
        <f ca="1">IFERROR(__xludf.DUMMYFUNCTION("""COMPUTED_VALUE"""),"nstart")</f>
        <v>nstart</v>
      </c>
      <c r="C8831" s="2" t="str">
        <f ca="1">IFERROR(__xludf.DUMMYFUNCTION("""COMPUTED_VALUE"""),"NEARStarter")</f>
        <v>NEARStarter</v>
      </c>
    </row>
    <row r="8832" spans="1:3" x14ac:dyDescent="0.25">
      <c r="A8832" s="2" t="str">
        <f ca="1">IFERROR(__xludf.DUMMYFUNCTION("""COMPUTED_VALUE"""),"near-tinker-union-gear")</f>
        <v>near-tinker-union-gear</v>
      </c>
      <c r="B8832" s="2" t="str">
        <f ca="1">IFERROR(__xludf.DUMMYFUNCTION("""COMPUTED_VALUE"""),"gear")</f>
        <v>gear</v>
      </c>
      <c r="C8832" s="2" t="str">
        <f ca="1">IFERROR(__xludf.DUMMYFUNCTION("""COMPUTED_VALUE"""),"Near Tinker Union GEAR")</f>
        <v>Near Tinker Union GEAR</v>
      </c>
    </row>
    <row r="8833" spans="1:3" x14ac:dyDescent="0.25">
      <c r="A8833" s="2" t="str">
        <f ca="1">IFERROR(__xludf.DUMMYFUNCTION("""COMPUTED_VALUE"""),"neat")</f>
        <v>neat</v>
      </c>
      <c r="B8833" s="2" t="str">
        <f ca="1">IFERROR(__xludf.DUMMYFUNCTION("""COMPUTED_VALUE"""),"neat")</f>
        <v>neat</v>
      </c>
      <c r="C8833" s="2" t="str">
        <f ca="1">IFERROR(__xludf.DUMMYFUNCTION("""COMPUTED_VALUE"""),"NEAT")</f>
        <v>NEAT</v>
      </c>
    </row>
    <row r="8834" spans="1:3" x14ac:dyDescent="0.25">
      <c r="A8834" s="2" t="str">
        <f ca="1">IFERROR(__xludf.DUMMYFUNCTION("""COMPUTED_VALUE"""),"neblio")</f>
        <v>neblio</v>
      </c>
      <c r="B8834" s="2" t="str">
        <f ca="1">IFERROR(__xludf.DUMMYFUNCTION("""COMPUTED_VALUE"""),"nebl")</f>
        <v>nebl</v>
      </c>
      <c r="C8834" s="2" t="str">
        <f ca="1">IFERROR(__xludf.DUMMYFUNCTION("""COMPUTED_VALUE"""),"Neblio")</f>
        <v>Neblio</v>
      </c>
    </row>
    <row r="8835" spans="1:3" x14ac:dyDescent="0.25">
      <c r="A8835" s="2" t="str">
        <f ca="1">IFERROR(__xludf.DUMMYFUNCTION("""COMPUTED_VALUE"""),"nebula-2")</f>
        <v>nebula-2</v>
      </c>
      <c r="B8835" s="2" t="str">
        <f ca="1">IFERROR(__xludf.DUMMYFUNCTION("""COMPUTED_VALUE"""),"nebula")</f>
        <v>nebula</v>
      </c>
      <c r="C8835" s="2" t="str">
        <f ca="1">IFERROR(__xludf.DUMMYFUNCTION("""COMPUTED_VALUE"""),"Nebula")</f>
        <v>Nebula</v>
      </c>
    </row>
    <row r="8836" spans="1:3" x14ac:dyDescent="0.25">
      <c r="A8836" s="2" t="str">
        <f ca="1">IFERROR(__xludf.DUMMYFUNCTION("""COMPUTED_VALUE"""),"nebula-3")</f>
        <v>nebula-3</v>
      </c>
      <c r="B8836" s="2" t="str">
        <f ca="1">IFERROR(__xludf.DUMMYFUNCTION("""COMPUTED_VALUE"""),"nebula")</f>
        <v>nebula</v>
      </c>
      <c r="C8836" s="2" t="str">
        <f ca="1">IFERROR(__xludf.DUMMYFUNCTION("""COMPUTED_VALUE"""),"Nebula")</f>
        <v>Nebula</v>
      </c>
    </row>
    <row r="8837" spans="1:3" x14ac:dyDescent="0.25">
      <c r="A8837" s="2" t="str">
        <f ca="1">IFERROR(__xludf.DUMMYFUNCTION("""COMPUTED_VALUE"""),"nebula-project")</f>
        <v>nebula-project</v>
      </c>
      <c r="B8837" s="2" t="str">
        <f ca="1">IFERROR(__xludf.DUMMYFUNCTION("""COMPUTED_VALUE"""),"nbla")</f>
        <v>nbla</v>
      </c>
      <c r="C8837" s="2" t="str">
        <f ca="1">IFERROR(__xludf.DUMMYFUNCTION("""COMPUTED_VALUE"""),"Nebula Project")</f>
        <v>Nebula Project</v>
      </c>
    </row>
    <row r="8838" spans="1:3" x14ac:dyDescent="0.25">
      <c r="A8838" s="2" t="str">
        <f ca="1">IFERROR(__xludf.DUMMYFUNCTION("""COMPUTED_VALUE"""),"nebulas")</f>
        <v>nebulas</v>
      </c>
      <c r="B8838" s="2" t="str">
        <f ca="1">IFERROR(__xludf.DUMMYFUNCTION("""COMPUTED_VALUE"""),"nas")</f>
        <v>nas</v>
      </c>
      <c r="C8838" s="2" t="str">
        <f ca="1">IFERROR(__xludf.DUMMYFUNCTION("""COMPUTED_VALUE"""),"Nebulas")</f>
        <v>Nebulas</v>
      </c>
    </row>
    <row r="8839" spans="1:3" x14ac:dyDescent="0.25">
      <c r="A8839" s="2" t="str">
        <f ca="1">IFERROR(__xludf.DUMMYFUNCTION("""COMPUTED_VALUE"""),"nebx")</f>
        <v>nebx</v>
      </c>
      <c r="B8839" s="2" t="str">
        <f ca="1">IFERROR(__xludf.DUMMYFUNCTION("""COMPUTED_VALUE"""),"xpower")</f>
        <v>xpower</v>
      </c>
      <c r="C8839" s="2" t="str">
        <f ca="1">IFERROR(__xludf.DUMMYFUNCTION("""COMPUTED_VALUE"""),"NebX")</f>
        <v>NebX</v>
      </c>
    </row>
    <row r="8840" spans="1:3" x14ac:dyDescent="0.25">
      <c r="A8840" s="2" t="str">
        <f ca="1">IFERROR(__xludf.DUMMYFUNCTION("""COMPUTED_VALUE"""),"ned")</f>
        <v>ned</v>
      </c>
      <c r="B8840" s="2" t="str">
        <f ca="1">IFERROR(__xludf.DUMMYFUNCTION("""COMPUTED_VALUE"""),"ned")</f>
        <v>ned</v>
      </c>
      <c r="C8840" s="2" t="str">
        <f ca="1">IFERROR(__xludf.DUMMYFUNCTION("""COMPUTED_VALUE"""),"NED")</f>
        <v>NED</v>
      </c>
    </row>
    <row r="8841" spans="1:3" x14ac:dyDescent="0.25">
      <c r="A8841" s="2" t="str">
        <f ca="1">IFERROR(__xludf.DUMMYFUNCTION("""COMPUTED_VALUE"""),"nefty")</f>
        <v>nefty</v>
      </c>
      <c r="B8841" s="2" t="str">
        <f ca="1">IFERROR(__xludf.DUMMYFUNCTION("""COMPUTED_VALUE"""),"nefty")</f>
        <v>nefty</v>
      </c>
      <c r="C8841" s="2" t="str">
        <f ca="1">IFERROR(__xludf.DUMMYFUNCTION("""COMPUTED_VALUE"""),"NeftyBlocks")</f>
        <v>NeftyBlocks</v>
      </c>
    </row>
    <row r="8842" spans="1:3" x14ac:dyDescent="0.25">
      <c r="A8842" s="2" t="str">
        <f ca="1">IFERROR(__xludf.DUMMYFUNCTION("""COMPUTED_VALUE"""),"negative-tax")</f>
        <v>negative-tax</v>
      </c>
      <c r="B8842" s="2" t="str">
        <f ca="1">IFERROR(__xludf.DUMMYFUNCTION("""COMPUTED_VALUE"""),"neta")</f>
        <v>neta</v>
      </c>
      <c r="C8842" s="2" t="str">
        <f ca="1">IFERROR(__xludf.DUMMYFUNCTION("""COMPUTED_VALUE"""),"Negative Tax")</f>
        <v>Negative Tax</v>
      </c>
    </row>
    <row r="8843" spans="1:3" x14ac:dyDescent="0.25">
      <c r="A8843" s="2" t="str">
        <f ca="1">IFERROR(__xludf.DUMMYFUNCTION("""COMPUTED_VALUE"""),"neged")</f>
        <v>neged</v>
      </c>
      <c r="B8843" s="2" t="str">
        <f ca="1">IFERROR(__xludf.DUMMYFUNCTION("""COMPUTED_VALUE"""),"neged")</f>
        <v>neged</v>
      </c>
      <c r="C8843" s="2" t="str">
        <f ca="1">IFERROR(__xludf.DUMMYFUNCTION("""COMPUTED_VALUE"""),"Neged")</f>
        <v>Neged</v>
      </c>
    </row>
    <row r="8844" spans="1:3" x14ac:dyDescent="0.25">
      <c r="A8844" s="2" t="str">
        <f ca="1">IFERROR(__xludf.DUMMYFUNCTION("""COMPUTED_VALUE"""),"neighbourhoods")</f>
        <v>neighbourhoods</v>
      </c>
      <c r="B8844" s="2" t="str">
        <f ca="1">IFERROR(__xludf.DUMMYFUNCTION("""COMPUTED_VALUE"""),"nht")</f>
        <v>nht</v>
      </c>
      <c r="C8844" s="2" t="str">
        <f ca="1">IFERROR(__xludf.DUMMYFUNCTION("""COMPUTED_VALUE"""),"Neighbourhoods")</f>
        <v>Neighbourhoods</v>
      </c>
    </row>
    <row r="8845" spans="1:3" x14ac:dyDescent="0.25">
      <c r="A8845" s="2" t="str">
        <f ca="1">IFERROR(__xludf.DUMMYFUNCTION("""COMPUTED_VALUE"""),"neirei")</f>
        <v>neirei</v>
      </c>
      <c r="B8845" s="2" t="str">
        <f ca="1">IFERROR(__xludf.DUMMYFUNCTION("""COMPUTED_VALUE"""),"neirei")</f>
        <v>neirei</v>
      </c>
      <c r="C8845" s="2" t="str">
        <f ca="1">IFERROR(__xludf.DUMMYFUNCTION("""COMPUTED_VALUE"""),"Neirei")</f>
        <v>Neirei</v>
      </c>
    </row>
    <row r="8846" spans="1:3" x14ac:dyDescent="0.25">
      <c r="A8846" s="2" t="str">
        <f ca="1">IFERROR(__xludf.DUMMYFUNCTION("""COMPUTED_VALUE"""),"neiro")</f>
        <v>neiro</v>
      </c>
      <c r="B8846" s="2" t="str">
        <f ca="1">IFERROR(__xludf.DUMMYFUNCTION("""COMPUTED_VALUE"""),"neiro")</f>
        <v>neiro</v>
      </c>
      <c r="C8846" s="2" t="str">
        <f ca="1">IFERROR(__xludf.DUMMYFUNCTION("""COMPUTED_VALUE"""),"Neiro")</f>
        <v>Neiro</v>
      </c>
    </row>
    <row r="8847" spans="1:3" x14ac:dyDescent="0.25">
      <c r="A8847" s="2" t="str">
        <f ca="1">IFERROR(__xludf.DUMMYFUNCTION("""COMPUTED_VALUE"""),"neiro-2")</f>
        <v>neiro-2</v>
      </c>
      <c r="B8847" s="2" t="str">
        <f ca="1">IFERROR(__xludf.DUMMYFUNCTION("""COMPUTED_VALUE"""),"neiro")</f>
        <v>neiro</v>
      </c>
      <c r="C8847" s="2" t="str">
        <f ca="1">IFERROR(__xludf.DUMMYFUNCTION("""COMPUTED_VALUE"""),"Neiro")</f>
        <v>Neiro</v>
      </c>
    </row>
    <row r="8848" spans="1:3" x14ac:dyDescent="0.25">
      <c r="A8848" s="2" t="str">
        <f ca="1">IFERROR(__xludf.DUMMYFUNCTION("""COMPUTED_VALUE"""),"neiro-3")</f>
        <v>neiro-3</v>
      </c>
      <c r="B8848" s="2" t="str">
        <f ca="1">IFERROR(__xludf.DUMMYFUNCTION("""COMPUTED_VALUE"""),"neiro")</f>
        <v>neiro</v>
      </c>
      <c r="C8848" s="2" t="str">
        <f ca="1">IFERROR(__xludf.DUMMYFUNCTION("""COMPUTED_VALUE"""),"Neiro")</f>
        <v>Neiro</v>
      </c>
    </row>
    <row r="8849" spans="1:3" x14ac:dyDescent="0.25">
      <c r="A8849" s="2" t="str">
        <f ca="1">IFERROR(__xludf.DUMMYFUNCTION("""COMPUTED_VALUE"""),"neiro-on-eth")</f>
        <v>neiro-on-eth</v>
      </c>
      <c r="B8849" s="2" t="str">
        <f ca="1">IFERROR(__xludf.DUMMYFUNCTION("""COMPUTED_VALUE"""),"neiro")</f>
        <v>neiro</v>
      </c>
      <c r="C8849" s="2" t="str">
        <f ca="1">IFERROR(__xludf.DUMMYFUNCTION("""COMPUTED_VALUE"""),"Neiro on ETH")</f>
        <v>Neiro on ETH</v>
      </c>
    </row>
    <row r="8850" spans="1:3" x14ac:dyDescent="0.25">
      <c r="A8850" s="2" t="str">
        <f ca="1">IFERROR(__xludf.DUMMYFUNCTION("""COMPUTED_VALUE"""),"neiro-on-tron")</f>
        <v>neiro-on-tron</v>
      </c>
      <c r="B8850" s="2" t="str">
        <f ca="1">IFERROR(__xludf.DUMMYFUNCTION("""COMPUTED_VALUE"""),"neiro")</f>
        <v>neiro</v>
      </c>
      <c r="C8850" s="2" t="str">
        <f ca="1">IFERROR(__xludf.DUMMYFUNCTION("""COMPUTED_VALUE"""),"Neiro on Tron")</f>
        <v>Neiro on Tron</v>
      </c>
    </row>
    <row r="8851" spans="1:3" x14ac:dyDescent="0.25">
      <c r="A8851" s="2" t="str">
        <f ca="1">IFERROR(__xludf.DUMMYFUNCTION("""COMPUTED_VALUE"""),"neko")</f>
        <v>neko</v>
      </c>
      <c r="B8851" s="2" t="str">
        <f ca="1">IFERROR(__xludf.DUMMYFUNCTION("""COMPUTED_VALUE"""),"neko")</f>
        <v>neko</v>
      </c>
      <c r="C8851" s="2" t="str">
        <f ca="1">IFERROR(__xludf.DUMMYFUNCTION("""COMPUTED_VALUE"""),"NEKO")</f>
        <v>NEKO</v>
      </c>
    </row>
    <row r="8852" spans="1:3" x14ac:dyDescent="0.25">
      <c r="A8852" s="2" t="str">
        <f ca="1">IFERROR(__xludf.DUMMYFUNCTION("""COMPUTED_VALUE"""),"nekocoin-2")</f>
        <v>nekocoin-2</v>
      </c>
      <c r="B8852" s="2" t="str">
        <f ca="1">IFERROR(__xludf.DUMMYFUNCTION("""COMPUTED_VALUE"""),"((=ↀωↀ=))")</f>
        <v>((=ↀωↀ=))</v>
      </c>
      <c r="C8852" s="2" t="str">
        <f ca="1">IFERROR(__xludf.DUMMYFUNCTION("""COMPUTED_VALUE"""),"Nekocoin")</f>
        <v>Nekocoin</v>
      </c>
    </row>
    <row r="8853" spans="1:3" x14ac:dyDescent="0.25">
      <c r="A8853" s="2" t="str">
        <f ca="1">IFERROR(__xludf.DUMMYFUNCTION("""COMPUTED_VALUE"""),"nekoverse-city-of-greed-anima-spirit-gem")</f>
        <v>nekoverse-city-of-greed-anima-spirit-gem</v>
      </c>
      <c r="B8853" s="2" t="str">
        <f ca="1">IFERROR(__xludf.DUMMYFUNCTION("""COMPUTED_VALUE"""),"asg")</f>
        <v>asg</v>
      </c>
      <c r="C8853" s="2" t="str">
        <f ca="1">IFERROR(__xludf.DUMMYFUNCTION("""COMPUTED_VALUE"""),"Nekoverse: City of Greed Anima Spirit Gem")</f>
        <v>Nekoverse: City of Greed Anima Spirit Gem</v>
      </c>
    </row>
    <row r="8854" spans="1:3" x14ac:dyDescent="0.25">
      <c r="A8854" s="2" t="str">
        <f ca="1">IFERROR(__xludf.DUMMYFUNCTION("""COMPUTED_VALUE"""),"nelore-coin")</f>
        <v>nelore-coin</v>
      </c>
      <c r="B8854" s="2" t="str">
        <f ca="1">IFERROR(__xludf.DUMMYFUNCTION("""COMPUTED_VALUE"""),"nlc")</f>
        <v>nlc</v>
      </c>
      <c r="C8854" s="2" t="str">
        <f ca="1">IFERROR(__xludf.DUMMYFUNCTION("""COMPUTED_VALUE"""),"Nelore Coin")</f>
        <v>Nelore Coin</v>
      </c>
    </row>
    <row r="8855" spans="1:3" x14ac:dyDescent="0.25">
      <c r="A8855" s="2" t="str">
        <f ca="1">IFERROR(__xludf.DUMMYFUNCTION("""COMPUTED_VALUE"""),"nem")</f>
        <v>nem</v>
      </c>
      <c r="B8855" s="2" t="str">
        <f ca="1">IFERROR(__xludf.DUMMYFUNCTION("""COMPUTED_VALUE"""),"xem")</f>
        <v>xem</v>
      </c>
      <c r="C8855" s="2" t="str">
        <f ca="1">IFERROR(__xludf.DUMMYFUNCTION("""COMPUTED_VALUE"""),"NEM")</f>
        <v>NEM</v>
      </c>
    </row>
    <row r="8856" spans="1:3" x14ac:dyDescent="0.25">
      <c r="A8856" s="2" t="str">
        <f ca="1">IFERROR(__xludf.DUMMYFUNCTION("""COMPUTED_VALUE"""),"nemesis-downfall")</f>
        <v>nemesis-downfall</v>
      </c>
      <c r="B8856" s="2" t="str">
        <f ca="1">IFERROR(__xludf.DUMMYFUNCTION("""COMPUTED_VALUE"""),"nd")</f>
        <v>nd</v>
      </c>
      <c r="C8856" s="2" t="str">
        <f ca="1">IFERROR(__xludf.DUMMYFUNCTION("""COMPUTED_VALUE"""),"Nemesis Downfall")</f>
        <v>Nemesis Downfall</v>
      </c>
    </row>
    <row r="8857" spans="1:3" x14ac:dyDescent="0.25">
      <c r="A8857" s="2" t="str">
        <f ca="1">IFERROR(__xludf.DUMMYFUNCTION("""COMPUTED_VALUE"""),"nemgame")</f>
        <v>nemgame</v>
      </c>
      <c r="B8857" s="2" t="str">
        <f ca="1">IFERROR(__xludf.DUMMYFUNCTION("""COMPUTED_VALUE"""),"nem")</f>
        <v>nem</v>
      </c>
      <c r="C8857" s="2" t="str">
        <f ca="1">IFERROR(__xludf.DUMMYFUNCTION("""COMPUTED_VALUE"""),"NemGame")</f>
        <v>NemGame</v>
      </c>
    </row>
    <row r="8858" spans="1:3" x14ac:dyDescent="0.25">
      <c r="A8858" s="2" t="str">
        <f ca="1">IFERROR(__xludf.DUMMYFUNCTION("""COMPUTED_VALUE"""),"nemo")</f>
        <v>nemo</v>
      </c>
      <c r="B8858" s="2" t="str">
        <f ca="1">IFERROR(__xludf.DUMMYFUNCTION("""COMPUTED_VALUE"""),"nemo")</f>
        <v>nemo</v>
      </c>
      <c r="C8858" s="2" t="str">
        <f ca="1">IFERROR(__xludf.DUMMYFUNCTION("""COMPUTED_VALUE"""),"NEMO")</f>
        <v>NEMO</v>
      </c>
    </row>
    <row r="8859" spans="1:3" x14ac:dyDescent="0.25">
      <c r="A8859" s="2" t="str">
        <f ca="1">IFERROR(__xludf.DUMMYFUNCTION("""COMPUTED_VALUE"""),"nemo-sum")</f>
        <v>nemo-sum</v>
      </c>
      <c r="B8859" s="2" t="str">
        <f ca="1">IFERROR(__xludf.DUMMYFUNCTION("""COMPUTED_VALUE"""),"nemo")</f>
        <v>nemo</v>
      </c>
      <c r="C8859" s="2" t="str">
        <f ca="1">IFERROR(__xludf.DUMMYFUNCTION("""COMPUTED_VALUE"""),"Nemo Sum")</f>
        <v>Nemo Sum</v>
      </c>
    </row>
    <row r="8860" spans="1:3" x14ac:dyDescent="0.25">
      <c r="A8860" s="2" t="str">
        <f ca="1">IFERROR(__xludf.DUMMYFUNCTION("""COMPUTED_VALUE"""),"nengcoin")</f>
        <v>nengcoin</v>
      </c>
      <c r="B8860" s="2" t="str">
        <f ca="1">IFERROR(__xludf.DUMMYFUNCTION("""COMPUTED_VALUE"""),"neng")</f>
        <v>neng</v>
      </c>
      <c r="C8860" s="2" t="str">
        <f ca="1">IFERROR(__xludf.DUMMYFUNCTION("""COMPUTED_VALUE"""),"Nengcoin")</f>
        <v>Nengcoin</v>
      </c>
    </row>
    <row r="8861" spans="1:3" x14ac:dyDescent="0.25">
      <c r="A8861" s="2" t="str">
        <f ca="1">IFERROR(__xludf.DUMMYFUNCTION("""COMPUTED_VALUE"""),"neo")</f>
        <v>neo</v>
      </c>
      <c r="B8861" s="2" t="str">
        <f ca="1">IFERROR(__xludf.DUMMYFUNCTION("""COMPUTED_VALUE"""),"neo")</f>
        <v>neo</v>
      </c>
      <c r="C8861" s="2" t="str">
        <f ca="1">IFERROR(__xludf.DUMMYFUNCTION("""COMPUTED_VALUE"""),"NEO")</f>
        <v>NEO</v>
      </c>
    </row>
    <row r="8862" spans="1:3" x14ac:dyDescent="0.25">
      <c r="A8862" s="2" t="str">
        <f ca="1">IFERROR(__xludf.DUMMYFUNCTION("""COMPUTED_VALUE"""),"neoaudit-ai")</f>
        <v>neoaudit-ai</v>
      </c>
      <c r="B8862" s="2" t="str">
        <f ca="1">IFERROR(__xludf.DUMMYFUNCTION("""COMPUTED_VALUE"""),"naai")</f>
        <v>naai</v>
      </c>
      <c r="C8862" s="2" t="str">
        <f ca="1">IFERROR(__xludf.DUMMYFUNCTION("""COMPUTED_VALUE"""),"NeoAudit AI")</f>
        <v>NeoAudit AI</v>
      </c>
    </row>
    <row r="8863" spans="1:3" x14ac:dyDescent="0.25">
      <c r="A8863" s="2" t="str">
        <f ca="1">IFERROR(__xludf.DUMMYFUNCTION("""COMPUTED_VALUE"""),"neocortexai-2")</f>
        <v>neocortexai-2</v>
      </c>
      <c r="B8863" s="2" t="str">
        <f ca="1">IFERROR(__xludf.DUMMYFUNCTION("""COMPUTED_VALUE"""),"cortex")</f>
        <v>cortex</v>
      </c>
      <c r="C8863" s="2" t="str">
        <f ca="1">IFERROR(__xludf.DUMMYFUNCTION("""COMPUTED_VALUE"""),"NeoCortexAI")</f>
        <v>NeoCortexAI</v>
      </c>
    </row>
    <row r="8864" spans="1:3" x14ac:dyDescent="0.25">
      <c r="A8864" s="2" t="str">
        <f ca="1">IFERROR(__xludf.DUMMYFUNCTION("""COMPUTED_VALUE"""),"neon")</f>
        <v>neon</v>
      </c>
      <c r="B8864" s="2" t="str">
        <f ca="1">IFERROR(__xludf.DUMMYFUNCTION("""COMPUTED_VALUE"""),"neon")</f>
        <v>neon</v>
      </c>
      <c r="C8864" s="2" t="str">
        <f ca="1">IFERROR(__xludf.DUMMYFUNCTION("""COMPUTED_VALUE"""),"Neon")</f>
        <v>Neon</v>
      </c>
    </row>
    <row r="8865" spans="1:3" x14ac:dyDescent="0.25">
      <c r="A8865" s="2" t="str">
        <f ca="1">IFERROR(__xludf.DUMMYFUNCTION("""COMPUTED_VALUE"""),"neonai")</f>
        <v>neonai</v>
      </c>
      <c r="B8865" s="2" t="str">
        <f ca="1">IFERROR(__xludf.DUMMYFUNCTION("""COMPUTED_VALUE"""),"neonai")</f>
        <v>neonai</v>
      </c>
      <c r="C8865" s="2" t="str">
        <f ca="1">IFERROR(__xludf.DUMMYFUNCTION("""COMPUTED_VALUE"""),"NeonAI")</f>
        <v>NeonAI</v>
      </c>
    </row>
    <row r="8866" spans="1:3" x14ac:dyDescent="0.25">
      <c r="A8866" s="2" t="str">
        <f ca="1">IFERROR(__xludf.DUMMYFUNCTION("""COMPUTED_VALUE"""),"neon-exchange")</f>
        <v>neon-exchange</v>
      </c>
      <c r="B8866" s="2" t="str">
        <f ca="1">IFERROR(__xludf.DUMMYFUNCTION("""COMPUTED_VALUE"""),"nex")</f>
        <v>nex</v>
      </c>
      <c r="C8866" s="2" t="str">
        <f ca="1">IFERROR(__xludf.DUMMYFUNCTION("""COMPUTED_VALUE"""),"Nash")</f>
        <v>Nash</v>
      </c>
    </row>
    <row r="8867" spans="1:3" x14ac:dyDescent="0.25">
      <c r="A8867" s="2" t="str">
        <f ca="1">IFERROR(__xludf.DUMMYFUNCTION("""COMPUTED_VALUE"""),"neonpass-bridged-sol-neon-evm")</f>
        <v>neonpass-bridged-sol-neon-evm</v>
      </c>
      <c r="B8867" s="2" t="str">
        <f ca="1">IFERROR(__xludf.DUMMYFUNCTION("""COMPUTED_VALUE"""),"sol")</f>
        <v>sol</v>
      </c>
      <c r="C8867" s="2" t="str">
        <f ca="1">IFERROR(__xludf.DUMMYFUNCTION("""COMPUTED_VALUE"""),"NeonPass Bridged SOL (Neon EVM)")</f>
        <v>NeonPass Bridged SOL (Neon EVM)</v>
      </c>
    </row>
    <row r="8868" spans="1:3" x14ac:dyDescent="0.25">
      <c r="A8868" s="2" t="str">
        <f ca="1">IFERROR(__xludf.DUMMYFUNCTION("""COMPUTED_VALUE"""),"neonpass-bridged-usdc-neon")</f>
        <v>neonpass-bridged-usdc-neon</v>
      </c>
      <c r="B8868" s="2" t="str">
        <f ca="1">IFERROR(__xludf.DUMMYFUNCTION("""COMPUTED_VALUE"""),"usdc")</f>
        <v>usdc</v>
      </c>
      <c r="C8868" s="2" t="str">
        <f ca="1">IFERROR(__xludf.DUMMYFUNCTION("""COMPUTED_VALUE"""),"NeonPass Bridged USDC (Neon)")</f>
        <v>NeonPass Bridged USDC (Neon)</v>
      </c>
    </row>
    <row r="8869" spans="1:3" x14ac:dyDescent="0.25">
      <c r="A8869" s="2" t="str">
        <f ca="1">IFERROR(__xludf.DUMMYFUNCTION("""COMPUTED_VALUE"""),"neonpass-bridged-usdt-neon")</f>
        <v>neonpass-bridged-usdt-neon</v>
      </c>
      <c r="B8869" s="2" t="str">
        <f ca="1">IFERROR(__xludf.DUMMYFUNCTION("""COMPUTED_VALUE"""),"usdt")</f>
        <v>usdt</v>
      </c>
      <c r="C8869" s="2" t="str">
        <f ca="1">IFERROR(__xludf.DUMMYFUNCTION("""COMPUTED_VALUE"""),"Neonpass Bridged USDT (Neon)")</f>
        <v>Neonpass Bridged USDT (Neon)</v>
      </c>
    </row>
    <row r="8870" spans="1:3" x14ac:dyDescent="0.25">
      <c r="A8870" s="2" t="str">
        <f ca="1">IFERROR(__xludf.DUMMYFUNCTION("""COMPUTED_VALUE"""),"neonx")</f>
        <v>neonx</v>
      </c>
      <c r="B8870" s="2" t="str">
        <f ca="1">IFERROR(__xludf.DUMMYFUNCTION("""COMPUTED_VALUE"""),"neo")</f>
        <v>neo</v>
      </c>
      <c r="C8870" s="2" t="str">
        <f ca="1">IFERROR(__xludf.DUMMYFUNCTION("""COMPUTED_VALUE"""),"NeonX")</f>
        <v>NeonX</v>
      </c>
    </row>
    <row r="8871" spans="1:3" x14ac:dyDescent="0.25">
      <c r="A8871" s="2" t="str">
        <f ca="1">IFERROR(__xludf.DUMMYFUNCTION("""COMPUTED_VALUE"""),"neopepe")</f>
        <v>neopepe</v>
      </c>
      <c r="B8871" s="2" t="str">
        <f ca="1">IFERROR(__xludf.DUMMYFUNCTION("""COMPUTED_VALUE"""),"neop")</f>
        <v>neop</v>
      </c>
      <c r="C8871" s="2" t="str">
        <f ca="1">IFERROR(__xludf.DUMMYFUNCTION("""COMPUTED_VALUE"""),"NeoPepe")</f>
        <v>NeoPepe</v>
      </c>
    </row>
    <row r="8872" spans="1:3" x14ac:dyDescent="0.25">
      <c r="A8872" s="2" t="str">
        <f ca="1">IFERROR(__xludf.DUMMYFUNCTION("""COMPUTED_VALUE"""),"neopin")</f>
        <v>neopin</v>
      </c>
      <c r="B8872" s="2" t="str">
        <f ca="1">IFERROR(__xludf.DUMMYFUNCTION("""COMPUTED_VALUE"""),"npt")</f>
        <v>npt</v>
      </c>
      <c r="C8872" s="2" t="str">
        <f ca="1">IFERROR(__xludf.DUMMYFUNCTION("""COMPUTED_VALUE"""),"Neopin")</f>
        <v>Neopin</v>
      </c>
    </row>
    <row r="8873" spans="1:3" x14ac:dyDescent="0.25">
      <c r="A8873" s="2" t="str">
        <f ca="1">IFERROR(__xludf.DUMMYFUNCTION("""COMPUTED_VALUE"""),"neorbit")</f>
        <v>neorbit</v>
      </c>
      <c r="B8873" s="2" t="str">
        <f ca="1">IFERROR(__xludf.DUMMYFUNCTION("""COMPUTED_VALUE"""),"safo")</f>
        <v>safo</v>
      </c>
      <c r="C8873" s="2" t="str">
        <f ca="1">IFERROR(__xludf.DUMMYFUNCTION("""COMPUTED_VALUE"""),"SAFEONE CHAIN")</f>
        <v>SAFEONE CHAIN</v>
      </c>
    </row>
    <row r="8874" spans="1:3" x14ac:dyDescent="0.25">
      <c r="A8874" s="2" t="str">
        <f ca="1">IFERROR(__xludf.DUMMYFUNCTION("""COMPUTED_VALUE"""),"neos-credits")</f>
        <v>neos-credits</v>
      </c>
      <c r="B8874" s="2" t="str">
        <f ca="1">IFERROR(__xludf.DUMMYFUNCTION("""COMPUTED_VALUE"""),"ncr")</f>
        <v>ncr</v>
      </c>
      <c r="C8874" s="2" t="str">
        <f ca="1">IFERROR(__xludf.DUMMYFUNCTION("""COMPUTED_VALUE"""),"Neos Credits")</f>
        <v>Neos Credits</v>
      </c>
    </row>
    <row r="8875" spans="1:3" x14ac:dyDescent="0.25">
      <c r="A8875" s="2" t="str">
        <f ca="1">IFERROR(__xludf.DUMMYFUNCTION("""COMPUTED_VALUE"""),"neo-tokyo")</f>
        <v>neo-tokyo</v>
      </c>
      <c r="B8875" s="2" t="str">
        <f ca="1">IFERROR(__xludf.DUMMYFUNCTION("""COMPUTED_VALUE"""),"bytes")</f>
        <v>bytes</v>
      </c>
      <c r="C8875" s="2" t="str">
        <f ca="1">IFERROR(__xludf.DUMMYFUNCTION("""COMPUTED_VALUE"""),"Neo Tokyo")</f>
        <v>Neo Tokyo</v>
      </c>
    </row>
    <row r="8876" spans="1:3" x14ac:dyDescent="0.25">
      <c r="A8876" s="2" t="str">
        <f ca="1">IFERROR(__xludf.DUMMYFUNCTION("""COMPUTED_VALUE"""),"neoxa")</f>
        <v>neoxa</v>
      </c>
      <c r="B8876" s="2" t="str">
        <f ca="1">IFERROR(__xludf.DUMMYFUNCTION("""COMPUTED_VALUE"""),"neox")</f>
        <v>neox</v>
      </c>
      <c r="C8876" s="2" t="str">
        <f ca="1">IFERROR(__xludf.DUMMYFUNCTION("""COMPUTED_VALUE"""),"Neoxa")</f>
        <v>Neoxa</v>
      </c>
    </row>
    <row r="8877" spans="1:3" x14ac:dyDescent="0.25">
      <c r="A8877" s="2" t="str">
        <f ca="1">IFERROR(__xludf.DUMMYFUNCTION("""COMPUTED_VALUE"""),"neptune-mutual")</f>
        <v>neptune-mutual</v>
      </c>
      <c r="B8877" s="2" t="str">
        <f ca="1">IFERROR(__xludf.DUMMYFUNCTION("""COMPUTED_VALUE"""),"npm")</f>
        <v>npm</v>
      </c>
      <c r="C8877" s="2" t="str">
        <f ca="1">IFERROR(__xludf.DUMMYFUNCTION("""COMPUTED_VALUE"""),"Neptune Mutual")</f>
        <v>Neptune Mutual</v>
      </c>
    </row>
    <row r="8878" spans="1:3" x14ac:dyDescent="0.25">
      <c r="A8878" s="2" t="str">
        <f ca="1">IFERROR(__xludf.DUMMYFUNCTION("""COMPUTED_VALUE"""),"neptune-protocol")</f>
        <v>neptune-protocol</v>
      </c>
      <c r="B8878" s="2" t="str">
        <f ca="1">IFERROR(__xludf.DUMMYFUNCTION("""COMPUTED_VALUE"""),"npt")</f>
        <v>npt</v>
      </c>
      <c r="C8878" s="2" t="str">
        <f ca="1">IFERROR(__xludf.DUMMYFUNCTION("""COMPUTED_VALUE"""),"Neptune Protocol")</f>
        <v>Neptune Protocol</v>
      </c>
    </row>
    <row r="8879" spans="1:3" x14ac:dyDescent="0.25">
      <c r="A8879" s="2" t="str">
        <f ca="1">IFERROR(__xludf.DUMMYFUNCTION("""COMPUTED_VALUE"""),"neptune-usd")</f>
        <v>neptune-usd</v>
      </c>
      <c r="B8879" s="2" t="str">
        <f ca="1">IFERROR(__xludf.DUMMYFUNCTION("""COMPUTED_VALUE"""),"usdn")</f>
        <v>usdn</v>
      </c>
      <c r="C8879" s="2" t="str">
        <f ca="1">IFERROR(__xludf.DUMMYFUNCTION("""COMPUTED_VALUE"""),"Neptune USD")</f>
        <v>Neptune USD</v>
      </c>
    </row>
    <row r="8880" spans="1:3" x14ac:dyDescent="0.25">
      <c r="A8880" s="2" t="str">
        <f ca="1">IFERROR(__xludf.DUMMYFUNCTION("""COMPUTED_VALUE"""),"neptunex")</f>
        <v>neptunex</v>
      </c>
      <c r="B8880" s="2" t="str">
        <f ca="1">IFERROR(__xludf.DUMMYFUNCTION("""COMPUTED_VALUE"""),"nptx")</f>
        <v>nptx</v>
      </c>
      <c r="C8880" s="2" t="str">
        <f ca="1">IFERROR(__xludf.DUMMYFUNCTION("""COMPUTED_VALUE"""),"NeptuneX")</f>
        <v>NeptuneX</v>
      </c>
    </row>
    <row r="8881" spans="1:3" x14ac:dyDescent="0.25">
      <c r="A8881" s="2" t="str">
        <f ca="1">IFERROR(__xludf.DUMMYFUNCTION("""COMPUTED_VALUE"""),"nerdbot")</f>
        <v>nerdbot</v>
      </c>
      <c r="B8881" s="2" t="str">
        <f ca="1">IFERROR(__xludf.DUMMYFUNCTION("""COMPUTED_VALUE"""),"nerd")</f>
        <v>nerd</v>
      </c>
      <c r="C8881" s="2" t="str">
        <f ca="1">IFERROR(__xludf.DUMMYFUNCTION("""COMPUTED_VALUE"""),"NerdBot")</f>
        <v>NerdBot</v>
      </c>
    </row>
    <row r="8882" spans="1:3" x14ac:dyDescent="0.25">
      <c r="A8882" s="2" t="str">
        <f ca="1">IFERROR(__xludf.DUMMYFUNCTION("""COMPUTED_VALUE"""),"nerds")</f>
        <v>nerds</v>
      </c>
      <c r="B8882" s="2" t="str">
        <f ca="1">IFERROR(__xludf.DUMMYFUNCTION("""COMPUTED_VALUE"""),"nerds")</f>
        <v>nerds</v>
      </c>
      <c r="C8882" s="2" t="str">
        <f ca="1">IFERROR(__xludf.DUMMYFUNCTION("""COMPUTED_VALUE"""),"Nerds")</f>
        <v>Nerds</v>
      </c>
    </row>
    <row r="8883" spans="1:3" x14ac:dyDescent="0.25">
      <c r="A8883" s="2" t="str">
        <f ca="1">IFERROR(__xludf.DUMMYFUNCTION("""COMPUTED_VALUE"""),"nero")</f>
        <v>nero</v>
      </c>
      <c r="B8883" s="2" t="str">
        <f ca="1">IFERROR(__xludf.DUMMYFUNCTION("""COMPUTED_VALUE"""),"npt")</f>
        <v>npt</v>
      </c>
      <c r="C8883" s="2" t="str">
        <f ca="1">IFERROR(__xludf.DUMMYFUNCTION("""COMPUTED_VALUE"""),"Nero")</f>
        <v>Nero</v>
      </c>
    </row>
    <row r="8884" spans="1:3" x14ac:dyDescent="0.25">
      <c r="A8884" s="2" t="str">
        <f ca="1">IFERROR(__xludf.DUMMYFUNCTION("""COMPUTED_VALUE"""),"nero-token")</f>
        <v>nero-token</v>
      </c>
      <c r="B8884" s="2" t="str">
        <f ca="1">IFERROR(__xludf.DUMMYFUNCTION("""COMPUTED_VALUE"""),"nero")</f>
        <v>nero</v>
      </c>
      <c r="C8884" s="2" t="str">
        <f ca="1">IFERROR(__xludf.DUMMYFUNCTION("""COMPUTED_VALUE"""),"Nero Token")</f>
        <v>Nero Token</v>
      </c>
    </row>
    <row r="8885" spans="1:3" x14ac:dyDescent="0.25">
      <c r="A8885" s="2" t="str">
        <f ca="1">IFERROR(__xludf.DUMMYFUNCTION("""COMPUTED_VALUE"""),"nerva")</f>
        <v>nerva</v>
      </c>
      <c r="B8885" s="2" t="str">
        <f ca="1">IFERROR(__xludf.DUMMYFUNCTION("""COMPUTED_VALUE"""),"xnv")</f>
        <v>xnv</v>
      </c>
      <c r="C8885" s="2" t="str">
        <f ca="1">IFERROR(__xludf.DUMMYFUNCTION("""COMPUTED_VALUE"""),"Nerva")</f>
        <v>Nerva</v>
      </c>
    </row>
    <row r="8886" spans="1:3" x14ac:dyDescent="0.25">
      <c r="A8886" s="2" t="str">
        <f ca="1">IFERROR(__xludf.DUMMYFUNCTION("""COMPUTED_VALUE"""),"nerve-finance")</f>
        <v>nerve-finance</v>
      </c>
      <c r="B8886" s="2" t="str">
        <f ca="1">IFERROR(__xludf.DUMMYFUNCTION("""COMPUTED_VALUE"""),"nrv")</f>
        <v>nrv</v>
      </c>
      <c r="C8886" s="2" t="str">
        <f ca="1">IFERROR(__xludf.DUMMYFUNCTION("""COMPUTED_VALUE"""),"Nerve Finance")</f>
        <v>Nerve Finance</v>
      </c>
    </row>
    <row r="8887" spans="1:3" x14ac:dyDescent="0.25">
      <c r="A8887" s="2" t="str">
        <f ca="1">IFERROR(__xludf.DUMMYFUNCTION("""COMPUTED_VALUE"""),"nerveflux")</f>
        <v>nerveflux</v>
      </c>
      <c r="B8887" s="2" t="str">
        <f ca="1">IFERROR(__xludf.DUMMYFUNCTION("""COMPUTED_VALUE"""),"nerve")</f>
        <v>nerve</v>
      </c>
      <c r="C8887" s="2" t="str">
        <f ca="1">IFERROR(__xludf.DUMMYFUNCTION("""COMPUTED_VALUE"""),"NerveFlux")</f>
        <v>NerveFlux</v>
      </c>
    </row>
    <row r="8888" spans="1:3" x14ac:dyDescent="0.25">
      <c r="A8888" s="2" t="str">
        <f ca="1">IFERROR(__xludf.DUMMYFUNCTION("""COMPUTED_VALUE"""),"nervenetwork")</f>
        <v>nervenetwork</v>
      </c>
      <c r="B8888" s="2" t="str">
        <f ca="1">IFERROR(__xludf.DUMMYFUNCTION("""COMPUTED_VALUE"""),"nvt")</f>
        <v>nvt</v>
      </c>
      <c r="C8888" s="2" t="str">
        <f ca="1">IFERROR(__xludf.DUMMYFUNCTION("""COMPUTED_VALUE"""),"NerveNetwork")</f>
        <v>NerveNetwork</v>
      </c>
    </row>
    <row r="8889" spans="1:3" x14ac:dyDescent="0.25">
      <c r="A8889" s="2" t="str">
        <f ca="1">IFERROR(__xludf.DUMMYFUNCTION("""COMPUTED_VALUE"""),"nervos-network")</f>
        <v>nervos-network</v>
      </c>
      <c r="B8889" s="2" t="str">
        <f ca="1">IFERROR(__xludf.DUMMYFUNCTION("""COMPUTED_VALUE"""),"ckb")</f>
        <v>ckb</v>
      </c>
      <c r="C8889" s="2" t="str">
        <f ca="1">IFERROR(__xludf.DUMMYFUNCTION("""COMPUTED_VALUE"""),"Nervos Network")</f>
        <v>Nervos Network</v>
      </c>
    </row>
    <row r="8890" spans="1:3" x14ac:dyDescent="0.25">
      <c r="A8890" s="2" t="str">
        <f ca="1">IFERROR(__xludf.DUMMYFUNCTION("""COMPUTED_VALUE"""),"ness-lab")</f>
        <v>ness-lab</v>
      </c>
      <c r="B8890" s="2" t="str">
        <f ca="1">IFERROR(__xludf.DUMMYFUNCTION("""COMPUTED_VALUE"""),"ness")</f>
        <v>ness</v>
      </c>
      <c r="C8890" s="2" t="str">
        <f ca="1">IFERROR(__xludf.DUMMYFUNCTION("""COMPUTED_VALUE"""),"Ness Lab")</f>
        <v>Ness Lab</v>
      </c>
    </row>
    <row r="8891" spans="1:3" x14ac:dyDescent="0.25">
      <c r="A8891" s="2" t="str">
        <f ca="1">IFERROR(__xludf.DUMMYFUNCTION("""COMPUTED_VALUE"""),"nest")</f>
        <v>nest</v>
      </c>
      <c r="B8891" s="2" t="str">
        <f ca="1">IFERROR(__xludf.DUMMYFUNCTION("""COMPUTED_VALUE"""),"nest")</f>
        <v>nest</v>
      </c>
      <c r="C8891" s="2" t="str">
        <f ca="1">IFERROR(__xludf.DUMMYFUNCTION("""COMPUTED_VALUE"""),"Nest Protocol")</f>
        <v>Nest Protocol</v>
      </c>
    </row>
    <row r="8892" spans="1:3" x14ac:dyDescent="0.25">
      <c r="A8892" s="2" t="str">
        <f ca="1">IFERROR(__xludf.DUMMYFUNCTION("""COMPUTED_VALUE"""),"nest-arcade")</f>
        <v>nest-arcade</v>
      </c>
      <c r="B8892" s="2" t="str">
        <f ca="1">IFERROR(__xludf.DUMMYFUNCTION("""COMPUTED_VALUE"""),"nesta")</f>
        <v>nesta</v>
      </c>
      <c r="C8892" s="2" t="str">
        <f ca="1">IFERROR(__xludf.DUMMYFUNCTION("""COMPUTED_VALUE"""),"Nest Arcade")</f>
        <v>Nest Arcade</v>
      </c>
    </row>
    <row r="8893" spans="1:3" x14ac:dyDescent="0.25">
      <c r="A8893" s="2" t="str">
        <f ca="1">IFERROR(__xludf.DUMMYFUNCTION("""COMPUTED_VALUE"""),"nestegg-coin")</f>
        <v>nestegg-coin</v>
      </c>
      <c r="B8893" s="2" t="str">
        <f ca="1">IFERROR(__xludf.DUMMYFUNCTION("""COMPUTED_VALUE"""),"egg")</f>
        <v>egg</v>
      </c>
      <c r="C8893" s="2" t="str">
        <f ca="1">IFERROR(__xludf.DUMMYFUNCTION("""COMPUTED_VALUE"""),"NestEgg Coin")</f>
        <v>NestEgg Coin</v>
      </c>
    </row>
    <row r="8894" spans="1:3" x14ac:dyDescent="0.25">
      <c r="A8894" s="2" t="str">
        <f ca="1">IFERROR(__xludf.DUMMYFUNCTION("""COMPUTED_VALUE"""),"nestree")</f>
        <v>nestree</v>
      </c>
      <c r="B8894" s="2" t="str">
        <f ca="1">IFERROR(__xludf.DUMMYFUNCTION("""COMPUTED_VALUE"""),"egg")</f>
        <v>egg</v>
      </c>
      <c r="C8894" s="2" t="str">
        <f ca="1">IFERROR(__xludf.DUMMYFUNCTION("""COMPUTED_VALUE"""),"Nestree")</f>
        <v>Nestree</v>
      </c>
    </row>
    <row r="8895" spans="1:3" x14ac:dyDescent="0.25">
      <c r="A8895" s="2" t="str">
        <f ca="1">IFERROR(__xludf.DUMMYFUNCTION("""COMPUTED_VALUE"""),"neta")</f>
        <v>neta</v>
      </c>
      <c r="B8895" s="2" t="str">
        <f ca="1">IFERROR(__xludf.DUMMYFUNCTION("""COMPUTED_VALUE"""),"neta")</f>
        <v>neta</v>
      </c>
      <c r="C8895" s="2" t="str">
        <f ca="1">IFERROR(__xludf.DUMMYFUNCTION("""COMPUTED_VALUE"""),"NETA")</f>
        <v>NETA</v>
      </c>
    </row>
    <row r="8896" spans="1:3" x14ac:dyDescent="0.25">
      <c r="A8896" s="2" t="str">
        <f ca="1">IFERROR(__xludf.DUMMYFUNCTION("""COMPUTED_VALUE"""),"netcoincapital-2")</f>
        <v>netcoincapital-2</v>
      </c>
      <c r="B8896" s="2" t="str">
        <f ca="1">IFERROR(__xludf.DUMMYFUNCTION("""COMPUTED_VALUE"""),"ncc")</f>
        <v>ncc</v>
      </c>
      <c r="C8896" s="2" t="str">
        <f ca="1">IFERROR(__xludf.DUMMYFUNCTION("""COMPUTED_VALUE"""),"NetcoinCapital")</f>
        <v>NetcoinCapital</v>
      </c>
    </row>
    <row r="8897" spans="1:3" x14ac:dyDescent="0.25">
      <c r="A8897" s="2" t="str">
        <f ca="1">IFERROR(__xludf.DUMMYFUNCTION("""COMPUTED_VALUE"""),"netflix-tokenized-stock-defichain")</f>
        <v>netflix-tokenized-stock-defichain</v>
      </c>
      <c r="B8897" s="2" t="str">
        <f ca="1">IFERROR(__xludf.DUMMYFUNCTION("""COMPUTED_VALUE"""),"dnflx")</f>
        <v>dnflx</v>
      </c>
      <c r="C8897" s="2" t="str">
        <f ca="1">IFERROR(__xludf.DUMMYFUNCTION("""COMPUTED_VALUE"""),"Netflix Tokenized Stock Defichain")</f>
        <v>Netflix Tokenized Stock Defichain</v>
      </c>
    </row>
    <row r="8898" spans="1:3" x14ac:dyDescent="0.25">
      <c r="A8898" s="2" t="str">
        <f ca="1">IFERROR(__xludf.DUMMYFUNCTION("""COMPUTED_VALUE"""),"nether")</f>
        <v>nether</v>
      </c>
      <c r="B8898" s="2" t="str">
        <f ca="1">IFERROR(__xludf.DUMMYFUNCTION("""COMPUTED_VALUE"""),"ntr")</f>
        <v>ntr</v>
      </c>
      <c r="C8898" s="2" t="str">
        <f ca="1">IFERROR(__xludf.DUMMYFUNCTION("""COMPUTED_VALUE"""),"Nether")</f>
        <v>Nether</v>
      </c>
    </row>
    <row r="8899" spans="1:3" x14ac:dyDescent="0.25">
      <c r="A8899" s="2" t="str">
        <f ca="1">IFERROR(__xludf.DUMMYFUNCTION("""COMPUTED_VALUE"""),"netherfi")</f>
        <v>netherfi</v>
      </c>
      <c r="B8899" s="2" t="str">
        <f ca="1">IFERROR(__xludf.DUMMYFUNCTION("""COMPUTED_VALUE"""),"nfi")</f>
        <v>nfi</v>
      </c>
      <c r="C8899" s="2" t="str">
        <f ca="1">IFERROR(__xludf.DUMMYFUNCTION("""COMPUTED_VALUE"""),"NetherFi")</f>
        <v>NetherFi</v>
      </c>
    </row>
    <row r="8900" spans="1:3" x14ac:dyDescent="0.25">
      <c r="A8900" s="2" t="str">
        <f ca="1">IFERROR(__xludf.DUMMYFUNCTION("""COMPUTED_VALUE"""),"netherlands-coin")</f>
        <v>netherlands-coin</v>
      </c>
      <c r="B8900" s="2" t="str">
        <f ca="1">IFERROR(__xludf.DUMMYFUNCTION("""COMPUTED_VALUE"""),"ned")</f>
        <v>ned</v>
      </c>
      <c r="C8900" s="2" t="str">
        <f ca="1">IFERROR(__xludf.DUMMYFUNCTION("""COMPUTED_VALUE"""),"Netherlands Coin")</f>
        <v>Netherlands Coin</v>
      </c>
    </row>
    <row r="8901" spans="1:3" x14ac:dyDescent="0.25">
      <c r="A8901" s="2" t="str">
        <f ca="1">IFERROR(__xludf.DUMMYFUNCTION("""COMPUTED_VALUE"""),"netmind-token")</f>
        <v>netmind-token</v>
      </c>
      <c r="B8901" s="2" t="str">
        <f ca="1">IFERROR(__xludf.DUMMYFUNCTION("""COMPUTED_VALUE"""),"nmt")</f>
        <v>nmt</v>
      </c>
      <c r="C8901" s="2" t="str">
        <f ca="1">IFERROR(__xludf.DUMMYFUNCTION("""COMPUTED_VALUE"""),"NetMind Token")</f>
        <v>NetMind Token</v>
      </c>
    </row>
    <row r="8902" spans="1:3" x14ac:dyDescent="0.25">
      <c r="A8902" s="2" t="str">
        <f ca="1">IFERROR(__xludf.DUMMYFUNCTION("""COMPUTED_VALUE"""),"neton")</f>
        <v>neton</v>
      </c>
      <c r="B8902" s="2" t="str">
        <f ca="1">IFERROR(__xludf.DUMMYFUNCTION("""COMPUTED_VALUE"""),"nto")</f>
        <v>nto</v>
      </c>
      <c r="C8902" s="2" t="str">
        <f ca="1">IFERROR(__xludf.DUMMYFUNCTION("""COMPUTED_VALUE"""),"Neton")</f>
        <v>Neton</v>
      </c>
    </row>
    <row r="8903" spans="1:3" x14ac:dyDescent="0.25">
      <c r="A8903" s="2" t="str">
        <f ca="1">IFERROR(__xludf.DUMMYFUNCTION("""COMPUTED_VALUE"""),"netsis")</f>
        <v>netsis</v>
      </c>
      <c r="B8903" s="2" t="str">
        <f ca="1">IFERROR(__xludf.DUMMYFUNCTION("""COMPUTED_VALUE"""),"net")</f>
        <v>net</v>
      </c>
      <c r="C8903" s="2" t="str">
        <f ca="1">IFERROR(__xludf.DUMMYFUNCTION("""COMPUTED_VALUE"""),"Netsis")</f>
        <v>Netsis</v>
      </c>
    </row>
    <row r="8904" spans="1:3" x14ac:dyDescent="0.25">
      <c r="A8904" s="2" t="str">
        <f ca="1">IFERROR(__xludf.DUMMYFUNCTION("""COMPUTED_VALUE"""),"netswap")</f>
        <v>netswap</v>
      </c>
      <c r="B8904" s="2" t="str">
        <f ca="1">IFERROR(__xludf.DUMMYFUNCTION("""COMPUTED_VALUE"""),"nett")</f>
        <v>nett</v>
      </c>
      <c r="C8904" s="2" t="str">
        <f ca="1">IFERROR(__xludf.DUMMYFUNCTION("""COMPUTED_VALUE"""),"Netswap")</f>
        <v>Netswap</v>
      </c>
    </row>
    <row r="8905" spans="1:3" x14ac:dyDescent="0.25">
      <c r="A8905" s="2" t="str">
        <f ca="1">IFERROR(__xludf.DUMMYFUNCTION("""COMPUTED_VALUE"""),"nettensor")</f>
        <v>nettensor</v>
      </c>
      <c r="B8905" s="2" t="str">
        <f ca="1">IFERROR(__xludf.DUMMYFUNCTION("""COMPUTED_VALUE"""),"nao")</f>
        <v>nao</v>
      </c>
      <c r="C8905" s="2" t="str">
        <f ca="1">IFERROR(__xludf.DUMMYFUNCTION("""COMPUTED_VALUE"""),"Nettensor")</f>
        <v>Nettensor</v>
      </c>
    </row>
    <row r="8906" spans="1:3" x14ac:dyDescent="0.25">
      <c r="A8906" s="2" t="str">
        <f ca="1">IFERROR(__xludf.DUMMYFUNCTION("""COMPUTED_VALUE"""),"netvrk")</f>
        <v>netvrk</v>
      </c>
      <c r="B8906" s="2" t="str">
        <f ca="1">IFERROR(__xludf.DUMMYFUNCTION("""COMPUTED_VALUE"""),"netvr")</f>
        <v>netvr</v>
      </c>
      <c r="C8906" s="2" t="str">
        <f ca="1">IFERROR(__xludf.DUMMYFUNCTION("""COMPUTED_VALUE"""),"Netvrk")</f>
        <v>Netvrk</v>
      </c>
    </row>
    <row r="8907" spans="1:3" x14ac:dyDescent="0.25">
      <c r="A8907" s="2" t="str">
        <f ca="1">IFERROR(__xludf.DUMMYFUNCTION("""COMPUTED_VALUE"""),"netzero")</f>
        <v>netzero</v>
      </c>
      <c r="B8907" s="2" t="str">
        <f ca="1">IFERROR(__xludf.DUMMYFUNCTION("""COMPUTED_VALUE"""),"nzero")</f>
        <v>nzero</v>
      </c>
      <c r="C8907" s="2" t="str">
        <f ca="1">IFERROR(__xludf.DUMMYFUNCTION("""COMPUTED_VALUE"""),"NETZERO")</f>
        <v>NETZERO</v>
      </c>
    </row>
    <row r="8908" spans="1:3" x14ac:dyDescent="0.25">
      <c r="A8908" s="2" t="str">
        <f ca="1">IFERROR(__xludf.DUMMYFUNCTION("""COMPUTED_VALUE"""),"neuracat")</f>
        <v>neuracat</v>
      </c>
      <c r="B8908" s="2" t="str">
        <f ca="1">IFERROR(__xludf.DUMMYFUNCTION("""COMPUTED_VALUE"""),"ncat")</f>
        <v>ncat</v>
      </c>
      <c r="C8908" s="2" t="str">
        <f ca="1">IFERROR(__xludf.DUMMYFUNCTION("""COMPUTED_VALUE"""),"Neuracat")</f>
        <v>Neuracat</v>
      </c>
    </row>
    <row r="8909" spans="1:3" x14ac:dyDescent="0.25">
      <c r="A8909" s="2" t="str">
        <f ca="1">IFERROR(__xludf.DUMMYFUNCTION("""COMPUTED_VALUE"""),"neuracat-2")</f>
        <v>neuracat-2</v>
      </c>
      <c r="B8909" s="2" t="str">
        <f ca="1">IFERROR(__xludf.DUMMYFUNCTION("""COMPUTED_VALUE"""),"ncat")</f>
        <v>ncat</v>
      </c>
      <c r="C8909" s="2" t="str">
        <f ca="1">IFERROR(__xludf.DUMMYFUNCTION("""COMPUTED_VALUE"""),"Neuracat")</f>
        <v>Neuracat</v>
      </c>
    </row>
    <row r="8910" spans="1:3" x14ac:dyDescent="0.25">
      <c r="A8910" s="2" t="str">
        <f ca="1">IFERROR(__xludf.DUMMYFUNCTION("""COMPUTED_VALUE"""),"neurahub")</f>
        <v>neurahub</v>
      </c>
      <c r="B8910" s="2" t="str">
        <f ca="1">IFERROR(__xludf.DUMMYFUNCTION("""COMPUTED_VALUE"""),"neura")</f>
        <v>neura</v>
      </c>
      <c r="C8910" s="2" t="str">
        <f ca="1">IFERROR(__xludf.DUMMYFUNCTION("""COMPUTED_VALUE"""),"Neurahub")</f>
        <v>Neurahub</v>
      </c>
    </row>
    <row r="8911" spans="1:3" x14ac:dyDescent="0.25">
      <c r="A8911" s="2" t="str">
        <f ca="1">IFERROR(__xludf.DUMMYFUNCTION("""COMPUTED_VALUE"""),"neurai")</f>
        <v>neurai</v>
      </c>
      <c r="B8911" s="2" t="str">
        <f ca="1">IFERROR(__xludf.DUMMYFUNCTION("""COMPUTED_VALUE"""),"xna")</f>
        <v>xna</v>
      </c>
      <c r="C8911" s="2" t="str">
        <f ca="1">IFERROR(__xludf.DUMMYFUNCTION("""COMPUTED_VALUE"""),"Neurai")</f>
        <v>Neurai</v>
      </c>
    </row>
    <row r="8912" spans="1:3" x14ac:dyDescent="0.25">
      <c r="A8912" s="2" t="str">
        <f ca="1">IFERROR(__xludf.DUMMYFUNCTION("""COMPUTED_VALUE"""),"neuralai")</f>
        <v>neuralai</v>
      </c>
      <c r="B8912" s="2" t="str">
        <f ca="1">IFERROR(__xludf.DUMMYFUNCTION("""COMPUTED_VALUE"""),"neural")</f>
        <v>neural</v>
      </c>
      <c r="C8912" s="2" t="str">
        <f ca="1">IFERROR(__xludf.DUMMYFUNCTION("""COMPUTED_VALUE"""),"NEURALAI")</f>
        <v>NEURALAI</v>
      </c>
    </row>
    <row r="8913" spans="1:3" x14ac:dyDescent="0.25">
      <c r="A8913" s="2" t="str">
        <f ca="1">IFERROR(__xludf.DUMMYFUNCTION("""COMPUTED_VALUE"""),"neural-ai")</f>
        <v>neural-ai</v>
      </c>
      <c r="B8913" s="2" t="str">
        <f ca="1">IFERROR(__xludf.DUMMYFUNCTION("""COMPUTED_VALUE"""),"neuralai")</f>
        <v>neuralai</v>
      </c>
      <c r="C8913" s="2" t="str">
        <f ca="1">IFERROR(__xludf.DUMMYFUNCTION("""COMPUTED_VALUE"""),"Neural AI")</f>
        <v>Neural AI</v>
      </c>
    </row>
    <row r="8914" spans="1:3" x14ac:dyDescent="0.25">
      <c r="A8914" s="2" t="str">
        <f ca="1">IFERROR(__xludf.DUMMYFUNCTION("""COMPUTED_VALUE"""),"neuralbot")</f>
        <v>neuralbot</v>
      </c>
      <c r="B8914" s="2" t="str">
        <f ca="1">IFERROR(__xludf.DUMMYFUNCTION("""COMPUTED_VALUE"""),"$neural")</f>
        <v>$neural</v>
      </c>
      <c r="C8914" s="2" t="str">
        <f ca="1">IFERROR(__xludf.DUMMYFUNCTION("""COMPUTED_VALUE"""),"NeuralBot")</f>
        <v>NeuralBot</v>
      </c>
    </row>
    <row r="8915" spans="1:3" x14ac:dyDescent="0.25">
      <c r="A8915" s="2" t="str">
        <f ca="1">IFERROR(__xludf.DUMMYFUNCTION("""COMPUTED_VALUE"""),"neuralbyte")</f>
        <v>neuralbyte</v>
      </c>
      <c r="B8915" s="2" t="str">
        <f ca="1">IFERROR(__xludf.DUMMYFUNCTION("""COMPUTED_VALUE"""),"nbt")</f>
        <v>nbt</v>
      </c>
      <c r="C8915" s="2" t="str">
        <f ca="1">IFERROR(__xludf.DUMMYFUNCTION("""COMPUTED_VALUE"""),"NeuralByte")</f>
        <v>NeuralByte</v>
      </c>
    </row>
    <row r="8916" spans="1:3" x14ac:dyDescent="0.25">
      <c r="A8916" s="2" t="str">
        <f ca="1">IFERROR(__xludf.DUMMYFUNCTION("""COMPUTED_VALUE"""),"neural-radiance-field")</f>
        <v>neural-radiance-field</v>
      </c>
      <c r="B8916" s="2" t="str">
        <f ca="1">IFERROR(__xludf.DUMMYFUNCTION("""COMPUTED_VALUE"""),"nerf")</f>
        <v>nerf</v>
      </c>
      <c r="C8916" s="2" t="str">
        <f ca="1">IFERROR(__xludf.DUMMYFUNCTION("""COMPUTED_VALUE"""),"Neural Radiance Field")</f>
        <v>Neural Radiance Field</v>
      </c>
    </row>
    <row r="8917" spans="1:3" x14ac:dyDescent="0.25">
      <c r="A8917" s="2" t="str">
        <f ca="1">IFERROR(__xludf.DUMMYFUNCTION("""COMPUTED_VALUE"""),"neural-tensor-dynamics")</f>
        <v>neural-tensor-dynamics</v>
      </c>
      <c r="B8917" s="2" t="str">
        <f ca="1">IFERROR(__xludf.DUMMYFUNCTION("""COMPUTED_VALUE"""),"ntd")</f>
        <v>ntd</v>
      </c>
      <c r="C8917" s="2" t="str">
        <f ca="1">IFERROR(__xludf.DUMMYFUNCTION("""COMPUTED_VALUE"""),"Neural Tensor Dynamics")</f>
        <v>Neural Tensor Dynamics</v>
      </c>
    </row>
    <row r="8918" spans="1:3" x14ac:dyDescent="0.25">
      <c r="A8918" s="2" t="str">
        <f ca="1">IFERROR(__xludf.DUMMYFUNCTION("""COMPUTED_VALUE"""),"neurashi")</f>
        <v>neurashi</v>
      </c>
      <c r="B8918" s="2" t="str">
        <f ca="1">IFERROR(__xludf.DUMMYFUNCTION("""COMPUTED_VALUE"""),"nei")</f>
        <v>nei</v>
      </c>
      <c r="C8918" s="2" t="str">
        <f ca="1">IFERROR(__xludf.DUMMYFUNCTION("""COMPUTED_VALUE"""),"Neurashi")</f>
        <v>Neurashi</v>
      </c>
    </row>
    <row r="8919" spans="1:3" x14ac:dyDescent="0.25">
      <c r="A8919" s="2" t="str">
        <f ca="1">IFERROR(__xludf.DUMMYFUNCTION("""COMPUTED_VALUE"""),"neurochainai")</f>
        <v>neurochainai</v>
      </c>
      <c r="B8919" s="2" t="str">
        <f ca="1">IFERROR(__xludf.DUMMYFUNCTION("""COMPUTED_VALUE"""),"ncn")</f>
        <v>ncn</v>
      </c>
      <c r="C8919" s="2" t="str">
        <f ca="1">IFERROR(__xludf.DUMMYFUNCTION("""COMPUTED_VALUE"""),"NeurochainAI")</f>
        <v>NeurochainAI</v>
      </c>
    </row>
    <row r="8920" spans="1:3" x14ac:dyDescent="0.25">
      <c r="A8920" s="2" t="str">
        <f ca="1">IFERROR(__xludf.DUMMYFUNCTION("""COMPUTED_VALUE"""),"neuron")</f>
        <v>neuron</v>
      </c>
      <c r="B8920" s="2" t="str">
        <f ca="1">IFERROR(__xludf.DUMMYFUNCTION("""COMPUTED_VALUE"""),"nrn")</f>
        <v>nrn</v>
      </c>
      <c r="C8920" s="2" t="str">
        <f ca="1">IFERROR(__xludf.DUMMYFUNCTION("""COMPUTED_VALUE"""),"Neuron")</f>
        <v>Neuron</v>
      </c>
    </row>
    <row r="8921" spans="1:3" x14ac:dyDescent="0.25">
      <c r="A8921" s="2" t="str">
        <f ca="1">IFERROR(__xludf.DUMMYFUNCTION("""COMPUTED_VALUE"""),"neuroni-ai")</f>
        <v>neuroni-ai</v>
      </c>
      <c r="B8921" s="2" t="str">
        <f ca="1">IFERROR(__xludf.DUMMYFUNCTION("""COMPUTED_VALUE"""),"neuroni")</f>
        <v>neuroni</v>
      </c>
      <c r="C8921" s="2" t="str">
        <f ca="1">IFERROR(__xludf.DUMMYFUNCTION("""COMPUTED_VALUE"""),"Neuroni AI")</f>
        <v>Neuroni AI</v>
      </c>
    </row>
    <row r="8922" spans="1:3" x14ac:dyDescent="0.25">
      <c r="A8922" s="2" t="str">
        <f ca="1">IFERROR(__xludf.DUMMYFUNCTION("""COMPUTED_VALUE"""),"neuron-icp")</f>
        <v>neuron-icp</v>
      </c>
      <c r="B8922" s="2" t="str">
        <f ca="1">IFERROR(__xludf.DUMMYFUNCTION("""COMPUTED_VALUE"""),"nicp")</f>
        <v>nicp</v>
      </c>
      <c r="C8922" s="2" t="str">
        <f ca="1">IFERROR(__xludf.DUMMYFUNCTION("""COMPUTED_VALUE"""),"neuron ICP")</f>
        <v>neuron ICP</v>
      </c>
    </row>
    <row r="8923" spans="1:3" x14ac:dyDescent="0.25">
      <c r="A8923" s="2" t="str">
        <f ca="1">IFERROR(__xludf.DUMMYFUNCTION("""COMPUTED_VALUE"""),"neuropulse-ai")</f>
        <v>neuropulse-ai</v>
      </c>
      <c r="B8923" s="2" t="str">
        <f ca="1">IFERROR(__xludf.DUMMYFUNCTION("""COMPUTED_VALUE"""),"npai")</f>
        <v>npai</v>
      </c>
      <c r="C8923" s="2" t="str">
        <f ca="1">IFERROR(__xludf.DUMMYFUNCTION("""COMPUTED_VALUE"""),"NeuroPulse AI")</f>
        <v>NeuroPulse AI</v>
      </c>
    </row>
    <row r="8924" spans="1:3" x14ac:dyDescent="0.25">
      <c r="A8924" s="2" t="str">
        <f ca="1">IFERROR(__xludf.DUMMYFUNCTION("""COMPUTED_VALUE"""),"neurowebai")</f>
        <v>neurowebai</v>
      </c>
      <c r="B8924" s="2" t="str">
        <f ca="1">IFERROR(__xludf.DUMMYFUNCTION("""COMPUTED_VALUE"""),"neuro")</f>
        <v>neuro</v>
      </c>
      <c r="C8924" s="2" t="str">
        <f ca="1">IFERROR(__xludf.DUMMYFUNCTION("""COMPUTED_VALUE"""),"NeuroWebAI")</f>
        <v>NeuroWebAI</v>
      </c>
    </row>
    <row r="8925" spans="1:3" x14ac:dyDescent="0.25">
      <c r="A8925" s="2" t="str">
        <f ca="1">IFERROR(__xludf.DUMMYFUNCTION("""COMPUTED_VALUE"""),"neutaro")</f>
        <v>neutaro</v>
      </c>
      <c r="B8925" s="2" t="str">
        <f ca="1">IFERROR(__xludf.DUMMYFUNCTION("""COMPUTED_VALUE"""),"ntmpi")</f>
        <v>ntmpi</v>
      </c>
      <c r="C8925" s="2" t="str">
        <f ca="1">IFERROR(__xludf.DUMMYFUNCTION("""COMPUTED_VALUE"""),"Neutaro")</f>
        <v>Neutaro</v>
      </c>
    </row>
    <row r="8926" spans="1:3" x14ac:dyDescent="0.25">
      <c r="A8926" s="2" t="str">
        <f ca="1">IFERROR(__xludf.DUMMYFUNCTION("""COMPUTED_VALUE"""),"neutra-finance")</f>
        <v>neutra-finance</v>
      </c>
      <c r="B8926" s="2" t="str">
        <f ca="1">IFERROR(__xludf.DUMMYFUNCTION("""COMPUTED_VALUE"""),"neu")</f>
        <v>neu</v>
      </c>
      <c r="C8926" s="2" t="str">
        <f ca="1">IFERROR(__xludf.DUMMYFUNCTION("""COMPUTED_VALUE"""),"Neutra Finance")</f>
        <v>Neutra Finance</v>
      </c>
    </row>
    <row r="8927" spans="1:3" x14ac:dyDescent="0.25">
      <c r="A8927" s="2" t="str">
        <f ca="1">IFERROR(__xludf.DUMMYFUNCTION("""COMPUTED_VALUE"""),"neutrino")</f>
        <v>neutrino</v>
      </c>
      <c r="B8927" s="2" t="str">
        <f ca="1">IFERROR(__xludf.DUMMYFUNCTION("""COMPUTED_VALUE"""),"xtn")</f>
        <v>xtn</v>
      </c>
      <c r="C8927" s="2" t="str">
        <f ca="1">IFERROR(__xludf.DUMMYFUNCTION("""COMPUTED_VALUE"""),"Neutrino Index Token")</f>
        <v>Neutrino Index Token</v>
      </c>
    </row>
    <row r="8928" spans="1:3" x14ac:dyDescent="0.25">
      <c r="A8928" s="2" t="str">
        <f ca="1">IFERROR(__xludf.DUMMYFUNCTION("""COMPUTED_VALUE"""),"neutrino-system-base-token")</f>
        <v>neutrino-system-base-token</v>
      </c>
      <c r="B8928" s="2" t="str">
        <f ca="1">IFERROR(__xludf.DUMMYFUNCTION("""COMPUTED_VALUE"""),"nsbt")</f>
        <v>nsbt</v>
      </c>
      <c r="C8928" s="2" t="str">
        <f ca="1">IFERROR(__xludf.DUMMYFUNCTION("""COMPUTED_VALUE"""),"Neutrino System Base")</f>
        <v>Neutrino System Base</v>
      </c>
    </row>
    <row r="8929" spans="1:3" x14ac:dyDescent="0.25">
      <c r="A8929" s="2" t="str">
        <f ca="1">IFERROR(__xludf.DUMMYFUNCTION("""COMPUTED_VALUE"""),"neutron-3")</f>
        <v>neutron-3</v>
      </c>
      <c r="B8929" s="2" t="str">
        <f ca="1">IFERROR(__xludf.DUMMYFUNCTION("""COMPUTED_VALUE"""),"ntrn")</f>
        <v>ntrn</v>
      </c>
      <c r="C8929" s="2" t="str">
        <f ca="1">IFERROR(__xludf.DUMMYFUNCTION("""COMPUTED_VALUE"""),"Neutron")</f>
        <v>Neutron</v>
      </c>
    </row>
    <row r="8930" spans="1:3" x14ac:dyDescent="0.25">
      <c r="A8930" s="2" t="str">
        <f ca="1">IFERROR(__xludf.DUMMYFUNCTION("""COMPUTED_VALUE"""),"neutron-4")</f>
        <v>neutron-4</v>
      </c>
      <c r="B8930" s="2" t="str">
        <f ca="1">IFERROR(__xludf.DUMMYFUNCTION("""COMPUTED_VALUE"""),"neutron20")</f>
        <v>neutron20</v>
      </c>
      <c r="C8930" s="2" t="str">
        <f ca="1">IFERROR(__xludf.DUMMYFUNCTION("""COMPUTED_VALUE"""),"Neutron (ARC-20)")</f>
        <v>Neutron (ARC-20)</v>
      </c>
    </row>
    <row r="8931" spans="1:3" x14ac:dyDescent="0.25">
      <c r="A8931" s="2" t="str">
        <f ca="1">IFERROR(__xludf.DUMMYFUNCTION("""COMPUTED_VALUE"""),"neutroswap")</f>
        <v>neutroswap</v>
      </c>
      <c r="B8931" s="2" t="str">
        <f ca="1">IFERROR(__xludf.DUMMYFUNCTION("""COMPUTED_VALUE"""),"neutro")</f>
        <v>neutro</v>
      </c>
      <c r="C8931" s="2" t="str">
        <f ca="1">IFERROR(__xludf.DUMMYFUNCTION("""COMPUTED_VALUE"""),"Neutroswap")</f>
        <v>Neutroswap</v>
      </c>
    </row>
    <row r="8932" spans="1:3" x14ac:dyDescent="0.25">
      <c r="A8932" s="2" t="str">
        <f ca="1">IFERROR(__xludf.DUMMYFUNCTION("""COMPUTED_VALUE"""),"neuy")</f>
        <v>neuy</v>
      </c>
      <c r="B8932" s="2" t="str">
        <f ca="1">IFERROR(__xludf.DUMMYFUNCTION("""COMPUTED_VALUE"""),"neuy")</f>
        <v>neuy</v>
      </c>
      <c r="C8932" s="2" t="str">
        <f ca="1">IFERROR(__xludf.DUMMYFUNCTION("""COMPUTED_VALUE"""),"NEUY")</f>
        <v>NEUY</v>
      </c>
    </row>
    <row r="8933" spans="1:3" x14ac:dyDescent="0.25">
      <c r="A8933" s="2" t="str">
        <f ca="1">IFERROR(__xludf.DUMMYFUNCTION("""COMPUTED_VALUE"""),"neva")</f>
        <v>neva</v>
      </c>
      <c r="B8933" s="2" t="str">
        <f ca="1">IFERROR(__xludf.DUMMYFUNCTION("""COMPUTED_VALUE"""),"neva")</f>
        <v>neva</v>
      </c>
      <c r="C8933" s="2" t="str">
        <f ca="1">IFERROR(__xludf.DUMMYFUNCTION("""COMPUTED_VALUE"""),"Neva")</f>
        <v>Neva</v>
      </c>
    </row>
    <row r="8934" spans="1:3" x14ac:dyDescent="0.25">
      <c r="A8934" s="2" t="str">
        <f ca="1">IFERROR(__xludf.DUMMYFUNCTION("""COMPUTED_VALUE"""),"nevacoin")</f>
        <v>nevacoin</v>
      </c>
      <c r="B8934" s="2" t="str">
        <f ca="1">IFERROR(__xludf.DUMMYFUNCTION("""COMPUTED_VALUE"""),"neva")</f>
        <v>neva</v>
      </c>
      <c r="C8934" s="2" t="str">
        <f ca="1">IFERROR(__xludf.DUMMYFUNCTION("""COMPUTED_VALUE"""),"NevaCoin")</f>
        <v>NevaCoin</v>
      </c>
    </row>
    <row r="8935" spans="1:3" x14ac:dyDescent="0.25">
      <c r="A8935" s="2" t="str">
        <f ca="1">IFERROR(__xludf.DUMMYFUNCTION("""COMPUTED_VALUE"""),"neversol")</f>
        <v>neversol</v>
      </c>
      <c r="B8935" s="2" t="str">
        <f ca="1">IFERROR(__xludf.DUMMYFUNCTION("""COMPUTED_VALUE"""),"never")</f>
        <v>never</v>
      </c>
      <c r="C8935" s="2" t="str">
        <f ca="1">IFERROR(__xludf.DUMMYFUNCTION("""COMPUTED_VALUE"""),"neversol")</f>
        <v>neversol</v>
      </c>
    </row>
    <row r="8936" spans="1:3" x14ac:dyDescent="0.25">
      <c r="A8936" s="2" t="str">
        <f ca="1">IFERROR(__xludf.DUMMYFUNCTION("""COMPUTED_VALUE"""),"newb-farm")</f>
        <v>newb-farm</v>
      </c>
      <c r="B8936" s="2" t="str">
        <f ca="1">IFERROR(__xludf.DUMMYFUNCTION("""COMPUTED_VALUE"""),"newb")</f>
        <v>newb</v>
      </c>
      <c r="C8936" s="2" t="str">
        <f ca="1">IFERROR(__xludf.DUMMYFUNCTION("""COMPUTED_VALUE"""),"NewB.Farm")</f>
        <v>NewB.Farm</v>
      </c>
    </row>
    <row r="8937" spans="1:3" x14ac:dyDescent="0.25">
      <c r="A8937" s="2" t="str">
        <f ca="1">IFERROR(__xludf.DUMMYFUNCTION("""COMPUTED_VALUE"""),"new-bitshares")</f>
        <v>new-bitshares</v>
      </c>
      <c r="B8937" s="2" t="str">
        <f ca="1">IFERROR(__xludf.DUMMYFUNCTION("""COMPUTED_VALUE"""),"nbs")</f>
        <v>nbs</v>
      </c>
      <c r="C8937" s="2" t="str">
        <f ca="1">IFERROR(__xludf.DUMMYFUNCTION("""COMPUTED_VALUE"""),"New BitShares")</f>
        <v>New BitShares</v>
      </c>
    </row>
    <row r="8938" spans="1:3" x14ac:dyDescent="0.25">
      <c r="A8938" s="2" t="str">
        <f ca="1">IFERROR(__xludf.DUMMYFUNCTION("""COMPUTED_VALUE"""),"newm")</f>
        <v>newm</v>
      </c>
      <c r="B8938" s="2" t="str">
        <f ca="1">IFERROR(__xludf.DUMMYFUNCTION("""COMPUTED_VALUE"""),"newm")</f>
        <v>newm</v>
      </c>
      <c r="C8938" s="2" t="str">
        <f ca="1">IFERROR(__xludf.DUMMYFUNCTION("""COMPUTED_VALUE"""),"NEWM")</f>
        <v>NEWM</v>
      </c>
    </row>
    <row r="8939" spans="1:3" x14ac:dyDescent="0.25">
      <c r="A8939" s="2" t="str">
        <f ca="1">IFERROR(__xludf.DUMMYFUNCTION("""COMPUTED_VALUE"""),"new-order")</f>
        <v>new-order</v>
      </c>
      <c r="B8939" s="2" t="str">
        <f ca="1">IFERROR(__xludf.DUMMYFUNCTION("""COMPUTED_VALUE"""),"newo")</f>
        <v>newo</v>
      </c>
      <c r="C8939" s="2" t="str">
        <f ca="1">IFERROR(__xludf.DUMMYFUNCTION("""COMPUTED_VALUE"""),"New Order")</f>
        <v>New Order</v>
      </c>
    </row>
    <row r="8940" spans="1:3" x14ac:dyDescent="0.25">
      <c r="A8940" s="2" t="str">
        <f ca="1">IFERROR(__xludf.DUMMYFUNCTION("""COMPUTED_VALUE"""),"newpepe")</f>
        <v>newpepe</v>
      </c>
      <c r="B8940" s="2" t="str">
        <f ca="1">IFERROR(__xludf.DUMMYFUNCTION("""COMPUTED_VALUE"""),"pepe")</f>
        <v>pepe</v>
      </c>
      <c r="C8940" s="2" t="str">
        <f ca="1">IFERROR(__xludf.DUMMYFUNCTION("""COMPUTED_VALUE"""),"NEWPEPE")</f>
        <v>NEWPEPE</v>
      </c>
    </row>
    <row r="8941" spans="1:3" x14ac:dyDescent="0.25">
      <c r="A8941" s="2" t="str">
        <f ca="1">IFERROR(__xludf.DUMMYFUNCTION("""COMPUTED_VALUE"""),"newscrypto-coin")</f>
        <v>newscrypto-coin</v>
      </c>
      <c r="B8941" s="2" t="str">
        <f ca="1">IFERROR(__xludf.DUMMYFUNCTION("""COMPUTED_VALUE"""),"nwc")</f>
        <v>nwc</v>
      </c>
      <c r="C8941" s="2" t="str">
        <f ca="1">IFERROR(__xludf.DUMMYFUNCTION("""COMPUTED_VALUE"""),"Numerico")</f>
        <v>Numerico</v>
      </c>
    </row>
    <row r="8942" spans="1:3" x14ac:dyDescent="0.25">
      <c r="A8942" s="2" t="str">
        <f ca="1">IFERROR(__xludf.DUMMYFUNCTION("""COMPUTED_VALUE"""),"newsly")</f>
        <v>newsly</v>
      </c>
      <c r="B8942" s="2" t="str">
        <f ca="1">IFERROR(__xludf.DUMMYFUNCTION("""COMPUTED_VALUE"""),"news")</f>
        <v>news</v>
      </c>
      <c r="C8942" s="2" t="str">
        <f ca="1">IFERROR(__xludf.DUMMYFUNCTION("""COMPUTED_VALUE"""),"Newsly")</f>
        <v>Newsly</v>
      </c>
    </row>
    <row r="8943" spans="1:3" x14ac:dyDescent="0.25">
      <c r="A8943" s="2" t="str">
        <f ca="1">IFERROR(__xludf.DUMMYFUNCTION("""COMPUTED_VALUE"""),"newt")</f>
        <v>newt</v>
      </c>
      <c r="B8943" s="2" t="str">
        <f ca="1">IFERROR(__xludf.DUMMYFUNCTION("""COMPUTED_VALUE"""),"newt")</f>
        <v>newt</v>
      </c>
      <c r="C8943" s="2" t="str">
        <f ca="1">IFERROR(__xludf.DUMMYFUNCTION("""COMPUTED_VALUE"""),"Newt")</f>
        <v>Newt</v>
      </c>
    </row>
    <row r="8944" spans="1:3" x14ac:dyDescent="0.25">
      <c r="A8944" s="2" t="str">
        <f ca="1">IFERROR(__xludf.DUMMYFUNCTION("""COMPUTED_VALUE"""),"newthrone")</f>
        <v>newthrone</v>
      </c>
      <c r="B8944" s="2" t="str">
        <f ca="1">IFERROR(__xludf.DUMMYFUNCTION("""COMPUTED_VALUE"""),"thro")</f>
        <v>thro</v>
      </c>
      <c r="C8944" s="2" t="str">
        <f ca="1">IFERROR(__xludf.DUMMYFUNCTION("""COMPUTED_VALUE"""),"NewThrone")</f>
        <v>NewThrone</v>
      </c>
    </row>
    <row r="8945" spans="1:3" x14ac:dyDescent="0.25">
      <c r="A8945" s="2" t="str">
        <f ca="1">IFERROR(__xludf.DUMMYFUNCTION("""COMPUTED_VALUE"""),"newton")</f>
        <v>newton</v>
      </c>
      <c r="B8945" s="2" t="str">
        <f ca="1">IFERROR(__xludf.DUMMYFUNCTION("""COMPUTED_VALUE"""),"ntn")</f>
        <v>ntn</v>
      </c>
      <c r="C8945" s="2" t="str">
        <f ca="1">IFERROR(__xludf.DUMMYFUNCTION("""COMPUTED_VALUE"""),"Newton")</f>
        <v>Newton</v>
      </c>
    </row>
    <row r="8946" spans="1:3" x14ac:dyDescent="0.25">
      <c r="A8946" s="2" t="str">
        <f ca="1">IFERROR(__xludf.DUMMYFUNCTION("""COMPUTED_VALUE"""),"newton-on-base")</f>
        <v>newton-on-base</v>
      </c>
      <c r="B8946" s="2" t="str">
        <f ca="1">IFERROR(__xludf.DUMMYFUNCTION("""COMPUTED_VALUE"""),"newb")</f>
        <v>newb</v>
      </c>
      <c r="C8946" s="2" t="str">
        <f ca="1">IFERROR(__xludf.DUMMYFUNCTION("""COMPUTED_VALUE"""),"Newton On Base")</f>
        <v>Newton On Base</v>
      </c>
    </row>
    <row r="8947" spans="1:3" x14ac:dyDescent="0.25">
      <c r="A8947" s="2" t="str">
        <f ca="1">IFERROR(__xludf.DUMMYFUNCTION("""COMPUTED_VALUE"""),"newton-project")</f>
        <v>newton-project</v>
      </c>
      <c r="B8947" s="2" t="str">
        <f ca="1">IFERROR(__xludf.DUMMYFUNCTION("""COMPUTED_VALUE"""),"new")</f>
        <v>new</v>
      </c>
      <c r="C8947" s="2" t="str">
        <f ca="1">IFERROR(__xludf.DUMMYFUNCTION("""COMPUTED_VALUE"""),"Newton Project")</f>
        <v>Newton Project</v>
      </c>
    </row>
    <row r="8948" spans="1:3" x14ac:dyDescent="0.25">
      <c r="A8948" s="2" t="str">
        <f ca="1">IFERROR(__xludf.DUMMYFUNCTION("""COMPUTED_VALUE"""),"new-world-order")</f>
        <v>new-world-order</v>
      </c>
      <c r="B8948" s="2" t="str">
        <f ca="1">IFERROR(__xludf.DUMMYFUNCTION("""COMPUTED_VALUE"""),"state")</f>
        <v>state</v>
      </c>
      <c r="C8948" s="2" t="str">
        <f ca="1">IFERROR(__xludf.DUMMYFUNCTION("""COMPUTED_VALUE"""),"New World Order")</f>
        <v>New World Order</v>
      </c>
    </row>
    <row r="8949" spans="1:3" x14ac:dyDescent="0.25">
      <c r="A8949" s="2" t="str">
        <f ca="1">IFERROR(__xludf.DUMMYFUNCTION("""COMPUTED_VALUE"""),"new-year-token")</f>
        <v>new-year-token</v>
      </c>
      <c r="B8949" s="2" t="str">
        <f ca="1">IFERROR(__xludf.DUMMYFUNCTION("""COMPUTED_VALUE"""),"nyt")</f>
        <v>nyt</v>
      </c>
      <c r="C8949" s="2" t="str">
        <f ca="1">IFERROR(__xludf.DUMMYFUNCTION("""COMPUTED_VALUE"""),"New Year")</f>
        <v>New Year</v>
      </c>
    </row>
    <row r="8950" spans="1:3" x14ac:dyDescent="0.25">
      <c r="A8950" s="2" t="str">
        <f ca="1">IFERROR(__xludf.DUMMYFUNCTION("""COMPUTED_VALUE"""),"newyorkcoin")</f>
        <v>newyorkcoin</v>
      </c>
      <c r="B8950" s="2" t="str">
        <f ca="1">IFERROR(__xludf.DUMMYFUNCTION("""COMPUTED_VALUE"""),"nyc")</f>
        <v>nyc</v>
      </c>
      <c r="C8950" s="2" t="str">
        <f ca="1">IFERROR(__xludf.DUMMYFUNCTION("""COMPUTED_VALUE"""),"NewYorkCoin")</f>
        <v>NewYorkCoin</v>
      </c>
    </row>
    <row r="8951" spans="1:3" x14ac:dyDescent="0.25">
      <c r="A8951" s="2" t="str">
        <f ca="1">IFERROR(__xludf.DUMMYFUNCTION("""COMPUTED_VALUE"""),"newyork-exchange")</f>
        <v>newyork-exchange</v>
      </c>
      <c r="B8951" s="2" t="str">
        <f ca="1">IFERROR(__xludf.DUMMYFUNCTION("""COMPUTED_VALUE"""),"nye")</f>
        <v>nye</v>
      </c>
      <c r="C8951" s="2" t="str">
        <f ca="1">IFERROR(__xludf.DUMMYFUNCTION("""COMPUTED_VALUE"""),"NewYork Exchange")</f>
        <v>NewYork Exchange</v>
      </c>
    </row>
    <row r="8952" spans="1:3" x14ac:dyDescent="0.25">
      <c r="A8952" s="2" t="str">
        <f ca="1">IFERROR(__xludf.DUMMYFUNCTION("""COMPUTED_VALUE"""),"nexacoin")</f>
        <v>nexacoin</v>
      </c>
      <c r="B8952" s="2" t="str">
        <f ca="1">IFERROR(__xludf.DUMMYFUNCTION("""COMPUTED_VALUE"""),"nexa")</f>
        <v>nexa</v>
      </c>
      <c r="C8952" s="2" t="str">
        <f ca="1">IFERROR(__xludf.DUMMYFUNCTION("""COMPUTED_VALUE"""),"Nexa")</f>
        <v>Nexa</v>
      </c>
    </row>
    <row r="8953" spans="1:3" x14ac:dyDescent="0.25">
      <c r="A8953" s="2" t="str">
        <f ca="1">IFERROR(__xludf.DUMMYFUNCTION("""COMPUTED_VALUE"""),"nexai")</f>
        <v>nexai</v>
      </c>
      <c r="B8953" s="2" t="str">
        <f ca="1">IFERROR(__xludf.DUMMYFUNCTION("""COMPUTED_VALUE"""),"nex")</f>
        <v>nex</v>
      </c>
      <c r="C8953" s="2" t="str">
        <f ca="1">IFERROR(__xludf.DUMMYFUNCTION("""COMPUTED_VALUE"""),"NexAI")</f>
        <v>NexAI</v>
      </c>
    </row>
    <row r="8954" spans="1:3" x14ac:dyDescent="0.25">
      <c r="A8954" s="2" t="str">
        <f ca="1">IFERROR(__xludf.DUMMYFUNCTION("""COMPUTED_VALUE"""),"nexdax")</f>
        <v>nexdax</v>
      </c>
      <c r="B8954" s="2" t="str">
        <f ca="1">IFERROR(__xludf.DUMMYFUNCTION("""COMPUTED_VALUE"""),"nt")</f>
        <v>nt</v>
      </c>
      <c r="C8954" s="2" t="str">
        <f ca="1">IFERROR(__xludf.DUMMYFUNCTION("""COMPUTED_VALUE"""),"NexDAX")</f>
        <v>NexDAX</v>
      </c>
    </row>
    <row r="8955" spans="1:3" x14ac:dyDescent="0.25">
      <c r="A8955" s="2" t="str">
        <f ca="1">IFERROR(__xludf.DUMMYFUNCTION("""COMPUTED_VALUE"""),"nexellia")</f>
        <v>nexellia</v>
      </c>
      <c r="B8955" s="2" t="str">
        <f ca="1">IFERROR(__xludf.DUMMYFUNCTION("""COMPUTED_VALUE"""),"nxl")</f>
        <v>nxl</v>
      </c>
      <c r="C8955" s="2" t="str">
        <f ca="1">IFERROR(__xludf.DUMMYFUNCTION("""COMPUTED_VALUE"""),"Nexell-AI")</f>
        <v>Nexell-AI</v>
      </c>
    </row>
    <row r="8956" spans="1:3" x14ac:dyDescent="0.25">
      <c r="A8956" s="2" t="str">
        <f ca="1">IFERROR(__xludf.DUMMYFUNCTION("""COMPUTED_VALUE"""),"nexgami")</f>
        <v>nexgami</v>
      </c>
      <c r="B8956" s="2" t="str">
        <f ca="1">IFERROR(__xludf.DUMMYFUNCTION("""COMPUTED_VALUE"""),"nexg")</f>
        <v>nexg</v>
      </c>
      <c r="C8956" s="2" t="str">
        <f ca="1">IFERROR(__xludf.DUMMYFUNCTION("""COMPUTED_VALUE"""),"NexGami")</f>
        <v>NexGami</v>
      </c>
    </row>
    <row r="8957" spans="1:3" x14ac:dyDescent="0.25">
      <c r="A8957" s="2" t="str">
        <f ca="1">IFERROR(__xludf.DUMMYFUNCTION("""COMPUTED_VALUE"""),"nexo")</f>
        <v>nexo</v>
      </c>
      <c r="B8957" s="2" t="str">
        <f ca="1">IFERROR(__xludf.DUMMYFUNCTION("""COMPUTED_VALUE"""),"nexo")</f>
        <v>nexo</v>
      </c>
      <c r="C8957" s="2" t="str">
        <f ca="1">IFERROR(__xludf.DUMMYFUNCTION("""COMPUTED_VALUE"""),"NEXO")</f>
        <v>NEXO</v>
      </c>
    </row>
    <row r="8958" spans="1:3" x14ac:dyDescent="0.25">
      <c r="A8958" s="2" t="str">
        <f ca="1">IFERROR(__xludf.DUMMYFUNCTION("""COMPUTED_VALUE"""),"nextdao")</f>
        <v>nextdao</v>
      </c>
      <c r="B8958" s="2" t="str">
        <f ca="1">IFERROR(__xludf.DUMMYFUNCTION("""COMPUTED_VALUE"""),"nax")</f>
        <v>nax</v>
      </c>
      <c r="C8958" s="2" t="str">
        <f ca="1">IFERROR(__xludf.DUMMYFUNCTION("""COMPUTED_VALUE"""),"NextDAO")</f>
        <v>NextDAO</v>
      </c>
    </row>
    <row r="8959" spans="1:3" x14ac:dyDescent="0.25">
      <c r="A8959" s="2" t="str">
        <f ca="1">IFERROR(__xludf.DUMMYFUNCTION("""COMPUTED_VALUE"""),"next-earth")</f>
        <v>next-earth</v>
      </c>
      <c r="B8959" s="2" t="str">
        <f ca="1">IFERROR(__xludf.DUMMYFUNCTION("""COMPUTED_VALUE"""),"nxtt")</f>
        <v>nxtt</v>
      </c>
      <c r="C8959" s="2" t="str">
        <f ca="1">IFERROR(__xludf.DUMMYFUNCTION("""COMPUTED_VALUE"""),"Next Earth")</f>
        <v>Next Earth</v>
      </c>
    </row>
    <row r="8960" spans="1:3" x14ac:dyDescent="0.25">
      <c r="A8960" s="2" t="str">
        <f ca="1">IFERROR(__xludf.DUMMYFUNCTION("""COMPUTED_VALUE"""),"next-gen-pepe")</f>
        <v>next-gen-pepe</v>
      </c>
      <c r="B8960" s="2" t="str">
        <f ca="1">IFERROR(__xludf.DUMMYFUNCTION("""COMPUTED_VALUE"""),"pepe")</f>
        <v>pepe</v>
      </c>
      <c r="C8960" s="2" t="str">
        <f ca="1">IFERROR(__xludf.DUMMYFUNCTION("""COMPUTED_VALUE"""),"Next Gen PEPE")</f>
        <v>Next Gen PEPE</v>
      </c>
    </row>
    <row r="8961" spans="1:3" x14ac:dyDescent="0.25">
      <c r="A8961" s="2" t="str">
        <f ca="1">IFERROR(__xludf.DUMMYFUNCTION("""COMPUTED_VALUE"""),"nextype-finance")</f>
        <v>nextype-finance</v>
      </c>
      <c r="B8961" s="2" t="str">
        <f ca="1">IFERROR(__xludf.DUMMYFUNCTION("""COMPUTED_VALUE"""),"nt")</f>
        <v>nt</v>
      </c>
      <c r="C8961" s="2" t="str">
        <f ca="1">IFERROR(__xludf.DUMMYFUNCTION("""COMPUTED_VALUE"""),"NEXTYPE Finance")</f>
        <v>NEXTYPE Finance</v>
      </c>
    </row>
    <row r="8962" spans="1:3" x14ac:dyDescent="0.25">
      <c r="A8962" s="2" t="str">
        <f ca="1">IFERROR(__xludf.DUMMYFUNCTION("""COMPUTED_VALUE"""),"nexum")</f>
        <v>nexum</v>
      </c>
      <c r="B8962" s="2" t="str">
        <f ca="1">IFERROR(__xludf.DUMMYFUNCTION("""COMPUTED_VALUE"""),"nexm")</f>
        <v>nexm</v>
      </c>
      <c r="C8962" s="2" t="str">
        <f ca="1">IFERROR(__xludf.DUMMYFUNCTION("""COMPUTED_VALUE"""),"Nexum")</f>
        <v>Nexum</v>
      </c>
    </row>
    <row r="8963" spans="1:3" x14ac:dyDescent="0.25">
      <c r="A8963" s="2" t="str">
        <f ca="1">IFERROR(__xludf.DUMMYFUNCTION("""COMPUTED_VALUE"""),"nexus")</f>
        <v>nexus</v>
      </c>
      <c r="B8963" s="2" t="str">
        <f ca="1">IFERROR(__xludf.DUMMYFUNCTION("""COMPUTED_VALUE"""),"nxs")</f>
        <v>nxs</v>
      </c>
      <c r="C8963" s="2" t="str">
        <f ca="1">IFERROR(__xludf.DUMMYFUNCTION("""COMPUTED_VALUE"""),"Nexus")</f>
        <v>Nexus</v>
      </c>
    </row>
    <row r="8964" spans="1:3" x14ac:dyDescent="0.25">
      <c r="A8964" s="2" t="str">
        <f ca="1">IFERROR(__xludf.DUMMYFUNCTION("""COMPUTED_VALUE"""),"nexus-2")</f>
        <v>nexus-2</v>
      </c>
      <c r="B8964" s="2" t="str">
        <f ca="1">IFERROR(__xludf.DUMMYFUNCTION("""COMPUTED_VALUE"""),"nex")</f>
        <v>nex</v>
      </c>
      <c r="C8964" s="2" t="str">
        <f ca="1">IFERROR(__xludf.DUMMYFUNCTION("""COMPUTED_VALUE"""),"NEXUS")</f>
        <v>NEXUS</v>
      </c>
    </row>
    <row r="8965" spans="1:3" x14ac:dyDescent="0.25">
      <c r="A8965" s="2" t="str">
        <f ca="1">IFERROR(__xludf.DUMMYFUNCTION("""COMPUTED_VALUE"""),"nexusai")</f>
        <v>nexusai</v>
      </c>
      <c r="B8965" s="2" t="str">
        <f ca="1">IFERROR(__xludf.DUMMYFUNCTION("""COMPUTED_VALUE"""),"nexusai")</f>
        <v>nexusai</v>
      </c>
      <c r="C8965" s="2" t="str">
        <f ca="1">IFERROR(__xludf.DUMMYFUNCTION("""COMPUTED_VALUE"""),"NexusAI")</f>
        <v>NexusAI</v>
      </c>
    </row>
    <row r="8966" spans="1:3" x14ac:dyDescent="0.25">
      <c r="A8966" s="2" t="str">
        <f ca="1">IFERROR(__xludf.DUMMYFUNCTION("""COMPUTED_VALUE"""),"nexus-asa")</f>
        <v>nexus-asa</v>
      </c>
      <c r="B8966" s="2" t="str">
        <f ca="1">IFERROR(__xludf.DUMMYFUNCTION("""COMPUTED_VALUE"""),"gp")</f>
        <v>gp</v>
      </c>
      <c r="C8966" s="2" t="str">
        <f ca="1">IFERROR(__xludf.DUMMYFUNCTION("""COMPUTED_VALUE"""),"Nexus ASA")</f>
        <v>Nexus ASA</v>
      </c>
    </row>
    <row r="8967" spans="1:3" x14ac:dyDescent="0.25">
      <c r="A8967" s="2" t="str">
        <f ca="1">IFERROR(__xludf.DUMMYFUNCTION("""COMPUTED_VALUE"""),"nexus-dubai")</f>
        <v>nexus-dubai</v>
      </c>
      <c r="B8967" s="2" t="str">
        <f ca="1">IFERROR(__xludf.DUMMYFUNCTION("""COMPUTED_VALUE"""),"nxd")</f>
        <v>nxd</v>
      </c>
      <c r="C8967" s="2" t="str">
        <f ca="1">IFERROR(__xludf.DUMMYFUNCTION("""COMPUTED_VALUE"""),"Nexus Dubai")</f>
        <v>Nexus Dubai</v>
      </c>
    </row>
    <row r="8968" spans="1:3" x14ac:dyDescent="0.25">
      <c r="A8968" s="2" t="str">
        <f ca="1">IFERROR(__xludf.DUMMYFUNCTION("""COMPUTED_VALUE"""),"nexusmind")</f>
        <v>nexusmind</v>
      </c>
      <c r="B8968" s="2" t="str">
        <f ca="1">IFERROR(__xludf.DUMMYFUNCTION("""COMPUTED_VALUE"""),"nmd")</f>
        <v>nmd</v>
      </c>
      <c r="C8968" s="2" t="str">
        <f ca="1">IFERROR(__xludf.DUMMYFUNCTION("""COMPUTED_VALUE"""),"NexusMind")</f>
        <v>NexusMind</v>
      </c>
    </row>
    <row r="8969" spans="1:3" x14ac:dyDescent="0.25">
      <c r="A8969" s="2" t="str">
        <f ca="1">IFERROR(__xludf.DUMMYFUNCTION("""COMPUTED_VALUE"""),"nexus-pro-euus")</f>
        <v>nexus-pro-euus</v>
      </c>
      <c r="B8969" s="2" t="str">
        <f ca="1">IFERROR(__xludf.DUMMYFUNCTION("""COMPUTED_VALUE"""),"euus")</f>
        <v>euus</v>
      </c>
      <c r="C8969" s="2" t="str">
        <f ca="1">IFERROR(__xludf.DUMMYFUNCTION("""COMPUTED_VALUE"""),"Nexus Pro EUUS")</f>
        <v>Nexus Pro EUUS</v>
      </c>
    </row>
    <row r="8970" spans="1:3" x14ac:dyDescent="0.25">
      <c r="A8970" s="2" t="str">
        <f ca="1">IFERROR(__xludf.DUMMYFUNCTION("""COMPUTED_VALUE"""),"nexus-pro-token")</f>
        <v>nexus-pro-token</v>
      </c>
      <c r="B8970" s="2" t="str">
        <f ca="1">IFERROR(__xludf.DUMMYFUNCTION("""COMPUTED_VALUE"""),"npt")</f>
        <v>npt</v>
      </c>
      <c r="C8970" s="2" t="str">
        <f ca="1">IFERROR(__xludf.DUMMYFUNCTION("""COMPUTED_VALUE"""),"Nexus Pro Token")</f>
        <v>Nexus Pro Token</v>
      </c>
    </row>
    <row r="8971" spans="1:3" x14ac:dyDescent="0.25">
      <c r="A8971" s="2" t="str">
        <f ca="1">IFERROR(__xludf.DUMMYFUNCTION("""COMPUTED_VALUE"""),"nexus-pro-useu")</f>
        <v>nexus-pro-useu</v>
      </c>
      <c r="B8971" s="2" t="str">
        <f ca="1">IFERROR(__xludf.DUMMYFUNCTION("""COMPUTED_VALUE"""),"useu")</f>
        <v>useu</v>
      </c>
      <c r="C8971" s="2" t="str">
        <f ca="1">IFERROR(__xludf.DUMMYFUNCTION("""COMPUTED_VALUE"""),"Nexus Pro USEU")</f>
        <v>Nexus Pro USEU</v>
      </c>
    </row>
    <row r="8972" spans="1:3" x14ac:dyDescent="0.25">
      <c r="A8972" s="2" t="str">
        <f ca="1">IFERROR(__xludf.DUMMYFUNCTION("""COMPUTED_VALUE"""),"nezuko")</f>
        <v>nezuko</v>
      </c>
      <c r="B8972" s="2" t="str">
        <f ca="1">IFERROR(__xludf.DUMMYFUNCTION("""COMPUTED_VALUE"""),"nezuko")</f>
        <v>nezuko</v>
      </c>
      <c r="C8972" s="2" t="str">
        <f ca="1">IFERROR(__xludf.DUMMYFUNCTION("""COMPUTED_VALUE"""),"Nezuko")</f>
        <v>Nezuko</v>
      </c>
    </row>
    <row r="8973" spans="1:3" x14ac:dyDescent="0.25">
      <c r="A8973" s="2" t="str">
        <f ca="1">IFERROR(__xludf.DUMMYFUNCTION("""COMPUTED_VALUE"""),"nfinityai")</f>
        <v>nfinityai</v>
      </c>
      <c r="B8973" s="2" t="str">
        <f ca="1">IFERROR(__xludf.DUMMYFUNCTION("""COMPUTED_VALUE"""),"nfnt")</f>
        <v>nfnt</v>
      </c>
      <c r="C8973" s="2" t="str">
        <f ca="1">IFERROR(__xludf.DUMMYFUNCTION("""COMPUTED_VALUE"""),"nfinityAI")</f>
        <v>nfinityAI</v>
      </c>
    </row>
    <row r="8974" spans="1:3" x14ac:dyDescent="0.25">
      <c r="A8974" s="2" t="str">
        <f ca="1">IFERROR(__xludf.DUMMYFUNCTION("""COMPUTED_VALUE"""),"nfmart")</f>
        <v>nfmart</v>
      </c>
      <c r="B8974" s="2" t="str">
        <f ca="1">IFERROR(__xludf.DUMMYFUNCTION("""COMPUTED_VALUE"""),"nfm")</f>
        <v>nfm</v>
      </c>
      <c r="C8974" s="2" t="str">
        <f ca="1">IFERROR(__xludf.DUMMYFUNCTION("""COMPUTED_VALUE"""),"NFMart")</f>
        <v>NFMart</v>
      </c>
    </row>
    <row r="8975" spans="1:3" x14ac:dyDescent="0.25">
      <c r="A8975" s="2" t="str">
        <f ca="1">IFERROR(__xludf.DUMMYFUNCTION("""COMPUTED_VALUE"""),"nfprompt-token")</f>
        <v>nfprompt-token</v>
      </c>
      <c r="B8975" s="2" t="str">
        <f ca="1">IFERROR(__xludf.DUMMYFUNCTION("""COMPUTED_VALUE"""),"nfp")</f>
        <v>nfp</v>
      </c>
      <c r="C8975" s="2" t="str">
        <f ca="1">IFERROR(__xludf.DUMMYFUNCTION("""COMPUTED_VALUE"""),"NFPrompt")</f>
        <v>NFPrompt</v>
      </c>
    </row>
    <row r="8976" spans="1:3" x14ac:dyDescent="0.25">
      <c r="A8976" s="2" t="str">
        <f ca="1">IFERROR(__xludf.DUMMYFUNCTION("""COMPUTED_VALUE"""),"nfstay")</f>
        <v>nfstay</v>
      </c>
      <c r="B8976" s="2" t="str">
        <f ca="1">IFERROR(__xludf.DUMMYFUNCTION("""COMPUTED_VALUE"""),"stay")</f>
        <v>stay</v>
      </c>
      <c r="C8976" s="2" t="str">
        <f ca="1">IFERROR(__xludf.DUMMYFUNCTION("""COMPUTED_VALUE"""),"NFsTay")</f>
        <v>NFsTay</v>
      </c>
    </row>
    <row r="8977" spans="1:3" x14ac:dyDescent="0.25">
      <c r="A8977" s="2" t="str">
        <f ca="1">IFERROR(__xludf.DUMMYFUNCTION("""COMPUTED_VALUE"""),"nft-art-finance")</f>
        <v>nft-art-finance</v>
      </c>
      <c r="B8977" s="2" t="str">
        <f ca="1">IFERROR(__xludf.DUMMYFUNCTION("""COMPUTED_VALUE"""),"nftart")</f>
        <v>nftart</v>
      </c>
      <c r="C8977" s="2" t="str">
        <f ca="1">IFERROR(__xludf.DUMMYFUNCTION("""COMPUTED_VALUE"""),"NFT Art Finance")</f>
        <v>NFT Art Finance</v>
      </c>
    </row>
    <row r="8978" spans="1:3" x14ac:dyDescent="0.25">
      <c r="A8978" s="2" t="str">
        <f ca="1">IFERROR(__xludf.DUMMYFUNCTION("""COMPUTED_VALUE"""),"nftb")</f>
        <v>nftb</v>
      </c>
      <c r="B8978" s="2" t="str">
        <f ca="1">IFERROR(__xludf.DUMMYFUNCTION("""COMPUTED_VALUE"""),"nftb")</f>
        <v>nftb</v>
      </c>
      <c r="C8978" s="2" t="str">
        <f ca="1">IFERROR(__xludf.DUMMYFUNCTION("""COMPUTED_VALUE"""),"NFTb")</f>
        <v>NFTb</v>
      </c>
    </row>
    <row r="8979" spans="1:3" x14ac:dyDescent="0.25">
      <c r="A8979" s="2" t="str">
        <f ca="1">IFERROR(__xludf.DUMMYFUNCTION("""COMPUTED_VALUE"""),"nftblackmarket")</f>
        <v>nftblackmarket</v>
      </c>
      <c r="B8979" s="2" t="str">
        <f ca="1">IFERROR(__xludf.DUMMYFUNCTION("""COMPUTED_VALUE"""),"nbm")</f>
        <v>nbm</v>
      </c>
      <c r="C8979" s="2" t="str">
        <f ca="1">IFERROR(__xludf.DUMMYFUNCTION("""COMPUTED_VALUE"""),"NFTBlackmarket")</f>
        <v>NFTBlackmarket</v>
      </c>
    </row>
    <row r="8980" spans="1:3" x14ac:dyDescent="0.25">
      <c r="A8980" s="2" t="str">
        <f ca="1">IFERROR(__xludf.DUMMYFUNCTION("""COMPUTED_VALUE"""),"nftbomb")</f>
        <v>nftbomb</v>
      </c>
      <c r="B8980" s="2" t="str">
        <f ca="1">IFERROR(__xludf.DUMMYFUNCTION("""COMPUTED_VALUE"""),"nbp")</f>
        <v>nbp</v>
      </c>
      <c r="C8980" s="2" t="str">
        <f ca="1">IFERROR(__xludf.DUMMYFUNCTION("""COMPUTED_VALUE"""),"NFTBomb")</f>
        <v>NFTBomb</v>
      </c>
    </row>
    <row r="8981" spans="1:3" x14ac:dyDescent="0.25">
      <c r="A8981" s="2" t="str">
        <f ca="1">IFERROR(__xludf.DUMMYFUNCTION("""COMPUTED_VALUE"""),"nftbooks")</f>
        <v>nftbooks</v>
      </c>
      <c r="B8981" s="2" t="str">
        <f ca="1">IFERROR(__xludf.DUMMYFUNCTION("""COMPUTED_VALUE"""),"nftbs")</f>
        <v>nftbs</v>
      </c>
      <c r="C8981" s="2" t="str">
        <f ca="1">IFERROR(__xludf.DUMMYFUNCTION("""COMPUTED_VALUE"""),"NFTBooks")</f>
        <v>NFTBooks</v>
      </c>
    </row>
    <row r="8982" spans="1:3" x14ac:dyDescent="0.25">
      <c r="A8982" s="2" t="str">
        <f ca="1">IFERROR(__xludf.DUMMYFUNCTION("""COMPUTED_VALUE"""),"nft-champions")</f>
        <v>nft-champions</v>
      </c>
      <c r="B8982" s="2" t="str">
        <f ca="1">IFERROR(__xludf.DUMMYFUNCTION("""COMPUTED_VALUE"""),"champ")</f>
        <v>champ</v>
      </c>
      <c r="C8982" s="2" t="str">
        <f ca="1">IFERROR(__xludf.DUMMYFUNCTION("""COMPUTED_VALUE"""),"NFT Champions")</f>
        <v>NFT Champions</v>
      </c>
    </row>
    <row r="8983" spans="1:3" x14ac:dyDescent="0.25">
      <c r="A8983" s="2" t="str">
        <f ca="1">IFERROR(__xludf.DUMMYFUNCTION("""COMPUTED_VALUE"""),"nft-combining")</f>
        <v>nft-combining</v>
      </c>
      <c r="B8983" s="2" t="str">
        <f ca="1">IFERROR(__xludf.DUMMYFUNCTION("""COMPUTED_VALUE"""),"nftc")</f>
        <v>nftc</v>
      </c>
      <c r="C8983" s="2" t="str">
        <f ca="1">IFERROR(__xludf.DUMMYFUNCTION("""COMPUTED_VALUE"""),"NFT Combining")</f>
        <v>NFT Combining</v>
      </c>
    </row>
    <row r="8984" spans="1:3" x14ac:dyDescent="0.25">
      <c r="A8984" s="2" t="str">
        <f ca="1">IFERROR(__xludf.DUMMYFUNCTION("""COMPUTED_VALUE"""),"nftdeli")</f>
        <v>nftdeli</v>
      </c>
      <c r="B8984" s="2" t="str">
        <f ca="1">IFERROR(__xludf.DUMMYFUNCTION("""COMPUTED_VALUE"""),"deli")</f>
        <v>deli</v>
      </c>
      <c r="C8984" s="2" t="str">
        <f ca="1">IFERROR(__xludf.DUMMYFUNCTION("""COMPUTED_VALUE"""),"NFTDeli")</f>
        <v>NFTDeli</v>
      </c>
    </row>
    <row r="8985" spans="1:3" x14ac:dyDescent="0.25">
      <c r="A8985" s="2" t="str">
        <f ca="1">IFERROR(__xludf.DUMMYFUNCTION("""COMPUTED_VALUE"""),"nfteyez")</f>
        <v>nfteyez</v>
      </c>
      <c r="B8985" s="2" t="str">
        <f ca="1">IFERROR(__xludf.DUMMYFUNCTION("""COMPUTED_VALUE"""),"eye")</f>
        <v>eye</v>
      </c>
      <c r="C8985" s="2" t="str">
        <f ca="1">IFERROR(__xludf.DUMMYFUNCTION("""COMPUTED_VALUE"""),"NftEyez")</f>
        <v>NftEyez</v>
      </c>
    </row>
    <row r="8986" spans="1:3" x14ac:dyDescent="0.25">
      <c r="A8986" s="2" t="str">
        <f ca="1">IFERROR(__xludf.DUMMYFUNCTION("""COMPUTED_VALUE"""),"nftfi")</f>
        <v>nftfi</v>
      </c>
      <c r="B8986" s="2" t="str">
        <f ca="1">IFERROR(__xludf.DUMMYFUNCTION("""COMPUTED_VALUE"""),"nftfi")</f>
        <v>nftfi</v>
      </c>
      <c r="C8986" s="2" t="str">
        <f ca="1">IFERROR(__xludf.DUMMYFUNCTION("""COMPUTED_VALUE"""),"NFTFI")</f>
        <v>NFTFI</v>
      </c>
    </row>
    <row r="8987" spans="1:3" x14ac:dyDescent="0.25">
      <c r="A8987" s="2" t="str">
        <f ca="1">IFERROR(__xludf.DUMMYFUNCTION("""COMPUTED_VALUE"""),"nftfn")</f>
        <v>nftfn</v>
      </c>
      <c r="B8987" s="2" t="str">
        <f ca="1">IFERROR(__xludf.DUMMYFUNCTION("""COMPUTED_VALUE"""),"nftfn")</f>
        <v>nftfn</v>
      </c>
      <c r="C8987" s="2" t="str">
        <f ca="1">IFERROR(__xludf.DUMMYFUNCTION("""COMPUTED_VALUE"""),"NFTFN")</f>
        <v>NFTFN</v>
      </c>
    </row>
    <row r="8988" spans="1:3" x14ac:dyDescent="0.25">
      <c r="A8988" s="2" t="str">
        <f ca="1">IFERROR(__xludf.DUMMYFUNCTION("""COMPUTED_VALUE"""),"nftify")</f>
        <v>nftify</v>
      </c>
      <c r="B8988" s="2" t="str">
        <f ca="1">IFERROR(__xludf.DUMMYFUNCTION("""COMPUTED_VALUE"""),"n1")</f>
        <v>n1</v>
      </c>
      <c r="C8988" s="2" t="str">
        <f ca="1">IFERROR(__xludf.DUMMYFUNCTION("""COMPUTED_VALUE"""),"NFTify")</f>
        <v>NFTify</v>
      </c>
    </row>
    <row r="8989" spans="1:3" x14ac:dyDescent="0.25">
      <c r="A8989" s="2" t="str">
        <f ca="1">IFERROR(__xludf.DUMMYFUNCTION("""COMPUTED_VALUE"""),"nftlaunch")</f>
        <v>nftlaunch</v>
      </c>
      <c r="B8989" s="2" t="str">
        <f ca="1">IFERROR(__xludf.DUMMYFUNCTION("""COMPUTED_VALUE"""),"nftl")</f>
        <v>nftl</v>
      </c>
      <c r="C8989" s="2" t="str">
        <f ca="1">IFERROR(__xludf.DUMMYFUNCTION("""COMPUTED_VALUE"""),"NFTLaunch")</f>
        <v>NFTLaunch</v>
      </c>
    </row>
    <row r="8990" spans="1:3" x14ac:dyDescent="0.25">
      <c r="A8990" s="2" t="str">
        <f ca="1">IFERROR(__xludf.DUMMYFUNCTION("""COMPUTED_VALUE"""),"nft-maker")</f>
        <v>nft-maker</v>
      </c>
      <c r="B8990" s="2" t="str">
        <f ca="1">IFERROR(__xludf.DUMMYFUNCTION("""COMPUTED_VALUE"""),"$nmkr")</f>
        <v>$nmkr</v>
      </c>
      <c r="C8990" s="2" t="str">
        <f ca="1">IFERROR(__xludf.DUMMYFUNCTION("""COMPUTED_VALUE"""),"NMKR")</f>
        <v>NMKR</v>
      </c>
    </row>
    <row r="8991" spans="1:3" x14ac:dyDescent="0.25">
      <c r="A8991" s="2" t="str">
        <f ca="1">IFERROR(__xludf.DUMMYFUNCTION("""COMPUTED_VALUE"""),"nftmall")</f>
        <v>nftmall</v>
      </c>
      <c r="B8991" s="2" t="str">
        <f ca="1">IFERROR(__xludf.DUMMYFUNCTION("""COMPUTED_VALUE"""),"gem")</f>
        <v>gem</v>
      </c>
      <c r="C8991" s="2" t="str">
        <f ca="1">IFERROR(__xludf.DUMMYFUNCTION("""COMPUTED_VALUE"""),"NFTmall")</f>
        <v>NFTmall</v>
      </c>
    </row>
    <row r="8992" spans="1:3" x14ac:dyDescent="0.25">
      <c r="A8992" s="2" t="str">
        <f ca="1">IFERROR(__xludf.DUMMYFUNCTION("""COMPUTED_VALUE"""),"nftmart-token")</f>
        <v>nftmart-token</v>
      </c>
      <c r="B8992" s="2" t="str">
        <f ca="1">IFERROR(__xludf.DUMMYFUNCTION("""COMPUTED_VALUE"""),"nmt")</f>
        <v>nmt</v>
      </c>
      <c r="C8992" s="2" t="str">
        <f ca="1">IFERROR(__xludf.DUMMYFUNCTION("""COMPUTED_VALUE"""),"NFTMart")</f>
        <v>NFTMart</v>
      </c>
    </row>
    <row r="8993" spans="1:3" x14ac:dyDescent="0.25">
      <c r="A8993" s="2" t="str">
        <f ca="1">IFERROR(__xludf.DUMMYFUNCTION("""COMPUTED_VALUE"""),"nft-protocol")</f>
        <v>nft-protocol</v>
      </c>
      <c r="B8993" s="2" t="str">
        <f ca="1">IFERROR(__xludf.DUMMYFUNCTION("""COMPUTED_VALUE"""),"nft")</f>
        <v>nft</v>
      </c>
      <c r="C8993" s="2" t="str">
        <f ca="1">IFERROR(__xludf.DUMMYFUNCTION("""COMPUTED_VALUE"""),"NFT Protocol")</f>
        <v>NFT Protocol</v>
      </c>
    </row>
    <row r="8994" spans="1:3" x14ac:dyDescent="0.25">
      <c r="A8994" s="2" t="str">
        <f ca="1">IFERROR(__xludf.DUMMYFUNCTION("""COMPUTED_VALUE"""),"nftpunk-finance")</f>
        <v>nftpunk-finance</v>
      </c>
      <c r="B8994" s="2" t="str">
        <f ca="1">IFERROR(__xludf.DUMMYFUNCTION("""COMPUTED_VALUE"""),"nftpunk")</f>
        <v>nftpunk</v>
      </c>
      <c r="C8994" s="2" t="str">
        <f ca="1">IFERROR(__xludf.DUMMYFUNCTION("""COMPUTED_VALUE"""),"NFTPunk.Finance")</f>
        <v>NFTPunk.Finance</v>
      </c>
    </row>
    <row r="8995" spans="1:3" x14ac:dyDescent="0.25">
      <c r="A8995" s="2" t="str">
        <f ca="1">IFERROR(__xludf.DUMMYFUNCTION("""COMPUTED_VALUE"""),"nftrade")</f>
        <v>nftrade</v>
      </c>
      <c r="B8995" s="2" t="str">
        <f ca="1">IFERROR(__xludf.DUMMYFUNCTION("""COMPUTED_VALUE"""),"nftd")</f>
        <v>nftd</v>
      </c>
      <c r="C8995" s="2" t="str">
        <f ca="1">IFERROR(__xludf.DUMMYFUNCTION("""COMPUTED_VALUE"""),"NFTrade")</f>
        <v>NFTrade</v>
      </c>
    </row>
    <row r="8996" spans="1:3" x14ac:dyDescent="0.25">
      <c r="A8996" s="2" t="str">
        <f ca="1">IFERROR(__xludf.DUMMYFUNCTION("""COMPUTED_VALUE"""),"nftreasure")</f>
        <v>nftreasure</v>
      </c>
      <c r="B8996" s="2" t="str">
        <f ca="1">IFERROR(__xludf.DUMMYFUNCTION("""COMPUTED_VALUE"""),"tresr")</f>
        <v>tresr</v>
      </c>
      <c r="C8996" s="2" t="str">
        <f ca="1">IFERROR(__xludf.DUMMYFUNCTION("""COMPUTED_VALUE"""),"NFTREASURE")</f>
        <v>NFTREASURE</v>
      </c>
    </row>
    <row r="8997" spans="1:3" x14ac:dyDescent="0.25">
      <c r="A8997" s="2" t="str">
        <f ca="1">IFERROR(__xludf.DUMMYFUNCTION("""COMPUTED_VALUE"""),"nft-soccer-games")</f>
        <v>nft-soccer-games</v>
      </c>
      <c r="B8997" s="2" t="str">
        <f ca="1">IFERROR(__xludf.DUMMYFUNCTION("""COMPUTED_VALUE"""),"nfsg")</f>
        <v>nfsg</v>
      </c>
      <c r="C8997" s="2" t="str">
        <f ca="1">IFERROR(__xludf.DUMMYFUNCTION("""COMPUTED_VALUE"""),"NFT Soccer Games")</f>
        <v>NFT Soccer Games</v>
      </c>
    </row>
    <row r="8998" spans="1:3" x14ac:dyDescent="0.25">
      <c r="A8998" s="2" t="str">
        <f ca="1">IFERROR(__xludf.DUMMYFUNCTION("""COMPUTED_VALUE"""),"nft-stars")</f>
        <v>nft-stars</v>
      </c>
      <c r="B8998" s="2" t="str">
        <f ca="1">IFERROR(__xludf.DUMMYFUNCTION("""COMPUTED_VALUE"""),"nfts")</f>
        <v>nfts</v>
      </c>
      <c r="C8998" s="2" t="str">
        <f ca="1">IFERROR(__xludf.DUMMYFUNCTION("""COMPUTED_VALUE"""),"NFT Stars")</f>
        <v>NFT Stars</v>
      </c>
    </row>
    <row r="8999" spans="1:3" x14ac:dyDescent="0.25">
      <c r="A8999" s="2" t="str">
        <f ca="1">IFERROR(__xludf.DUMMYFUNCTION("""COMPUTED_VALUE"""),"nft-workx")</f>
        <v>nft-workx</v>
      </c>
      <c r="B8999" s="2" t="str">
        <f ca="1">IFERROR(__xludf.DUMMYFUNCTION("""COMPUTED_VALUE"""),"wrkx")</f>
        <v>wrkx</v>
      </c>
      <c r="C8999" s="2" t="str">
        <f ca="1">IFERROR(__xludf.DUMMYFUNCTION("""COMPUTED_VALUE"""),"Web3 Workx")</f>
        <v>Web3 Workx</v>
      </c>
    </row>
    <row r="9000" spans="1:3" x14ac:dyDescent="0.25">
      <c r="A9000" s="2" t="str">
        <f ca="1">IFERROR(__xludf.DUMMYFUNCTION("""COMPUTED_VALUE"""),"nft-worlds")</f>
        <v>nft-worlds</v>
      </c>
      <c r="B9000" s="2" t="str">
        <f ca="1">IFERROR(__xludf.DUMMYFUNCTION("""COMPUTED_VALUE"""),"wrld")</f>
        <v>wrld</v>
      </c>
      <c r="C9000" s="2" t="str">
        <f ca="1">IFERROR(__xludf.DUMMYFUNCTION("""COMPUTED_VALUE"""),"NFT Worlds")</f>
        <v>NFT Worlds</v>
      </c>
    </row>
    <row r="9001" spans="1:3" x14ac:dyDescent="0.25">
      <c r="A9001" s="2" t="str">
        <f ca="1">IFERROR(__xludf.DUMMYFUNCTION("""COMPUTED_VALUE"""),"nftx")</f>
        <v>nftx</v>
      </c>
      <c r="B9001" s="2" t="str">
        <f ca="1">IFERROR(__xludf.DUMMYFUNCTION("""COMPUTED_VALUE"""),"nftx")</f>
        <v>nftx</v>
      </c>
      <c r="C9001" s="2" t="str">
        <f ca="1">IFERROR(__xludf.DUMMYFUNCTION("""COMPUTED_VALUE"""),"NFTX")</f>
        <v>NFTX</v>
      </c>
    </row>
    <row r="9002" spans="1:3" x14ac:dyDescent="0.25">
      <c r="A9002" s="2" t="str">
        <f ca="1">IFERROR(__xludf.DUMMYFUNCTION("""COMPUTED_VALUE"""),"nfty-token")</f>
        <v>nfty-token</v>
      </c>
      <c r="B9002" s="2" t="str">
        <f ca="1">IFERROR(__xludf.DUMMYFUNCTION("""COMPUTED_VALUE"""),"nfty")</f>
        <v>nfty</v>
      </c>
      <c r="C9002" s="2" t="str">
        <f ca="1">IFERROR(__xludf.DUMMYFUNCTION("""COMPUTED_VALUE"""),"NFTY")</f>
        <v>NFTY</v>
      </c>
    </row>
    <row r="9003" spans="1:3" x14ac:dyDescent="0.25">
      <c r="A9003" s="2" t="str">
        <f ca="1">IFERROR(__xludf.DUMMYFUNCTION("""COMPUTED_VALUE"""),"ngatiger")</f>
        <v>ngatiger</v>
      </c>
      <c r="B9003" s="2" t="str">
        <f ca="1">IFERROR(__xludf.DUMMYFUNCTION("""COMPUTED_VALUE"""),"nga")</f>
        <v>nga</v>
      </c>
      <c r="C9003" s="2" t="str">
        <f ca="1">IFERROR(__xludf.DUMMYFUNCTION("""COMPUTED_VALUE"""),"NGATiger")</f>
        <v>NGATiger</v>
      </c>
    </row>
    <row r="9004" spans="1:3" x14ac:dyDescent="0.25">
      <c r="A9004" s="2" t="str">
        <f ca="1">IFERROR(__xludf.DUMMYFUNCTION("""COMPUTED_VALUE"""),"ngmi")</f>
        <v>ngmi</v>
      </c>
      <c r="B9004" s="2" t="str">
        <f ca="1">IFERROR(__xludf.DUMMYFUNCTION("""COMPUTED_VALUE"""),"ngmi")</f>
        <v>ngmi</v>
      </c>
      <c r="C9004" s="2" t="str">
        <f ca="1">IFERROR(__xludf.DUMMYFUNCTION("""COMPUTED_VALUE"""),"NGMI")</f>
        <v>NGMI</v>
      </c>
    </row>
    <row r="9005" spans="1:3" x14ac:dyDescent="0.25">
      <c r="A9005" s="2" t="str">
        <f ca="1">IFERROR(__xludf.DUMMYFUNCTION("""COMPUTED_VALUE"""),"ngmi-bp")</f>
        <v>ngmi-bp</v>
      </c>
      <c r="B9005" s="2" t="str">
        <f ca="1">IFERROR(__xludf.DUMMYFUNCTION("""COMPUTED_VALUE"""),"ngmi")</f>
        <v>ngmi</v>
      </c>
      <c r="C9005" s="2" t="str">
        <f ca="1">IFERROR(__xludf.DUMMYFUNCTION("""COMPUTED_VALUE"""),"NGMI BP")</f>
        <v>NGMI BP</v>
      </c>
    </row>
    <row r="9006" spans="1:3" x14ac:dyDescent="0.25">
      <c r="A9006" s="2" t="str">
        <f ca="1">IFERROR(__xludf.DUMMYFUNCTION("""COMPUTED_VALUE"""),"niao")</f>
        <v>niao</v>
      </c>
      <c r="B9006" s="2" t="str">
        <f ca="1">IFERROR(__xludf.DUMMYFUNCTION("""COMPUTED_VALUE"""),"niao")</f>
        <v>niao</v>
      </c>
      <c r="C9006" s="2" t="str">
        <f ca="1">IFERROR(__xludf.DUMMYFUNCTION("""COMPUTED_VALUE"""),"NIAO")</f>
        <v>NIAO</v>
      </c>
    </row>
    <row r="9007" spans="1:3" x14ac:dyDescent="0.25">
      <c r="A9007" s="2" t="str">
        <f ca="1">IFERROR(__xludf.DUMMYFUNCTION("""COMPUTED_VALUE"""),"nib")</f>
        <v>nib</v>
      </c>
      <c r="B9007" s="2" t="str">
        <f ca="1">IFERROR(__xludf.DUMMYFUNCTION("""COMPUTED_VALUE"""),"nib")</f>
        <v>nib</v>
      </c>
      <c r="C9007" s="2" t="str">
        <f ca="1">IFERROR(__xludf.DUMMYFUNCTION("""COMPUTED_VALUE"""),"chick")</f>
        <v>chick</v>
      </c>
    </row>
    <row r="9008" spans="1:3" x14ac:dyDescent="0.25">
      <c r="A9008" s="2" t="str">
        <f ca="1">IFERROR(__xludf.DUMMYFUNCTION("""COMPUTED_VALUE"""),"nibiru")</f>
        <v>nibiru</v>
      </c>
      <c r="B9008" s="2" t="str">
        <f ca="1">IFERROR(__xludf.DUMMYFUNCTION("""COMPUTED_VALUE"""),"nibi")</f>
        <v>nibi</v>
      </c>
      <c r="C9008" s="2" t="str">
        <f ca="1">IFERROR(__xludf.DUMMYFUNCTION("""COMPUTED_VALUE"""),"Nibiru")</f>
        <v>Nibiru</v>
      </c>
    </row>
    <row r="9009" spans="1:3" x14ac:dyDescent="0.25">
      <c r="A9009" s="2" t="str">
        <f ca="1">IFERROR(__xludf.DUMMYFUNCTION("""COMPUTED_VALUE"""),"niccagewaluigielmo42069inu")</f>
        <v>niccagewaluigielmo42069inu</v>
      </c>
      <c r="B9009" s="2" t="str">
        <f ca="1">IFERROR(__xludf.DUMMYFUNCTION("""COMPUTED_VALUE"""),"shib")</f>
        <v>shib</v>
      </c>
      <c r="C9009" s="2" t="str">
        <f ca="1">IFERROR(__xludf.DUMMYFUNCTION("""COMPUTED_VALUE"""),"NicCageWaluigiElmo42069Inu")</f>
        <v>NicCageWaluigiElmo42069Inu</v>
      </c>
    </row>
    <row r="9010" spans="1:3" x14ac:dyDescent="0.25">
      <c r="A9010" s="2" t="str">
        <f ca="1">IFERROR(__xludf.DUMMYFUNCTION("""COMPUTED_VALUE"""),"nicolas-pi-runes")</f>
        <v>nicolas-pi-runes</v>
      </c>
      <c r="B9010" s="2" t="str">
        <f ca="1">IFERROR(__xludf.DUMMYFUNCTION("""COMPUTED_VALUE"""),"p")</f>
        <v>p</v>
      </c>
      <c r="C9010" s="2" t="str">
        <f ca="1">IFERROR(__xludf.DUMMYFUNCTION("""COMPUTED_VALUE"""),"NICOLAS•PI•RUNES")</f>
        <v>NICOLAS•PI•RUNES</v>
      </c>
    </row>
    <row r="9011" spans="1:3" x14ac:dyDescent="0.25">
      <c r="A9011" s="2" t="str">
        <f ca="1">IFERROR(__xludf.DUMMYFUNCTION("""COMPUTED_VALUE"""),"nifty-league")</f>
        <v>nifty-league</v>
      </c>
      <c r="B9011" s="2" t="str">
        <f ca="1">IFERROR(__xludf.DUMMYFUNCTION("""COMPUTED_VALUE"""),"nftl")</f>
        <v>nftl</v>
      </c>
      <c r="C9011" s="2" t="str">
        <f ca="1">IFERROR(__xludf.DUMMYFUNCTION("""COMPUTED_VALUE"""),"Nifty League")</f>
        <v>Nifty League</v>
      </c>
    </row>
    <row r="9012" spans="1:3" x14ac:dyDescent="0.25">
      <c r="A9012" s="2" t="str">
        <f ca="1">IFERROR(__xludf.DUMMYFUNCTION("""COMPUTED_VALUE"""),"nigella-chain")</f>
        <v>nigella-chain</v>
      </c>
      <c r="B9012" s="2" t="str">
        <f ca="1">IFERROR(__xludf.DUMMYFUNCTION("""COMPUTED_VALUE"""),"nigella")</f>
        <v>nigella</v>
      </c>
      <c r="C9012" s="2" t="str">
        <f ca="1">IFERROR(__xludf.DUMMYFUNCTION("""COMPUTED_VALUE"""),"Nigella Chain")</f>
        <v>Nigella Chain</v>
      </c>
    </row>
    <row r="9013" spans="1:3" x14ac:dyDescent="0.25">
      <c r="A9013" s="2" t="str">
        <f ca="1">IFERROR(__xludf.DUMMYFUNCTION("""COMPUTED_VALUE"""),"night-crows")</f>
        <v>night-crows</v>
      </c>
      <c r="B9013" s="2" t="str">
        <f ca="1">IFERROR(__xludf.DUMMYFUNCTION("""COMPUTED_VALUE"""),"crow")</f>
        <v>crow</v>
      </c>
      <c r="C9013" s="2" t="str">
        <f ca="1">IFERROR(__xludf.DUMMYFUNCTION("""COMPUTED_VALUE"""),"CROW")</f>
        <v>CROW</v>
      </c>
    </row>
    <row r="9014" spans="1:3" x14ac:dyDescent="0.25">
      <c r="A9014" s="2" t="str">
        <f ca="1">IFERROR(__xludf.DUMMYFUNCTION("""COMPUTED_VALUE"""),"nightingale-token")</f>
        <v>nightingale-token</v>
      </c>
      <c r="B9014" s="2" t="str">
        <f ca="1">IFERROR(__xludf.DUMMYFUNCTION("""COMPUTED_VALUE"""),"ngit")</f>
        <v>ngit</v>
      </c>
      <c r="C9014" s="2" t="str">
        <f ca="1">IFERROR(__xludf.DUMMYFUNCTION("""COMPUTED_VALUE"""),"Nightingale Token")</f>
        <v>Nightingale Token</v>
      </c>
    </row>
    <row r="9015" spans="1:3" x14ac:dyDescent="0.25">
      <c r="A9015" s="2" t="str">
        <f ca="1">IFERROR(__xludf.DUMMYFUNCTION("""COMPUTED_VALUE"""),"nightverse-game")</f>
        <v>nightverse-game</v>
      </c>
      <c r="B9015" s="2" t="str">
        <f ca="1">IFERROR(__xludf.DUMMYFUNCTION("""COMPUTED_VALUE"""),"nvg")</f>
        <v>nvg</v>
      </c>
      <c r="C9015" s="2" t="str">
        <f ca="1">IFERROR(__xludf.DUMMYFUNCTION("""COMPUTED_VALUE"""),"NightVerse Game")</f>
        <v>NightVerse Game</v>
      </c>
    </row>
    <row r="9016" spans="1:3" x14ac:dyDescent="0.25">
      <c r="A9016" s="2" t="str">
        <f ca="1">IFERROR(__xludf.DUMMYFUNCTION("""COMPUTED_VALUE"""),"nigi")</f>
        <v>nigi</v>
      </c>
      <c r="B9016" s="2" t="str">
        <f ca="1">IFERROR(__xludf.DUMMYFUNCTION("""COMPUTED_VALUE"""),"nigi")</f>
        <v>nigi</v>
      </c>
      <c r="C9016" s="2" t="str">
        <f ca="1">IFERROR(__xludf.DUMMYFUNCTION("""COMPUTED_VALUE"""),"Nigi")</f>
        <v>Nigi</v>
      </c>
    </row>
    <row r="9017" spans="1:3" x14ac:dyDescent="0.25">
      <c r="A9017" s="2" t="str">
        <f ca="1">IFERROR(__xludf.DUMMYFUNCTION("""COMPUTED_VALUE"""),"nihao")</f>
        <v>nihao</v>
      </c>
      <c r="B9017" s="2" t="str">
        <f ca="1">IFERROR(__xludf.DUMMYFUNCTION("""COMPUTED_VALUE"""),"nihao")</f>
        <v>nihao</v>
      </c>
      <c r="C9017" s="2" t="str">
        <f ca="1">IFERROR(__xludf.DUMMYFUNCTION("""COMPUTED_VALUE"""),"Nihao")</f>
        <v>Nihao</v>
      </c>
    </row>
    <row r="9018" spans="1:3" x14ac:dyDescent="0.25">
      <c r="A9018" s="2" t="str">
        <f ca="1">IFERROR(__xludf.DUMMYFUNCTION("""COMPUTED_VALUE"""),"nihao-coin")</f>
        <v>nihao-coin</v>
      </c>
      <c r="B9018" s="2" t="str">
        <f ca="1">IFERROR(__xludf.DUMMYFUNCTION("""COMPUTED_VALUE"""),"nihao")</f>
        <v>nihao</v>
      </c>
      <c r="C9018" s="2" t="str">
        <f ca="1">IFERROR(__xludf.DUMMYFUNCTION("""COMPUTED_VALUE"""),"Nihao Coin")</f>
        <v>Nihao Coin</v>
      </c>
    </row>
    <row r="9019" spans="1:3" x14ac:dyDescent="0.25">
      <c r="A9019" s="2" t="str">
        <f ca="1">IFERROR(__xludf.DUMMYFUNCTION("""COMPUTED_VALUE"""),"niifi")</f>
        <v>niifi</v>
      </c>
      <c r="B9019" s="2" t="str">
        <f ca="1">IFERROR(__xludf.DUMMYFUNCTION("""COMPUTED_VALUE"""),"niifi")</f>
        <v>niifi</v>
      </c>
      <c r="C9019" s="2" t="str">
        <f ca="1">IFERROR(__xludf.DUMMYFUNCTION("""COMPUTED_VALUE"""),"NiiFi")</f>
        <v>NiiFi</v>
      </c>
    </row>
    <row r="9020" spans="1:3" x14ac:dyDescent="0.25">
      <c r="A9020" s="2" t="str">
        <f ca="1">IFERROR(__xludf.DUMMYFUNCTION("""COMPUTED_VALUE"""),"nikepig")</f>
        <v>nikepig</v>
      </c>
      <c r="B9020" s="2" t="str">
        <f ca="1">IFERROR(__xludf.DUMMYFUNCTION("""COMPUTED_VALUE"""),"nikepig")</f>
        <v>nikepig</v>
      </c>
      <c r="C9020" s="2" t="str">
        <f ca="1">IFERROR(__xludf.DUMMYFUNCTION("""COMPUTED_VALUE"""),"Nikepig")</f>
        <v>Nikepig</v>
      </c>
    </row>
    <row r="9021" spans="1:3" x14ac:dyDescent="0.25">
      <c r="A9021" s="2" t="str">
        <f ca="1">IFERROR(__xludf.DUMMYFUNCTION("""COMPUTED_VALUE"""),"nile")</f>
        <v>nile</v>
      </c>
      <c r="B9021" s="2" t="str">
        <f ca="1">IFERROR(__xludf.DUMMYFUNCTION("""COMPUTED_VALUE"""),"nile")</f>
        <v>nile</v>
      </c>
      <c r="C9021" s="2" t="str">
        <f ca="1">IFERROR(__xludf.DUMMYFUNCTION("""COMPUTED_VALUE"""),"Nile")</f>
        <v>Nile</v>
      </c>
    </row>
    <row r="9022" spans="1:3" x14ac:dyDescent="0.25">
      <c r="A9022" s="2" t="str">
        <f ca="1">IFERROR(__xludf.DUMMYFUNCTION("""COMPUTED_VALUE"""),"nillion")</f>
        <v>nillion</v>
      </c>
      <c r="B9022" s="2" t="str">
        <f ca="1">IFERROR(__xludf.DUMMYFUNCTION("""COMPUTED_VALUE"""),"nil")</f>
        <v>nil</v>
      </c>
      <c r="C9022" s="2" t="str">
        <f ca="1">IFERROR(__xludf.DUMMYFUNCTION("""COMPUTED_VALUE"""),"Nillion")</f>
        <v>Nillion</v>
      </c>
    </row>
    <row r="9023" spans="1:3" x14ac:dyDescent="0.25">
      <c r="A9023" s="2" t="str">
        <f ca="1">IFERROR(__xludf.DUMMYFUNCTION("""COMPUTED_VALUE"""),"nimbus-network")</f>
        <v>nimbus-network</v>
      </c>
      <c r="B9023" s="2" t="str">
        <f ca="1">IFERROR(__xludf.DUMMYFUNCTION("""COMPUTED_VALUE"""),"nimbus")</f>
        <v>nimbus</v>
      </c>
      <c r="C9023" s="2" t="str">
        <f ca="1">IFERROR(__xludf.DUMMYFUNCTION("""COMPUTED_VALUE"""),"Nimbus Network")</f>
        <v>Nimbus Network</v>
      </c>
    </row>
    <row r="9024" spans="1:3" x14ac:dyDescent="0.25">
      <c r="A9024" s="2" t="str">
        <f ca="1">IFERROR(__xludf.DUMMYFUNCTION("""COMPUTED_VALUE"""),"nimbus-platform-gnimb")</f>
        <v>nimbus-platform-gnimb</v>
      </c>
      <c r="B9024" s="2" t="str">
        <f ca="1">IFERROR(__xludf.DUMMYFUNCTION("""COMPUTED_VALUE"""),"gnimb")</f>
        <v>gnimb</v>
      </c>
      <c r="C9024" s="2" t="str">
        <f ca="1">IFERROR(__xludf.DUMMYFUNCTION("""COMPUTED_VALUE"""),"Nimbus Platform GNIMB")</f>
        <v>Nimbus Platform GNIMB</v>
      </c>
    </row>
    <row r="9025" spans="1:3" x14ac:dyDescent="0.25">
      <c r="A9025" s="2" t="str">
        <f ca="1">IFERROR(__xludf.DUMMYFUNCTION("""COMPUTED_VALUE"""),"nimiq-2")</f>
        <v>nimiq-2</v>
      </c>
      <c r="B9025" s="2" t="str">
        <f ca="1">IFERROR(__xludf.DUMMYFUNCTION("""COMPUTED_VALUE"""),"nim")</f>
        <v>nim</v>
      </c>
      <c r="C9025" s="2" t="str">
        <f ca="1">IFERROR(__xludf.DUMMYFUNCTION("""COMPUTED_VALUE"""),"Nimiq")</f>
        <v>Nimiq</v>
      </c>
    </row>
    <row r="9026" spans="1:3" x14ac:dyDescent="0.25">
      <c r="A9026" s="2" t="str">
        <f ca="1">IFERROR(__xludf.DUMMYFUNCTION("""COMPUTED_VALUE"""),"nim-network")</f>
        <v>nim-network</v>
      </c>
      <c r="B9026" s="2" t="str">
        <f ca="1">IFERROR(__xludf.DUMMYFUNCTION("""COMPUTED_VALUE"""),"nim")</f>
        <v>nim</v>
      </c>
      <c r="C9026" s="2" t="str">
        <f ca="1">IFERROR(__xludf.DUMMYFUNCTION("""COMPUTED_VALUE"""),"Nim Network")</f>
        <v>Nim Network</v>
      </c>
    </row>
    <row r="9027" spans="1:3" x14ac:dyDescent="0.25">
      <c r="A9027" s="2" t="str">
        <f ca="1">IFERROR(__xludf.DUMMYFUNCTION("""COMPUTED_VALUE"""),"ninapumps")</f>
        <v>ninapumps</v>
      </c>
      <c r="B9027" s="2" t="str">
        <f ca="1">IFERROR(__xludf.DUMMYFUNCTION("""COMPUTED_VALUE"""),"nina")</f>
        <v>nina</v>
      </c>
      <c r="C9027" s="2" t="str">
        <f ca="1">IFERROR(__xludf.DUMMYFUNCTION("""COMPUTED_VALUE"""),"NinaPumps")</f>
        <v>NinaPumps</v>
      </c>
    </row>
    <row r="9028" spans="1:3" x14ac:dyDescent="0.25">
      <c r="A9028" s="2" t="str">
        <f ca="1">IFERROR(__xludf.DUMMYFUNCTION("""COMPUTED_VALUE"""),"ninjapepe")</f>
        <v>ninjapepe</v>
      </c>
      <c r="B9028" s="2" t="str">
        <f ca="1">IFERROR(__xludf.DUMMYFUNCTION("""COMPUTED_VALUE"""),"ninjapepe")</f>
        <v>ninjapepe</v>
      </c>
      <c r="C9028" s="2" t="str">
        <f ca="1">IFERROR(__xludf.DUMMYFUNCTION("""COMPUTED_VALUE"""),"NinjaPepe")</f>
        <v>NinjaPepe</v>
      </c>
    </row>
    <row r="9029" spans="1:3" x14ac:dyDescent="0.25">
      <c r="A9029" s="2" t="str">
        <f ca="1">IFERROR(__xludf.DUMMYFUNCTION("""COMPUTED_VALUE"""),"ninja-protocol")</f>
        <v>ninja-protocol</v>
      </c>
      <c r="B9029" s="2" t="str">
        <f ca="1">IFERROR(__xludf.DUMMYFUNCTION("""COMPUTED_VALUE"""),"ninja")</f>
        <v>ninja</v>
      </c>
      <c r="C9029" s="2" t="str">
        <f ca="1">IFERROR(__xludf.DUMMYFUNCTION("""COMPUTED_VALUE"""),"Ninja Protocol")</f>
        <v>Ninja Protocol</v>
      </c>
    </row>
    <row r="9030" spans="1:3" x14ac:dyDescent="0.25">
      <c r="A9030" s="2" t="str">
        <f ca="1">IFERROR(__xludf.DUMMYFUNCTION("""COMPUTED_VALUE"""),"ninjaroll")</f>
        <v>ninjaroll</v>
      </c>
      <c r="B9030" s="2" t="str">
        <f ca="1">IFERROR(__xludf.DUMMYFUNCTION("""COMPUTED_VALUE"""),"roll")</f>
        <v>roll</v>
      </c>
      <c r="C9030" s="2" t="str">
        <f ca="1">IFERROR(__xludf.DUMMYFUNCTION("""COMPUTED_VALUE"""),"NinjaRoll")</f>
        <v>NinjaRoll</v>
      </c>
    </row>
    <row r="9031" spans="1:3" x14ac:dyDescent="0.25">
      <c r="A9031" s="2" t="str">
        <f ca="1">IFERROR(__xludf.DUMMYFUNCTION("""COMPUTED_VALUE"""),"ninja-squad")</f>
        <v>ninja-squad</v>
      </c>
      <c r="B9031" s="2" t="str">
        <f ca="1">IFERROR(__xludf.DUMMYFUNCTION("""COMPUTED_VALUE"""),"nst")</f>
        <v>nst</v>
      </c>
      <c r="C9031" s="2" t="str">
        <f ca="1">IFERROR(__xludf.DUMMYFUNCTION("""COMPUTED_VALUE"""),"Ninja Squad Token")</f>
        <v>Ninja Squad Token</v>
      </c>
    </row>
    <row r="9032" spans="1:3" x14ac:dyDescent="0.25">
      <c r="A9032" s="2" t="str">
        <f ca="1">IFERROR(__xludf.DUMMYFUNCTION("""COMPUTED_VALUE"""),"ninja-turtles")</f>
        <v>ninja-turtles</v>
      </c>
      <c r="B9032" s="2" t="str">
        <f ca="1">IFERROR(__xludf.DUMMYFUNCTION("""COMPUTED_VALUE"""),"$ninja")</f>
        <v>$ninja</v>
      </c>
      <c r="C9032" s="2" t="str">
        <f ca="1">IFERROR(__xludf.DUMMYFUNCTION("""COMPUTED_VALUE"""),"NINJA TURTLES")</f>
        <v>NINJA TURTLES</v>
      </c>
    </row>
    <row r="9033" spans="1:3" x14ac:dyDescent="0.25">
      <c r="A9033" s="2" t="str">
        <f ca="1">IFERROR(__xludf.DUMMYFUNCTION("""COMPUTED_VALUE"""),"ninja-warriors")</f>
        <v>ninja-warriors</v>
      </c>
      <c r="B9033" s="2" t="str">
        <f ca="1">IFERROR(__xludf.DUMMYFUNCTION("""COMPUTED_VALUE"""),"nwt")</f>
        <v>nwt</v>
      </c>
      <c r="C9033" s="2" t="str">
        <f ca="1">IFERROR(__xludf.DUMMYFUNCTION("""COMPUTED_VALUE"""),"Ninja Warriors")</f>
        <v>Ninja Warriors</v>
      </c>
    </row>
    <row r="9034" spans="1:3" x14ac:dyDescent="0.25">
      <c r="A9034" s="2" t="str">
        <f ca="1">IFERROR(__xludf.DUMMYFUNCTION("""COMPUTED_VALUE"""),"niob")</f>
        <v>niob</v>
      </c>
      <c r="B9034" s="2" t="str">
        <f ca="1">IFERROR(__xludf.DUMMYFUNCTION("""COMPUTED_VALUE"""),"niob")</f>
        <v>niob</v>
      </c>
      <c r="C9034" s="2" t="str">
        <f ca="1">IFERROR(__xludf.DUMMYFUNCTION("""COMPUTED_VALUE"""),"NIOB")</f>
        <v>NIOB</v>
      </c>
    </row>
    <row r="9035" spans="1:3" x14ac:dyDescent="0.25">
      <c r="A9035" s="2" t="str">
        <f ca="1">IFERROR(__xludf.DUMMYFUNCTION("""COMPUTED_VALUE"""),"niobio-cash")</f>
        <v>niobio-cash</v>
      </c>
      <c r="B9035" s="2" t="str">
        <f ca="1">IFERROR(__xludf.DUMMYFUNCTION("""COMPUTED_VALUE"""),"nbr")</f>
        <v>nbr</v>
      </c>
      <c r="C9035" s="2" t="str">
        <f ca="1">IFERROR(__xludf.DUMMYFUNCTION("""COMPUTED_VALUE"""),"Niobio")</f>
        <v>Niobio</v>
      </c>
    </row>
    <row r="9036" spans="1:3" x14ac:dyDescent="0.25">
      <c r="A9036" s="2" t="str">
        <f ca="1">IFERROR(__xludf.DUMMYFUNCTION("""COMPUTED_VALUE"""),"nioctib")</f>
        <v>nioctib</v>
      </c>
      <c r="B9036" s="2" t="str">
        <f ca="1">IFERROR(__xludf.DUMMYFUNCTION("""COMPUTED_VALUE"""),"nioctib")</f>
        <v>nioctib</v>
      </c>
      <c r="C9036" s="2" t="str">
        <f ca="1">IFERROR(__xludf.DUMMYFUNCTION("""COMPUTED_VALUE"""),"nioctiB")</f>
        <v>nioctiB</v>
      </c>
    </row>
    <row r="9037" spans="1:3" x14ac:dyDescent="0.25">
      <c r="A9037" s="2" t="str">
        <f ca="1">IFERROR(__xludf.DUMMYFUNCTION("""COMPUTED_VALUE"""),"nirmata")</f>
        <v>nirmata</v>
      </c>
      <c r="B9037" s="2" t="str">
        <f ca="1">IFERROR(__xludf.DUMMYFUNCTION("""COMPUTED_VALUE"""),"nir")</f>
        <v>nir</v>
      </c>
      <c r="C9037" s="2" t="str">
        <f ca="1">IFERROR(__xludf.DUMMYFUNCTION("""COMPUTED_VALUE"""),"Nirmata")</f>
        <v>Nirmata</v>
      </c>
    </row>
    <row r="9038" spans="1:3" x14ac:dyDescent="0.25">
      <c r="A9038" s="2" t="str">
        <f ca="1">IFERROR(__xludf.DUMMYFUNCTION("""COMPUTED_VALUE"""),"nirvana-chain")</f>
        <v>nirvana-chain</v>
      </c>
      <c r="B9038" s="2" t="str">
        <f ca="1">IFERROR(__xludf.DUMMYFUNCTION("""COMPUTED_VALUE"""),"nac")</f>
        <v>nac</v>
      </c>
      <c r="C9038" s="2" t="str">
        <f ca="1">IFERROR(__xludf.DUMMYFUNCTION("""COMPUTED_VALUE"""),"Nirvana Chain")</f>
        <v>Nirvana Chain</v>
      </c>
    </row>
    <row r="9039" spans="1:3" x14ac:dyDescent="0.25">
      <c r="A9039" s="2" t="str">
        <f ca="1">IFERROR(__xludf.DUMMYFUNCTION("""COMPUTED_VALUE"""),"nitefeeder")</f>
        <v>nitefeeder</v>
      </c>
      <c r="B9039" s="2" t="str">
        <f ca="1">IFERROR(__xludf.DUMMYFUNCTION("""COMPUTED_VALUE"""),"nitefeeder")</f>
        <v>nitefeeder</v>
      </c>
      <c r="C9039" s="2" t="str">
        <f ca="1">IFERROR(__xludf.DUMMYFUNCTION("""COMPUTED_VALUE"""),"Nitefeeder")</f>
        <v>Nitefeeder</v>
      </c>
    </row>
    <row r="9040" spans="1:3" x14ac:dyDescent="0.25">
      <c r="A9040" s="2" t="str">
        <f ca="1">IFERROR(__xludf.DUMMYFUNCTION("""COMPUTED_VALUE"""),"nitro-cartel")</f>
        <v>nitro-cartel</v>
      </c>
      <c r="B9040" s="2" t="str">
        <f ca="1">IFERROR(__xludf.DUMMYFUNCTION("""COMPUTED_VALUE"""),"trove")</f>
        <v>trove</v>
      </c>
      <c r="C9040" s="2" t="str">
        <f ca="1">IFERROR(__xludf.DUMMYFUNCTION("""COMPUTED_VALUE"""),"Arbitrove Governance Token")</f>
        <v>Arbitrove Governance Token</v>
      </c>
    </row>
    <row r="9041" spans="1:3" x14ac:dyDescent="0.25">
      <c r="A9041" s="2" t="str">
        <f ca="1">IFERROR(__xludf.DUMMYFUNCTION("""COMPUTED_VALUE"""),"nitroex")</f>
        <v>nitroex</v>
      </c>
      <c r="B9041" s="2" t="str">
        <f ca="1">IFERROR(__xludf.DUMMYFUNCTION("""COMPUTED_VALUE"""),"ntx")</f>
        <v>ntx</v>
      </c>
      <c r="C9041" s="2" t="str">
        <f ca="1">IFERROR(__xludf.DUMMYFUNCTION("""COMPUTED_VALUE"""),"NitroEX")</f>
        <v>NitroEX</v>
      </c>
    </row>
    <row r="9042" spans="1:3" x14ac:dyDescent="0.25">
      <c r="A9042" s="2" t="str">
        <f ca="1">IFERROR(__xludf.DUMMYFUNCTION("""COMPUTED_VALUE"""),"nitro-league")</f>
        <v>nitro-league</v>
      </c>
      <c r="B9042" s="2" t="str">
        <f ca="1">IFERROR(__xludf.DUMMYFUNCTION("""COMPUTED_VALUE"""),"nitro")</f>
        <v>nitro</v>
      </c>
      <c r="C9042" s="2" t="str">
        <f ca="1">IFERROR(__xludf.DUMMYFUNCTION("""COMPUTED_VALUE"""),"Nitro League")</f>
        <v>Nitro League</v>
      </c>
    </row>
    <row r="9043" spans="1:3" x14ac:dyDescent="0.25">
      <c r="A9043" s="2" t="str">
        <f ca="1">IFERROR(__xludf.DUMMYFUNCTION("""COMPUTED_VALUE"""),"nitro-network")</f>
        <v>nitro-network</v>
      </c>
      <c r="B9043" s="2" t="str">
        <f ca="1">IFERROR(__xludf.DUMMYFUNCTION("""COMPUTED_VALUE"""),"ncash")</f>
        <v>ncash</v>
      </c>
      <c r="C9043" s="2" t="str">
        <f ca="1">IFERROR(__xludf.DUMMYFUNCTION("""COMPUTED_VALUE"""),"Nitro Network")</f>
        <v>Nitro Network</v>
      </c>
    </row>
    <row r="9044" spans="1:3" x14ac:dyDescent="0.25">
      <c r="A9044" s="2" t="str">
        <f ca="1">IFERROR(__xludf.DUMMYFUNCTION("""COMPUTED_VALUE"""),"nix")</f>
        <v>nix</v>
      </c>
      <c r="B9044" s="2" t="str">
        <f ca="1">IFERROR(__xludf.DUMMYFUNCTION("""COMPUTED_VALUE"""),"nix")</f>
        <v>nix</v>
      </c>
      <c r="C9044" s="2" t="str">
        <f ca="1">IFERROR(__xludf.DUMMYFUNCTION("""COMPUTED_VALUE"""),"NIX")</f>
        <v>NIX</v>
      </c>
    </row>
    <row r="9045" spans="1:3" x14ac:dyDescent="0.25">
      <c r="A9045" s="2" t="str">
        <f ca="1">IFERROR(__xludf.DUMMYFUNCTION("""COMPUTED_VALUE"""),"nix-bridge-token")</f>
        <v>nix-bridge-token</v>
      </c>
      <c r="B9045" s="2" t="str">
        <f ca="1">IFERROR(__xludf.DUMMYFUNCTION("""COMPUTED_VALUE"""),"voice")</f>
        <v>voice</v>
      </c>
      <c r="C9045" s="2" t="str">
        <f ca="1">IFERROR(__xludf.DUMMYFUNCTION("""COMPUTED_VALUE"""),"Voice")</f>
        <v>Voice</v>
      </c>
    </row>
    <row r="9046" spans="1:3" x14ac:dyDescent="0.25">
      <c r="A9046" s="2" t="str">
        <f ca="1">IFERROR(__xludf.DUMMYFUNCTION("""COMPUTED_VALUE"""),"niza-global")</f>
        <v>niza-global</v>
      </c>
      <c r="B9046" s="2" t="str">
        <f ca="1">IFERROR(__xludf.DUMMYFUNCTION("""COMPUTED_VALUE"""),"niza")</f>
        <v>niza</v>
      </c>
      <c r="C9046" s="2" t="str">
        <f ca="1">IFERROR(__xludf.DUMMYFUNCTION("""COMPUTED_VALUE"""),"Niza Global")</f>
        <v>Niza Global</v>
      </c>
    </row>
    <row r="9047" spans="1:3" x14ac:dyDescent="0.25">
      <c r="A9047" s="2" t="str">
        <f ca="1">IFERROR(__xludf.DUMMYFUNCTION("""COMPUTED_VALUE"""),"nkcl-classic")</f>
        <v>nkcl-classic</v>
      </c>
      <c r="B9047" s="2" t="str">
        <f ca="1">IFERROR(__xludf.DUMMYFUNCTION("""COMPUTED_VALUE"""),"nkclc")</f>
        <v>nkclc</v>
      </c>
      <c r="C9047" s="2" t="str">
        <f ca="1">IFERROR(__xludf.DUMMYFUNCTION("""COMPUTED_VALUE"""),"NKCL Classic")</f>
        <v>NKCL Classic</v>
      </c>
    </row>
    <row r="9048" spans="1:3" x14ac:dyDescent="0.25">
      <c r="A9048" s="2" t="str">
        <f ca="1">IFERROR(__xludf.DUMMYFUNCTION("""COMPUTED_VALUE"""),"nkn")</f>
        <v>nkn</v>
      </c>
      <c r="B9048" s="2" t="str">
        <f ca="1">IFERROR(__xludf.DUMMYFUNCTION("""COMPUTED_VALUE"""),"nkn")</f>
        <v>nkn</v>
      </c>
      <c r="C9048" s="2" t="str">
        <f ca="1">IFERROR(__xludf.DUMMYFUNCTION("""COMPUTED_VALUE"""),"NKN")</f>
        <v>NKN</v>
      </c>
    </row>
    <row r="9049" spans="1:3" x14ac:dyDescent="0.25">
      <c r="A9049" s="2" t="str">
        <f ca="1">IFERROR(__xludf.DUMMYFUNCTION("""COMPUTED_VALUE"""),"nkyc-token")</f>
        <v>nkyc-token</v>
      </c>
      <c r="B9049" s="2" t="str">
        <f ca="1">IFERROR(__xludf.DUMMYFUNCTION("""COMPUTED_VALUE"""),"nkyc")</f>
        <v>nkyc</v>
      </c>
      <c r="C9049" s="2" t="str">
        <f ca="1">IFERROR(__xludf.DUMMYFUNCTION("""COMPUTED_VALUE"""),"NKYC Token")</f>
        <v>NKYC Token</v>
      </c>
    </row>
    <row r="9050" spans="1:3" x14ac:dyDescent="0.25">
      <c r="A9050" s="2" t="str">
        <f ca="1">IFERROR(__xludf.DUMMYFUNCTION("""COMPUTED_VALUE"""),"no1-tiktok-frog-omochi")</f>
        <v>no1-tiktok-frog-omochi</v>
      </c>
      <c r="B9050" s="2" t="str">
        <f ca="1">IFERROR(__xludf.DUMMYFUNCTION("""COMPUTED_VALUE"""),"omochi")</f>
        <v>omochi</v>
      </c>
      <c r="C9050" s="2" t="str">
        <f ca="1">IFERROR(__xludf.DUMMYFUNCTION("""COMPUTED_VALUE"""),"No1 tiktok frog (Omochi)")</f>
        <v>No1 tiktok frog (Omochi)</v>
      </c>
    </row>
    <row r="9051" spans="1:3" x14ac:dyDescent="0.25">
      <c r="A9051" s="2" t="str">
        <f ca="1">IFERROR(__xludf.DUMMYFUNCTION("""COMPUTED_VALUE"""),"noahswap")</f>
        <v>noahswap</v>
      </c>
      <c r="B9051" s="2" t="str">
        <f ca="1">IFERROR(__xludf.DUMMYFUNCTION("""COMPUTED_VALUE"""),"noah")</f>
        <v>noah</v>
      </c>
      <c r="C9051" s="2" t="str">
        <f ca="1">IFERROR(__xludf.DUMMYFUNCTION("""COMPUTED_VALUE"""),"NoahSwap")</f>
        <v>NoahSwap</v>
      </c>
    </row>
    <row r="9052" spans="1:3" x14ac:dyDescent="0.25">
      <c r="A9052" s="2" t="str">
        <f ca="1">IFERROR(__xludf.DUMMYFUNCTION("""COMPUTED_VALUE"""),"noa-play")</f>
        <v>noa-play</v>
      </c>
      <c r="B9052" s="2" t="str">
        <f ca="1">IFERROR(__xludf.DUMMYFUNCTION("""COMPUTED_VALUE"""),"noa")</f>
        <v>noa</v>
      </c>
      <c r="C9052" s="2" t="str">
        <f ca="1">IFERROR(__xludf.DUMMYFUNCTION("""COMPUTED_VALUE"""),"NOA PLAY")</f>
        <v>NOA PLAY</v>
      </c>
    </row>
    <row r="9053" spans="1:3" x14ac:dyDescent="0.25">
      <c r="A9053" s="2" t="str">
        <f ca="1">IFERROR(__xludf.DUMMYFUNCTION("""COMPUTED_VALUE"""),"nobby-game")</f>
        <v>nobby-game</v>
      </c>
      <c r="B9053" s="2" t="str">
        <f ca="1">IFERROR(__xludf.DUMMYFUNCTION("""COMPUTED_VALUE"""),"sox")</f>
        <v>sox</v>
      </c>
      <c r="C9053" s="2" t="str">
        <f ca="1">IFERROR(__xludf.DUMMYFUNCTION("""COMPUTED_VALUE"""),"Nobby Game")</f>
        <v>Nobby Game</v>
      </c>
    </row>
    <row r="9054" spans="1:3" x14ac:dyDescent="0.25">
      <c r="A9054" s="2" t="str">
        <f ca="1">IFERROR(__xludf.DUMMYFUNCTION("""COMPUTED_VALUE"""),"nobiko-coin")</f>
        <v>nobiko-coin</v>
      </c>
      <c r="B9054" s="2" t="str">
        <f ca="1">IFERROR(__xludf.DUMMYFUNCTION("""COMPUTED_VALUE"""),"long")</f>
        <v>long</v>
      </c>
      <c r="C9054" s="2" t="str">
        <f ca="1">IFERROR(__xludf.DUMMYFUNCTION("""COMPUTED_VALUE"""),"Nobiko Coin")</f>
        <v>Nobiko Coin</v>
      </c>
    </row>
    <row r="9055" spans="1:3" x14ac:dyDescent="0.25">
      <c r="A9055" s="2" t="str">
        <f ca="1">IFERROR(__xludf.DUMMYFUNCTION("""COMPUTED_VALUE"""),"nobleblocks")</f>
        <v>nobleblocks</v>
      </c>
      <c r="B9055" s="2" t="str">
        <f ca="1">IFERROR(__xludf.DUMMYFUNCTION("""COMPUTED_VALUE"""),"nobl")</f>
        <v>nobl</v>
      </c>
      <c r="C9055" s="2" t="str">
        <f ca="1">IFERROR(__xludf.DUMMYFUNCTION("""COMPUTED_VALUE"""),"NobleBlocks")</f>
        <v>NobleBlocks</v>
      </c>
    </row>
    <row r="9056" spans="1:3" x14ac:dyDescent="0.25">
      <c r="A9056" s="2" t="str">
        <f ca="1">IFERROR(__xludf.DUMMYFUNCTION("""COMPUTED_VALUE"""),"nodeai")</f>
        <v>nodeai</v>
      </c>
      <c r="B9056" s="2" t="str">
        <f ca="1">IFERROR(__xludf.DUMMYFUNCTION("""COMPUTED_VALUE"""),"gpu")</f>
        <v>gpu</v>
      </c>
      <c r="C9056" s="2" t="str">
        <f ca="1">IFERROR(__xludf.DUMMYFUNCTION("""COMPUTED_VALUE"""),"NodeAI")</f>
        <v>NodeAI</v>
      </c>
    </row>
    <row r="9057" spans="1:3" x14ac:dyDescent="0.25">
      <c r="A9057" s="2" t="str">
        <f ca="1">IFERROR(__xludf.DUMMYFUNCTION("""COMPUTED_VALUE"""),"nodehub")</f>
        <v>nodehub</v>
      </c>
      <c r="B9057" s="2" t="str">
        <f ca="1">IFERROR(__xludf.DUMMYFUNCTION("""COMPUTED_VALUE"""),"nhub")</f>
        <v>nhub</v>
      </c>
      <c r="C9057" s="2" t="str">
        <f ca="1">IFERROR(__xludf.DUMMYFUNCTION("""COMPUTED_VALUE"""),"NodeHUB")</f>
        <v>NodeHUB</v>
      </c>
    </row>
    <row r="9058" spans="1:3" x14ac:dyDescent="0.25">
      <c r="A9058" s="2" t="str">
        <f ca="1">IFERROR(__xludf.DUMMYFUNCTION("""COMPUTED_VALUE"""),"nodelyai")</f>
        <v>nodelyai</v>
      </c>
      <c r="B9058" s="2" t="str">
        <f ca="1">IFERROR(__xludf.DUMMYFUNCTION("""COMPUTED_VALUE"""),"$node")</f>
        <v>$node</v>
      </c>
      <c r="C9058" s="2" t="str">
        <f ca="1">IFERROR(__xludf.DUMMYFUNCTION("""COMPUTED_VALUE"""),"NodelyAI")</f>
        <v>NodelyAI</v>
      </c>
    </row>
    <row r="9059" spans="1:3" x14ac:dyDescent="0.25">
      <c r="A9059" s="2" t="str">
        <f ca="1">IFERROR(__xludf.DUMMYFUNCTION("""COMPUTED_VALUE"""),"node-ordinals")</f>
        <v>node-ordinals</v>
      </c>
      <c r="B9059" s="2" t="str">
        <f ca="1">IFERROR(__xludf.DUMMYFUNCTION("""COMPUTED_VALUE"""),"node")</f>
        <v>node</v>
      </c>
      <c r="C9059" s="2" t="str">
        <f ca="1">IFERROR(__xludf.DUMMYFUNCTION("""COMPUTED_VALUE"""),"NODE (Ordinals)")</f>
        <v>NODE (Ordinals)</v>
      </c>
    </row>
    <row r="9060" spans="1:3" x14ac:dyDescent="0.25">
      <c r="A9060" s="2" t="str">
        <f ca="1">IFERROR(__xludf.DUMMYFUNCTION("""COMPUTED_VALUE"""),"nodes-reward-coin")</f>
        <v>nodes-reward-coin</v>
      </c>
      <c r="B9060" s="2" t="str">
        <f ca="1">IFERROR(__xludf.DUMMYFUNCTION("""COMPUTED_VALUE"""),"nrc")</f>
        <v>nrc</v>
      </c>
      <c r="C9060" s="2" t="str">
        <f ca="1">IFERROR(__xludf.DUMMYFUNCTION("""COMPUTED_VALUE"""),"Nodes Reward Coin")</f>
        <v>Nodes Reward Coin</v>
      </c>
    </row>
    <row r="9061" spans="1:3" x14ac:dyDescent="0.25">
      <c r="A9061" s="2" t="str">
        <f ca="1">IFERROR(__xludf.DUMMYFUNCTION("""COMPUTED_VALUE"""),"nodestation-ai")</f>
        <v>nodestation-ai</v>
      </c>
      <c r="B9061" s="2" t="str">
        <f ca="1">IFERROR(__xludf.DUMMYFUNCTION("""COMPUTED_VALUE"""),"nds")</f>
        <v>nds</v>
      </c>
      <c r="C9061" s="2" t="str">
        <f ca="1">IFERROR(__xludf.DUMMYFUNCTION("""COMPUTED_VALUE"""),"NodeStation AI")</f>
        <v>NodeStation AI</v>
      </c>
    </row>
    <row r="9062" spans="1:3" x14ac:dyDescent="0.25">
      <c r="A9062" s="2" t="str">
        <f ca="1">IFERROR(__xludf.DUMMYFUNCTION("""COMPUTED_VALUE"""),"nodestats")</f>
        <v>nodestats</v>
      </c>
      <c r="B9062" s="2" t="str">
        <f ca="1">IFERROR(__xludf.DUMMYFUNCTION("""COMPUTED_VALUE"""),"ns")</f>
        <v>ns</v>
      </c>
      <c r="C9062" s="2" t="str">
        <f ca="1">IFERROR(__xludf.DUMMYFUNCTION("""COMPUTED_VALUE"""),"Nodestats")</f>
        <v>Nodestats</v>
      </c>
    </row>
    <row r="9063" spans="1:3" x14ac:dyDescent="0.25">
      <c r="A9063" s="2" t="str">
        <f ca="1">IFERROR(__xludf.DUMMYFUNCTION("""COMPUTED_VALUE"""),"nodesynapse")</f>
        <v>nodesynapse</v>
      </c>
      <c r="B9063" s="2" t="str">
        <f ca="1">IFERROR(__xludf.DUMMYFUNCTION("""COMPUTED_VALUE"""),"ns")</f>
        <v>ns</v>
      </c>
      <c r="C9063" s="2" t="str">
        <f ca="1">IFERROR(__xludf.DUMMYFUNCTION("""COMPUTED_VALUE"""),"NodeSynapse")</f>
        <v>NodeSynapse</v>
      </c>
    </row>
    <row r="9064" spans="1:3" x14ac:dyDescent="0.25">
      <c r="A9064" s="2" t="str">
        <f ca="1">IFERROR(__xludf.DUMMYFUNCTION("""COMPUTED_VALUE"""),"nodetrade")</f>
        <v>nodetrade</v>
      </c>
      <c r="B9064" s="2" t="str">
        <f ca="1">IFERROR(__xludf.DUMMYFUNCTION("""COMPUTED_VALUE"""),"mnx")</f>
        <v>mnx</v>
      </c>
      <c r="C9064" s="2" t="str">
        <f ca="1">IFERROR(__xludf.DUMMYFUNCTION("""COMPUTED_VALUE"""),"Nodetrade")</f>
        <v>Nodetrade</v>
      </c>
    </row>
    <row r="9065" spans="1:3" x14ac:dyDescent="0.25">
      <c r="A9065" s="2" t="str">
        <f ca="1">IFERROR(__xludf.DUMMYFUNCTION("""COMPUTED_VALUE"""),"nodewaves")</f>
        <v>nodewaves</v>
      </c>
      <c r="B9065" s="2" t="str">
        <f ca="1">IFERROR(__xludf.DUMMYFUNCTION("""COMPUTED_VALUE"""),"nws")</f>
        <v>nws</v>
      </c>
      <c r="C9065" s="2" t="str">
        <f ca="1">IFERROR(__xludf.DUMMYFUNCTION("""COMPUTED_VALUE"""),"Nodewaves")</f>
        <v>Nodewaves</v>
      </c>
    </row>
    <row r="9066" spans="1:3" x14ac:dyDescent="0.25">
      <c r="A9066" s="2" t="str">
        <f ca="1">IFERROR(__xludf.DUMMYFUNCTION("""COMPUTED_VALUE"""),"nodez")</f>
        <v>nodez</v>
      </c>
      <c r="B9066" s="2" t="str">
        <f ca="1">IFERROR(__xludf.DUMMYFUNCTION("""COMPUTED_VALUE"""),"node")</f>
        <v>node</v>
      </c>
      <c r="C9066" s="2" t="str">
        <f ca="1">IFERROR(__xludf.DUMMYFUNCTION("""COMPUTED_VALUE"""),"Nodez")</f>
        <v>Nodez</v>
      </c>
    </row>
    <row r="9067" spans="1:3" x14ac:dyDescent="0.25">
      <c r="A9067" s="2" t="str">
        <f ca="1">IFERROR(__xludf.DUMMYFUNCTION("""COMPUTED_VALUE"""),"nodifiai")</f>
        <v>nodifiai</v>
      </c>
      <c r="B9067" s="2" t="str">
        <f ca="1">IFERROR(__xludf.DUMMYFUNCTION("""COMPUTED_VALUE"""),"nodifi")</f>
        <v>nodifi</v>
      </c>
      <c r="C9067" s="2" t="str">
        <f ca="1">IFERROR(__xludf.DUMMYFUNCTION("""COMPUTED_VALUE"""),"NodifiAI")</f>
        <v>NodifiAI</v>
      </c>
    </row>
    <row r="9068" spans="1:3" x14ac:dyDescent="0.25">
      <c r="A9068" s="2" t="str">
        <f ca="1">IFERROR(__xludf.DUMMYFUNCTION("""COMPUTED_VALUE"""),"nodle-network")</f>
        <v>nodle-network</v>
      </c>
      <c r="B9068" s="2" t="str">
        <f ca="1">IFERROR(__xludf.DUMMYFUNCTION("""COMPUTED_VALUE"""),"nodl")</f>
        <v>nodl</v>
      </c>
      <c r="C9068" s="2" t="str">
        <f ca="1">IFERROR(__xludf.DUMMYFUNCTION("""COMPUTED_VALUE"""),"Nodle Network")</f>
        <v>Nodle Network</v>
      </c>
    </row>
    <row r="9069" spans="1:3" x14ac:dyDescent="0.25">
      <c r="A9069" s="2" t="str">
        <f ca="1">IFERROR(__xludf.DUMMYFUNCTION("""COMPUTED_VALUE"""),"noggles")</f>
        <v>noggles</v>
      </c>
      <c r="B9069" s="2" t="str">
        <f ca="1">IFERROR(__xludf.DUMMYFUNCTION("""COMPUTED_VALUE"""),"nogs")</f>
        <v>nogs</v>
      </c>
      <c r="C9069" s="2" t="str">
        <f ca="1">IFERROR(__xludf.DUMMYFUNCTION("""COMPUTED_VALUE"""),"Noggles")</f>
        <v>Noggles</v>
      </c>
    </row>
    <row r="9070" spans="1:3" x14ac:dyDescent="0.25">
      <c r="A9070" s="2" t="str">
        <f ca="1">IFERROR(__xludf.DUMMYFUNCTION("""COMPUTED_VALUE"""),"nogwai")</f>
        <v>nogwai</v>
      </c>
      <c r="B9070" s="2" t="str">
        <f ca="1">IFERROR(__xludf.DUMMYFUNCTION("""COMPUTED_VALUE"""),"nogwai")</f>
        <v>nogwai</v>
      </c>
      <c r="C9070" s="2" t="str">
        <f ca="1">IFERROR(__xludf.DUMMYFUNCTION("""COMPUTED_VALUE"""),"Nogwai")</f>
        <v>Nogwai</v>
      </c>
    </row>
    <row r="9071" spans="1:3" x14ac:dyDescent="0.25">
      <c r="A9071" s="2" t="str">
        <f ca="1">IFERROR(__xludf.DUMMYFUNCTION("""COMPUTED_VALUE"""),"noia-network")</f>
        <v>noia-network</v>
      </c>
      <c r="B9071" s="2" t="str">
        <f ca="1">IFERROR(__xludf.DUMMYFUNCTION("""COMPUTED_VALUE"""),"noia")</f>
        <v>noia</v>
      </c>
      <c r="C9071" s="2" t="str">
        <f ca="1">IFERROR(__xludf.DUMMYFUNCTION("""COMPUTED_VALUE"""),"Synternet")</f>
        <v>Synternet</v>
      </c>
    </row>
    <row r="9072" spans="1:3" x14ac:dyDescent="0.25">
      <c r="A9072" s="2" t="str">
        <f ca="1">IFERROR(__xludf.DUMMYFUNCTION("""COMPUTED_VALUE"""),"noike")</f>
        <v>noike</v>
      </c>
      <c r="B9072" s="2" t="str">
        <f ca="1">IFERROR(__xludf.DUMMYFUNCTION("""COMPUTED_VALUE"""),"woosh")</f>
        <v>woosh</v>
      </c>
      <c r="C9072" s="2" t="str">
        <f ca="1">IFERROR(__xludf.DUMMYFUNCTION("""COMPUTED_VALUE"""),"Noike")</f>
        <v>Noike</v>
      </c>
    </row>
    <row r="9073" spans="1:3" x14ac:dyDescent="0.25">
      <c r="A9073" s="2" t="str">
        <f ca="1">IFERROR(__xludf.DUMMYFUNCTION("""COMPUTED_VALUE"""),"noir-phygital")</f>
        <v>noir-phygital</v>
      </c>
      <c r="B9073" s="2" t="str">
        <f ca="1">IFERROR(__xludf.DUMMYFUNCTION("""COMPUTED_VALUE"""),"noir")</f>
        <v>noir</v>
      </c>
      <c r="C9073" s="2" t="str">
        <f ca="1">IFERROR(__xludf.DUMMYFUNCTION("""COMPUTED_VALUE"""),"Noir Phygital")</f>
        <v>Noir Phygital</v>
      </c>
    </row>
    <row r="9074" spans="1:3" x14ac:dyDescent="0.25">
      <c r="A9074" s="2" t="str">
        <f ca="1">IFERROR(__xludf.DUMMYFUNCTION("""COMPUTED_VALUE"""),"nois")</f>
        <v>nois</v>
      </c>
      <c r="B9074" s="2" t="str">
        <f ca="1">IFERROR(__xludf.DUMMYFUNCTION("""COMPUTED_VALUE"""),"nois")</f>
        <v>nois</v>
      </c>
      <c r="C9074" s="2" t="str">
        <f ca="1">IFERROR(__xludf.DUMMYFUNCTION("""COMPUTED_VALUE"""),"Nois")</f>
        <v>Nois</v>
      </c>
    </row>
    <row r="9075" spans="1:3" x14ac:dyDescent="0.25">
      <c r="A9075" s="2" t="str">
        <f ca="1">IFERROR(__xludf.DUMMYFUNCTION("""COMPUTED_VALUE"""),"noisegpt")</f>
        <v>noisegpt</v>
      </c>
      <c r="B9075" s="2" t="str">
        <f ca="1">IFERROR(__xludf.DUMMYFUNCTION("""COMPUTED_VALUE"""),"enqai")</f>
        <v>enqai</v>
      </c>
      <c r="C9075" s="2" t="str">
        <f ca="1">IFERROR(__xludf.DUMMYFUNCTION("""COMPUTED_VALUE"""),"enqAI")</f>
        <v>enqAI</v>
      </c>
    </row>
    <row r="9076" spans="1:3" x14ac:dyDescent="0.25">
      <c r="A9076" s="2" t="str">
        <f ca="1">IFERROR(__xludf.DUMMYFUNCTION("""COMPUTED_VALUE"""),"nojeet")</f>
        <v>nojeet</v>
      </c>
      <c r="B9076" s="2" t="str">
        <f ca="1">IFERROR(__xludf.DUMMYFUNCTION("""COMPUTED_VALUE"""),"nojeet")</f>
        <v>nojeet</v>
      </c>
      <c r="C9076" s="2" t="str">
        <f ca="1">IFERROR(__xludf.DUMMYFUNCTION("""COMPUTED_VALUE"""),"NOJEET")</f>
        <v>NOJEET</v>
      </c>
    </row>
    <row r="9077" spans="1:3" x14ac:dyDescent="0.25">
      <c r="A9077" s="2" t="str">
        <f ca="1">IFERROR(__xludf.DUMMYFUNCTION("""COMPUTED_VALUE"""),"noka-solana-a")</f>
        <v>noka-solana-a</v>
      </c>
      <c r="B9077" s="2" t="str">
        <f ca="1">IFERROR(__xludf.DUMMYFUNCTION("""COMPUTED_VALUE"""),"noka")</f>
        <v>noka</v>
      </c>
      <c r="C9077" s="2" t="str">
        <f ca="1">IFERROR(__xludf.DUMMYFUNCTION("""COMPUTED_VALUE"""),"Noka Solana A")</f>
        <v>Noka Solana A</v>
      </c>
    </row>
    <row r="9078" spans="1:3" x14ac:dyDescent="0.25">
      <c r="A9078" s="2" t="str">
        <f ca="1">IFERROR(__xludf.DUMMYFUNCTION("""COMPUTED_VALUE"""),"nola")</f>
        <v>nola</v>
      </c>
      <c r="B9078" s="2" t="str">
        <f ca="1">IFERROR(__xludf.DUMMYFUNCTION("""COMPUTED_VALUE"""),"nola")</f>
        <v>nola</v>
      </c>
      <c r="C9078" s="2" t="str">
        <f ca="1">IFERROR(__xludf.DUMMYFUNCTION("""COMPUTED_VALUE"""),"Nola")</f>
        <v>Nola</v>
      </c>
    </row>
    <row r="9079" spans="1:3" x14ac:dyDescent="0.25">
      <c r="A9079" s="2" t="str">
        <f ca="1">IFERROR(__xludf.DUMMYFUNCTION("""COMPUTED_VALUE"""),"nola-2")</f>
        <v>nola-2</v>
      </c>
      <c r="B9079" s="2" t="str">
        <f ca="1">IFERROR(__xludf.DUMMYFUNCTION("""COMPUTED_VALUE"""),"nola")</f>
        <v>nola</v>
      </c>
      <c r="C9079" s="2" t="str">
        <f ca="1">IFERROR(__xludf.DUMMYFUNCTION("""COMPUTED_VALUE"""),"Nola")</f>
        <v>Nola</v>
      </c>
    </row>
    <row r="9080" spans="1:3" x14ac:dyDescent="0.25">
      <c r="A9080" s="2" t="str">
        <f ca="1">IFERROR(__xludf.DUMMYFUNCTION("""COMPUTED_VALUE"""),"nole")</f>
        <v>nole</v>
      </c>
      <c r="B9080" s="2" t="str">
        <f ca="1">IFERROR(__xludf.DUMMYFUNCTION("""COMPUTED_VALUE"""),"nole")</f>
        <v>nole</v>
      </c>
      <c r="C9080" s="2" t="str">
        <f ca="1">IFERROR(__xludf.DUMMYFUNCTION("""COMPUTED_VALUE"""),"NOLE")</f>
        <v>NOLE</v>
      </c>
    </row>
    <row r="9081" spans="1:3" x14ac:dyDescent="0.25">
      <c r="A9081" s="2" t="str">
        <f ca="1">IFERROR(__xludf.DUMMYFUNCTION("""COMPUTED_VALUE"""),"nole-inu")</f>
        <v>nole-inu</v>
      </c>
      <c r="B9081" s="2" t="str">
        <f ca="1">IFERROR(__xludf.DUMMYFUNCTION("""COMPUTED_VALUE"""),"n0le")</f>
        <v>n0le</v>
      </c>
      <c r="C9081" s="2" t="str">
        <f ca="1">IFERROR(__xludf.DUMMYFUNCTION("""COMPUTED_VALUE"""),"Nole Inu")</f>
        <v>Nole Inu</v>
      </c>
    </row>
    <row r="9082" spans="1:3" x14ac:dyDescent="0.25">
      <c r="A9082" s="2" t="str">
        <f ca="1">IFERROR(__xludf.DUMMYFUNCTION("""COMPUTED_VALUE"""),"nolimitcoin")</f>
        <v>nolimitcoin</v>
      </c>
      <c r="B9082" s="2" t="str">
        <f ca="1">IFERROR(__xludf.DUMMYFUNCTION("""COMPUTED_VALUE"""),"nlc")</f>
        <v>nlc</v>
      </c>
      <c r="C9082" s="2" t="str">
        <f ca="1">IFERROR(__xludf.DUMMYFUNCTION("""COMPUTED_VALUE"""),"NoLimitCoin")</f>
        <v>NoLimitCoin</v>
      </c>
    </row>
    <row r="9083" spans="1:3" x14ac:dyDescent="0.25">
      <c r="A9083" s="2" t="str">
        <f ca="1">IFERROR(__xludf.DUMMYFUNCTION("""COMPUTED_VALUE"""),"nolus")</f>
        <v>nolus</v>
      </c>
      <c r="B9083" s="2" t="str">
        <f ca="1">IFERROR(__xludf.DUMMYFUNCTION("""COMPUTED_VALUE"""),"nls")</f>
        <v>nls</v>
      </c>
      <c r="C9083" s="2" t="str">
        <f ca="1">IFERROR(__xludf.DUMMYFUNCTION("""COMPUTED_VALUE"""),"Nolus")</f>
        <v>Nolus</v>
      </c>
    </row>
    <row r="9084" spans="1:3" x14ac:dyDescent="0.25">
      <c r="A9084" s="2" t="str">
        <f ca="1">IFERROR(__xludf.DUMMYFUNCTION("""COMPUTED_VALUE"""),"nomad")</f>
        <v>nomad</v>
      </c>
      <c r="B9084" s="2" t="str">
        <f ca="1">IFERROR(__xludf.DUMMYFUNCTION("""COMPUTED_VALUE"""),"nom")</f>
        <v>nom</v>
      </c>
      <c r="C9084" s="2" t="str">
        <f ca="1">IFERROR(__xludf.DUMMYFUNCTION("""COMPUTED_VALUE"""),"Nomad")</f>
        <v>Nomad</v>
      </c>
    </row>
    <row r="9085" spans="1:3" x14ac:dyDescent="0.25">
      <c r="A9085" s="2" t="str">
        <f ca="1">IFERROR(__xludf.DUMMYFUNCTION("""COMPUTED_VALUE"""),"nomad-bridged-usdc-moonbeam")</f>
        <v>nomad-bridged-usdc-moonbeam</v>
      </c>
      <c r="B9085" s="2" t="str">
        <f ca="1">IFERROR(__xludf.DUMMYFUNCTION("""COMPUTED_VALUE"""),"usdc")</f>
        <v>usdc</v>
      </c>
      <c r="C9085" s="2" t="str">
        <f ca="1">IFERROR(__xludf.DUMMYFUNCTION("""COMPUTED_VALUE"""),"Nomad Bridged USDC (Moonbeam)")</f>
        <v>Nomad Bridged USDC (Moonbeam)</v>
      </c>
    </row>
    <row r="9086" spans="1:3" x14ac:dyDescent="0.25">
      <c r="A9086" s="2" t="str">
        <f ca="1">IFERROR(__xludf.DUMMYFUNCTION("""COMPUTED_VALUE"""),"nomad-bridged-weth-moonbeam")</f>
        <v>nomad-bridged-weth-moonbeam</v>
      </c>
      <c r="B9086" s="2" t="str">
        <f ca="1">IFERROR(__xludf.DUMMYFUNCTION("""COMPUTED_VALUE"""),"weth")</f>
        <v>weth</v>
      </c>
      <c r="C9086" s="2" t="str">
        <f ca="1">IFERROR(__xludf.DUMMYFUNCTION("""COMPUTED_VALUE"""),"Nomad Bridged WETH (Moonbeam)")</f>
        <v>Nomad Bridged WETH (Moonbeam)</v>
      </c>
    </row>
    <row r="9087" spans="1:3" x14ac:dyDescent="0.25">
      <c r="A9087" s="2" t="str">
        <f ca="1">IFERROR(__xludf.DUMMYFUNCTION("""COMPUTED_VALUE"""),"nomad-exiles")</f>
        <v>nomad-exiles</v>
      </c>
      <c r="B9087" s="2" t="str">
        <f ca="1">IFERROR(__xludf.DUMMYFUNCTION("""COMPUTED_VALUE"""),"pride")</f>
        <v>pride</v>
      </c>
      <c r="C9087" s="2" t="str">
        <f ca="1">IFERROR(__xludf.DUMMYFUNCTION("""COMPUTED_VALUE"""),"Nomad Exiles")</f>
        <v>Nomad Exiles</v>
      </c>
    </row>
    <row r="9088" spans="1:3" x14ac:dyDescent="0.25">
      <c r="A9088" s="2" t="str">
        <f ca="1">IFERROR(__xludf.DUMMYFUNCTION("""COMPUTED_VALUE"""),"nomads")</f>
        <v>nomads</v>
      </c>
      <c r="B9088" s="2" t="str">
        <f ca="1">IFERROR(__xludf.DUMMYFUNCTION("""COMPUTED_VALUE"""),"nomads")</f>
        <v>nomads</v>
      </c>
      <c r="C9088" s="2" t="str">
        <f ca="1">IFERROR(__xludf.DUMMYFUNCTION("""COMPUTED_VALUE"""),"NOMADS")</f>
        <v>NOMADS</v>
      </c>
    </row>
    <row r="9089" spans="1:3" x14ac:dyDescent="0.25">
      <c r="A9089" s="2" t="str">
        <f ca="1">IFERROR(__xludf.DUMMYFUNCTION("""COMPUTED_VALUE"""),"nominex")</f>
        <v>nominex</v>
      </c>
      <c r="B9089" s="2" t="str">
        <f ca="1">IFERROR(__xludf.DUMMYFUNCTION("""COMPUTED_VALUE"""),"nmx")</f>
        <v>nmx</v>
      </c>
      <c r="C9089" s="2" t="str">
        <f ca="1">IFERROR(__xludf.DUMMYFUNCTION("""COMPUTED_VALUE"""),"Nominex")</f>
        <v>Nominex</v>
      </c>
    </row>
    <row r="9090" spans="1:3" x14ac:dyDescent="0.25">
      <c r="A9090" s="2" t="str">
        <f ca="1">IFERROR(__xludf.DUMMYFUNCTION("""COMPUTED_VALUE"""),"nomnom")</f>
        <v>nomnom</v>
      </c>
      <c r="B9090" s="2" t="str">
        <f ca="1">IFERROR(__xludf.DUMMYFUNCTION("""COMPUTED_VALUE"""),"nomnom")</f>
        <v>nomnom</v>
      </c>
      <c r="C9090" s="2" t="str">
        <f ca="1">IFERROR(__xludf.DUMMYFUNCTION("""COMPUTED_VALUE"""),"nomnom")</f>
        <v>nomnom</v>
      </c>
    </row>
    <row r="9091" spans="1:3" x14ac:dyDescent="0.25">
      <c r="A9091" s="2" t="str">
        <f ca="1">IFERROR(__xludf.DUMMYFUNCTION("""COMPUTED_VALUE"""),"nomoex-token")</f>
        <v>nomoex-token</v>
      </c>
      <c r="B9091" s="2" t="str">
        <f ca="1">IFERROR(__xludf.DUMMYFUNCTION("""COMPUTED_VALUE"""),"nomox")</f>
        <v>nomox</v>
      </c>
      <c r="C9091" s="2" t="str">
        <f ca="1">IFERROR(__xludf.DUMMYFUNCTION("""COMPUTED_VALUE"""),"NOMOEX Token")</f>
        <v>NOMOEX Token</v>
      </c>
    </row>
    <row r="9092" spans="1:3" x14ac:dyDescent="0.25">
      <c r="A9092" s="2" t="str">
        <f ca="1">IFERROR(__xludf.DUMMYFUNCTION("""COMPUTED_VALUE"""),"nomotaai")</f>
        <v>nomotaai</v>
      </c>
      <c r="B9092" s="2" t="str">
        <f ca="1">IFERROR(__xludf.DUMMYFUNCTION("""COMPUTED_VALUE"""),"nmai")</f>
        <v>nmai</v>
      </c>
      <c r="C9092" s="2" t="str">
        <f ca="1">IFERROR(__xludf.DUMMYFUNCTION("""COMPUTED_VALUE"""),"NomotaAI")</f>
        <v>NomotaAI</v>
      </c>
    </row>
    <row r="9093" spans="1:3" x14ac:dyDescent="0.25">
      <c r="A9093" s="2" t="str">
        <f ca="1">IFERROR(__xludf.DUMMYFUNCTION("""COMPUTED_VALUE"""),"non-fungible-fungi")</f>
        <v>non-fungible-fungi</v>
      </c>
      <c r="B9093" s="2" t="str">
        <f ca="1">IFERROR(__xludf.DUMMYFUNCTION("""COMPUTED_VALUE"""),"spores")</f>
        <v>spores</v>
      </c>
      <c r="C9093" s="2" t="str">
        <f ca="1">IFERROR(__xludf.DUMMYFUNCTION("""COMPUTED_VALUE"""),"Non-Fungible Fungi")</f>
        <v>Non-Fungible Fungi</v>
      </c>
    </row>
    <row r="9094" spans="1:3" x14ac:dyDescent="0.25">
      <c r="A9094" s="2" t="str">
        <f ca="1">IFERROR(__xludf.DUMMYFUNCTION("""COMPUTED_VALUE"""),"nonja")</f>
        <v>nonja</v>
      </c>
      <c r="B9094" s="2" t="str">
        <f ca="1">IFERROR(__xludf.DUMMYFUNCTION("""COMPUTED_VALUE"""),"nonja")</f>
        <v>nonja</v>
      </c>
      <c r="C9094" s="2" t="str">
        <f ca="1">IFERROR(__xludf.DUMMYFUNCTION("""COMPUTED_VALUE"""),"Nonja")</f>
        <v>Nonja</v>
      </c>
    </row>
    <row r="9095" spans="1:3" x14ac:dyDescent="0.25">
      <c r="A9095" s="2" t="str">
        <f ca="1">IFERROR(__xludf.DUMMYFUNCTION("""COMPUTED_VALUE"""),"non-playable-coin")</f>
        <v>non-playable-coin</v>
      </c>
      <c r="B9095" s="2" t="str">
        <f ca="1">IFERROR(__xludf.DUMMYFUNCTION("""COMPUTED_VALUE"""),"npc")</f>
        <v>npc</v>
      </c>
      <c r="C9095" s="2" t="str">
        <f ca="1">IFERROR(__xludf.DUMMYFUNCTION("""COMPUTED_VALUE"""),"Non-Playable Coin")</f>
        <v>Non-Playable Coin</v>
      </c>
    </row>
    <row r="9096" spans="1:3" x14ac:dyDescent="0.25">
      <c r="A9096" s="2" t="str">
        <f ca="1">IFERROR(__xludf.DUMMYFUNCTION("""COMPUTED_VALUE"""),"non-playable-inu")</f>
        <v>non-playable-inu</v>
      </c>
      <c r="B9096" s="2" t="str">
        <f ca="1">IFERROR(__xludf.DUMMYFUNCTION("""COMPUTED_VALUE"""),"$npi")</f>
        <v>$npi</v>
      </c>
      <c r="C9096" s="2" t="str">
        <f ca="1">IFERROR(__xludf.DUMMYFUNCTION("""COMPUTED_VALUE"""),"Non-Playable Inu")</f>
        <v>Non-Playable Inu</v>
      </c>
    </row>
    <row r="9097" spans="1:3" x14ac:dyDescent="0.25">
      <c r="A9097" s="2" t="str">
        <f ca="1">IFERROR(__xludf.DUMMYFUNCTION("""COMPUTED_VALUE"""),"noob")</f>
        <v>noob</v>
      </c>
      <c r="B9097" s="2" t="str">
        <f ca="1">IFERROR(__xludf.DUMMYFUNCTION("""COMPUTED_VALUE"""),"noob")</f>
        <v>noob</v>
      </c>
      <c r="C9097" s="2" t="str">
        <f ca="1">IFERROR(__xludf.DUMMYFUNCTION("""COMPUTED_VALUE"""),"NOOB")</f>
        <v>NOOB</v>
      </c>
    </row>
    <row r="9098" spans="1:3" x14ac:dyDescent="0.25">
      <c r="A9098" s="2" t="str">
        <f ca="1">IFERROR(__xludf.DUMMYFUNCTION("""COMPUTED_VALUE"""),"no-one")</f>
        <v>no-one</v>
      </c>
      <c r="B9098" s="2" t="str">
        <f ca="1">IFERROR(__xludf.DUMMYFUNCTION("""COMPUTED_VALUE"""),"noone")</f>
        <v>noone</v>
      </c>
      <c r="C9098" s="2" t="str">
        <f ca="1">IFERROR(__xludf.DUMMYFUNCTION("""COMPUTED_VALUE"""),"No One")</f>
        <v>No One</v>
      </c>
    </row>
    <row r="9099" spans="1:3" x14ac:dyDescent="0.25">
      <c r="A9099" s="2" t="str">
        <f ca="1">IFERROR(__xludf.DUMMYFUNCTION("""COMPUTED_VALUE"""),"noooomeme")</f>
        <v>noooomeme</v>
      </c>
      <c r="B9099" s="2" t="str">
        <f ca="1">IFERROR(__xludf.DUMMYFUNCTION("""COMPUTED_VALUE"""),"noooo")</f>
        <v>noooo</v>
      </c>
      <c r="C9099" s="2" t="str">
        <f ca="1">IFERROR(__xludf.DUMMYFUNCTION("""COMPUTED_VALUE"""),"Noooomeme")</f>
        <v>Noooomeme</v>
      </c>
    </row>
    <row r="9100" spans="1:3" x14ac:dyDescent="0.25">
      <c r="A9100" s="2" t="str">
        <f ca="1">IFERROR(__xludf.DUMMYFUNCTION("""COMPUTED_VALUE"""),"noot")</f>
        <v>noot</v>
      </c>
      <c r="B9100" s="2" t="str">
        <f ca="1">IFERROR(__xludf.DUMMYFUNCTION("""COMPUTED_VALUE"""),"noot")</f>
        <v>noot</v>
      </c>
      <c r="C9100" s="2" t="str">
        <f ca="1">IFERROR(__xludf.DUMMYFUNCTION("""COMPUTED_VALUE"""),"NOOT")</f>
        <v>NOOT</v>
      </c>
    </row>
    <row r="9101" spans="1:3" x14ac:dyDescent="0.25">
      <c r="A9101" s="2" t="str">
        <f ca="1">IFERROR(__xludf.DUMMYFUNCTION("""COMPUTED_VALUE"""),"noot-ordinals")</f>
        <v>noot-ordinals</v>
      </c>
      <c r="B9101" s="2" t="str">
        <f ca="1">IFERROR(__xludf.DUMMYFUNCTION("""COMPUTED_VALUE"""),"noot")</f>
        <v>noot</v>
      </c>
      <c r="C9101" s="2" t="str">
        <f ca="1">IFERROR(__xludf.DUMMYFUNCTION("""COMPUTED_VALUE"""),"NOOT (Ordinals)")</f>
        <v>NOOT (Ordinals)</v>
      </c>
    </row>
    <row r="9102" spans="1:3" x14ac:dyDescent="0.25">
      <c r="A9102" s="2" t="str">
        <f ca="1">IFERROR(__xludf.DUMMYFUNCTION("""COMPUTED_VALUE"""),"noot-sol")</f>
        <v>noot-sol</v>
      </c>
      <c r="B9102" s="2" t="str">
        <f ca="1">IFERROR(__xludf.DUMMYFUNCTION("""COMPUTED_VALUE"""),"noot")</f>
        <v>noot</v>
      </c>
      <c r="C9102" s="2" t="str">
        <f ca="1">IFERROR(__xludf.DUMMYFUNCTION("""COMPUTED_VALUE"""),"Noot Sol")</f>
        <v>Noot Sol</v>
      </c>
    </row>
    <row r="9103" spans="1:3" x14ac:dyDescent="0.25">
      <c r="A9103" s="2" t="str">
        <f ca="1">IFERROR(__xludf.DUMMYFUNCTION("""COMPUTED_VALUE"""),"nop-app")</f>
        <v>nop-app</v>
      </c>
      <c r="B9103" s="2" t="str">
        <f ca="1">IFERROR(__xludf.DUMMYFUNCTION("""COMPUTED_VALUE"""),"nop")</f>
        <v>nop</v>
      </c>
      <c r="C9103" s="2" t="str">
        <f ca="1">IFERROR(__xludf.DUMMYFUNCTION("""COMPUTED_VALUE"""),"Nop App")</f>
        <v>Nop App</v>
      </c>
    </row>
    <row r="9104" spans="1:3" x14ac:dyDescent="0.25">
      <c r="A9104" s="2" t="str">
        <f ca="1">IFERROR(__xludf.DUMMYFUNCTION("""COMPUTED_VALUE"""),"nordek")</f>
        <v>nordek</v>
      </c>
      <c r="B9104" s="2" t="str">
        <f ca="1">IFERROR(__xludf.DUMMYFUNCTION("""COMPUTED_VALUE"""),"nrk")</f>
        <v>nrk</v>
      </c>
      <c r="C9104" s="2" t="str">
        <f ca="1">IFERROR(__xludf.DUMMYFUNCTION("""COMPUTED_VALUE"""),"Nordek")</f>
        <v>Nordek</v>
      </c>
    </row>
    <row r="9105" spans="1:3" x14ac:dyDescent="0.25">
      <c r="A9105" s="2" t="str">
        <f ca="1">IFERROR(__xludf.DUMMYFUNCTION("""COMPUTED_VALUE"""),"nord-finance")</f>
        <v>nord-finance</v>
      </c>
      <c r="B9105" s="2" t="str">
        <f ca="1">IFERROR(__xludf.DUMMYFUNCTION("""COMPUTED_VALUE"""),"nord")</f>
        <v>nord</v>
      </c>
      <c r="C9105" s="2" t="str">
        <f ca="1">IFERROR(__xludf.DUMMYFUNCTION("""COMPUTED_VALUE"""),"Nord Finance")</f>
        <v>Nord Finance</v>
      </c>
    </row>
    <row r="9106" spans="1:3" x14ac:dyDescent="0.25">
      <c r="A9106" s="2" t="str">
        <f ca="1">IFERROR(__xludf.DUMMYFUNCTION("""COMPUTED_VALUE"""),"nordic-ai")</f>
        <v>nordic-ai</v>
      </c>
      <c r="B9106" s="2" t="str">
        <f ca="1">IFERROR(__xludf.DUMMYFUNCTION("""COMPUTED_VALUE"""),"nrdc")</f>
        <v>nrdc</v>
      </c>
      <c r="C9106" s="2" t="str">
        <f ca="1">IFERROR(__xludf.DUMMYFUNCTION("""COMPUTED_VALUE"""),"Nordic Ai")</f>
        <v>Nordic Ai</v>
      </c>
    </row>
    <row r="9107" spans="1:3" x14ac:dyDescent="0.25">
      <c r="A9107" s="2" t="str">
        <f ca="1">IFERROR(__xludf.DUMMYFUNCTION("""COMPUTED_VALUE"""),"norman")</f>
        <v>norman</v>
      </c>
      <c r="B9107" s="2" t="str">
        <f ca="1">IFERROR(__xludf.DUMMYFUNCTION("""COMPUTED_VALUE"""),"norm")</f>
        <v>norm</v>
      </c>
      <c r="C9107" s="2" t="str">
        <f ca="1">IFERROR(__xludf.DUMMYFUNCTION("""COMPUTED_VALUE"""),"Norman")</f>
        <v>Norman</v>
      </c>
    </row>
    <row r="9108" spans="1:3" x14ac:dyDescent="0.25">
      <c r="A9108" s="2" t="str">
        <f ca="1">IFERROR(__xludf.DUMMYFUNCTION("""COMPUTED_VALUE"""),"normie-2")</f>
        <v>normie-2</v>
      </c>
      <c r="B9108" s="2" t="str">
        <f ca="1">IFERROR(__xludf.DUMMYFUNCTION("""COMPUTED_VALUE"""),"normie")</f>
        <v>normie</v>
      </c>
      <c r="C9108" s="2" t="str">
        <f ca="1">IFERROR(__xludf.DUMMYFUNCTION("""COMPUTED_VALUE"""),"NORMIE")</f>
        <v>NORMIE</v>
      </c>
    </row>
    <row r="9109" spans="1:3" x14ac:dyDescent="0.25">
      <c r="A9109" s="2" t="str">
        <f ca="1">IFERROR(__xludf.DUMMYFUNCTION("""COMPUTED_VALUE"""),"normilio")</f>
        <v>normilio</v>
      </c>
      <c r="B9109" s="2" t="str">
        <f ca="1">IFERROR(__xludf.DUMMYFUNCTION("""COMPUTED_VALUE"""),"normilio")</f>
        <v>normilio</v>
      </c>
      <c r="C9109" s="2" t="str">
        <f ca="1">IFERROR(__xludf.DUMMYFUNCTION("""COMPUTED_VALUE"""),"Normilio")</f>
        <v>Normilio</v>
      </c>
    </row>
    <row r="9110" spans="1:3" x14ac:dyDescent="0.25">
      <c r="A9110" s="2" t="str">
        <f ca="1">IFERROR(__xludf.DUMMYFUNCTION("""COMPUTED_VALUE"""),"normus")</f>
        <v>normus</v>
      </c>
      <c r="B9110" s="2" t="str">
        <f ca="1">IFERROR(__xludf.DUMMYFUNCTION("""COMPUTED_VALUE"""),"normus")</f>
        <v>normus</v>
      </c>
      <c r="C9110" s="2" t="str">
        <f ca="1">IFERROR(__xludf.DUMMYFUNCTION("""COMPUTED_VALUE"""),"Normus")</f>
        <v>Normus</v>
      </c>
    </row>
    <row r="9111" spans="1:3" x14ac:dyDescent="0.25">
      <c r="A9111" s="2" t="str">
        <f ca="1">IFERROR(__xludf.DUMMYFUNCTION("""COMPUTED_VALUE"""),"nort")</f>
        <v>nort</v>
      </c>
      <c r="B9111" s="2" t="str">
        <f ca="1">IFERROR(__xludf.DUMMYFUNCTION("""COMPUTED_VALUE"""),"xrt")</f>
        <v>xrt</v>
      </c>
      <c r="C9111" s="2" t="str">
        <f ca="1">IFERROR(__xludf.DUMMYFUNCTION("""COMPUTED_VALUE"""),"norT")</f>
        <v>norT</v>
      </c>
    </row>
    <row r="9112" spans="1:3" x14ac:dyDescent="0.25">
      <c r="A9112" s="2" t="str">
        <f ca="1">IFERROR(__xludf.DUMMYFUNCTION("""COMPUTED_VALUE"""),"north-cat-token")</f>
        <v>north-cat-token</v>
      </c>
      <c r="B9112" s="2" t="str">
        <f ca="1">IFERROR(__xludf.DUMMYFUNCTION("""COMPUTED_VALUE"""),"nct")</f>
        <v>nct</v>
      </c>
      <c r="C9112" s="2" t="str">
        <f ca="1">IFERROR(__xludf.DUMMYFUNCTION("""COMPUTED_VALUE"""),"North Cat Token")</f>
        <v>North Cat Token</v>
      </c>
    </row>
    <row r="9113" spans="1:3" x14ac:dyDescent="0.25">
      <c r="A9113" s="2" t="str">
        <f ca="1">IFERROR(__xludf.DUMMYFUNCTION("""COMPUTED_VALUE"""),"nosana")</f>
        <v>nosana</v>
      </c>
      <c r="B9113" s="2" t="str">
        <f ca="1">IFERROR(__xludf.DUMMYFUNCTION("""COMPUTED_VALUE"""),"nos")</f>
        <v>nos</v>
      </c>
      <c r="C9113" s="2" t="str">
        <f ca="1">IFERROR(__xludf.DUMMYFUNCTION("""COMPUTED_VALUE"""),"Nosana")</f>
        <v>Nosana</v>
      </c>
    </row>
    <row r="9114" spans="1:3" x14ac:dyDescent="0.25">
      <c r="A9114" s="2" t="str">
        <f ca="1">IFERROR(__xludf.DUMMYFUNCTION("""COMPUTED_VALUE"""),"nose-bud")</f>
        <v>nose-bud</v>
      </c>
      <c r="B9114" s="2" t="str">
        <f ca="1">IFERROR(__xludf.DUMMYFUNCTION("""COMPUTED_VALUE"""),"nosebud")</f>
        <v>nosebud</v>
      </c>
      <c r="C9114" s="2" t="str">
        <f ca="1">IFERROR(__xludf.DUMMYFUNCTION("""COMPUTED_VALUE"""),"Nose Bud")</f>
        <v>Nose Bud</v>
      </c>
    </row>
    <row r="9115" spans="1:3" x14ac:dyDescent="0.25">
      <c r="A9115" s="2" t="str">
        <f ca="1">IFERROR(__xludf.DUMMYFUNCTION("""COMPUTED_VALUE"""),"nose-candy")</f>
        <v>nose-candy</v>
      </c>
      <c r="B9115" s="2" t="str">
        <f ca="1">IFERROR(__xludf.DUMMYFUNCTION("""COMPUTED_VALUE"""),"cocaine")</f>
        <v>cocaine</v>
      </c>
      <c r="C9115" s="2" t="str">
        <f ca="1">IFERROR(__xludf.DUMMYFUNCTION("""COMPUTED_VALUE"""),"Nose Candy")</f>
        <v>Nose Candy</v>
      </c>
    </row>
    <row r="9116" spans="1:3" x14ac:dyDescent="0.25">
      <c r="A9116" s="2" t="str">
        <f ca="1">IFERROR(__xludf.DUMMYFUNCTION("""COMPUTED_VALUE"""),"noso")</f>
        <v>noso</v>
      </c>
      <c r="B9116" s="2" t="str">
        <f ca="1">IFERROR(__xludf.DUMMYFUNCTION("""COMPUTED_VALUE"""),"noso")</f>
        <v>noso</v>
      </c>
      <c r="C9116" s="2" t="str">
        <f ca="1">IFERROR(__xludf.DUMMYFUNCTION("""COMPUTED_VALUE"""),"Noso")</f>
        <v>Noso</v>
      </c>
    </row>
    <row r="9117" spans="1:3" x14ac:dyDescent="0.25">
      <c r="A9117" s="2" t="str">
        <f ca="1">IFERROR(__xludf.DUMMYFUNCTION("""COMPUTED_VALUE"""),"nostalgia")</f>
        <v>nostalgia</v>
      </c>
      <c r="B9117" s="2" t="str">
        <f ca="1">IFERROR(__xludf.DUMMYFUNCTION("""COMPUTED_VALUE"""),"nos")</f>
        <v>nos</v>
      </c>
      <c r="C9117" s="2" t="str">
        <f ca="1">IFERROR(__xludf.DUMMYFUNCTION("""COMPUTED_VALUE"""),"NOSTALGIA")</f>
        <v>NOSTALGIA</v>
      </c>
    </row>
    <row r="9118" spans="1:3" x14ac:dyDescent="0.25">
      <c r="A9118" s="2" t="str">
        <f ca="1">IFERROR(__xludf.DUMMYFUNCTION("""COMPUTED_VALUE"""),"nostra")</f>
        <v>nostra</v>
      </c>
      <c r="B9118" s="2" t="str">
        <f ca="1">IFERROR(__xludf.DUMMYFUNCTION("""COMPUTED_VALUE"""),"nstr")</f>
        <v>nstr</v>
      </c>
      <c r="C9118" s="2" t="str">
        <f ca="1">IFERROR(__xludf.DUMMYFUNCTION("""COMPUTED_VALUE"""),"Nostra")</f>
        <v>Nostra</v>
      </c>
    </row>
    <row r="9119" spans="1:3" x14ac:dyDescent="0.25">
      <c r="A9119" s="2" t="str">
        <f ca="1">IFERROR(__xludf.DUMMYFUNCTION("""COMPUTED_VALUE"""),"nostra-uno")</f>
        <v>nostra-uno</v>
      </c>
      <c r="B9119" s="2" t="str">
        <f ca="1">IFERROR(__xludf.DUMMYFUNCTION("""COMPUTED_VALUE"""),"uno")</f>
        <v>uno</v>
      </c>
      <c r="C9119" s="2" t="str">
        <f ca="1">IFERROR(__xludf.DUMMYFUNCTION("""COMPUTED_VALUE"""),"UNO")</f>
        <v>UNO</v>
      </c>
    </row>
    <row r="9120" spans="1:3" x14ac:dyDescent="0.25">
      <c r="A9120" s="2" t="str">
        <f ca="1">IFERROR(__xludf.DUMMYFUNCTION("""COMPUTED_VALUE"""),"notai")</f>
        <v>notai</v>
      </c>
      <c r="B9120" s="2" t="str">
        <f ca="1">IFERROR(__xludf.DUMMYFUNCTION("""COMPUTED_VALUE"""),"notai")</f>
        <v>notai</v>
      </c>
      <c r="C9120" s="2" t="str">
        <f ca="1">IFERROR(__xludf.DUMMYFUNCTION("""COMPUTED_VALUE"""),"NOTAI")</f>
        <v>NOTAI</v>
      </c>
    </row>
    <row r="9121" spans="1:3" x14ac:dyDescent="0.25">
      <c r="A9121" s="2" t="str">
        <f ca="1">IFERROR(__xludf.DUMMYFUNCTION("""COMPUTED_VALUE"""),"notcoin")</f>
        <v>notcoin</v>
      </c>
      <c r="B9121" s="2" t="str">
        <f ca="1">IFERROR(__xludf.DUMMYFUNCTION("""COMPUTED_VALUE"""),"not")</f>
        <v>not</v>
      </c>
      <c r="C9121" s="2" t="str">
        <f ca="1">IFERROR(__xludf.DUMMYFUNCTION("""COMPUTED_VALUE"""),"Notcoin")</f>
        <v>Notcoin</v>
      </c>
    </row>
    <row r="9122" spans="1:3" x14ac:dyDescent="0.25">
      <c r="A9122" s="2" t="str">
        <f ca="1">IFERROR(__xludf.DUMMYFUNCTION("""COMPUTED_VALUE"""),"notdog")</f>
        <v>notdog</v>
      </c>
      <c r="B9122" s="2" t="str">
        <f ca="1">IFERROR(__xludf.DUMMYFUNCTION("""COMPUTED_VALUE"""),"notdog")</f>
        <v>notdog</v>
      </c>
      <c r="C9122" s="2" t="str">
        <f ca="1">IFERROR(__xludf.DUMMYFUNCTION("""COMPUTED_VALUE"""),"NOTDOG")</f>
        <v>NOTDOG</v>
      </c>
    </row>
    <row r="9123" spans="1:3" x14ac:dyDescent="0.25">
      <c r="A9123" s="2" t="str">
        <f ca="1">IFERROR(__xludf.DUMMYFUNCTION("""COMPUTED_VALUE"""),"notdogecoin")</f>
        <v>notdogecoin</v>
      </c>
      <c r="B9123" s="2" t="str">
        <f ca="1">IFERROR(__xludf.DUMMYFUNCTION("""COMPUTED_VALUE"""),"notdoge")</f>
        <v>notdoge</v>
      </c>
      <c r="C9123" s="2" t="str">
        <f ca="1">IFERROR(__xludf.DUMMYFUNCTION("""COMPUTED_VALUE"""),"Notdogecoin")</f>
        <v>Notdogecoin</v>
      </c>
    </row>
    <row r="9124" spans="1:3" x14ac:dyDescent="0.25">
      <c r="A9124" s="2" t="str">
        <f ca="1">IFERROR(__xludf.DUMMYFUNCTION("""COMPUTED_VALUE"""),"note")</f>
        <v>note</v>
      </c>
      <c r="B9124" s="2" t="str">
        <f ca="1">IFERROR(__xludf.DUMMYFUNCTION("""COMPUTED_VALUE"""),"note")</f>
        <v>note</v>
      </c>
      <c r="C9124" s="2" t="str">
        <f ca="1">IFERROR(__xludf.DUMMYFUNCTION("""COMPUTED_VALUE"""),"Note")</f>
        <v>Note</v>
      </c>
    </row>
    <row r="9125" spans="1:3" x14ac:dyDescent="0.25">
      <c r="A9125" s="2" t="str">
        <f ca="1">IFERROR(__xludf.DUMMYFUNCTION("""COMPUTED_VALUE"""),"note-2")</f>
        <v>note-2</v>
      </c>
      <c r="B9125" s="2" t="str">
        <f ca="1">IFERROR(__xludf.DUMMYFUNCTION("""COMPUTED_VALUE"""),"note")</f>
        <v>note</v>
      </c>
      <c r="C9125" s="2" t="str">
        <f ca="1">IFERROR(__xludf.DUMMYFUNCTION("""COMPUTED_VALUE"""),"NOTE")</f>
        <v>NOTE</v>
      </c>
    </row>
    <row r="9126" spans="1:3" x14ac:dyDescent="0.25">
      <c r="A9126" s="2" t="str">
        <f ca="1">IFERROR(__xludf.DUMMYFUNCTION("""COMPUTED_VALUE"""),"not-financial-advice")</f>
        <v>not-financial-advice</v>
      </c>
      <c r="B9126" s="2" t="str">
        <f ca="1">IFERROR(__xludf.DUMMYFUNCTION("""COMPUTED_VALUE"""),"nfai")</f>
        <v>nfai</v>
      </c>
      <c r="C9126" s="2" t="str">
        <f ca="1">IFERROR(__xludf.DUMMYFUNCTION("""COMPUTED_VALUE"""),"Not Financial Advice")</f>
        <v>Not Financial Advice</v>
      </c>
    </row>
    <row r="9127" spans="1:3" x14ac:dyDescent="0.25">
      <c r="A9127" s="2" t="str">
        <f ca="1">IFERROR(__xludf.DUMMYFUNCTION("""COMPUTED_VALUE"""),"nothing-2")</f>
        <v>nothing-2</v>
      </c>
      <c r="B9127" s="2" t="str">
        <f ca="1">IFERROR(__xludf.DUMMYFUNCTION("""COMPUTED_VALUE"""),"nothing")</f>
        <v>nothing</v>
      </c>
      <c r="C9127" s="2" t="str">
        <f ca="1">IFERROR(__xludf.DUMMYFUNCTION("""COMPUTED_VALUE"""),"NOTHING")</f>
        <v>NOTHING</v>
      </c>
    </row>
    <row r="9128" spans="1:3" x14ac:dyDescent="0.25">
      <c r="A9128" s="2" t="str">
        <f ca="1">IFERROR(__xludf.DUMMYFUNCTION("""COMPUTED_VALUE"""),"nothing-3")</f>
        <v>nothing-3</v>
      </c>
      <c r="B9128" s="2" t="str">
        <f ca="1">IFERROR(__xludf.DUMMYFUNCTION("""COMPUTED_VALUE"""),"not")</f>
        <v>not</v>
      </c>
      <c r="C9128" s="2" t="str">
        <f ca="1">IFERROR(__xludf.DUMMYFUNCTION("""COMPUTED_VALUE"""),"Nothing")</f>
        <v>Nothing</v>
      </c>
    </row>
    <row r="9129" spans="1:3" x14ac:dyDescent="0.25">
      <c r="A9129" s="2" t="str">
        <f ca="1">IFERROR(__xludf.DUMMYFUNCTION("""COMPUTED_VALUE"""),"nothing-token")</f>
        <v>nothing-token</v>
      </c>
      <c r="B9129" s="2" t="str">
        <f ca="1">IFERROR(__xludf.DUMMYFUNCTION("""COMPUTED_VALUE"""),"thing")</f>
        <v>thing</v>
      </c>
      <c r="C9129" s="2" t="str">
        <f ca="1">IFERROR(__xludf.DUMMYFUNCTION("""COMPUTED_VALUE"""),"Nothing Token")</f>
        <v>Nothing Token</v>
      </c>
    </row>
    <row r="9130" spans="1:3" x14ac:dyDescent="0.25">
      <c r="A9130" s="2" t="str">
        <f ca="1">IFERROR(__xludf.DUMMYFUNCTION("""COMPUTED_VALUE"""),"notional-finance")</f>
        <v>notional-finance</v>
      </c>
      <c r="B9130" s="2" t="str">
        <f ca="1">IFERROR(__xludf.DUMMYFUNCTION("""COMPUTED_VALUE"""),"note")</f>
        <v>note</v>
      </c>
      <c r="C9130" s="2" t="str">
        <f ca="1">IFERROR(__xludf.DUMMYFUNCTION("""COMPUTED_VALUE"""),"Notional Finance")</f>
        <v>Notional Finance</v>
      </c>
    </row>
    <row r="9131" spans="1:3" x14ac:dyDescent="0.25">
      <c r="A9131" s="2" t="str">
        <f ca="1">IFERROR(__xludf.DUMMYFUNCTION("""COMPUTED_VALUE"""),"not-meme")</f>
        <v>not-meme</v>
      </c>
      <c r="B9131" s="2" t="str">
        <f ca="1">IFERROR(__xludf.DUMMYFUNCTION("""COMPUTED_VALUE"""),"mem")</f>
        <v>mem</v>
      </c>
      <c r="C9131" s="2" t="str">
        <f ca="1">IFERROR(__xludf.DUMMYFUNCTION("""COMPUTED_VALUE"""),"Not Meme")</f>
        <v>Not Meme</v>
      </c>
    </row>
    <row r="9132" spans="1:3" x14ac:dyDescent="0.25">
      <c r="A9132" s="2" t="str">
        <f ca="1">IFERROR(__xludf.DUMMYFUNCTION("""COMPUTED_VALUE"""),"not-notcoin")</f>
        <v>not-notcoin</v>
      </c>
      <c r="B9132" s="2" t="str">
        <f ca="1">IFERROR(__xludf.DUMMYFUNCTION("""COMPUTED_VALUE"""),"notnot")</f>
        <v>notnot</v>
      </c>
      <c r="C9132" s="2" t="str">
        <f ca="1">IFERROR(__xludf.DUMMYFUNCTION("""COMPUTED_VALUE"""),"Not Notcoin")</f>
        <v>Not Notcoin</v>
      </c>
    </row>
    <row r="9133" spans="1:3" x14ac:dyDescent="0.25">
      <c r="A9133" s="2" t="str">
        <f ca="1">IFERROR(__xludf.DUMMYFUNCTION("""COMPUTED_VALUE"""),"notwifgary")</f>
        <v>notwifgary</v>
      </c>
      <c r="B9133" s="2" t="str">
        <f ca="1">IFERROR(__xludf.DUMMYFUNCTION("""COMPUTED_VALUE"""),"nwg")</f>
        <v>nwg</v>
      </c>
      <c r="C9133" s="2" t="str">
        <f ca="1">IFERROR(__xludf.DUMMYFUNCTION("""COMPUTED_VALUE"""),"NotWifGary")</f>
        <v>NotWifGary</v>
      </c>
    </row>
    <row r="9134" spans="1:3" x14ac:dyDescent="0.25">
      <c r="A9134" s="2" t="str">
        <f ca="1">IFERROR(__xludf.DUMMYFUNCTION("""COMPUTED_VALUE"""),"nounspace")</f>
        <v>nounspace</v>
      </c>
      <c r="B9134" s="2" t="str">
        <f ca="1">IFERROR(__xludf.DUMMYFUNCTION("""COMPUTED_VALUE"""),"$space")</f>
        <v>$space</v>
      </c>
      <c r="C9134" s="2" t="str">
        <f ca="1">IFERROR(__xludf.DUMMYFUNCTION("""COMPUTED_VALUE"""),"nounspace")</f>
        <v>nounspace</v>
      </c>
    </row>
    <row r="9135" spans="1:3" x14ac:dyDescent="0.25">
      <c r="A9135" s="2" t="str">
        <f ca="1">IFERROR(__xludf.DUMMYFUNCTION("""COMPUTED_VALUE"""),"nousai")</f>
        <v>nousai</v>
      </c>
      <c r="B9135" s="2" t="str">
        <f ca="1">IFERROR(__xludf.DUMMYFUNCTION("""COMPUTED_VALUE"""),"nous")</f>
        <v>nous</v>
      </c>
      <c r="C9135" s="2" t="str">
        <f ca="1">IFERROR(__xludf.DUMMYFUNCTION("""COMPUTED_VALUE"""),"NousAI")</f>
        <v>NousAI</v>
      </c>
    </row>
    <row r="9136" spans="1:3" x14ac:dyDescent="0.25">
      <c r="A9136" s="2" t="str">
        <f ca="1">IFERROR(__xludf.DUMMYFUNCTION("""COMPUTED_VALUE"""),"nova-2")</f>
        <v>nova-2</v>
      </c>
      <c r="B9136" s="2" t="str">
        <f ca="1">IFERROR(__xludf.DUMMYFUNCTION("""COMPUTED_VALUE"""),"nova")</f>
        <v>nova</v>
      </c>
      <c r="C9136" s="2" t="str">
        <f ca="1">IFERROR(__xludf.DUMMYFUNCTION("""COMPUTED_VALUE"""),"Nova")</f>
        <v>Nova</v>
      </c>
    </row>
    <row r="9137" spans="1:3" x14ac:dyDescent="0.25">
      <c r="A9137" s="2" t="str">
        <f ca="1">IFERROR(__xludf.DUMMYFUNCTION("""COMPUTED_VALUE"""),"novacoin")</f>
        <v>novacoin</v>
      </c>
      <c r="B9137" s="2" t="str">
        <f ca="1">IFERROR(__xludf.DUMMYFUNCTION("""COMPUTED_VALUE"""),"nvc")</f>
        <v>nvc</v>
      </c>
      <c r="C9137" s="2" t="str">
        <f ca="1">IFERROR(__xludf.DUMMYFUNCTION("""COMPUTED_VALUE"""),"Novacoin")</f>
        <v>Novacoin</v>
      </c>
    </row>
    <row r="9138" spans="1:3" x14ac:dyDescent="0.25">
      <c r="A9138" s="2" t="str">
        <f ca="1">IFERROR(__xludf.DUMMYFUNCTION("""COMPUTED_VALUE"""),"nova-dai")</f>
        <v>nova-dai</v>
      </c>
      <c r="B9138" s="2" t="str">
        <f ca="1">IFERROR(__xludf.DUMMYFUNCTION("""COMPUTED_VALUE"""),"dai")</f>
        <v>dai</v>
      </c>
      <c r="C9138" s="2" t="str">
        <f ca="1">IFERROR(__xludf.DUMMYFUNCTION("""COMPUTED_VALUE"""),"Nova Merged DAI (zkLink)")</f>
        <v>Nova Merged DAI (zkLink)</v>
      </c>
    </row>
    <row r="9139" spans="1:3" x14ac:dyDescent="0.25">
      <c r="A9139" s="2" t="str">
        <f ca="1">IFERROR(__xludf.DUMMYFUNCTION("""COMPUTED_VALUE"""),"nova-dao")</f>
        <v>nova-dao</v>
      </c>
      <c r="B9139" s="2" t="str">
        <f ca="1">IFERROR(__xludf.DUMMYFUNCTION("""COMPUTED_VALUE"""),"nova")</f>
        <v>nova</v>
      </c>
      <c r="C9139" s="2" t="str">
        <f ca="1">IFERROR(__xludf.DUMMYFUNCTION("""COMPUTED_VALUE"""),"Nova DAO")</f>
        <v>Nova DAO</v>
      </c>
    </row>
    <row r="9140" spans="1:3" x14ac:dyDescent="0.25">
      <c r="A9140" s="2" t="str">
        <f ca="1">IFERROR(__xludf.DUMMYFUNCTION("""COMPUTED_VALUE"""),"novadex")</f>
        <v>novadex</v>
      </c>
      <c r="B9140" s="2" t="str">
        <f ca="1">IFERROR(__xludf.DUMMYFUNCTION("""COMPUTED_VALUE"""),"nvx")</f>
        <v>nvx</v>
      </c>
      <c r="C9140" s="2" t="str">
        <f ca="1">IFERROR(__xludf.DUMMYFUNCTION("""COMPUTED_VALUE"""),"NovaDEX")</f>
        <v>NovaDEX</v>
      </c>
    </row>
    <row r="9141" spans="1:3" x14ac:dyDescent="0.25">
      <c r="A9141" s="2" t="str">
        <f ca="1">IFERROR(__xludf.DUMMYFUNCTION("""COMPUTED_VALUE"""),"nova-eth")</f>
        <v>nova-eth</v>
      </c>
      <c r="B9141" s="2" t="str">
        <f ca="1">IFERROR(__xludf.DUMMYFUNCTION("""COMPUTED_VALUE"""),"eth")</f>
        <v>eth</v>
      </c>
      <c r="C9141" s="2" t="str">
        <f ca="1">IFERROR(__xludf.DUMMYFUNCTION("""COMPUTED_VALUE"""),"Nova Merged ETH (zkLink)")</f>
        <v>Nova Merged ETH (zkLink)</v>
      </c>
    </row>
    <row r="9142" spans="1:3" x14ac:dyDescent="0.25">
      <c r="A9142" s="2" t="str">
        <f ca="1">IFERROR(__xludf.DUMMYFUNCTION("""COMPUTED_VALUE"""),"nova-finance")</f>
        <v>nova-finance</v>
      </c>
      <c r="B9142" s="2" t="str">
        <f ca="1">IFERROR(__xludf.DUMMYFUNCTION("""COMPUTED_VALUE"""),"nova")</f>
        <v>nova</v>
      </c>
      <c r="C9142" s="2" t="str">
        <f ca="1">IFERROR(__xludf.DUMMYFUNCTION("""COMPUTED_VALUE"""),"Nova Finance")</f>
        <v>Nova Finance</v>
      </c>
    </row>
    <row r="9143" spans="1:3" x14ac:dyDescent="0.25">
      <c r="A9143" s="2" t="str">
        <f ca="1">IFERROR(__xludf.DUMMYFUNCTION("""COMPUTED_VALUE"""),"novamind")</f>
        <v>novamind</v>
      </c>
      <c r="B9143" s="2" t="str">
        <f ca="1">IFERROR(__xludf.DUMMYFUNCTION("""COMPUTED_VALUE"""),"nmd")</f>
        <v>nmd</v>
      </c>
      <c r="C9143" s="2" t="str">
        <f ca="1">IFERROR(__xludf.DUMMYFUNCTION("""COMPUTED_VALUE"""),"NOVAMIND")</f>
        <v>NOVAMIND</v>
      </c>
    </row>
    <row r="9144" spans="1:3" x14ac:dyDescent="0.25">
      <c r="A9144" s="2" t="str">
        <f ca="1">IFERROR(__xludf.DUMMYFUNCTION("""COMPUTED_VALUE"""),"novara-calcio-fan-token")</f>
        <v>novara-calcio-fan-token</v>
      </c>
      <c r="B9144" s="2" t="str">
        <f ca="1">IFERROR(__xludf.DUMMYFUNCTION("""COMPUTED_VALUE"""),"nov")</f>
        <v>nov</v>
      </c>
      <c r="C9144" s="2" t="str">
        <f ca="1">IFERROR(__xludf.DUMMYFUNCTION("""COMPUTED_VALUE"""),"Novara Calcio Fan Token")</f>
        <v>Novara Calcio Fan Token</v>
      </c>
    </row>
    <row r="9145" spans="1:3" x14ac:dyDescent="0.25">
      <c r="A9145" s="2" t="str">
        <f ca="1">IFERROR(__xludf.DUMMYFUNCTION("""COMPUTED_VALUE"""),"nova-tether-usd")</f>
        <v>nova-tether-usd</v>
      </c>
      <c r="B9145" s="2" t="str">
        <f ca="1">IFERROR(__xludf.DUMMYFUNCTION("""COMPUTED_VALUE"""),"usdt")</f>
        <v>usdt</v>
      </c>
      <c r="C9145" s="2" t="str">
        <f ca="1">IFERROR(__xludf.DUMMYFUNCTION("""COMPUTED_VALUE"""),"Nova Merged USDT (zkLink)")</f>
        <v>Nova Merged USDT (zkLink)</v>
      </c>
    </row>
    <row r="9146" spans="1:3" x14ac:dyDescent="0.25">
      <c r="A9146" s="2" t="str">
        <f ca="1">IFERROR(__xludf.DUMMYFUNCTION("""COMPUTED_VALUE"""),"novatti-australian-digital-dollar")</f>
        <v>novatti-australian-digital-dollar</v>
      </c>
      <c r="B9146" s="2" t="str">
        <f ca="1">IFERROR(__xludf.DUMMYFUNCTION("""COMPUTED_VALUE"""),"audd")</f>
        <v>audd</v>
      </c>
      <c r="C9146" s="2" t="str">
        <f ca="1">IFERROR(__xludf.DUMMYFUNCTION("""COMPUTED_VALUE"""),"Novatti Australian Digital Dollar")</f>
        <v>Novatti Australian Digital Dollar</v>
      </c>
    </row>
    <row r="9147" spans="1:3" x14ac:dyDescent="0.25">
      <c r="A9147" s="2" t="str">
        <f ca="1">IFERROR(__xludf.DUMMYFUNCTION("""COMPUTED_VALUE"""),"nova-usdc")</f>
        <v>nova-usdc</v>
      </c>
      <c r="B9147" s="2" t="str">
        <f ca="1">IFERROR(__xludf.DUMMYFUNCTION("""COMPUTED_VALUE"""),"usdc")</f>
        <v>usdc</v>
      </c>
      <c r="C9147" s="2" t="str">
        <f ca="1">IFERROR(__xludf.DUMMYFUNCTION("""COMPUTED_VALUE"""),"Nova Merged USDC (zkLink)")</f>
        <v>Nova Merged USDC (zkLink)</v>
      </c>
    </row>
    <row r="9148" spans="1:3" x14ac:dyDescent="0.25">
      <c r="A9148" s="2" t="str">
        <f ca="1">IFERROR(__xludf.DUMMYFUNCTION("""COMPUTED_VALUE"""),"nova-wbtc")</f>
        <v>nova-wbtc</v>
      </c>
      <c r="B9148" s="2" t="str">
        <f ca="1">IFERROR(__xludf.DUMMYFUNCTION("""COMPUTED_VALUE"""),"wbtc")</f>
        <v>wbtc</v>
      </c>
      <c r="C9148" s="2" t="str">
        <f ca="1">IFERROR(__xludf.DUMMYFUNCTION("""COMPUTED_VALUE"""),"Nova Merged wBTC (zkLink)")</f>
        <v>Nova Merged wBTC (zkLink)</v>
      </c>
    </row>
    <row r="9149" spans="1:3" x14ac:dyDescent="0.25">
      <c r="A9149" s="2" t="str">
        <f ca="1">IFERROR(__xludf.DUMMYFUNCTION("""COMPUTED_VALUE"""),"novawchi")</f>
        <v>novawchi</v>
      </c>
      <c r="B9149" s="2" t="str">
        <f ca="1">IFERROR(__xludf.DUMMYFUNCTION("""COMPUTED_VALUE"""),"vachi")</f>
        <v>vachi</v>
      </c>
      <c r="C9149" s="2" t="str">
        <f ca="1">IFERROR(__xludf.DUMMYFUNCTION("""COMPUTED_VALUE"""),"NOVAWCHI")</f>
        <v>NOVAWCHI</v>
      </c>
    </row>
    <row r="9150" spans="1:3" x14ac:dyDescent="0.25">
      <c r="A9150" s="2" t="str">
        <f ca="1">IFERROR(__xludf.DUMMYFUNCTION("""COMPUTED_VALUE"""),"novax")</f>
        <v>novax</v>
      </c>
      <c r="B9150" s="2" t="str">
        <f ca="1">IFERROR(__xludf.DUMMYFUNCTION("""COMPUTED_VALUE"""),"novax")</f>
        <v>novax</v>
      </c>
      <c r="C9150" s="2" t="str">
        <f ca="1">IFERROR(__xludf.DUMMYFUNCTION("""COMPUTED_VALUE"""),"NovaX")</f>
        <v>NovaX</v>
      </c>
    </row>
    <row r="9151" spans="1:3" x14ac:dyDescent="0.25">
      <c r="A9151" s="2" t="str">
        <f ca="1">IFERROR(__xludf.DUMMYFUNCTION("""COMPUTED_VALUE"""),"novem-gold")</f>
        <v>novem-gold</v>
      </c>
      <c r="B9151" s="2" t="str">
        <f ca="1">IFERROR(__xludf.DUMMYFUNCTION("""COMPUTED_VALUE"""),"nnn")</f>
        <v>nnn</v>
      </c>
      <c r="C9151" s="2" t="str">
        <f ca="1">IFERROR(__xludf.DUMMYFUNCTION("""COMPUTED_VALUE"""),"Novem Gold Token")</f>
        <v>Novem Gold Token</v>
      </c>
    </row>
    <row r="9152" spans="1:3" x14ac:dyDescent="0.25">
      <c r="A9152" s="2" t="str">
        <f ca="1">IFERROR(__xludf.DUMMYFUNCTION("""COMPUTED_VALUE"""),"novem-pro")</f>
        <v>novem-pro</v>
      </c>
      <c r="B9152" s="2" t="str">
        <f ca="1">IFERROR(__xludf.DUMMYFUNCTION("""COMPUTED_VALUE"""),"nvm")</f>
        <v>nvm</v>
      </c>
      <c r="C9152" s="2" t="str">
        <f ca="1">IFERROR(__xludf.DUMMYFUNCTION("""COMPUTED_VALUE"""),"Novem Pro")</f>
        <v>Novem Pro</v>
      </c>
    </row>
    <row r="9153" spans="1:3" x14ac:dyDescent="0.25">
      <c r="A9153" s="2" t="str">
        <f ca="1">IFERROR(__xludf.DUMMYFUNCTION("""COMPUTED_VALUE"""),"novo-9b9480a5-9545-49c3-a999-94ec2902cedb")</f>
        <v>novo-9b9480a5-9545-49c3-a999-94ec2902cedb</v>
      </c>
      <c r="B9153" s="2" t="str">
        <f ca="1">IFERROR(__xludf.DUMMYFUNCTION("""COMPUTED_VALUE"""),"novo")</f>
        <v>novo</v>
      </c>
      <c r="C9153" s="2" t="str">
        <f ca="1">IFERROR(__xludf.DUMMYFUNCTION("""COMPUTED_VALUE"""),"Novo")</f>
        <v>Novo</v>
      </c>
    </row>
    <row r="9154" spans="1:3" x14ac:dyDescent="0.25">
      <c r="A9154" s="2" t="str">
        <f ca="1">IFERROR(__xludf.DUMMYFUNCTION("""COMPUTED_VALUE"""),"npc-on-solana")</f>
        <v>npc-on-solana</v>
      </c>
      <c r="B9154" s="2" t="str">
        <f ca="1">IFERROR(__xludf.DUMMYFUNCTION("""COMPUTED_VALUE"""),"npcs")</f>
        <v>npcs</v>
      </c>
      <c r="C9154" s="2" t="str">
        <f ca="1">IFERROR(__xludf.DUMMYFUNCTION("""COMPUTED_VALUE"""),"NPC On Solana")</f>
        <v>NPC On Solana</v>
      </c>
    </row>
    <row r="9155" spans="1:3" x14ac:dyDescent="0.25">
      <c r="A9155" s="2" t="str">
        <f ca="1">IFERROR(__xludf.DUMMYFUNCTION("""COMPUTED_VALUE"""),"nshare")</f>
        <v>nshare</v>
      </c>
      <c r="B9155" s="2" t="str">
        <f ca="1">IFERROR(__xludf.DUMMYFUNCTION("""COMPUTED_VALUE"""),"nshare")</f>
        <v>nshare</v>
      </c>
      <c r="C9155" s="2" t="str">
        <f ca="1">IFERROR(__xludf.DUMMYFUNCTION("""COMPUTED_VALUE"""),"NSHARE")</f>
        <v>NSHARE</v>
      </c>
    </row>
    <row r="9156" spans="1:3" x14ac:dyDescent="0.25">
      <c r="A9156" s="2" t="str">
        <f ca="1">IFERROR(__xludf.DUMMYFUNCTION("""COMPUTED_VALUE"""),"nsights")</f>
        <v>nsights</v>
      </c>
      <c r="B9156" s="2" t="str">
        <f ca="1">IFERROR(__xludf.DUMMYFUNCTION("""COMPUTED_VALUE"""),"nsi")</f>
        <v>nsi</v>
      </c>
      <c r="C9156" s="2" t="str">
        <f ca="1">IFERROR(__xludf.DUMMYFUNCTION("""COMPUTED_VALUE"""),"nSights")</f>
        <v>nSights</v>
      </c>
    </row>
    <row r="9157" spans="1:3" x14ac:dyDescent="0.25">
      <c r="A9157" s="2" t="str">
        <f ca="1">IFERROR(__xludf.DUMMYFUNCTION("""COMPUTED_VALUE"""),"nsurance")</f>
        <v>nsurance</v>
      </c>
      <c r="B9157" s="2" t="str">
        <f ca="1">IFERROR(__xludf.DUMMYFUNCTION("""COMPUTED_VALUE"""),"n")</f>
        <v>n</v>
      </c>
      <c r="C9157" s="2" t="str">
        <f ca="1">IFERROR(__xludf.DUMMYFUNCTION("""COMPUTED_VALUE"""),"nsurance")</f>
        <v>nsurance</v>
      </c>
    </row>
    <row r="9158" spans="1:3" x14ac:dyDescent="0.25">
      <c r="A9158" s="2" t="str">
        <f ca="1">IFERROR(__xludf.DUMMYFUNCTION("""COMPUTED_VALUE"""),"nsure-network")</f>
        <v>nsure-network</v>
      </c>
      <c r="B9158" s="2" t="str">
        <f ca="1">IFERROR(__xludf.DUMMYFUNCTION("""COMPUTED_VALUE"""),"nsure")</f>
        <v>nsure</v>
      </c>
      <c r="C9158" s="2" t="str">
        <f ca="1">IFERROR(__xludf.DUMMYFUNCTION("""COMPUTED_VALUE"""),"Nsure Network")</f>
        <v>Nsure Network</v>
      </c>
    </row>
    <row r="9159" spans="1:3" x14ac:dyDescent="0.25">
      <c r="A9159" s="2" t="str">
        <f ca="1">IFERROR(__xludf.DUMMYFUNCTION("""COMPUTED_VALUE"""),"nuance")</f>
        <v>nuance</v>
      </c>
      <c r="B9159" s="2" t="str">
        <f ca="1">IFERROR(__xludf.DUMMYFUNCTION("""COMPUTED_VALUE"""),"nua")</f>
        <v>nua</v>
      </c>
      <c r="C9159" s="2" t="str">
        <f ca="1">IFERROR(__xludf.DUMMYFUNCTION("""COMPUTED_VALUE"""),"Nuance")</f>
        <v>Nuance</v>
      </c>
    </row>
    <row r="9160" spans="1:3" x14ac:dyDescent="0.25">
      <c r="A9160" s="2" t="str">
        <f ca="1">IFERROR(__xludf.DUMMYFUNCTION("""COMPUTED_VALUE"""),"nucleon-space")</f>
        <v>nucleon-space</v>
      </c>
      <c r="B9160" s="2" t="str">
        <f ca="1">IFERROR(__xludf.DUMMYFUNCTION("""COMPUTED_VALUE"""),"nut")</f>
        <v>nut</v>
      </c>
      <c r="C9160" s="2" t="str">
        <f ca="1">IFERROR(__xludf.DUMMYFUNCTION("""COMPUTED_VALUE"""),"Nucleon")</f>
        <v>Nucleon</v>
      </c>
    </row>
    <row r="9161" spans="1:3" x14ac:dyDescent="0.25">
      <c r="A9161" s="2" t="str">
        <f ca="1">IFERROR(__xludf.DUMMYFUNCTION("""COMPUTED_VALUE"""),"nucleon-xcfx")</f>
        <v>nucleon-xcfx</v>
      </c>
      <c r="B9161" s="2" t="str">
        <f ca="1">IFERROR(__xludf.DUMMYFUNCTION("""COMPUTED_VALUE"""),"xcfx")</f>
        <v>xcfx</v>
      </c>
      <c r="C9161" s="2" t="str">
        <f ca="1">IFERROR(__xludf.DUMMYFUNCTION("""COMPUTED_VALUE"""),"Nucleon xCFX")</f>
        <v>Nucleon xCFX</v>
      </c>
    </row>
    <row r="9162" spans="1:3" x14ac:dyDescent="0.25">
      <c r="A9162" s="2" t="str">
        <f ca="1">IFERROR(__xludf.DUMMYFUNCTION("""COMPUTED_VALUE"""),"nucleus-vision")</f>
        <v>nucleus-vision</v>
      </c>
      <c r="B9162" s="2" t="str">
        <f ca="1">IFERROR(__xludf.DUMMYFUNCTION("""COMPUTED_VALUE"""),"ncash")</f>
        <v>ncash</v>
      </c>
      <c r="C9162" s="2" t="str">
        <f ca="1">IFERROR(__xludf.DUMMYFUNCTION("""COMPUTED_VALUE"""),"Nucleus Vision")</f>
        <v>Nucleus Vision</v>
      </c>
    </row>
    <row r="9163" spans="1:3" x14ac:dyDescent="0.25">
      <c r="A9163" s="2" t="str">
        <f ca="1">IFERROR(__xludf.DUMMYFUNCTION("""COMPUTED_VALUE"""),"nuco-cloud")</f>
        <v>nuco-cloud</v>
      </c>
      <c r="B9163" s="2" t="str">
        <f ca="1">IFERROR(__xludf.DUMMYFUNCTION("""COMPUTED_VALUE"""),"ncdt")</f>
        <v>ncdt</v>
      </c>
      <c r="C9163" s="2" t="str">
        <f ca="1">IFERROR(__xludf.DUMMYFUNCTION("""COMPUTED_VALUE"""),"nuco.cloud")</f>
        <v>nuco.cloud</v>
      </c>
    </row>
    <row r="9164" spans="1:3" x14ac:dyDescent="0.25">
      <c r="A9164" s="2" t="str">
        <f ca="1">IFERROR(__xludf.DUMMYFUNCTION("""COMPUTED_VALUE"""),"nucypher")</f>
        <v>nucypher</v>
      </c>
      <c r="B9164" s="2" t="str">
        <f ca="1">IFERROR(__xludf.DUMMYFUNCTION("""COMPUTED_VALUE"""),"nu")</f>
        <v>nu</v>
      </c>
      <c r="C9164" s="2" t="str">
        <f ca="1">IFERROR(__xludf.DUMMYFUNCTION("""COMPUTED_VALUE"""),"NuCypher")</f>
        <v>NuCypher</v>
      </c>
    </row>
    <row r="9165" spans="1:3" x14ac:dyDescent="0.25">
      <c r="A9165" s="2" t="str">
        <f ca="1">IFERROR(__xludf.DUMMYFUNCTION("""COMPUTED_VALUE"""),"nugget-rush")</f>
        <v>nugget-rush</v>
      </c>
      <c r="B9165" s="2" t="str">
        <f ca="1">IFERROR(__xludf.DUMMYFUNCTION("""COMPUTED_VALUE"""),"nugx")</f>
        <v>nugx</v>
      </c>
      <c r="C9165" s="2" t="str">
        <f ca="1">IFERROR(__xludf.DUMMYFUNCTION("""COMPUTED_VALUE"""),"Nugget Rush")</f>
        <v>Nugget Rush</v>
      </c>
    </row>
    <row r="9166" spans="1:3" x14ac:dyDescent="0.25">
      <c r="A9166" s="2" t="str">
        <f ca="1">IFERROR(__xludf.DUMMYFUNCTION("""COMPUTED_VALUE"""),"nukey")</f>
        <v>nukey</v>
      </c>
      <c r="B9166" s="2" t="str">
        <f ca="1">IFERROR(__xludf.DUMMYFUNCTION("""COMPUTED_VALUE"""),"nukey")</f>
        <v>nukey</v>
      </c>
      <c r="C9166" s="2" t="str">
        <f ca="1">IFERROR(__xludf.DUMMYFUNCTION("""COMPUTED_VALUE"""),"Nukey")</f>
        <v>Nukey</v>
      </c>
    </row>
    <row r="9167" spans="1:3" x14ac:dyDescent="0.25">
      <c r="A9167" s="2" t="str">
        <f ca="1">IFERROR(__xludf.DUMMYFUNCTION("""COMPUTED_VALUE"""),"nuklai")</f>
        <v>nuklai</v>
      </c>
      <c r="B9167" s="2" t="str">
        <f ca="1">IFERROR(__xludf.DUMMYFUNCTION("""COMPUTED_VALUE"""),"nai")</f>
        <v>nai</v>
      </c>
      <c r="C9167" s="2" t="str">
        <f ca="1">IFERROR(__xludf.DUMMYFUNCTION("""COMPUTED_VALUE"""),"Nuklai")</f>
        <v>Nuklai</v>
      </c>
    </row>
    <row r="9168" spans="1:3" x14ac:dyDescent="0.25">
      <c r="A9168" s="2" t="str">
        <f ca="1">IFERROR(__xludf.DUMMYFUNCTION("""COMPUTED_VALUE"""),"nulink-2")</f>
        <v>nulink-2</v>
      </c>
      <c r="B9168" s="2" t="str">
        <f ca="1">IFERROR(__xludf.DUMMYFUNCTION("""COMPUTED_VALUE"""),"nlk")</f>
        <v>nlk</v>
      </c>
      <c r="C9168" s="2" t="str">
        <f ca="1">IFERROR(__xludf.DUMMYFUNCTION("""COMPUTED_VALUE"""),"NuLink")</f>
        <v>NuLink</v>
      </c>
    </row>
    <row r="9169" spans="1:3" x14ac:dyDescent="0.25">
      <c r="A9169" s="2" t="str">
        <f ca="1">IFERROR(__xludf.DUMMYFUNCTION("""COMPUTED_VALUE"""),"null-social-finance")</f>
        <v>null-social-finance</v>
      </c>
      <c r="B9169" s="2" t="str">
        <f ca="1">IFERROR(__xludf.DUMMYFUNCTION("""COMPUTED_VALUE"""),"nsf")</f>
        <v>nsf</v>
      </c>
      <c r="C9169" s="2" t="str">
        <f ca="1">IFERROR(__xludf.DUMMYFUNCTION("""COMPUTED_VALUE"""),"Null Social Finance")</f>
        <v>Null Social Finance</v>
      </c>
    </row>
    <row r="9170" spans="1:3" x14ac:dyDescent="0.25">
      <c r="A9170" s="2" t="str">
        <f ca="1">IFERROR(__xludf.DUMMYFUNCTION("""COMPUTED_VALUE"""),"nuls")</f>
        <v>nuls</v>
      </c>
      <c r="B9170" s="2" t="str">
        <f ca="1">IFERROR(__xludf.DUMMYFUNCTION("""COMPUTED_VALUE"""),"nuls")</f>
        <v>nuls</v>
      </c>
      <c r="C9170" s="2" t="str">
        <f ca="1">IFERROR(__xludf.DUMMYFUNCTION("""COMPUTED_VALUE"""),"NULS")</f>
        <v>NULS</v>
      </c>
    </row>
    <row r="9171" spans="1:3" x14ac:dyDescent="0.25">
      <c r="A9171" s="2" t="str">
        <f ca="1">IFERROR(__xludf.DUMMYFUNCTION("""COMPUTED_VALUE"""),"nulswap")</f>
        <v>nulswap</v>
      </c>
      <c r="B9171" s="2" t="str">
        <f ca="1">IFERROR(__xludf.DUMMYFUNCTION("""COMPUTED_VALUE"""),"nswap")</f>
        <v>nswap</v>
      </c>
      <c r="C9171" s="2" t="str">
        <f ca="1">IFERROR(__xludf.DUMMYFUNCTION("""COMPUTED_VALUE"""),"Nulswap")</f>
        <v>Nulswap</v>
      </c>
    </row>
    <row r="9172" spans="1:3" x14ac:dyDescent="0.25">
      <c r="A9172" s="2" t="str">
        <f ca="1">IFERROR(__xludf.DUMMYFUNCTION("""COMPUTED_VALUE"""),"numa")</f>
        <v>numa</v>
      </c>
      <c r="B9172" s="2" t="str">
        <f ca="1">IFERROR(__xludf.DUMMYFUNCTION("""COMPUTED_VALUE"""),"numa")</f>
        <v>numa</v>
      </c>
      <c r="C9172" s="2" t="str">
        <f ca="1">IFERROR(__xludf.DUMMYFUNCTION("""COMPUTED_VALUE"""),"Numa")</f>
        <v>Numa</v>
      </c>
    </row>
    <row r="9173" spans="1:3" x14ac:dyDescent="0.25">
      <c r="A9173" s="2" t="str">
        <f ca="1">IFERROR(__xludf.DUMMYFUNCTION("""COMPUTED_VALUE"""),"num-ars")</f>
        <v>num-ars</v>
      </c>
      <c r="B9173" s="2" t="str">
        <f ca="1">IFERROR(__xludf.DUMMYFUNCTION("""COMPUTED_VALUE"""),"nars")</f>
        <v>nars</v>
      </c>
      <c r="C9173" s="2" t="str">
        <f ca="1">IFERROR(__xludf.DUMMYFUNCTION("""COMPUTED_VALUE"""),"Num ARS")</f>
        <v>Num ARS</v>
      </c>
    </row>
    <row r="9174" spans="1:3" x14ac:dyDescent="0.25">
      <c r="A9174" s="2" t="str">
        <f ca="1">IFERROR(__xludf.DUMMYFUNCTION("""COMPUTED_VALUE"""),"number-1-token")</f>
        <v>number-1-token</v>
      </c>
      <c r="B9174" s="2" t="str">
        <f ca="1">IFERROR(__xludf.DUMMYFUNCTION("""COMPUTED_VALUE"""),"nr1")</f>
        <v>nr1</v>
      </c>
      <c r="C9174" s="2" t="str">
        <f ca="1">IFERROR(__xludf.DUMMYFUNCTION("""COMPUTED_VALUE"""),"Number 1")</f>
        <v>Number 1</v>
      </c>
    </row>
    <row r="9175" spans="1:3" x14ac:dyDescent="0.25">
      <c r="A9175" s="2" t="str">
        <f ca="1">IFERROR(__xludf.DUMMYFUNCTION("""COMPUTED_VALUE"""),"numbers-protocol")</f>
        <v>numbers-protocol</v>
      </c>
      <c r="B9175" s="2" t="str">
        <f ca="1">IFERROR(__xludf.DUMMYFUNCTION("""COMPUTED_VALUE"""),"num")</f>
        <v>num</v>
      </c>
      <c r="C9175" s="2" t="str">
        <f ca="1">IFERROR(__xludf.DUMMYFUNCTION("""COMPUTED_VALUE"""),"Numbers Protocol")</f>
        <v>Numbers Protocol</v>
      </c>
    </row>
    <row r="9176" spans="1:3" x14ac:dyDescent="0.25">
      <c r="A9176" s="2" t="str">
        <f ca="1">IFERROR(__xludf.DUMMYFUNCTION("""COMPUTED_VALUE"""),"numeraire")</f>
        <v>numeraire</v>
      </c>
      <c r="B9176" s="2" t="str">
        <f ca="1">IFERROR(__xludf.DUMMYFUNCTION("""COMPUTED_VALUE"""),"nmr")</f>
        <v>nmr</v>
      </c>
      <c r="C9176" s="2" t="str">
        <f ca="1">IFERROR(__xludf.DUMMYFUNCTION("""COMPUTED_VALUE"""),"Numeraire")</f>
        <v>Numeraire</v>
      </c>
    </row>
    <row r="9177" spans="1:3" x14ac:dyDescent="0.25">
      <c r="A9177" s="2" t="str">
        <f ca="1">IFERROR(__xludf.DUMMYFUNCTION("""COMPUTED_VALUE"""),"numi-shards")</f>
        <v>numi-shards</v>
      </c>
      <c r="B9177" s="2" t="str">
        <f ca="1">IFERROR(__xludf.DUMMYFUNCTION("""COMPUTED_VALUE"""),"numi")</f>
        <v>numi</v>
      </c>
      <c r="C9177" s="2" t="str">
        <f ca="1">IFERROR(__xludf.DUMMYFUNCTION("""COMPUTED_VALUE"""),"Numi Shards")</f>
        <v>Numi Shards</v>
      </c>
    </row>
    <row r="9178" spans="1:3" x14ac:dyDescent="0.25">
      <c r="A9178" s="2" t="str">
        <f ca="1">IFERROR(__xludf.DUMMYFUNCTION("""COMPUTED_VALUE"""),"nuna")</f>
        <v>nuna</v>
      </c>
      <c r="B9178" s="2" t="str">
        <f ca="1">IFERROR(__xludf.DUMMYFUNCTION("""COMPUTED_VALUE"""),"nuna")</f>
        <v>nuna</v>
      </c>
      <c r="C9178" s="2" t="str">
        <f ca="1">IFERROR(__xludf.DUMMYFUNCTION("""COMPUTED_VALUE"""),"Nuna")</f>
        <v>Nuna</v>
      </c>
    </row>
    <row r="9179" spans="1:3" x14ac:dyDescent="0.25">
      <c r="A9179" s="2" t="str">
        <f ca="1">IFERROR(__xludf.DUMMYFUNCTION("""COMPUTED_VALUE"""),"nuncy-paloosi")</f>
        <v>nuncy-paloosi</v>
      </c>
      <c r="B9179" s="2" t="str">
        <f ca="1">IFERROR(__xludf.DUMMYFUNCTION("""COMPUTED_VALUE"""),"paloosi")</f>
        <v>paloosi</v>
      </c>
      <c r="C9179" s="2" t="str">
        <f ca="1">IFERROR(__xludf.DUMMYFUNCTION("""COMPUTED_VALUE"""),"Nuncy Paloosi")</f>
        <v>Nuncy Paloosi</v>
      </c>
    </row>
    <row r="9180" spans="1:3" x14ac:dyDescent="0.25">
      <c r="A9180" s="2" t="str">
        <f ca="1">IFERROR(__xludf.DUMMYFUNCTION("""COMPUTED_VALUE"""),"nunet")</f>
        <v>nunet</v>
      </c>
      <c r="B9180" s="2" t="str">
        <f ca="1">IFERROR(__xludf.DUMMYFUNCTION("""COMPUTED_VALUE"""),"ntx")</f>
        <v>ntx</v>
      </c>
      <c r="C9180" s="2" t="str">
        <f ca="1">IFERROR(__xludf.DUMMYFUNCTION("""COMPUTED_VALUE"""),"NuNet")</f>
        <v>NuNet</v>
      </c>
    </row>
    <row r="9181" spans="1:3" x14ac:dyDescent="0.25">
      <c r="A9181" s="2" t="str">
        <f ca="1">IFERROR(__xludf.DUMMYFUNCTION("""COMPUTED_VALUE"""),"nunu-spirits")</f>
        <v>nunu-spirits</v>
      </c>
      <c r="B9181" s="2" t="str">
        <f ca="1">IFERROR(__xludf.DUMMYFUNCTION("""COMPUTED_VALUE"""),"nnt")</f>
        <v>nnt</v>
      </c>
      <c r="C9181" s="2" t="str">
        <f ca="1">IFERROR(__xludf.DUMMYFUNCTION("""COMPUTED_VALUE"""),"Nunu Spirits")</f>
        <v>Nunu Spirits</v>
      </c>
    </row>
    <row r="9182" spans="1:3" x14ac:dyDescent="0.25">
      <c r="A9182" s="2" t="str">
        <f ca="1">IFERROR(__xludf.DUMMYFUNCTION("""COMPUTED_VALUE"""),"nuon")</f>
        <v>nuon</v>
      </c>
      <c r="B9182" s="2" t="str">
        <f ca="1">IFERROR(__xludf.DUMMYFUNCTION("""COMPUTED_VALUE"""),"nuon")</f>
        <v>nuon</v>
      </c>
      <c r="C9182" s="2" t="str">
        <f ca="1">IFERROR(__xludf.DUMMYFUNCTION("""COMPUTED_VALUE"""),"Nuon")</f>
        <v>Nuon</v>
      </c>
    </row>
    <row r="9183" spans="1:3" x14ac:dyDescent="0.25">
      <c r="A9183" s="2" t="str">
        <f ca="1">IFERROR(__xludf.DUMMYFUNCTION("""COMPUTED_VALUE"""),"nuri-exchange")</f>
        <v>nuri-exchange</v>
      </c>
      <c r="B9183" s="2" t="str">
        <f ca="1">IFERROR(__xludf.DUMMYFUNCTION("""COMPUTED_VALUE"""),"nuri")</f>
        <v>nuri</v>
      </c>
      <c r="C9183" s="2" t="str">
        <f ca="1">IFERROR(__xludf.DUMMYFUNCTION("""COMPUTED_VALUE"""),"Nuri Exchange")</f>
        <v>Nuri Exchange</v>
      </c>
    </row>
    <row r="9184" spans="1:3" x14ac:dyDescent="0.25">
      <c r="A9184" s="2" t="str">
        <f ca="1">IFERROR(__xludf.DUMMYFUNCTION("""COMPUTED_VALUE"""),"nurifootball")</f>
        <v>nurifootball</v>
      </c>
      <c r="B9184" s="2" t="str">
        <f ca="1">IFERROR(__xludf.DUMMYFUNCTION("""COMPUTED_VALUE"""),"nrfb")</f>
        <v>nrfb</v>
      </c>
      <c r="C9184" s="2" t="str">
        <f ca="1">IFERROR(__xludf.DUMMYFUNCTION("""COMPUTED_VALUE"""),"NuriFootBall")</f>
        <v>NuriFootBall</v>
      </c>
    </row>
    <row r="9185" spans="1:3" x14ac:dyDescent="0.25">
      <c r="A9185" s="2" t="str">
        <f ca="1">IFERROR(__xludf.DUMMYFUNCTION("""COMPUTED_VALUE"""),"nuritopia")</f>
        <v>nuritopia</v>
      </c>
      <c r="B9185" s="2" t="str">
        <f ca="1">IFERROR(__xludf.DUMMYFUNCTION("""COMPUTED_VALUE"""),"nblu")</f>
        <v>nblu</v>
      </c>
      <c r="C9185" s="2" t="str">
        <f ca="1">IFERROR(__xludf.DUMMYFUNCTION("""COMPUTED_VALUE"""),"Nuritopia")</f>
        <v>Nuritopia</v>
      </c>
    </row>
    <row r="9186" spans="1:3" x14ac:dyDescent="0.25">
      <c r="A9186" s="2" t="str">
        <f ca="1">IFERROR(__xludf.DUMMYFUNCTION("""COMPUTED_VALUE"""),"nusa-finance")</f>
        <v>nusa-finance</v>
      </c>
      <c r="B9186" s="2" t="str">
        <f ca="1">IFERROR(__xludf.DUMMYFUNCTION("""COMPUTED_VALUE"""),"nusa")</f>
        <v>nusa</v>
      </c>
      <c r="C9186" s="2" t="str">
        <f ca="1">IFERROR(__xludf.DUMMYFUNCTION("""COMPUTED_VALUE"""),"NUSA")</f>
        <v>NUSA</v>
      </c>
    </row>
    <row r="9187" spans="1:3" x14ac:dyDescent="0.25">
      <c r="A9187" s="2" t="str">
        <f ca="1">IFERROR(__xludf.DUMMYFUNCTION("""COMPUTED_VALUE"""),"nusd")</f>
        <v>nusd</v>
      </c>
      <c r="B9187" s="2" t="str">
        <f ca="1">IFERROR(__xludf.DUMMYFUNCTION("""COMPUTED_VALUE"""),"susd")</f>
        <v>susd</v>
      </c>
      <c r="C9187" s="2" t="str">
        <f ca="1">IFERROR(__xludf.DUMMYFUNCTION("""COMPUTED_VALUE"""),"sUSD")</f>
        <v>sUSD</v>
      </c>
    </row>
    <row r="9188" spans="1:3" x14ac:dyDescent="0.25">
      <c r="A9188" s="2" t="str">
        <f ca="1">IFERROR(__xludf.DUMMYFUNCTION("""COMPUTED_VALUE"""),"nutcoin-meme")</f>
        <v>nutcoin-meme</v>
      </c>
      <c r="B9188" s="2" t="str">
        <f ca="1">IFERROR(__xludf.DUMMYFUNCTION("""COMPUTED_VALUE"""),"nut")</f>
        <v>nut</v>
      </c>
      <c r="C9188" s="2" t="str">
        <f ca="1">IFERROR(__xludf.DUMMYFUNCTION("""COMPUTED_VALUE"""),"NutCoin")</f>
        <v>NutCoin</v>
      </c>
    </row>
    <row r="9189" spans="1:3" x14ac:dyDescent="0.25">
      <c r="A9189" s="2" t="str">
        <f ca="1">IFERROR(__xludf.DUMMYFUNCTION("""COMPUTED_VALUE"""),"nutflex")</f>
        <v>nutflex</v>
      </c>
      <c r="B9189" s="2" t="str">
        <f ca="1">IFERROR(__xludf.DUMMYFUNCTION("""COMPUTED_VALUE"""),"nut")</f>
        <v>nut</v>
      </c>
      <c r="C9189" s="2" t="str">
        <f ca="1">IFERROR(__xludf.DUMMYFUNCTION("""COMPUTED_VALUE"""),"Nutflex")</f>
        <v>Nutflex</v>
      </c>
    </row>
    <row r="9190" spans="1:3" x14ac:dyDescent="0.25">
      <c r="A9190" s="2" t="str">
        <f ca="1">IFERROR(__xludf.DUMMYFUNCTION("""COMPUTED_VALUE"""),"nutgain")</f>
        <v>nutgain</v>
      </c>
      <c r="B9190" s="2" t="str">
        <f ca="1">IFERROR(__xludf.DUMMYFUNCTION("""COMPUTED_VALUE"""),"nutgv2")</f>
        <v>nutgv2</v>
      </c>
      <c r="C9190" s="2" t="str">
        <f ca="1">IFERROR(__xludf.DUMMYFUNCTION("""COMPUTED_VALUE"""),"NUTGAIN")</f>
        <v>NUTGAIN</v>
      </c>
    </row>
    <row r="9191" spans="1:3" x14ac:dyDescent="0.25">
      <c r="A9191" s="2" t="str">
        <f ca="1">IFERROR(__xludf.DUMMYFUNCTION("""COMPUTED_VALUE"""),"nuts")</f>
        <v>nuts</v>
      </c>
      <c r="B9191" s="2" t="str">
        <f ca="1">IFERROR(__xludf.DUMMYFUNCTION("""COMPUTED_VALUE"""),"nuts")</f>
        <v>nuts</v>
      </c>
      <c r="C9191" s="2" t="str">
        <f ca="1">IFERROR(__xludf.DUMMYFUNCTION("""COMPUTED_VALUE"""),"Nuts")</f>
        <v>Nuts</v>
      </c>
    </row>
    <row r="9192" spans="1:3" x14ac:dyDescent="0.25">
      <c r="A9192" s="2" t="str">
        <f ca="1">IFERROR(__xludf.DUMMYFUNCTION("""COMPUTED_VALUE"""),"nuts-2")</f>
        <v>nuts-2</v>
      </c>
      <c r="B9192" s="2" t="str">
        <f ca="1">IFERROR(__xludf.DUMMYFUNCTION("""COMPUTED_VALUE"""),"nuts")</f>
        <v>nuts</v>
      </c>
      <c r="C9192" s="2" t="str">
        <f ca="1">IFERROR(__xludf.DUMMYFUNCTION("""COMPUTED_VALUE"""),"Nuts")</f>
        <v>Nuts</v>
      </c>
    </row>
    <row r="9193" spans="1:3" x14ac:dyDescent="0.25">
      <c r="A9193" s="2" t="str">
        <f ca="1">IFERROR(__xludf.DUMMYFUNCTION("""COMPUTED_VALUE"""),"nutz")</f>
        <v>nutz</v>
      </c>
      <c r="B9193" s="2" t="str">
        <f ca="1">IFERROR(__xludf.DUMMYFUNCTION("""COMPUTED_VALUE"""),"nutz")</f>
        <v>nutz</v>
      </c>
      <c r="C9193" s="2" t="str">
        <f ca="1">IFERROR(__xludf.DUMMYFUNCTION("""COMPUTED_VALUE"""),"NUTZ")</f>
        <v>NUTZ</v>
      </c>
    </row>
    <row r="9194" spans="1:3" x14ac:dyDescent="0.25">
      <c r="A9194" s="2" t="str">
        <f ca="1">IFERROR(__xludf.DUMMYFUNCTION("""COMPUTED_VALUE"""),"nuvola-digital")</f>
        <v>nuvola-digital</v>
      </c>
      <c r="B9194" s="2" t="str">
        <f ca="1">IFERROR(__xludf.DUMMYFUNCTION("""COMPUTED_VALUE"""),"nvl")</f>
        <v>nvl</v>
      </c>
      <c r="C9194" s="2" t="str">
        <f ca="1">IFERROR(__xludf.DUMMYFUNCTION("""COMPUTED_VALUE"""),"Nuvola Digital")</f>
        <v>Nuvola Digital</v>
      </c>
    </row>
    <row r="9195" spans="1:3" x14ac:dyDescent="0.25">
      <c r="A9195" s="2" t="str">
        <f ca="1">IFERROR(__xludf.DUMMYFUNCTION("""COMPUTED_VALUE"""),"nvidia-tokenized-stock-defichain")</f>
        <v>nvidia-tokenized-stock-defichain</v>
      </c>
      <c r="B9195" s="2" t="str">
        <f ca="1">IFERROR(__xludf.DUMMYFUNCTION("""COMPUTED_VALUE"""),"dnvda")</f>
        <v>dnvda</v>
      </c>
      <c r="C9195" s="2" t="str">
        <f ca="1">IFERROR(__xludf.DUMMYFUNCTION("""COMPUTED_VALUE"""),"Nvidia Tokenized Stock Defichain")</f>
        <v>Nvidia Tokenized Stock Defichain</v>
      </c>
    </row>
    <row r="9196" spans="1:3" x14ac:dyDescent="0.25">
      <c r="A9196" s="2" t="str">
        <f ca="1">IFERROR(__xludf.DUMMYFUNCTION("""COMPUTED_VALUE"""),"nvirworld")</f>
        <v>nvirworld</v>
      </c>
      <c r="B9196" s="2" t="str">
        <f ca="1">IFERROR(__xludf.DUMMYFUNCTION("""COMPUTED_VALUE"""),"nvir")</f>
        <v>nvir</v>
      </c>
      <c r="C9196" s="2" t="str">
        <f ca="1">IFERROR(__xludf.DUMMYFUNCTION("""COMPUTED_VALUE"""),"NvirWorld")</f>
        <v>NvirWorld</v>
      </c>
    </row>
    <row r="9197" spans="1:3" x14ac:dyDescent="0.25">
      <c r="A9197" s="2" t="str">
        <f ca="1">IFERROR(__xludf.DUMMYFUNCTION("""COMPUTED_VALUE"""),"nxm")</f>
        <v>nxm</v>
      </c>
      <c r="B9197" s="2" t="str">
        <f ca="1">IFERROR(__xludf.DUMMYFUNCTION("""COMPUTED_VALUE"""),"nxm")</f>
        <v>nxm</v>
      </c>
      <c r="C9197" s="2" t="str">
        <f ca="1">IFERROR(__xludf.DUMMYFUNCTION("""COMPUTED_VALUE"""),"Nexus Mutual")</f>
        <v>Nexus Mutual</v>
      </c>
    </row>
    <row r="9198" spans="1:3" x14ac:dyDescent="0.25">
      <c r="A9198" s="2" t="str">
        <f ca="1">IFERROR(__xludf.DUMMYFUNCTION("""COMPUTED_VALUE"""),"nxt")</f>
        <v>nxt</v>
      </c>
      <c r="B9198" s="2" t="str">
        <f ca="1">IFERROR(__xludf.DUMMYFUNCTION("""COMPUTED_VALUE"""),"nxt")</f>
        <v>nxt</v>
      </c>
      <c r="C9198" s="2" t="str">
        <f ca="1">IFERROR(__xludf.DUMMYFUNCTION("""COMPUTED_VALUE"""),"NXT")</f>
        <v>NXT</v>
      </c>
    </row>
    <row r="9199" spans="1:3" x14ac:dyDescent="0.25">
      <c r="A9199" s="2" t="str">
        <f ca="1">IFERROR(__xludf.DUMMYFUNCTION("""COMPUTED_VALUE"""),"nxtchain")</f>
        <v>nxtchain</v>
      </c>
      <c r="B9199" s="2" t="str">
        <f ca="1">IFERROR(__xludf.DUMMYFUNCTION("""COMPUTED_VALUE"""),"nxt")</f>
        <v>nxt</v>
      </c>
      <c r="C9199" s="2" t="str">
        <f ca="1">IFERROR(__xludf.DUMMYFUNCTION("""COMPUTED_VALUE"""),"NXTChain")</f>
        <v>NXTChain</v>
      </c>
    </row>
    <row r="9200" spans="1:3" x14ac:dyDescent="0.25">
      <c r="A9200" s="2" t="str">
        <f ca="1">IFERROR(__xludf.DUMMYFUNCTION("""COMPUTED_VALUE"""),"nxusd")</f>
        <v>nxusd</v>
      </c>
      <c r="B9200" s="2" t="str">
        <f ca="1">IFERROR(__xludf.DUMMYFUNCTION("""COMPUTED_VALUE"""),"nxusd")</f>
        <v>nxusd</v>
      </c>
      <c r="C9200" s="2" t="str">
        <f ca="1">IFERROR(__xludf.DUMMYFUNCTION("""COMPUTED_VALUE"""),"NXUSD")</f>
        <v>NXUSD</v>
      </c>
    </row>
    <row r="9201" spans="1:3" x14ac:dyDescent="0.25">
      <c r="A9201" s="2" t="str">
        <f ca="1">IFERROR(__xludf.DUMMYFUNCTION("""COMPUTED_VALUE"""),"nya")</f>
        <v>nya</v>
      </c>
      <c r="B9201" s="2" t="str">
        <f ca="1">IFERROR(__xludf.DUMMYFUNCTION("""COMPUTED_VALUE"""),"nya")</f>
        <v>nya</v>
      </c>
      <c r="C9201" s="2" t="str">
        <f ca="1">IFERROR(__xludf.DUMMYFUNCTION("""COMPUTED_VALUE"""),"Nya")</f>
        <v>Nya</v>
      </c>
    </row>
    <row r="9202" spans="1:3" x14ac:dyDescent="0.25">
      <c r="A9202" s="2" t="str">
        <f ca="1">IFERROR(__xludf.DUMMYFUNCTION("""COMPUTED_VALUE"""),"nyan")</f>
        <v>nyan</v>
      </c>
      <c r="B9202" s="2" t="str">
        <f ca="1">IFERROR(__xludf.DUMMYFUNCTION("""COMPUTED_VALUE"""),"nyan")</f>
        <v>nyan</v>
      </c>
      <c r="C9202" s="2" t="str">
        <f ca="1">IFERROR(__xludf.DUMMYFUNCTION("""COMPUTED_VALUE"""),"Nyan Heroes")</f>
        <v>Nyan Heroes</v>
      </c>
    </row>
    <row r="9203" spans="1:3" x14ac:dyDescent="0.25">
      <c r="A9203" s="2" t="str">
        <f ca="1">IFERROR(__xludf.DUMMYFUNCTION("""COMPUTED_VALUE"""),"nyandoge-international")</f>
        <v>nyandoge-international</v>
      </c>
      <c r="B9203" s="2" t="str">
        <f ca="1">IFERROR(__xludf.DUMMYFUNCTION("""COMPUTED_VALUE"""),"nyandoge")</f>
        <v>nyandoge</v>
      </c>
      <c r="C9203" s="2" t="str">
        <f ca="1">IFERROR(__xludf.DUMMYFUNCTION("""COMPUTED_VALUE"""),"NyanDOGE International")</f>
        <v>NyanDOGE International</v>
      </c>
    </row>
    <row r="9204" spans="1:3" x14ac:dyDescent="0.25">
      <c r="A9204" s="2" t="str">
        <f ca="1">IFERROR(__xludf.DUMMYFUNCTION("""COMPUTED_VALUE"""),"nyan-meme-coin")</f>
        <v>nyan-meme-coin</v>
      </c>
      <c r="B9204" s="2" t="str">
        <f ca="1">IFERROR(__xludf.DUMMYFUNCTION("""COMPUTED_VALUE"""),"nyan")</f>
        <v>nyan</v>
      </c>
      <c r="C9204" s="2" t="str">
        <f ca="1">IFERROR(__xludf.DUMMYFUNCTION("""COMPUTED_VALUE"""),"Nyan Meme Coin")</f>
        <v>Nyan Meme Coin</v>
      </c>
    </row>
    <row r="9205" spans="1:3" x14ac:dyDescent="0.25">
      <c r="A9205" s="2" t="str">
        <f ca="1">IFERROR(__xludf.DUMMYFUNCTION("""COMPUTED_VALUE"""),"nyantereum")</f>
        <v>nyantereum</v>
      </c>
      <c r="B9205" s="2" t="str">
        <f ca="1">IFERROR(__xludf.DUMMYFUNCTION("""COMPUTED_VALUE"""),"nyante")</f>
        <v>nyante</v>
      </c>
      <c r="C9205" s="2" t="str">
        <f ca="1">IFERROR(__xludf.DUMMYFUNCTION("""COMPUTED_VALUE"""),"Nyantereum International")</f>
        <v>Nyantereum International</v>
      </c>
    </row>
    <row r="9206" spans="1:3" x14ac:dyDescent="0.25">
      <c r="A9206" s="2" t="str">
        <f ca="1">IFERROR(__xludf.DUMMYFUNCTION("""COMPUTED_VALUE"""),"nym")</f>
        <v>nym</v>
      </c>
      <c r="B9206" s="2" t="str">
        <f ca="1">IFERROR(__xludf.DUMMYFUNCTION("""COMPUTED_VALUE"""),"nym")</f>
        <v>nym</v>
      </c>
      <c r="C9206" s="2" t="str">
        <f ca="1">IFERROR(__xludf.DUMMYFUNCTION("""COMPUTED_VALUE"""),"Nym")</f>
        <v>Nym</v>
      </c>
    </row>
    <row r="9207" spans="1:3" x14ac:dyDescent="0.25">
      <c r="A9207" s="2" t="str">
        <f ca="1">IFERROR(__xludf.DUMMYFUNCTION("""COMPUTED_VALUE"""),"nyro")</f>
        <v>nyro</v>
      </c>
      <c r="B9207" s="2" t="str">
        <f ca="1">IFERROR(__xludf.DUMMYFUNCTION("""COMPUTED_VALUE"""),"nyro")</f>
        <v>nyro</v>
      </c>
      <c r="C9207" s="2" t="str">
        <f ca="1">IFERROR(__xludf.DUMMYFUNCTION("""COMPUTED_VALUE"""),"Nyro")</f>
        <v>Nyro</v>
      </c>
    </row>
    <row r="9208" spans="1:3" x14ac:dyDescent="0.25">
      <c r="A9208" s="2" t="str">
        <f ca="1">IFERROR(__xludf.DUMMYFUNCTION("""COMPUTED_VALUE"""),"nyx-cipher")</f>
        <v>nyx-cipher</v>
      </c>
      <c r="B9208" s="2" t="str">
        <f ca="1">IFERROR(__xludf.DUMMYFUNCTION("""COMPUTED_VALUE"""),"$nxcp")</f>
        <v>$nxcp</v>
      </c>
      <c r="C9208" s="2" t="str">
        <f ca="1">IFERROR(__xludf.DUMMYFUNCTION("""COMPUTED_VALUE"""),"Nyx Cipher")</f>
        <v>Nyx Cipher</v>
      </c>
    </row>
    <row r="9209" spans="1:3" x14ac:dyDescent="0.25">
      <c r="A9209" s="2" t="str">
        <f ca="1">IFERROR(__xludf.DUMMYFUNCTION("""COMPUTED_VALUE"""),"nyxia-ai")</f>
        <v>nyxia-ai</v>
      </c>
      <c r="B9209" s="2" t="str">
        <f ca="1">IFERROR(__xludf.DUMMYFUNCTION("""COMPUTED_VALUE"""),"nyxc")</f>
        <v>nyxc</v>
      </c>
      <c r="C9209" s="2" t="str">
        <f ca="1">IFERROR(__xludf.DUMMYFUNCTION("""COMPUTED_VALUE"""),"Nyxia AI")</f>
        <v>Nyxia AI</v>
      </c>
    </row>
    <row r="9210" spans="1:3" x14ac:dyDescent="0.25">
      <c r="A9210" s="2" t="str">
        <f ca="1">IFERROR(__xludf.DUMMYFUNCTION("""COMPUTED_VALUE"""),"nyzo")</f>
        <v>nyzo</v>
      </c>
      <c r="B9210" s="2" t="str">
        <f ca="1">IFERROR(__xludf.DUMMYFUNCTION("""COMPUTED_VALUE"""),"nyzo")</f>
        <v>nyzo</v>
      </c>
      <c r="C9210" s="2" t="str">
        <f ca="1">IFERROR(__xludf.DUMMYFUNCTION("""COMPUTED_VALUE"""),"Nyzo")</f>
        <v>Nyzo</v>
      </c>
    </row>
    <row r="9211" spans="1:3" x14ac:dyDescent="0.25">
      <c r="A9211" s="2" t="str">
        <f ca="1">IFERROR(__xludf.DUMMYFUNCTION("""COMPUTED_VALUE"""),"o3-swap")</f>
        <v>o3-swap</v>
      </c>
      <c r="B9211" s="2" t="str">
        <f ca="1">IFERROR(__xludf.DUMMYFUNCTION("""COMPUTED_VALUE"""),"o3")</f>
        <v>o3</v>
      </c>
      <c r="C9211" s="2" t="str">
        <f ca="1">IFERROR(__xludf.DUMMYFUNCTION("""COMPUTED_VALUE"""),"O3 Swap")</f>
        <v>O3 Swap</v>
      </c>
    </row>
    <row r="9212" spans="1:3" x14ac:dyDescent="0.25">
      <c r="A9212" s="2" t="str">
        <f ca="1">IFERROR(__xludf.DUMMYFUNCTION("""COMPUTED_VALUE"""),"oak-network")</f>
        <v>oak-network</v>
      </c>
      <c r="B9212" s="2" t="str">
        <f ca="1">IFERROR(__xludf.DUMMYFUNCTION("""COMPUTED_VALUE"""),"ap")</f>
        <v>ap</v>
      </c>
      <c r="C9212" s="2" t="str">
        <f ca="1">IFERROR(__xludf.DUMMYFUNCTION("""COMPUTED_VALUE"""),"Ava Protocol")</f>
        <v>Ava Protocol</v>
      </c>
    </row>
    <row r="9213" spans="1:3" x14ac:dyDescent="0.25">
      <c r="A9213" s="2" t="str">
        <f ca="1">IFERROR(__xludf.DUMMYFUNCTION("""COMPUTED_VALUE"""),"oasis-3")</f>
        <v>oasis-3</v>
      </c>
      <c r="B9213" s="2" t="str">
        <f ca="1">IFERROR(__xludf.DUMMYFUNCTION("""COMPUTED_VALUE"""),"oasis")</f>
        <v>oasis</v>
      </c>
      <c r="C9213" s="2" t="str">
        <f ca="1">IFERROR(__xludf.DUMMYFUNCTION("""COMPUTED_VALUE"""),"Oasis")</f>
        <v>Oasis</v>
      </c>
    </row>
    <row r="9214" spans="1:3" x14ac:dyDescent="0.25">
      <c r="A9214" s="2" t="str">
        <f ca="1">IFERROR(__xludf.DUMMYFUNCTION("""COMPUTED_VALUE"""),"oasis-metaverse")</f>
        <v>oasis-metaverse</v>
      </c>
      <c r="B9214" s="2" t="str">
        <f ca="1">IFERROR(__xludf.DUMMYFUNCTION("""COMPUTED_VALUE"""),"oasis")</f>
        <v>oasis</v>
      </c>
      <c r="C9214" s="2" t="str">
        <f ca="1">IFERROR(__xludf.DUMMYFUNCTION("""COMPUTED_VALUE"""),"Oasis Metaverse")</f>
        <v>Oasis Metaverse</v>
      </c>
    </row>
    <row r="9215" spans="1:3" x14ac:dyDescent="0.25">
      <c r="A9215" s="2" t="str">
        <f ca="1">IFERROR(__xludf.DUMMYFUNCTION("""COMPUTED_VALUE"""),"oasis-network")</f>
        <v>oasis-network</v>
      </c>
      <c r="B9215" s="2" t="str">
        <f ca="1">IFERROR(__xludf.DUMMYFUNCTION("""COMPUTED_VALUE"""),"rose")</f>
        <v>rose</v>
      </c>
      <c r="C9215" s="2" t="str">
        <f ca="1">IFERROR(__xludf.DUMMYFUNCTION("""COMPUTED_VALUE"""),"Oasis")</f>
        <v>Oasis</v>
      </c>
    </row>
    <row r="9216" spans="1:3" x14ac:dyDescent="0.25">
      <c r="A9216" s="2" t="str">
        <f ca="1">IFERROR(__xludf.DUMMYFUNCTION("""COMPUTED_VALUE"""),"oasys")</f>
        <v>oasys</v>
      </c>
      <c r="B9216" s="2" t="str">
        <f ca="1">IFERROR(__xludf.DUMMYFUNCTION("""COMPUTED_VALUE"""),"oas")</f>
        <v>oas</v>
      </c>
      <c r="C9216" s="2" t="str">
        <f ca="1">IFERROR(__xludf.DUMMYFUNCTION("""COMPUTED_VALUE"""),"Oasys")</f>
        <v>Oasys</v>
      </c>
    </row>
    <row r="9217" spans="1:3" x14ac:dyDescent="0.25">
      <c r="A9217" s="2" t="str">
        <f ca="1">IFERROR(__xludf.DUMMYFUNCTION("""COMPUTED_VALUE"""),"oath")</f>
        <v>oath</v>
      </c>
      <c r="B9217" s="2" t="str">
        <f ca="1">IFERROR(__xludf.DUMMYFUNCTION("""COMPUTED_VALUE"""),"oath")</f>
        <v>oath</v>
      </c>
      <c r="C9217" s="2" t="str">
        <f ca="1">IFERROR(__xludf.DUMMYFUNCTION("""COMPUTED_VALUE"""),"OATH")</f>
        <v>OATH</v>
      </c>
    </row>
    <row r="9218" spans="1:3" x14ac:dyDescent="0.25">
      <c r="A9218" s="2" t="str">
        <f ca="1">IFERROR(__xludf.DUMMYFUNCTION("""COMPUTED_VALUE"""),"oat-network")</f>
        <v>oat-network</v>
      </c>
      <c r="B9218" s="2" t="str">
        <f ca="1">IFERROR(__xludf.DUMMYFUNCTION("""COMPUTED_VALUE"""),"oat")</f>
        <v>oat</v>
      </c>
      <c r="C9218" s="2" t="str">
        <f ca="1">IFERROR(__xludf.DUMMYFUNCTION("""COMPUTED_VALUE"""),"OAT Network")</f>
        <v>OAT Network</v>
      </c>
    </row>
    <row r="9219" spans="1:3" x14ac:dyDescent="0.25">
      <c r="A9219" s="2" t="str">
        <f ca="1">IFERROR(__xludf.DUMMYFUNCTION("""COMPUTED_VALUE"""),"obama6900")</f>
        <v>obama6900</v>
      </c>
      <c r="B9219" s="2" t="str">
        <f ca="1">IFERROR(__xludf.DUMMYFUNCTION("""COMPUTED_VALUE"""),"obx")</f>
        <v>obx</v>
      </c>
      <c r="C9219" s="2" t="str">
        <f ca="1">IFERROR(__xludf.DUMMYFUNCTION("""COMPUTED_VALUE"""),"Obama6900")</f>
        <v>Obama6900</v>
      </c>
    </row>
    <row r="9220" spans="1:3" x14ac:dyDescent="0.25">
      <c r="A9220" s="2" t="str">
        <f ca="1">IFERROR(__xludf.DUMMYFUNCTION("""COMPUTED_VALUE"""),"obema")</f>
        <v>obema</v>
      </c>
      <c r="B9220" s="2" t="str">
        <f ca="1">IFERROR(__xludf.DUMMYFUNCTION("""COMPUTED_VALUE"""),"obema")</f>
        <v>obema</v>
      </c>
      <c r="C9220" s="2" t="str">
        <f ca="1">IFERROR(__xludf.DUMMYFUNCTION("""COMPUTED_VALUE"""),"obema")</f>
        <v>obema</v>
      </c>
    </row>
    <row r="9221" spans="1:3" x14ac:dyDescent="0.25">
      <c r="A9221" s="2" t="str">
        <f ca="1">IFERROR(__xludf.DUMMYFUNCTION("""COMPUTED_VALUE"""),"obi-real-estate")</f>
        <v>obi-real-estate</v>
      </c>
      <c r="B9221" s="2" t="str">
        <f ca="1">IFERROR(__xludf.DUMMYFUNCTION("""COMPUTED_VALUE"""),"obicoin")</f>
        <v>obicoin</v>
      </c>
      <c r="C9221" s="2" t="str">
        <f ca="1">IFERROR(__xludf.DUMMYFUNCTION("""COMPUTED_VALUE"""),"OBI Real Estate")</f>
        <v>OBI Real Estate</v>
      </c>
    </row>
    <row r="9222" spans="1:3" x14ac:dyDescent="0.25">
      <c r="A9222" s="2" t="str">
        <f ca="1">IFERROR(__xludf.DUMMYFUNCTION("""COMPUTED_VALUE"""),"obital7")</f>
        <v>obital7</v>
      </c>
      <c r="B9222" s="2" t="str">
        <f ca="1">IFERROR(__xludf.DUMMYFUNCTION("""COMPUTED_VALUE"""),"orb7")</f>
        <v>orb7</v>
      </c>
      <c r="C9222" s="2" t="str">
        <f ca="1">IFERROR(__xludf.DUMMYFUNCTION("""COMPUTED_VALUE"""),"Obital7")</f>
        <v>Obital7</v>
      </c>
    </row>
    <row r="9223" spans="1:3" x14ac:dyDescent="0.25">
      <c r="A9223" s="2" t="str">
        <f ca="1">IFERROR(__xludf.DUMMYFUNCTION("""COMPUTED_VALUE"""),"obortech")</f>
        <v>obortech</v>
      </c>
      <c r="B9223" s="2" t="str">
        <f ca="1">IFERROR(__xludf.DUMMYFUNCTION("""COMPUTED_VALUE"""),"obot")</f>
        <v>obot</v>
      </c>
      <c r="C9223" s="2" t="str">
        <f ca="1">IFERROR(__xludf.DUMMYFUNCTION("""COMPUTED_VALUE"""),"Obortech")</f>
        <v>Obortech</v>
      </c>
    </row>
    <row r="9224" spans="1:3" x14ac:dyDescent="0.25">
      <c r="A9224" s="2" t="str">
        <f ca="1">IFERROR(__xludf.DUMMYFUNCTION("""COMPUTED_VALUE"""),"obscuro")</f>
        <v>obscuro</v>
      </c>
      <c r="B9224" s="2" t="str">
        <f ca="1">IFERROR(__xludf.DUMMYFUNCTION("""COMPUTED_VALUE"""),"ten")</f>
        <v>ten</v>
      </c>
      <c r="C9224" s="2" t="str">
        <f ca="1">IFERROR(__xludf.DUMMYFUNCTION("""COMPUTED_VALUE"""),"Ten")</f>
        <v>Ten</v>
      </c>
    </row>
    <row r="9225" spans="1:3" x14ac:dyDescent="0.25">
      <c r="A9225" s="2" t="str">
        <f ca="1">IFERROR(__xludf.DUMMYFUNCTION("""COMPUTED_VALUE"""),"observer-coin")</f>
        <v>observer-coin</v>
      </c>
      <c r="B9225" s="2" t="str">
        <f ca="1">IFERROR(__xludf.DUMMYFUNCTION("""COMPUTED_VALUE"""),"obsr")</f>
        <v>obsr</v>
      </c>
      <c r="C9225" s="2" t="str">
        <f ca="1">IFERROR(__xludf.DUMMYFUNCTION("""COMPUTED_VALUE"""),"Observer")</f>
        <v>Observer</v>
      </c>
    </row>
    <row r="9226" spans="1:3" x14ac:dyDescent="0.25">
      <c r="A9226" s="2" t="str">
        <f ca="1">IFERROR(__xludf.DUMMYFUNCTION("""COMPUTED_VALUE"""),"obsidium")</f>
        <v>obsidium</v>
      </c>
      <c r="B9226" s="2" t="str">
        <f ca="1">IFERROR(__xludf.DUMMYFUNCTION("""COMPUTED_VALUE"""),"obs")</f>
        <v>obs</v>
      </c>
      <c r="C9226" s="2" t="str">
        <f ca="1">IFERROR(__xludf.DUMMYFUNCTION("""COMPUTED_VALUE"""),"Obsidium")</f>
        <v>Obsidium</v>
      </c>
    </row>
    <row r="9227" spans="1:3" x14ac:dyDescent="0.25">
      <c r="A9227" s="2" t="str">
        <f ca="1">IFERROR(__xludf.DUMMYFUNCTION("""COMPUTED_VALUE"""),"obs-world")</f>
        <v>obs-world</v>
      </c>
      <c r="B9227" s="2" t="str">
        <f ca="1">IFERROR(__xludf.DUMMYFUNCTION("""COMPUTED_VALUE"""),"obsw")</f>
        <v>obsw</v>
      </c>
      <c r="C9227" s="2" t="str">
        <f ca="1">IFERROR(__xludf.DUMMYFUNCTION("""COMPUTED_VALUE"""),"OBS World")</f>
        <v>OBS World</v>
      </c>
    </row>
    <row r="9228" spans="1:3" x14ac:dyDescent="0.25">
      <c r="A9228" s="2" t="str">
        <f ca="1">IFERROR(__xludf.DUMMYFUNCTION("""COMPUTED_VALUE"""),"ocada-ai")</f>
        <v>ocada-ai</v>
      </c>
      <c r="B9228" s="2" t="str">
        <f ca="1">IFERROR(__xludf.DUMMYFUNCTION("""COMPUTED_VALUE"""),"ocada")</f>
        <v>ocada</v>
      </c>
      <c r="C9228" s="3" t="str">
        <f ca="1">IFERROR(__xludf.DUMMYFUNCTION("""COMPUTED_VALUE"""),"OCADA.AI")</f>
        <v>OCADA.AI</v>
      </c>
    </row>
    <row r="9229" spans="1:3" x14ac:dyDescent="0.25">
      <c r="A9229" s="2" t="str">
        <f ca="1">IFERROR(__xludf.DUMMYFUNCTION("""COMPUTED_VALUE"""),"ocavu-network")</f>
        <v>ocavu-network</v>
      </c>
      <c r="B9229" s="2" t="str">
        <f ca="1">IFERROR(__xludf.DUMMYFUNCTION("""COMPUTED_VALUE"""),"ocavu")</f>
        <v>ocavu</v>
      </c>
      <c r="C9229" s="2" t="str">
        <f ca="1">IFERROR(__xludf.DUMMYFUNCTION("""COMPUTED_VALUE"""),"Ocavu Network")</f>
        <v>Ocavu Network</v>
      </c>
    </row>
    <row r="9230" spans="1:3" x14ac:dyDescent="0.25">
      <c r="A9230" s="2" t="str">
        <f ca="1">IFERROR(__xludf.DUMMYFUNCTION("""COMPUTED_VALUE"""),"occamfi")</f>
        <v>occamfi</v>
      </c>
      <c r="B9230" s="2" t="str">
        <f ca="1">IFERROR(__xludf.DUMMYFUNCTION("""COMPUTED_VALUE"""),"occ")</f>
        <v>occ</v>
      </c>
      <c r="C9230" s="2" t="str">
        <f ca="1">IFERROR(__xludf.DUMMYFUNCTION("""COMPUTED_VALUE"""),"OccamFi")</f>
        <v>OccamFi</v>
      </c>
    </row>
    <row r="9231" spans="1:3" x14ac:dyDescent="0.25">
      <c r="A9231" s="2" t="str">
        <f ca="1">IFERROR(__xludf.DUMMYFUNCTION("""COMPUTED_VALUE"""),"occamx")</f>
        <v>occamx</v>
      </c>
      <c r="B9231" s="2" t="str">
        <f ca="1">IFERROR(__xludf.DUMMYFUNCTION("""COMPUTED_VALUE"""),"ocx")</f>
        <v>ocx</v>
      </c>
      <c r="C9231" s="2" t="str">
        <f ca="1">IFERROR(__xludf.DUMMYFUNCTION("""COMPUTED_VALUE"""),"OccamX")</f>
        <v>OccamX</v>
      </c>
    </row>
    <row r="9232" spans="1:3" x14ac:dyDescent="0.25">
      <c r="A9232" s="2" t="str">
        <f ca="1">IFERROR(__xludf.DUMMYFUNCTION("""COMPUTED_VALUE"""),"occer")</f>
        <v>occer</v>
      </c>
      <c r="B9232" s="2" t="str">
        <f ca="1">IFERROR(__xludf.DUMMYFUNCTION("""COMPUTED_VALUE"""),"$occer")</f>
        <v>$occer</v>
      </c>
      <c r="C9232" s="2" t="str">
        <f ca="1">IFERROR(__xludf.DUMMYFUNCTION("""COMPUTED_VALUE"""),"$OCCER")</f>
        <v>$OCCER</v>
      </c>
    </row>
    <row r="9233" spans="1:3" x14ac:dyDescent="0.25">
      <c r="A9233" s="2" t="str">
        <f ca="1">IFERROR(__xludf.DUMMYFUNCTION("""COMPUTED_VALUE"""),"oceanex")</f>
        <v>oceanex</v>
      </c>
      <c r="B9233" s="2" t="str">
        <f ca="1">IFERROR(__xludf.DUMMYFUNCTION("""COMPUTED_VALUE"""),"oce")</f>
        <v>oce</v>
      </c>
      <c r="C9233" s="2" t="str">
        <f ca="1">IFERROR(__xludf.DUMMYFUNCTION("""COMPUTED_VALUE"""),"OceanEX")</f>
        <v>OceanEX</v>
      </c>
    </row>
    <row r="9234" spans="1:3" x14ac:dyDescent="0.25">
      <c r="A9234" s="2" t="str">
        <f ca="1">IFERROR(__xludf.DUMMYFUNCTION("""COMPUTED_VALUE"""),"oceanfi")</f>
        <v>oceanfi</v>
      </c>
      <c r="B9234" s="2" t="str">
        <f ca="1">IFERROR(__xludf.DUMMYFUNCTION("""COMPUTED_VALUE"""),"ocf")</f>
        <v>ocf</v>
      </c>
      <c r="C9234" s="2" t="str">
        <f ca="1">IFERROR(__xludf.DUMMYFUNCTION("""COMPUTED_VALUE"""),"OceanFi")</f>
        <v>OceanFi</v>
      </c>
    </row>
    <row r="9235" spans="1:3" x14ac:dyDescent="0.25">
      <c r="A9235" s="2" t="str">
        <f ca="1">IFERROR(__xludf.DUMMYFUNCTION("""COMPUTED_VALUE"""),"oceanland")</f>
        <v>oceanland</v>
      </c>
      <c r="B9235" s="2" t="str">
        <f ca="1">IFERROR(__xludf.DUMMYFUNCTION("""COMPUTED_VALUE"""),"oland")</f>
        <v>oland</v>
      </c>
      <c r="C9235" s="2" t="str">
        <f ca="1">IFERROR(__xludf.DUMMYFUNCTION("""COMPUTED_VALUE"""),"OceanLand")</f>
        <v>OceanLand</v>
      </c>
    </row>
    <row r="9236" spans="1:3" x14ac:dyDescent="0.25">
      <c r="A9236" s="2" t="str">
        <f ca="1">IFERROR(__xludf.DUMMYFUNCTION("""COMPUTED_VALUE"""),"ocean-protocol")</f>
        <v>ocean-protocol</v>
      </c>
      <c r="B9236" s="2" t="str">
        <f ca="1">IFERROR(__xludf.DUMMYFUNCTION("""COMPUTED_VALUE"""),"ocean")</f>
        <v>ocean</v>
      </c>
      <c r="C9236" s="2" t="str">
        <f ca="1">IFERROR(__xludf.DUMMYFUNCTION("""COMPUTED_VALUE"""),"Ocean Protocol")</f>
        <v>Ocean Protocol</v>
      </c>
    </row>
    <row r="9237" spans="1:3" x14ac:dyDescent="0.25">
      <c r="A9237" s="2" t="str">
        <f ca="1">IFERROR(__xludf.DUMMYFUNCTION("""COMPUTED_VALUE"""),"och")</f>
        <v>och</v>
      </c>
      <c r="B9237" s="2" t="str">
        <f ca="1">IFERROR(__xludf.DUMMYFUNCTION("""COMPUTED_VALUE"""),"och")</f>
        <v>och</v>
      </c>
      <c r="C9237" s="2" t="str">
        <f ca="1">IFERROR(__xludf.DUMMYFUNCTION("""COMPUTED_VALUE"""),"Orchai")</f>
        <v>Orchai</v>
      </c>
    </row>
    <row r="9238" spans="1:3" x14ac:dyDescent="0.25">
      <c r="A9238" s="2" t="str">
        <f ca="1">IFERROR(__xludf.DUMMYFUNCTION("""COMPUTED_VALUE"""),"ocicat-token")</f>
        <v>ocicat-token</v>
      </c>
      <c r="B9238" s="2" t="str">
        <f ca="1">IFERROR(__xludf.DUMMYFUNCTION("""COMPUTED_VALUE"""),"ocicat")</f>
        <v>ocicat</v>
      </c>
      <c r="C9238" s="2" t="str">
        <f ca="1">IFERROR(__xludf.DUMMYFUNCTION("""COMPUTED_VALUE"""),"OciCat Token")</f>
        <v>OciCat Token</v>
      </c>
    </row>
    <row r="9239" spans="1:3" x14ac:dyDescent="0.25">
      <c r="A9239" s="2" t="str">
        <f ca="1">IFERROR(__xludf.DUMMYFUNCTION("""COMPUTED_VALUE"""),"ociswap")</f>
        <v>ociswap</v>
      </c>
      <c r="B9239" s="2" t="str">
        <f ca="1">IFERROR(__xludf.DUMMYFUNCTION("""COMPUTED_VALUE"""),"oci")</f>
        <v>oci</v>
      </c>
      <c r="C9239" s="2" t="str">
        <f ca="1">IFERROR(__xludf.DUMMYFUNCTION("""COMPUTED_VALUE"""),"Ociswap")</f>
        <v>Ociswap</v>
      </c>
    </row>
    <row r="9240" spans="1:3" x14ac:dyDescent="0.25">
      <c r="A9240" s="2" t="str">
        <f ca="1">IFERROR(__xludf.DUMMYFUNCTION("""COMPUTED_VALUE"""),"octaplex-network")</f>
        <v>octaplex-network</v>
      </c>
      <c r="B9240" s="2" t="str">
        <f ca="1">IFERROR(__xludf.DUMMYFUNCTION("""COMPUTED_VALUE"""),"plx")</f>
        <v>plx</v>
      </c>
      <c r="C9240" s="2" t="str">
        <f ca="1">IFERROR(__xludf.DUMMYFUNCTION("""COMPUTED_VALUE"""),"Octaplex Network")</f>
        <v>Octaplex Network</v>
      </c>
    </row>
    <row r="9241" spans="1:3" x14ac:dyDescent="0.25">
      <c r="A9241" s="2" t="str">
        <f ca="1">IFERROR(__xludf.DUMMYFUNCTION("""COMPUTED_VALUE"""),"octaspace")</f>
        <v>octaspace</v>
      </c>
      <c r="B9241" s="2" t="str">
        <f ca="1">IFERROR(__xludf.DUMMYFUNCTION("""COMPUTED_VALUE"""),"octa")</f>
        <v>octa</v>
      </c>
      <c r="C9241" s="2" t="str">
        <f ca="1">IFERROR(__xludf.DUMMYFUNCTION("""COMPUTED_VALUE"""),"OctaSpace")</f>
        <v>OctaSpace</v>
      </c>
    </row>
    <row r="9242" spans="1:3" x14ac:dyDescent="0.25">
      <c r="A9242" s="2" t="str">
        <f ca="1">IFERROR(__xludf.DUMMYFUNCTION("""COMPUTED_VALUE"""),"octavia")</f>
        <v>octavia</v>
      </c>
      <c r="B9242" s="2" t="str">
        <f ca="1">IFERROR(__xludf.DUMMYFUNCTION("""COMPUTED_VALUE"""),"via")</f>
        <v>via</v>
      </c>
      <c r="C9242" s="2" t="str">
        <f ca="1">IFERROR(__xludf.DUMMYFUNCTION("""COMPUTED_VALUE"""),"Octavia")</f>
        <v>Octavia</v>
      </c>
    </row>
    <row r="9243" spans="1:3" x14ac:dyDescent="0.25">
      <c r="A9243" s="2" t="str">
        <f ca="1">IFERROR(__xludf.DUMMYFUNCTION("""COMPUTED_VALUE"""),"octofi")</f>
        <v>octofi</v>
      </c>
      <c r="B9243" s="2" t="str">
        <f ca="1">IFERROR(__xludf.DUMMYFUNCTION("""COMPUTED_VALUE"""),"octo")</f>
        <v>octo</v>
      </c>
      <c r="C9243" s="2" t="str">
        <f ca="1">IFERROR(__xludf.DUMMYFUNCTION("""COMPUTED_VALUE"""),"OctoFi")</f>
        <v>OctoFi</v>
      </c>
    </row>
    <row r="9244" spans="1:3" x14ac:dyDescent="0.25">
      <c r="A9244" s="2" t="str">
        <f ca="1">IFERROR(__xludf.DUMMYFUNCTION("""COMPUTED_VALUE"""),"octo-gaming")</f>
        <v>octo-gaming</v>
      </c>
      <c r="B9244" s="2" t="str">
        <f ca="1">IFERROR(__xludf.DUMMYFUNCTION("""COMPUTED_VALUE"""),"otk")</f>
        <v>otk</v>
      </c>
      <c r="C9244" s="2" t="str">
        <f ca="1">IFERROR(__xludf.DUMMYFUNCTION("""COMPUTED_VALUE"""),"Octokn")</f>
        <v>Octokn</v>
      </c>
    </row>
    <row r="9245" spans="1:3" x14ac:dyDescent="0.25">
      <c r="A9245" s="2" t="str">
        <f ca="1">IFERROR(__xludf.DUMMYFUNCTION("""COMPUTED_VALUE"""),"octopus-coin")</f>
        <v>octopus-coin</v>
      </c>
      <c r="B9245" s="2" t="str">
        <f ca="1">IFERROR(__xludf.DUMMYFUNCTION("""COMPUTED_VALUE"""),"oc")</f>
        <v>oc</v>
      </c>
      <c r="C9245" s="2" t="str">
        <f ca="1">IFERROR(__xludf.DUMMYFUNCTION("""COMPUTED_VALUE"""),"Octopus Coin")</f>
        <v>Octopus Coin</v>
      </c>
    </row>
    <row r="9246" spans="1:3" x14ac:dyDescent="0.25">
      <c r="A9246" s="2" t="str">
        <f ca="1">IFERROR(__xludf.DUMMYFUNCTION("""COMPUTED_VALUE"""),"octopus-network")</f>
        <v>octopus-network</v>
      </c>
      <c r="B9246" s="2" t="str">
        <f ca="1">IFERROR(__xludf.DUMMYFUNCTION("""COMPUTED_VALUE"""),"oct")</f>
        <v>oct</v>
      </c>
      <c r="C9246" s="2" t="str">
        <f ca="1">IFERROR(__xludf.DUMMYFUNCTION("""COMPUTED_VALUE"""),"Octopus Network")</f>
        <v>Octopus Network</v>
      </c>
    </row>
    <row r="9247" spans="1:3" x14ac:dyDescent="0.25">
      <c r="A9247" s="2" t="str">
        <f ca="1">IFERROR(__xludf.DUMMYFUNCTION("""COMPUTED_VALUE"""),"octopus-protocol")</f>
        <v>octopus-protocol</v>
      </c>
      <c r="B9247" s="2" t="str">
        <f ca="1">IFERROR(__xludf.DUMMYFUNCTION("""COMPUTED_VALUE"""),"ops")</f>
        <v>ops</v>
      </c>
      <c r="C9247" s="2" t="str">
        <f ca="1">IFERROR(__xludf.DUMMYFUNCTION("""COMPUTED_VALUE"""),"Octopus Protocol")</f>
        <v>Octopus Protocol</v>
      </c>
    </row>
    <row r="9248" spans="1:3" x14ac:dyDescent="0.25">
      <c r="A9248" s="2" t="str">
        <f ca="1">IFERROR(__xludf.DUMMYFUNCTION("""COMPUTED_VALUE"""),"octopuswallet")</f>
        <v>octopuswallet</v>
      </c>
      <c r="B9248" s="2" t="str">
        <f ca="1">IFERROR(__xludf.DUMMYFUNCTION("""COMPUTED_VALUE"""),"ocw")</f>
        <v>ocw</v>
      </c>
      <c r="C9248" s="2" t="str">
        <f ca="1">IFERROR(__xludf.DUMMYFUNCTION("""COMPUTED_VALUE"""),"OctopusWallet")</f>
        <v>OctopusWallet</v>
      </c>
    </row>
    <row r="9249" spans="1:3" x14ac:dyDescent="0.25">
      <c r="A9249" s="2" t="str">
        <f ca="1">IFERROR(__xludf.DUMMYFUNCTION("""COMPUTED_VALUE"""),"octorand")</f>
        <v>octorand</v>
      </c>
      <c r="B9249" s="2" t="str">
        <f ca="1">IFERROR(__xludf.DUMMYFUNCTION("""COMPUTED_VALUE"""),"octo")</f>
        <v>octo</v>
      </c>
      <c r="C9249" s="2" t="str">
        <f ca="1">IFERROR(__xludf.DUMMYFUNCTION("""COMPUTED_VALUE"""),"Octorand")</f>
        <v>Octorand</v>
      </c>
    </row>
    <row r="9250" spans="1:3" x14ac:dyDescent="0.25">
      <c r="A9250" s="2" t="str">
        <f ca="1">IFERROR(__xludf.DUMMYFUNCTION("""COMPUTED_VALUE"""),"octus-bridge")</f>
        <v>octus-bridge</v>
      </c>
      <c r="B9250" s="2" t="str">
        <f ca="1">IFERROR(__xludf.DUMMYFUNCTION("""COMPUTED_VALUE"""),"bridge")</f>
        <v>bridge</v>
      </c>
      <c r="C9250" s="2" t="str">
        <f ca="1">IFERROR(__xludf.DUMMYFUNCTION("""COMPUTED_VALUE"""),"Octus Bridge")</f>
        <v>Octus Bridge</v>
      </c>
    </row>
    <row r="9251" spans="1:3" x14ac:dyDescent="0.25">
      <c r="A9251" s="2" t="str">
        <f ca="1">IFERROR(__xludf.DUMMYFUNCTION("""COMPUTED_VALUE"""),"ocvcoin")</f>
        <v>ocvcoin</v>
      </c>
      <c r="B9251" s="2" t="str">
        <f ca="1">IFERROR(__xludf.DUMMYFUNCTION("""COMPUTED_VALUE"""),"ocv")</f>
        <v>ocv</v>
      </c>
      <c r="C9251" s="2" t="str">
        <f ca="1">IFERROR(__xludf.DUMMYFUNCTION("""COMPUTED_VALUE"""),"Ocvcoin")</f>
        <v>Ocvcoin</v>
      </c>
    </row>
    <row r="9252" spans="1:3" x14ac:dyDescent="0.25">
      <c r="A9252" s="2" t="str">
        <f ca="1">IFERROR(__xludf.DUMMYFUNCTION("""COMPUTED_VALUE"""),"oddz")</f>
        <v>oddz</v>
      </c>
      <c r="B9252" s="2" t="str">
        <f ca="1">IFERROR(__xludf.DUMMYFUNCTION("""COMPUTED_VALUE"""),"oddz")</f>
        <v>oddz</v>
      </c>
      <c r="C9252" s="2" t="str">
        <f ca="1">IFERROR(__xludf.DUMMYFUNCTION("""COMPUTED_VALUE"""),"Oddz")</f>
        <v>Oddz</v>
      </c>
    </row>
    <row r="9253" spans="1:3" x14ac:dyDescent="0.25">
      <c r="A9253" s="2" t="str">
        <f ca="1">IFERROR(__xludf.DUMMYFUNCTION("""COMPUTED_VALUE"""),"odem")</f>
        <v>odem</v>
      </c>
      <c r="B9253" s="2" t="str">
        <f ca="1">IFERROR(__xludf.DUMMYFUNCTION("""COMPUTED_VALUE"""),"ode")</f>
        <v>ode</v>
      </c>
      <c r="C9253" s="2" t="str">
        <f ca="1">IFERROR(__xludf.DUMMYFUNCTION("""COMPUTED_VALUE"""),"ODEM")</f>
        <v>ODEM</v>
      </c>
    </row>
    <row r="9254" spans="1:3" x14ac:dyDescent="0.25">
      <c r="A9254" s="2" t="str">
        <f ca="1">IFERROR(__xludf.DUMMYFUNCTION("""COMPUTED_VALUE"""),"odie-on-sol")</f>
        <v>odie-on-sol</v>
      </c>
      <c r="B9254" s="2" t="str">
        <f ca="1">IFERROR(__xludf.DUMMYFUNCTION("""COMPUTED_VALUE"""),"odie")</f>
        <v>odie</v>
      </c>
      <c r="C9254" s="2" t="str">
        <f ca="1">IFERROR(__xludf.DUMMYFUNCTION("""COMPUTED_VALUE"""),"Odie")</f>
        <v>Odie</v>
      </c>
    </row>
    <row r="9255" spans="1:3" x14ac:dyDescent="0.25">
      <c r="A9255" s="2" t="str">
        <f ca="1">IFERROR(__xludf.DUMMYFUNCTION("""COMPUTED_VALUE"""),"odin-erc404m")</f>
        <v>odin-erc404m</v>
      </c>
      <c r="B9255" s="2" t="str">
        <f ca="1">IFERROR(__xludf.DUMMYFUNCTION("""COMPUTED_VALUE"""),"odin")</f>
        <v>odin</v>
      </c>
      <c r="C9255" s="2" t="str">
        <f ca="1">IFERROR(__xludf.DUMMYFUNCTION("""COMPUTED_VALUE"""),"ODIN ERC404M")</f>
        <v>ODIN ERC404M</v>
      </c>
    </row>
    <row r="9256" spans="1:3" x14ac:dyDescent="0.25">
      <c r="A9256" s="2" t="str">
        <f ca="1">IFERROR(__xludf.DUMMYFUNCTION("""COMPUTED_VALUE"""),"odin-protocol")</f>
        <v>odin-protocol</v>
      </c>
      <c r="B9256" s="2" t="str">
        <f ca="1">IFERROR(__xludf.DUMMYFUNCTION("""COMPUTED_VALUE"""),"odin")</f>
        <v>odin</v>
      </c>
      <c r="C9256" s="2" t="str">
        <f ca="1">IFERROR(__xludf.DUMMYFUNCTION("""COMPUTED_VALUE"""),"Odin Protocol")</f>
        <v>Odin Protocol</v>
      </c>
    </row>
    <row r="9257" spans="1:3" x14ac:dyDescent="0.25">
      <c r="A9257" s="2" t="str">
        <f ca="1">IFERROR(__xludf.DUMMYFUNCTION("""COMPUTED_VALUE"""),"odung")</f>
        <v>odung</v>
      </c>
      <c r="B9257" s="2" t="str">
        <f ca="1">IFERROR(__xludf.DUMMYFUNCTION("""COMPUTED_VALUE"""),"derp")</f>
        <v>derp</v>
      </c>
      <c r="C9257" s="2" t="str">
        <f ca="1">IFERROR(__xludf.DUMMYFUNCTION("""COMPUTED_VALUE"""),"oDung")</f>
        <v>oDung</v>
      </c>
    </row>
    <row r="9258" spans="1:3" x14ac:dyDescent="0.25">
      <c r="A9258" s="2" t="str">
        <f ca="1">IFERROR(__xludf.DUMMYFUNCTION("""COMPUTED_VALUE"""),"oduwa-coin")</f>
        <v>oduwa-coin</v>
      </c>
      <c r="B9258" s="2" t="str">
        <f ca="1">IFERROR(__xludf.DUMMYFUNCTION("""COMPUTED_VALUE"""),"owc")</f>
        <v>owc</v>
      </c>
      <c r="C9258" s="2" t="str">
        <f ca="1">IFERROR(__xludf.DUMMYFUNCTION("""COMPUTED_VALUE"""),"Oduwa Coin")</f>
        <v>Oduwa Coin</v>
      </c>
    </row>
    <row r="9259" spans="1:3" x14ac:dyDescent="0.25">
      <c r="A9259" s="2" t="str">
        <f ca="1">IFERROR(__xludf.DUMMYFUNCTION("""COMPUTED_VALUE"""),"odyssey")</f>
        <v>odyssey</v>
      </c>
      <c r="B9259" s="2" t="str">
        <f ca="1">IFERROR(__xludf.DUMMYFUNCTION("""COMPUTED_VALUE"""),"ocn")</f>
        <v>ocn</v>
      </c>
      <c r="C9259" s="2" t="str">
        <f ca="1">IFERROR(__xludf.DUMMYFUNCTION("""COMPUTED_VALUE"""),"Odyssey")</f>
        <v>Odyssey</v>
      </c>
    </row>
    <row r="9260" spans="1:3" x14ac:dyDescent="0.25">
      <c r="A9260" s="2" t="str">
        <f ca="1">IFERROR(__xludf.DUMMYFUNCTION("""COMPUTED_VALUE"""),"oec-btc")</f>
        <v>oec-btc</v>
      </c>
      <c r="B9260" s="2" t="str">
        <f ca="1">IFERROR(__xludf.DUMMYFUNCTION("""COMPUTED_VALUE"""),"btck")</f>
        <v>btck</v>
      </c>
      <c r="C9260" s="2" t="str">
        <f ca="1">IFERROR(__xludf.DUMMYFUNCTION("""COMPUTED_VALUE"""),"OEC BTC")</f>
        <v>OEC BTC</v>
      </c>
    </row>
    <row r="9261" spans="1:3" x14ac:dyDescent="0.25">
      <c r="A9261" s="2" t="str">
        <f ca="1">IFERROR(__xludf.DUMMYFUNCTION("""COMPUTED_VALUE"""),"oec-token")</f>
        <v>oec-token</v>
      </c>
      <c r="B9261" s="2" t="str">
        <f ca="1">IFERROR(__xludf.DUMMYFUNCTION("""COMPUTED_VALUE"""),"okt")</f>
        <v>okt</v>
      </c>
      <c r="C9261" s="2" t="str">
        <f ca="1">IFERROR(__xludf.DUMMYFUNCTION("""COMPUTED_VALUE"""),"OKT Chain")</f>
        <v>OKT Chain</v>
      </c>
    </row>
    <row r="9262" spans="1:3" x14ac:dyDescent="0.25">
      <c r="A9262" s="2" t="str">
        <f ca="1">IFERROR(__xludf.DUMMYFUNCTION("""COMPUTED_VALUE"""),"ofcourse-i-still-love-you")</f>
        <v>ofcourse-i-still-love-you</v>
      </c>
      <c r="B9262" s="2" t="str">
        <f ca="1">IFERROR(__xludf.DUMMYFUNCTION("""COMPUTED_VALUE"""),"ocisly")</f>
        <v>ocisly</v>
      </c>
      <c r="C9262" s="2" t="str">
        <f ca="1">IFERROR(__xludf.DUMMYFUNCTION("""COMPUTED_VALUE"""),"Of Course I Still Love You")</f>
        <v>Of Course I Still Love You</v>
      </c>
    </row>
    <row r="9263" spans="1:3" x14ac:dyDescent="0.25">
      <c r="A9263" s="2" t="str">
        <f ca="1">IFERROR(__xludf.DUMMYFUNCTION("""COMPUTED_VALUE"""),"ofero")</f>
        <v>ofero</v>
      </c>
      <c r="B9263" s="2" t="str">
        <f ca="1">IFERROR(__xludf.DUMMYFUNCTION("""COMPUTED_VALUE"""),"ofe")</f>
        <v>ofe</v>
      </c>
      <c r="C9263" s="2" t="str">
        <f ca="1">IFERROR(__xludf.DUMMYFUNCTION("""COMPUTED_VALUE"""),"Ofero")</f>
        <v>Ofero</v>
      </c>
    </row>
    <row r="9264" spans="1:3" x14ac:dyDescent="0.25">
      <c r="A9264" s="2" t="str">
        <f ca="1">IFERROR(__xludf.DUMMYFUNCTION("""COMPUTED_VALUE"""),"official-arbitrum-bridged-usdc-arbitrum-nova")</f>
        <v>official-arbitrum-bridged-usdc-arbitrum-nova</v>
      </c>
      <c r="B9264" s="2" t="str">
        <f ca="1">IFERROR(__xludf.DUMMYFUNCTION("""COMPUTED_VALUE"""),"usdc")</f>
        <v>usdc</v>
      </c>
      <c r="C9264" s="2" t="str">
        <f ca="1">IFERROR(__xludf.DUMMYFUNCTION("""COMPUTED_VALUE"""),"Arbitrum Bridged USDC (Arbitrum Nova)")</f>
        <v>Arbitrum Bridged USDC (Arbitrum Nova)</v>
      </c>
    </row>
    <row r="9265" spans="1:3" x14ac:dyDescent="0.25">
      <c r="A9265" s="2" t="str">
        <f ca="1">IFERROR(__xludf.DUMMYFUNCTION("""COMPUTED_VALUE"""),"offshift")</f>
        <v>offshift</v>
      </c>
      <c r="B9265" s="2" t="str">
        <f ca="1">IFERROR(__xludf.DUMMYFUNCTION("""COMPUTED_VALUE"""),"xft")</f>
        <v>xft</v>
      </c>
      <c r="C9265" s="2" t="str">
        <f ca="1">IFERROR(__xludf.DUMMYFUNCTION("""COMPUTED_VALUE"""),"Offshift")</f>
        <v>Offshift</v>
      </c>
    </row>
    <row r="9266" spans="1:3" x14ac:dyDescent="0.25">
      <c r="A9266" s="2" t="str">
        <f ca="1">IFERROR(__xludf.DUMMYFUNCTION("""COMPUTED_VALUE"""),"og404")</f>
        <v>og404</v>
      </c>
      <c r="B9266" s="2" t="str">
        <f ca="1">IFERROR(__xludf.DUMMYFUNCTION("""COMPUTED_VALUE"""),"og404")</f>
        <v>og404</v>
      </c>
      <c r="C9266" s="2" t="str">
        <f ca="1">IFERROR(__xludf.DUMMYFUNCTION("""COMPUTED_VALUE"""),"OG404")</f>
        <v>OG404</v>
      </c>
    </row>
    <row r="9267" spans="1:3" x14ac:dyDescent="0.25">
      <c r="A9267" s="2" t="str">
        <f ca="1">IFERROR(__xludf.DUMMYFUNCTION("""COMPUTED_VALUE"""),"ogc")</f>
        <v>ogc</v>
      </c>
      <c r="B9267" s="2" t="str">
        <f ca="1">IFERROR(__xludf.DUMMYFUNCTION("""COMPUTED_VALUE"""),"ogc")</f>
        <v>ogc</v>
      </c>
      <c r="C9267" s="2" t="str">
        <f ca="1">IFERROR(__xludf.DUMMYFUNCTION("""COMPUTED_VALUE"""),"OGC")</f>
        <v>OGC</v>
      </c>
    </row>
    <row r="9268" spans="1:3" x14ac:dyDescent="0.25">
      <c r="A9268" s="2" t="str">
        <f ca="1">IFERROR(__xludf.DUMMYFUNCTION("""COMPUTED_VALUE"""),"og-fan-token")</f>
        <v>og-fan-token</v>
      </c>
      <c r="B9268" s="2" t="str">
        <f ca="1">IFERROR(__xludf.DUMMYFUNCTION("""COMPUTED_VALUE"""),"og")</f>
        <v>og</v>
      </c>
      <c r="C9268" s="2" t="str">
        <f ca="1">IFERROR(__xludf.DUMMYFUNCTION("""COMPUTED_VALUE"""),"OG Fan Token")</f>
        <v>OG Fan Token</v>
      </c>
    </row>
    <row r="9269" spans="1:3" x14ac:dyDescent="0.25">
      <c r="A9269" s="2" t="str">
        <f ca="1">IFERROR(__xludf.DUMMYFUNCTION("""COMPUTED_VALUE"""),"oggy-inu")</f>
        <v>oggy-inu</v>
      </c>
      <c r="B9269" s="2" t="str">
        <f ca="1">IFERROR(__xludf.DUMMYFUNCTION("""COMPUTED_VALUE"""),"oggy")</f>
        <v>oggy</v>
      </c>
      <c r="C9269" s="2" t="str">
        <f ca="1">IFERROR(__xludf.DUMMYFUNCTION("""COMPUTED_VALUE"""),"Oggy Inu")</f>
        <v>Oggy Inu</v>
      </c>
    </row>
    <row r="9270" spans="1:3" x14ac:dyDescent="0.25">
      <c r="A9270" s="2" t="str">
        <f ca="1">IFERROR(__xludf.DUMMYFUNCTION("""COMPUTED_VALUE"""),"oggy-inu-2")</f>
        <v>oggy-inu-2</v>
      </c>
      <c r="B9270" s="2" t="str">
        <f ca="1">IFERROR(__xludf.DUMMYFUNCTION("""COMPUTED_VALUE"""),"oggy")</f>
        <v>oggy</v>
      </c>
      <c r="C9270" s="2" t="str">
        <f ca="1">IFERROR(__xludf.DUMMYFUNCTION("""COMPUTED_VALUE"""),"Oggy Inu [ETH]")</f>
        <v>Oggy Inu [ETH]</v>
      </c>
    </row>
    <row r="9271" spans="1:3" x14ac:dyDescent="0.25">
      <c r="A9271" s="2" t="str">
        <f ca="1">IFERROR(__xludf.DUMMYFUNCTION("""COMPUTED_VALUE"""),"oglong")</f>
        <v>oglong</v>
      </c>
      <c r="B9271" s="2" t="str">
        <f ca="1">IFERROR(__xludf.DUMMYFUNCTION("""COMPUTED_VALUE"""),"oglg")</f>
        <v>oglg</v>
      </c>
      <c r="C9271" s="2" t="str">
        <f ca="1">IFERROR(__xludf.DUMMYFUNCTION("""COMPUTED_VALUE"""),"OGLONG")</f>
        <v>OGLONG</v>
      </c>
    </row>
    <row r="9272" spans="1:3" x14ac:dyDescent="0.25">
      <c r="A9272" s="2" t="str">
        <f ca="1">IFERROR(__xludf.DUMMYFUNCTION("""COMPUTED_VALUE"""),"og-roaring-kitty")</f>
        <v>og-roaring-kitty</v>
      </c>
      <c r="B9272" s="2" t="str">
        <f ca="1">IFERROR(__xludf.DUMMYFUNCTION("""COMPUTED_VALUE"""),"$roar")</f>
        <v>$roar</v>
      </c>
      <c r="C9272" s="2" t="str">
        <f ca="1">IFERROR(__xludf.DUMMYFUNCTION("""COMPUTED_VALUE"""),"Roaring Kitty")</f>
        <v>Roaring Kitty</v>
      </c>
    </row>
    <row r="9273" spans="1:3" x14ac:dyDescent="0.25">
      <c r="A9273" s="2" t="str">
        <f ca="1">IFERROR(__xludf.DUMMYFUNCTION("""COMPUTED_VALUE"""),"og-sminem")</f>
        <v>og-sminem</v>
      </c>
      <c r="B9273" s="2" t="str">
        <f ca="1">IFERROR(__xludf.DUMMYFUNCTION("""COMPUTED_VALUE"""),"ogsm")</f>
        <v>ogsm</v>
      </c>
      <c r="C9273" s="2" t="str">
        <f ca="1">IFERROR(__xludf.DUMMYFUNCTION("""COMPUTED_VALUE"""),"OG SMINEM")</f>
        <v>OG SMINEM</v>
      </c>
    </row>
    <row r="9274" spans="1:3" x14ac:dyDescent="0.25">
      <c r="A9274" s="2" t="str">
        <f ca="1">IFERROR(__xludf.DUMMYFUNCTION("""COMPUTED_VALUE"""),"ogzclub")</f>
        <v>ogzclub</v>
      </c>
      <c r="B9274" s="2" t="str">
        <f ca="1">IFERROR(__xludf.DUMMYFUNCTION("""COMPUTED_VALUE"""),"ogz")</f>
        <v>ogz</v>
      </c>
      <c r="C9274" s="2" t="str">
        <f ca="1">IFERROR(__xludf.DUMMYFUNCTION("""COMPUTED_VALUE"""),"OGzClub")</f>
        <v>OGzClub</v>
      </c>
    </row>
    <row r="9275" spans="1:3" x14ac:dyDescent="0.25">
      <c r="A9275" s="2" t="str">
        <f ca="1">IFERROR(__xludf.DUMMYFUNCTION("""COMPUTED_VALUE"""),"oh-finance")</f>
        <v>oh-finance</v>
      </c>
      <c r="B9275" s="2" t="str">
        <f ca="1">IFERROR(__xludf.DUMMYFUNCTION("""COMPUTED_VALUE"""),"oh")</f>
        <v>oh</v>
      </c>
      <c r="C9275" s="2" t="str">
        <f ca="1">IFERROR(__xludf.DUMMYFUNCTION("""COMPUTED_VALUE"""),"Oh! Finance")</f>
        <v>Oh! Finance</v>
      </c>
    </row>
    <row r="9276" spans="1:3" x14ac:dyDescent="0.25">
      <c r="A9276" s="2" t="str">
        <f ca="1">IFERROR(__xludf.DUMMYFUNCTION("""COMPUTED_VALUE"""),"oh-no")</f>
        <v>oh-no</v>
      </c>
      <c r="B9276" s="2" t="str">
        <f ca="1">IFERROR(__xludf.DUMMYFUNCTION("""COMPUTED_VALUE"""),"ohno")</f>
        <v>ohno</v>
      </c>
      <c r="C9276" s="2" t="str">
        <f ca="1">IFERROR(__xludf.DUMMYFUNCTION("""COMPUTED_VALUE"""),"Oh no")</f>
        <v>Oh no</v>
      </c>
    </row>
    <row r="9277" spans="1:3" x14ac:dyDescent="0.25">
      <c r="A9277" s="2" t="str">
        <f ca="1">IFERROR(__xludf.DUMMYFUNCTION("""COMPUTED_VALUE"""),"oho-blockchain")</f>
        <v>oho-blockchain</v>
      </c>
      <c r="B9277" s="2" t="str">
        <f ca="1">IFERROR(__xludf.DUMMYFUNCTION("""COMPUTED_VALUE"""),"oho")</f>
        <v>oho</v>
      </c>
      <c r="C9277" s="2" t="str">
        <f ca="1">IFERROR(__xludf.DUMMYFUNCTION("""COMPUTED_VALUE"""),"OHO Blockchain")</f>
        <v>OHO Blockchain</v>
      </c>
    </row>
    <row r="9278" spans="1:3" x14ac:dyDescent="0.25">
      <c r="A9278" s="2" t="str">
        <f ca="1">IFERROR(__xludf.DUMMYFUNCTION("""COMPUTED_VALUE"""),"oikos")</f>
        <v>oikos</v>
      </c>
      <c r="B9278" s="2" t="str">
        <f ca="1">IFERROR(__xludf.DUMMYFUNCTION("""COMPUTED_VALUE"""),"oks")</f>
        <v>oks</v>
      </c>
      <c r="C9278" s="2" t="str">
        <f ca="1">IFERROR(__xludf.DUMMYFUNCTION("""COMPUTED_VALUE"""),"Oikos")</f>
        <v>Oikos</v>
      </c>
    </row>
    <row r="9279" spans="1:3" x14ac:dyDescent="0.25">
      <c r="A9279" s="2" t="str">
        <f ca="1">IFERROR(__xludf.DUMMYFUNCTION("""COMPUTED_VALUE"""),"oil-token")</f>
        <v>oil-token</v>
      </c>
      <c r="B9279" s="2" t="str">
        <f ca="1">IFERROR(__xludf.DUMMYFUNCTION("""COMPUTED_VALUE"""),"oil")</f>
        <v>oil</v>
      </c>
      <c r="C9279" s="2" t="str">
        <f ca="1">IFERROR(__xludf.DUMMYFUNCTION("""COMPUTED_VALUE"""),"Oil Token")</f>
        <v>Oil Token</v>
      </c>
    </row>
    <row r="9280" spans="1:3" x14ac:dyDescent="0.25">
      <c r="A9280" s="2" t="str">
        <f ca="1">IFERROR(__xludf.DUMMYFUNCTION("""COMPUTED_VALUE"""),"oil-token-162dc739-3b37-4da2-88a7-0d5b8e03ab14")</f>
        <v>oil-token-162dc739-3b37-4da2-88a7-0d5b8e03ab14</v>
      </c>
      <c r="B9280" s="2" t="str">
        <f ca="1">IFERROR(__xludf.DUMMYFUNCTION("""COMPUTED_VALUE"""),"oil")</f>
        <v>oil</v>
      </c>
      <c r="C9280" s="2" t="str">
        <f ca="1">IFERROR(__xludf.DUMMYFUNCTION("""COMPUTED_VALUE"""),"Oil Token")</f>
        <v>Oil Token</v>
      </c>
    </row>
    <row r="9281" spans="1:3" x14ac:dyDescent="0.25">
      <c r="A9281" s="2" t="str">
        <f ca="1">IFERROR(__xludf.DUMMYFUNCTION("""COMPUTED_VALUE"""),"ojamu")</f>
        <v>ojamu</v>
      </c>
      <c r="B9281" s="2" t="str">
        <f ca="1">IFERROR(__xludf.DUMMYFUNCTION("""COMPUTED_VALUE"""),"oja")</f>
        <v>oja</v>
      </c>
      <c r="C9281" s="2" t="str">
        <f ca="1">IFERROR(__xludf.DUMMYFUNCTION("""COMPUTED_VALUE"""),"Ojamu")</f>
        <v>Ojamu</v>
      </c>
    </row>
    <row r="9282" spans="1:3" x14ac:dyDescent="0.25">
      <c r="A9282" s="2" t="str">
        <f ca="1">IFERROR(__xludf.DUMMYFUNCTION("""COMPUTED_VALUE"""),"okayeg")</f>
        <v>okayeg</v>
      </c>
      <c r="B9282" s="2" t="str">
        <f ca="1">IFERROR(__xludf.DUMMYFUNCTION("""COMPUTED_VALUE"""),"okayeg")</f>
        <v>okayeg</v>
      </c>
      <c r="C9282" s="2" t="str">
        <f ca="1">IFERROR(__xludf.DUMMYFUNCTION("""COMPUTED_VALUE"""),"Okayeg")</f>
        <v>Okayeg</v>
      </c>
    </row>
    <row r="9283" spans="1:3" x14ac:dyDescent="0.25">
      <c r="A9283" s="2" t="str">
        <f ca="1">IFERROR(__xludf.DUMMYFUNCTION("""COMPUTED_VALUE"""),"okb")</f>
        <v>okb</v>
      </c>
      <c r="B9283" s="2" t="str">
        <f ca="1">IFERROR(__xludf.DUMMYFUNCTION("""COMPUTED_VALUE"""),"okb")</f>
        <v>okb</v>
      </c>
      <c r="C9283" s="2" t="str">
        <f ca="1">IFERROR(__xludf.DUMMYFUNCTION("""COMPUTED_VALUE"""),"OKB")</f>
        <v>OKB</v>
      </c>
    </row>
    <row r="9284" spans="1:3" x14ac:dyDescent="0.25">
      <c r="A9284" s="2" t="str">
        <f ca="1">IFERROR(__xludf.DUMMYFUNCTION("""COMPUTED_VALUE"""),"okcash")</f>
        <v>okcash</v>
      </c>
      <c r="B9284" s="2" t="str">
        <f ca="1">IFERROR(__xludf.DUMMYFUNCTION("""COMPUTED_VALUE"""),"ok")</f>
        <v>ok</v>
      </c>
      <c r="C9284" s="2" t="str">
        <f ca="1">IFERROR(__xludf.DUMMYFUNCTION("""COMPUTED_VALUE"""),"Okcash")</f>
        <v>Okcash</v>
      </c>
    </row>
    <row r="9285" spans="1:3" x14ac:dyDescent="0.25">
      <c r="A9285" s="2" t="str">
        <f ca="1">IFERROR(__xludf.DUMMYFUNCTION("""COMPUTED_VALUE"""),"okcat")</f>
        <v>okcat</v>
      </c>
      <c r="B9285" s="2" t="str">
        <f ca="1">IFERROR(__xludf.DUMMYFUNCTION("""COMPUTED_VALUE"""),"okcat")</f>
        <v>okcat</v>
      </c>
      <c r="C9285" s="2" t="str">
        <f ca="1">IFERROR(__xludf.DUMMYFUNCTION("""COMPUTED_VALUE"""),"OKCat")</f>
        <v>OKCat</v>
      </c>
    </row>
    <row r="9286" spans="1:3" x14ac:dyDescent="0.25">
      <c r="A9286" s="2" t="str">
        <f ca="1">IFERROR(__xludf.DUMMYFUNCTION("""COMPUTED_VALUE"""),"okratech-token")</f>
        <v>okratech-token</v>
      </c>
      <c r="B9286" s="2" t="str">
        <f ca="1">IFERROR(__xludf.DUMMYFUNCTION("""COMPUTED_VALUE"""),"ort")</f>
        <v>ort</v>
      </c>
      <c r="C9286" s="2" t="str">
        <f ca="1">IFERROR(__xludf.DUMMYFUNCTION("""COMPUTED_VALUE"""),"Okratech")</f>
        <v>Okratech</v>
      </c>
    </row>
    <row r="9287" spans="1:3" x14ac:dyDescent="0.25">
      <c r="A9287" s="2" t="str">
        <f ca="1">IFERROR(__xludf.DUMMYFUNCTION("""COMPUTED_VALUE"""),"okto-token")</f>
        <v>okto-token</v>
      </c>
      <c r="B9287" s="2" t="str">
        <f ca="1">IFERROR(__xludf.DUMMYFUNCTION("""COMPUTED_VALUE"""),"okto")</f>
        <v>okto</v>
      </c>
      <c r="C9287" s="2" t="str">
        <f ca="1">IFERROR(__xludf.DUMMYFUNCTION("""COMPUTED_VALUE"""),"OKTO Token")</f>
        <v>OKTO Token</v>
      </c>
    </row>
    <row r="9288" spans="1:3" x14ac:dyDescent="0.25">
      <c r="A9288" s="2" t="str">
        <f ca="1">IFERROR(__xludf.DUMMYFUNCTION("""COMPUTED_VALUE"""),"okuru")</f>
        <v>okuru</v>
      </c>
      <c r="B9288" s="2" t="str">
        <f ca="1">IFERROR(__xludf.DUMMYFUNCTION("""COMPUTED_VALUE"""),"xot")</f>
        <v>xot</v>
      </c>
      <c r="C9288" s="2" t="str">
        <f ca="1">IFERROR(__xludf.DUMMYFUNCTION("""COMPUTED_VALUE"""),"Okuru")</f>
        <v>Okuru</v>
      </c>
    </row>
    <row r="9289" spans="1:3" x14ac:dyDescent="0.25">
      <c r="A9289" s="2" t="str">
        <f ca="1">IFERROR(__xludf.DUMMYFUNCTION("""COMPUTED_VALUE"""),"okx-beth")</f>
        <v>okx-beth</v>
      </c>
      <c r="B9289" s="2" t="str">
        <f ca="1">IFERROR(__xludf.DUMMYFUNCTION("""COMPUTED_VALUE"""),"beth")</f>
        <v>beth</v>
      </c>
      <c r="C9289" s="2" t="str">
        <f ca="1">IFERROR(__xludf.DUMMYFUNCTION("""COMPUTED_VALUE"""),"OKX BETH")</f>
        <v>OKX BETH</v>
      </c>
    </row>
    <row r="9290" spans="1:3" x14ac:dyDescent="0.25">
      <c r="A9290" s="2" t="str">
        <f ca="1">IFERROR(__xludf.DUMMYFUNCTION("""COMPUTED_VALUE"""),"olaf-vs-olof")</f>
        <v>olaf-vs-olof</v>
      </c>
      <c r="B9290" s="2" t="str">
        <f ca="1">IFERROR(__xludf.DUMMYFUNCTION("""COMPUTED_VALUE"""),"ovso")</f>
        <v>ovso</v>
      </c>
      <c r="C9290" s="2" t="str">
        <f ca="1">IFERROR(__xludf.DUMMYFUNCTION("""COMPUTED_VALUE"""),"OLAF vs OLØF")</f>
        <v>OLAF vs OLØF</v>
      </c>
    </row>
    <row r="9291" spans="1:3" x14ac:dyDescent="0.25">
      <c r="A9291" s="2" t="str">
        <f ca="1">IFERROR(__xludf.DUMMYFUNCTION("""COMPUTED_VALUE"""),"old-bitcoin")</f>
        <v>old-bitcoin</v>
      </c>
      <c r="B9291" s="2" t="str">
        <f ca="1">IFERROR(__xludf.DUMMYFUNCTION("""COMPUTED_VALUE"""),"bc")</f>
        <v>bc</v>
      </c>
      <c r="C9291" s="2" t="str">
        <f ca="1">IFERROR(__xludf.DUMMYFUNCTION("""COMPUTED_VALUE"""),"Old Bitcoin")</f>
        <v>Old Bitcoin</v>
      </c>
    </row>
    <row r="9292" spans="1:3" x14ac:dyDescent="0.25">
      <c r="A9292" s="2" t="str">
        <f ca="1">IFERROR(__xludf.DUMMYFUNCTION("""COMPUTED_VALUE"""),"olen-mosk")</f>
        <v>olen-mosk</v>
      </c>
      <c r="B9292" s="2" t="str">
        <f ca="1">IFERROR(__xludf.DUMMYFUNCTION("""COMPUTED_VALUE"""),"olen")</f>
        <v>olen</v>
      </c>
      <c r="C9292" s="2" t="str">
        <f ca="1">IFERROR(__xludf.DUMMYFUNCTION("""COMPUTED_VALUE"""),"Olen Mosk")</f>
        <v>Olen Mosk</v>
      </c>
    </row>
    <row r="9293" spans="1:3" x14ac:dyDescent="0.25">
      <c r="A9293" s="2" t="str">
        <f ca="1">IFERROR(__xludf.DUMMYFUNCTION("""COMPUTED_VALUE"""),"olive")</f>
        <v>olive</v>
      </c>
      <c r="B9293" s="2" t="str">
        <f ca="1">IFERROR(__xludf.DUMMYFUNCTION("""COMPUTED_VALUE"""),"olv")</f>
        <v>olv</v>
      </c>
      <c r="C9293" s="2" t="str">
        <f ca="1">IFERROR(__xludf.DUMMYFUNCTION("""COMPUTED_VALUE"""),"OLIVE")</f>
        <v>OLIVE</v>
      </c>
    </row>
    <row r="9294" spans="1:3" x14ac:dyDescent="0.25">
      <c r="A9294" s="2" t="str">
        <f ca="1">IFERROR(__xludf.DUMMYFUNCTION("""COMPUTED_VALUE"""),"olivecash")</f>
        <v>olivecash</v>
      </c>
      <c r="B9294" s="2" t="str">
        <f ca="1">IFERROR(__xludf.DUMMYFUNCTION("""COMPUTED_VALUE"""),"olive")</f>
        <v>olive</v>
      </c>
      <c r="C9294" s="2" t="str">
        <f ca="1">IFERROR(__xludf.DUMMYFUNCTION("""COMPUTED_VALUE"""),"Olive Cash")</f>
        <v>Olive Cash</v>
      </c>
    </row>
    <row r="9295" spans="1:3" x14ac:dyDescent="0.25">
      <c r="A9295" s="2" t="str">
        <f ca="1">IFERROR(__xludf.DUMMYFUNCTION("""COMPUTED_VALUE"""),"olumpec-terch")</f>
        <v>olumpec-terch</v>
      </c>
      <c r="B9295" s="2" t="str">
        <f ca="1">IFERROR(__xludf.DUMMYFUNCTION("""COMPUTED_VALUE"""),"olumpc")</f>
        <v>olumpc</v>
      </c>
      <c r="C9295" s="2" t="str">
        <f ca="1">IFERROR(__xludf.DUMMYFUNCTION("""COMPUTED_VALUE"""),"Olumpec Terch")</f>
        <v>Olumpec Terch</v>
      </c>
    </row>
    <row r="9296" spans="1:3" x14ac:dyDescent="0.25">
      <c r="A9296" s="2" t="str">
        <f ca="1">IFERROR(__xludf.DUMMYFUNCTION("""COMPUTED_VALUE"""),"olympia-ai")</f>
        <v>olympia-ai</v>
      </c>
      <c r="B9296" s="2" t="str">
        <f ca="1">IFERROR(__xludf.DUMMYFUNCTION("""COMPUTED_VALUE"""),"pia")</f>
        <v>pia</v>
      </c>
      <c r="C9296" s="2" t="str">
        <f ca="1">IFERROR(__xludf.DUMMYFUNCTION("""COMPUTED_VALUE"""),"Olympia AI")</f>
        <v>Olympia AI</v>
      </c>
    </row>
    <row r="9297" spans="1:3" x14ac:dyDescent="0.25">
      <c r="A9297" s="2" t="str">
        <f ca="1">IFERROR(__xludf.DUMMYFUNCTION("""COMPUTED_VALUE"""),"olympus")</f>
        <v>olympus</v>
      </c>
      <c r="B9297" s="2" t="str">
        <f ca="1">IFERROR(__xludf.DUMMYFUNCTION("""COMPUTED_VALUE"""),"ohm")</f>
        <v>ohm</v>
      </c>
      <c r="C9297" s="2" t="str">
        <f ca="1">IFERROR(__xludf.DUMMYFUNCTION("""COMPUTED_VALUE"""),"Olympus")</f>
        <v>Olympus</v>
      </c>
    </row>
    <row r="9298" spans="1:3" x14ac:dyDescent="0.25">
      <c r="A9298" s="2" t="str">
        <f ca="1">IFERROR(__xludf.DUMMYFUNCTION("""COMPUTED_VALUE"""),"olympus-v1")</f>
        <v>olympus-v1</v>
      </c>
      <c r="B9298" s="2" t="str">
        <f ca="1">IFERROR(__xludf.DUMMYFUNCTION("""COMPUTED_VALUE"""),"ohm")</f>
        <v>ohm</v>
      </c>
      <c r="C9298" s="2" t="str">
        <f ca="1">IFERROR(__xludf.DUMMYFUNCTION("""COMPUTED_VALUE"""),"Olympus v1")</f>
        <v>Olympus v1</v>
      </c>
    </row>
    <row r="9299" spans="1:3" x14ac:dyDescent="0.25">
      <c r="A9299" s="2" t="str">
        <f ca="1">IFERROR(__xludf.DUMMYFUNCTION("""COMPUTED_VALUE"""),"olyverse")</f>
        <v>olyverse</v>
      </c>
      <c r="B9299" s="2" t="str">
        <f ca="1">IFERROR(__xludf.DUMMYFUNCTION("""COMPUTED_VALUE"""),"oly")</f>
        <v>oly</v>
      </c>
      <c r="C9299" s="2" t="str">
        <f ca="1">IFERROR(__xludf.DUMMYFUNCTION("""COMPUTED_VALUE"""),"Olyverse")</f>
        <v>Olyverse</v>
      </c>
    </row>
    <row r="9300" spans="1:3" x14ac:dyDescent="0.25">
      <c r="A9300" s="2" t="str">
        <f ca="1">IFERROR(__xludf.DUMMYFUNCTION("""COMPUTED_VALUE"""),"omax-token")</f>
        <v>omax-token</v>
      </c>
      <c r="B9300" s="2" t="str">
        <f ca="1">IFERROR(__xludf.DUMMYFUNCTION("""COMPUTED_VALUE"""),"omax")</f>
        <v>omax</v>
      </c>
      <c r="C9300" s="2" t="str">
        <f ca="1">IFERROR(__xludf.DUMMYFUNCTION("""COMPUTED_VALUE"""),"Omax")</f>
        <v>Omax</v>
      </c>
    </row>
    <row r="9301" spans="1:3" x14ac:dyDescent="0.25">
      <c r="A9301" s="2" t="str">
        <f ca="1">IFERROR(__xludf.DUMMYFUNCTION("""COMPUTED_VALUE"""),"ombi")</f>
        <v>ombi</v>
      </c>
      <c r="B9301" s="2" t="str">
        <f ca="1">IFERROR(__xludf.DUMMYFUNCTION("""COMPUTED_VALUE"""),"ombi")</f>
        <v>ombi</v>
      </c>
      <c r="C9301" s="2" t="str">
        <f ca="1">IFERROR(__xludf.DUMMYFUNCTION("""COMPUTED_VALUE"""),"Ombi (Ordinals)")</f>
        <v>Ombi (Ordinals)</v>
      </c>
    </row>
    <row r="9302" spans="1:3" x14ac:dyDescent="0.25">
      <c r="A9302" s="2" t="str">
        <f ca="1">IFERROR(__xludf.DUMMYFUNCTION("""COMPUTED_VALUE"""),"ombre")</f>
        <v>ombre</v>
      </c>
      <c r="B9302" s="2" t="str">
        <f ca="1">IFERROR(__xludf.DUMMYFUNCTION("""COMPUTED_VALUE"""),"omb")</f>
        <v>omb</v>
      </c>
      <c r="C9302" s="2" t="str">
        <f ca="1">IFERROR(__xludf.DUMMYFUNCTION("""COMPUTED_VALUE"""),"Ombre")</f>
        <v>Ombre</v>
      </c>
    </row>
    <row r="9303" spans="1:3" x14ac:dyDescent="0.25">
      <c r="A9303" s="2" t="str">
        <f ca="1">IFERROR(__xludf.DUMMYFUNCTION("""COMPUTED_VALUE"""),"omchain")</f>
        <v>omchain</v>
      </c>
      <c r="B9303" s="2" t="str">
        <f ca="1">IFERROR(__xludf.DUMMYFUNCTION("""COMPUTED_VALUE"""),"omc")</f>
        <v>omc</v>
      </c>
      <c r="C9303" s="2" t="str">
        <f ca="1">IFERROR(__xludf.DUMMYFUNCTION("""COMPUTED_VALUE"""),"Omchain")</f>
        <v>Omchain</v>
      </c>
    </row>
    <row r="9304" spans="1:3" x14ac:dyDescent="0.25">
      <c r="A9304" s="2" t="str">
        <f ca="1">IFERROR(__xludf.DUMMYFUNCTION("""COMPUTED_VALUE"""),"omega-network")</f>
        <v>omega-network</v>
      </c>
      <c r="B9304" s="2" t="str">
        <f ca="1">IFERROR(__xludf.DUMMYFUNCTION("""COMPUTED_VALUE"""),"omn")</f>
        <v>omn</v>
      </c>
      <c r="C9304" s="2" t="str">
        <f ca="1">IFERROR(__xludf.DUMMYFUNCTION("""COMPUTED_VALUE"""),"OmegaNetwork")</f>
        <v>OmegaNetwork</v>
      </c>
    </row>
    <row r="9305" spans="1:3" x14ac:dyDescent="0.25">
      <c r="A9305" s="2" t="str">
        <f ca="1">IFERROR(__xludf.DUMMYFUNCTION("""COMPUTED_VALUE"""),"omeletteswap")</f>
        <v>omeletteswap</v>
      </c>
      <c r="B9305" s="2" t="str">
        <f ca="1">IFERROR(__xludf.DUMMYFUNCTION("""COMPUTED_VALUE"""),"omlt")</f>
        <v>omlt</v>
      </c>
      <c r="C9305" s="2" t="str">
        <f ca="1">IFERROR(__xludf.DUMMYFUNCTION("""COMPUTED_VALUE"""),"OmeletteSwap")</f>
        <v>OmeletteSwap</v>
      </c>
    </row>
    <row r="9306" spans="1:3" x14ac:dyDescent="0.25">
      <c r="A9306" s="2" t="str">
        <f ca="1">IFERROR(__xludf.DUMMYFUNCTION("""COMPUTED_VALUE"""),"omisego")</f>
        <v>omisego</v>
      </c>
      <c r="B9306" s="2" t="str">
        <f ca="1">IFERROR(__xludf.DUMMYFUNCTION("""COMPUTED_VALUE"""),"omg")</f>
        <v>omg</v>
      </c>
      <c r="C9306" s="2" t="str">
        <f ca="1">IFERROR(__xludf.DUMMYFUNCTION("""COMPUTED_VALUE"""),"OMG Network")</f>
        <v>OMG Network</v>
      </c>
    </row>
    <row r="9307" spans="1:3" x14ac:dyDescent="0.25">
      <c r="A9307" s="2" t="str">
        <f ca="1">IFERROR(__xludf.DUMMYFUNCTION("""COMPUTED_VALUE"""),"omni")</f>
        <v>omni</v>
      </c>
      <c r="B9307" s="2" t="str">
        <f ca="1">IFERROR(__xludf.DUMMYFUNCTION("""COMPUTED_VALUE"""),"omni")</f>
        <v>omni</v>
      </c>
      <c r="C9307" s="2" t="str">
        <f ca="1">IFERROR(__xludf.DUMMYFUNCTION("""COMPUTED_VALUE"""),"Omni")</f>
        <v>Omni</v>
      </c>
    </row>
    <row r="9308" spans="1:3" x14ac:dyDescent="0.25">
      <c r="A9308" s="2" t="str">
        <f ca="1">IFERROR(__xludf.DUMMYFUNCTION("""COMPUTED_VALUE"""),"omni-2")</f>
        <v>omni-2</v>
      </c>
      <c r="B9308" s="2" t="str">
        <f ca="1">IFERROR(__xludf.DUMMYFUNCTION("""COMPUTED_VALUE"""),"omni")</f>
        <v>omni</v>
      </c>
      <c r="C9308" s="2" t="str">
        <f ca="1">IFERROR(__xludf.DUMMYFUNCTION("""COMPUTED_VALUE"""),"Omni")</f>
        <v>Omni</v>
      </c>
    </row>
    <row r="9309" spans="1:3" x14ac:dyDescent="0.25">
      <c r="A9309" s="2" t="str">
        <f ca="1">IFERROR(__xludf.DUMMYFUNCTION("""COMPUTED_VALUE"""),"omni404")</f>
        <v>omni404</v>
      </c>
      <c r="B9309" s="2" t="str">
        <f ca="1">IFERROR(__xludf.DUMMYFUNCTION("""COMPUTED_VALUE"""),"o404")</f>
        <v>o404</v>
      </c>
      <c r="C9309" s="2" t="str">
        <f ca="1">IFERROR(__xludf.DUMMYFUNCTION("""COMPUTED_VALUE"""),"OMNI404")</f>
        <v>OMNI404</v>
      </c>
    </row>
    <row r="9310" spans="1:3" x14ac:dyDescent="0.25">
      <c r="A9310" s="2" t="str">
        <f ca="1">IFERROR(__xludf.DUMMYFUNCTION("""COMPUTED_VALUE"""),"omnibotx")</f>
        <v>omnibotx</v>
      </c>
      <c r="B9310" s="2" t="str">
        <f ca="1">IFERROR(__xludf.DUMMYFUNCTION("""COMPUTED_VALUE"""),"omnix")</f>
        <v>omnix</v>
      </c>
      <c r="C9310" s="2" t="str">
        <f ca="1">IFERROR(__xludf.DUMMYFUNCTION("""COMPUTED_VALUE"""),"OmniBotX")</f>
        <v>OmniBotX</v>
      </c>
    </row>
    <row r="9311" spans="1:3" x14ac:dyDescent="0.25">
      <c r="A9311" s="2" t="str">
        <f ca="1">IFERROR(__xludf.DUMMYFUNCTION("""COMPUTED_VALUE"""),"omnibridge-bridged-dai-gnosis-chain")</f>
        <v>omnibridge-bridged-dai-gnosis-chain</v>
      </c>
      <c r="B9311" s="2" t="str">
        <f ca="1">IFERROR(__xludf.DUMMYFUNCTION("""COMPUTED_VALUE"""),"dai")</f>
        <v>dai</v>
      </c>
      <c r="C9311" s="2" t="str">
        <f ca="1">IFERROR(__xludf.DUMMYFUNCTION("""COMPUTED_VALUE"""),"OmniBridge Bridged DAI (Gnosis Chain)")</f>
        <v>OmniBridge Bridged DAI (Gnosis Chain)</v>
      </c>
    </row>
    <row r="9312" spans="1:3" x14ac:dyDescent="0.25">
      <c r="A9312" s="2" t="str">
        <f ca="1">IFERROR(__xludf.DUMMYFUNCTION("""COMPUTED_VALUE"""),"omnicat")</f>
        <v>omnicat</v>
      </c>
      <c r="B9312" s="2" t="str">
        <f ca="1">IFERROR(__xludf.DUMMYFUNCTION("""COMPUTED_VALUE"""),"omni")</f>
        <v>omni</v>
      </c>
      <c r="C9312" s="2" t="str">
        <f ca="1">IFERROR(__xludf.DUMMYFUNCTION("""COMPUTED_VALUE"""),"OmniCat")</f>
        <v>OmniCat</v>
      </c>
    </row>
    <row r="9313" spans="1:3" x14ac:dyDescent="0.25">
      <c r="A9313" s="2" t="str">
        <f ca="1">IFERROR(__xludf.DUMMYFUNCTION("""COMPUTED_VALUE"""),"omni-consumer-protocol")</f>
        <v>omni-consumer-protocol</v>
      </c>
      <c r="B9313" s="2" t="str">
        <f ca="1">IFERROR(__xludf.DUMMYFUNCTION("""COMPUTED_VALUE"""),"ocp")</f>
        <v>ocp</v>
      </c>
      <c r="C9313" s="2" t="str">
        <f ca="1">IFERROR(__xludf.DUMMYFUNCTION("""COMPUTED_VALUE"""),"Omni Consumer Protocol")</f>
        <v>Omni Consumer Protocol</v>
      </c>
    </row>
    <row r="9314" spans="1:3" x14ac:dyDescent="0.25">
      <c r="A9314" s="2" t="str">
        <f ca="1">IFERROR(__xludf.DUMMYFUNCTION("""COMPUTED_VALUE"""),"omniflix-network")</f>
        <v>omniflix-network</v>
      </c>
      <c r="B9314" s="2" t="str">
        <f ca="1">IFERROR(__xludf.DUMMYFUNCTION("""COMPUTED_VALUE"""),"flix")</f>
        <v>flix</v>
      </c>
      <c r="C9314" s="2" t="str">
        <f ca="1">IFERROR(__xludf.DUMMYFUNCTION("""COMPUTED_VALUE"""),"OmniFlix Network")</f>
        <v>OmniFlix Network</v>
      </c>
    </row>
    <row r="9315" spans="1:3" x14ac:dyDescent="0.25">
      <c r="A9315" s="2" t="str">
        <f ca="1">IFERROR(__xludf.DUMMYFUNCTION("""COMPUTED_VALUE"""),"omnikingdoms-gold")</f>
        <v>omnikingdoms-gold</v>
      </c>
      <c r="B9315" s="2" t="str">
        <f ca="1">IFERROR(__xludf.DUMMYFUNCTION("""COMPUTED_VALUE"""),"omkg")</f>
        <v>omkg</v>
      </c>
      <c r="C9315" s="2" t="str">
        <f ca="1">IFERROR(__xludf.DUMMYFUNCTION("""COMPUTED_VALUE"""),"OmniKingdoms Gold")</f>
        <v>OmniKingdoms Gold</v>
      </c>
    </row>
    <row r="9316" spans="1:3" x14ac:dyDescent="0.25">
      <c r="A9316" s="2" t="str">
        <f ca="1">IFERROR(__xludf.DUMMYFUNCTION("""COMPUTED_VALUE"""),"omni-layer")</f>
        <v>omni-layer</v>
      </c>
      <c r="B9316" s="2" t="str">
        <f ca="1">IFERROR(__xludf.DUMMYFUNCTION("""COMPUTED_VALUE"""),"omni")</f>
        <v>omni</v>
      </c>
      <c r="C9316" s="2" t="str">
        <f ca="1">IFERROR(__xludf.DUMMYFUNCTION("""COMPUTED_VALUE"""),"Omni Layer")</f>
        <v>Omni Layer</v>
      </c>
    </row>
    <row r="9317" spans="1:3" x14ac:dyDescent="0.25">
      <c r="A9317" s="2" t="str">
        <f ca="1">IFERROR(__xludf.DUMMYFUNCTION("""COMPUTED_VALUE"""),"omni-network")</f>
        <v>omni-network</v>
      </c>
      <c r="B9317" s="2" t="str">
        <f ca="1">IFERROR(__xludf.DUMMYFUNCTION("""COMPUTED_VALUE"""),"omni")</f>
        <v>omni</v>
      </c>
      <c r="C9317" s="2" t="str">
        <f ca="1">IFERROR(__xludf.DUMMYFUNCTION("""COMPUTED_VALUE"""),"Omni Network")</f>
        <v>Omni Network</v>
      </c>
    </row>
    <row r="9318" spans="1:3" x14ac:dyDescent="0.25">
      <c r="A9318" s="2" t="str">
        <f ca="1">IFERROR(__xludf.DUMMYFUNCTION("""COMPUTED_VALUE"""),"omnisea")</f>
        <v>omnisea</v>
      </c>
      <c r="B9318" s="2" t="str">
        <f ca="1">IFERROR(__xludf.DUMMYFUNCTION("""COMPUTED_VALUE"""),"osea")</f>
        <v>osea</v>
      </c>
      <c r="C9318" s="2" t="str">
        <f ca="1">IFERROR(__xludf.DUMMYFUNCTION("""COMPUTED_VALUE"""),"Omnisea")</f>
        <v>Omnisea</v>
      </c>
    </row>
    <row r="9319" spans="1:3" x14ac:dyDescent="0.25">
      <c r="A9319" s="2" t="str">
        <f ca="1">IFERROR(__xludf.DUMMYFUNCTION("""COMPUTED_VALUE"""),"omochi-the-frog")</f>
        <v>omochi-the-frog</v>
      </c>
      <c r="B9319" s="2" t="str">
        <f ca="1">IFERROR(__xludf.DUMMYFUNCTION("""COMPUTED_VALUE"""),"omochi")</f>
        <v>omochi</v>
      </c>
      <c r="C9319" s="2" t="str">
        <f ca="1">IFERROR(__xludf.DUMMYFUNCTION("""COMPUTED_VALUE"""),"Omochi the Frog")</f>
        <v>Omochi the Frog</v>
      </c>
    </row>
    <row r="9320" spans="1:3" x14ac:dyDescent="0.25">
      <c r="A9320" s="2" t="str">
        <f ca="1">IFERROR(__xludf.DUMMYFUNCTION("""COMPUTED_VALUE"""),"onbuff")</f>
        <v>onbuff</v>
      </c>
      <c r="B9320" s="2" t="str">
        <f ca="1">IFERROR(__xludf.DUMMYFUNCTION("""COMPUTED_VALUE"""),"lwa")</f>
        <v>lwa</v>
      </c>
      <c r="C9320" s="2" t="str">
        <f ca="1">IFERROR(__xludf.DUMMYFUNCTION("""COMPUTED_VALUE"""),"LumiWave")</f>
        <v>LumiWave</v>
      </c>
    </row>
    <row r="9321" spans="1:3" x14ac:dyDescent="0.25">
      <c r="A9321" s="2" t="str">
        <f ca="1">IFERROR(__xludf.DUMMYFUNCTION("""COMPUTED_VALUE"""),"onchain")</f>
        <v>onchain</v>
      </c>
      <c r="B9321" s="2" t="str">
        <f ca="1">IFERROR(__xludf.DUMMYFUNCTION("""COMPUTED_VALUE"""),"onchain")</f>
        <v>onchain</v>
      </c>
      <c r="C9321" s="2" t="str">
        <f ca="1">IFERROR(__xludf.DUMMYFUNCTION("""COMPUTED_VALUE"""),"/onchain")</f>
        <v>/onchain</v>
      </c>
    </row>
    <row r="9322" spans="1:3" x14ac:dyDescent="0.25">
      <c r="A9322" s="2" t="str">
        <f ca="1">IFERROR(__xludf.DUMMYFUNCTION("""COMPUTED_VALUE"""),"onchain-ai")</f>
        <v>onchain-ai</v>
      </c>
      <c r="B9322" s="2" t="str">
        <f ca="1">IFERROR(__xludf.DUMMYFUNCTION("""COMPUTED_VALUE"""),"ocai")</f>
        <v>ocai</v>
      </c>
      <c r="C9322" s="2" t="str">
        <f ca="1">IFERROR(__xludf.DUMMYFUNCTION("""COMPUTED_VALUE"""),"Onchain AI")</f>
        <v>Onchain AI</v>
      </c>
    </row>
    <row r="9323" spans="1:3" x14ac:dyDescent="0.25">
      <c r="A9323" s="2" t="str">
        <f ca="1">IFERROR(__xludf.DUMMYFUNCTION("""COMPUTED_VALUE"""),"onchain-coin")</f>
        <v>onchain-coin</v>
      </c>
      <c r="B9323" s="2" t="str">
        <f ca="1">IFERROR(__xludf.DUMMYFUNCTION("""COMPUTED_VALUE"""),"onchain")</f>
        <v>onchain</v>
      </c>
      <c r="C9323" s="2" t="str">
        <f ca="1">IFERROR(__xludf.DUMMYFUNCTION("""COMPUTED_VALUE"""),"Onchain Coin")</f>
        <v>Onchain Coin</v>
      </c>
    </row>
    <row r="9324" spans="1:3" x14ac:dyDescent="0.25">
      <c r="A9324" s="2" t="str">
        <f ca="1">IFERROR(__xludf.DUMMYFUNCTION("""COMPUTED_VALUE"""),"on-chain-dynamics")</f>
        <v>on-chain-dynamics</v>
      </c>
      <c r="B9324" s="2" t="str">
        <f ca="1">IFERROR(__xludf.DUMMYFUNCTION("""COMPUTED_VALUE"""),"ocd")</f>
        <v>ocd</v>
      </c>
      <c r="C9324" s="2" t="str">
        <f ca="1">IFERROR(__xludf.DUMMYFUNCTION("""COMPUTED_VALUE"""),"On-Chain Dynamics")</f>
        <v>On-Chain Dynamics</v>
      </c>
    </row>
    <row r="9325" spans="1:3" x14ac:dyDescent="0.25">
      <c r="A9325" s="2" t="str">
        <f ca="1">IFERROR(__xludf.DUMMYFUNCTION("""COMPUTED_VALUE"""),"onchain-pepe-404")</f>
        <v>onchain-pepe-404</v>
      </c>
      <c r="B9325" s="2" t="str">
        <f ca="1">IFERROR(__xludf.DUMMYFUNCTION("""COMPUTED_VALUE"""),"ocp404")</f>
        <v>ocp404</v>
      </c>
      <c r="C9325" s="2" t="str">
        <f ca="1">IFERROR(__xludf.DUMMYFUNCTION("""COMPUTED_VALUE"""),"OnChain Pepe 404")</f>
        <v>OnChain Pepe 404</v>
      </c>
    </row>
    <row r="9326" spans="1:3" x14ac:dyDescent="0.25">
      <c r="A9326" s="2" t="str">
        <f ca="1">IFERROR(__xludf.DUMMYFUNCTION("""COMPUTED_VALUE"""),"onchain-summer")</f>
        <v>onchain-summer</v>
      </c>
      <c r="B9326" s="2" t="str">
        <f ca="1">IFERROR(__xludf.DUMMYFUNCTION("""COMPUTED_VALUE"""),"summer")</f>
        <v>summer</v>
      </c>
      <c r="C9326" s="2" t="str">
        <f ca="1">IFERROR(__xludf.DUMMYFUNCTION("""COMPUTED_VALUE"""),"Onchain Summer")</f>
        <v>Onchain Summer</v>
      </c>
    </row>
    <row r="9327" spans="1:3" x14ac:dyDescent="0.25">
      <c r="A9327" s="2" t="str">
        <f ca="1">IFERROR(__xludf.DUMMYFUNCTION("""COMPUTED_VALUE"""),"onchain-trade-protocol")</f>
        <v>onchain-trade-protocol</v>
      </c>
      <c r="B9327" s="2" t="str">
        <f ca="1">IFERROR(__xludf.DUMMYFUNCTION("""COMPUTED_VALUE"""),"ot")</f>
        <v>ot</v>
      </c>
      <c r="C9327" s="2" t="str">
        <f ca="1">IFERROR(__xludf.DUMMYFUNCTION("""COMPUTED_VALUE"""),"Onchain Trade Protocol")</f>
        <v>Onchain Trade Protocol</v>
      </c>
    </row>
    <row r="9328" spans="1:3" x14ac:dyDescent="0.25">
      <c r="A9328" s="2" t="str">
        <f ca="1">IFERROR(__xludf.DUMMYFUNCTION("""COMPUTED_VALUE"""),"ondo-finance")</f>
        <v>ondo-finance</v>
      </c>
      <c r="B9328" s="2" t="str">
        <f ca="1">IFERROR(__xludf.DUMMYFUNCTION("""COMPUTED_VALUE"""),"ondo")</f>
        <v>ondo</v>
      </c>
      <c r="C9328" s="2" t="str">
        <f ca="1">IFERROR(__xludf.DUMMYFUNCTION("""COMPUTED_VALUE"""),"Ondo")</f>
        <v>Ondo</v>
      </c>
    </row>
    <row r="9329" spans="1:3" x14ac:dyDescent="0.25">
      <c r="A9329" s="2" t="str">
        <f ca="1">IFERROR(__xludf.DUMMYFUNCTION("""COMPUTED_VALUE"""),"ondo-us-dollar-yield")</f>
        <v>ondo-us-dollar-yield</v>
      </c>
      <c r="B9329" s="2" t="str">
        <f ca="1">IFERROR(__xludf.DUMMYFUNCTION("""COMPUTED_VALUE"""),"usdy")</f>
        <v>usdy</v>
      </c>
      <c r="C9329" s="2" t="str">
        <f ca="1">IFERROR(__xludf.DUMMYFUNCTION("""COMPUTED_VALUE"""),"Ondo US Dollar Yield")</f>
        <v>Ondo US Dollar Yield</v>
      </c>
    </row>
    <row r="9330" spans="1:3" x14ac:dyDescent="0.25">
      <c r="A9330" s="2" t="str">
        <f ca="1">IFERROR(__xludf.DUMMYFUNCTION("""COMPUTED_VALUE"""),"one")</f>
        <v>one</v>
      </c>
      <c r="B9330" s="2" t="str">
        <f ca="1">IFERROR(__xludf.DUMMYFUNCTION("""COMPUTED_VALUE"""),"one")</f>
        <v>one</v>
      </c>
      <c r="C9330" s="2" t="str">
        <f ca="1">IFERROR(__xludf.DUMMYFUNCTION("""COMPUTED_VALUE"""),"One")</f>
        <v>One</v>
      </c>
    </row>
    <row r="9331" spans="1:3" x14ac:dyDescent="0.25">
      <c r="A9331" s="2" t="str">
        <f ca="1">IFERROR(__xludf.DUMMYFUNCTION("""COMPUTED_VALUE"""),"one-basis-cash")</f>
        <v>one-basis-cash</v>
      </c>
      <c r="B9331" s="2" t="str">
        <f ca="1">IFERROR(__xludf.DUMMYFUNCTION("""COMPUTED_VALUE"""),"obs")</f>
        <v>obs</v>
      </c>
      <c r="C9331" s="2" t="str">
        <f ca="1">IFERROR(__xludf.DUMMYFUNCTION("""COMPUTED_VALUE"""),"One Basis Cash")</f>
        <v>One Basis Cash</v>
      </c>
    </row>
    <row r="9332" spans="1:3" x14ac:dyDescent="0.25">
      <c r="A9332" s="2" t="str">
        <f ca="1">IFERROR(__xludf.DUMMYFUNCTION("""COMPUTED_VALUE"""),"one-cash")</f>
        <v>one-cash</v>
      </c>
      <c r="B9332" s="2" t="str">
        <f ca="1">IFERROR(__xludf.DUMMYFUNCTION("""COMPUTED_VALUE"""),"onc")</f>
        <v>onc</v>
      </c>
      <c r="C9332" s="2" t="str">
        <f ca="1">IFERROR(__xludf.DUMMYFUNCTION("""COMPUTED_VALUE"""),"One Cash")</f>
        <v>One Cash</v>
      </c>
    </row>
    <row r="9333" spans="1:3" x14ac:dyDescent="0.25">
      <c r="A9333" s="2" t="str">
        <f ca="1">IFERROR(__xludf.DUMMYFUNCTION("""COMPUTED_VALUE"""),"onecoinbuy")</f>
        <v>onecoinbuy</v>
      </c>
      <c r="B9333" s="2" t="str">
        <f ca="1">IFERROR(__xludf.DUMMYFUNCTION("""COMPUTED_VALUE"""),"ocb")</f>
        <v>ocb</v>
      </c>
      <c r="C9333" s="2" t="str">
        <f ca="1">IFERROR(__xludf.DUMMYFUNCTION("""COMPUTED_VALUE"""),"OneCoinBuy")</f>
        <v>OneCoinBuy</v>
      </c>
    </row>
    <row r="9334" spans="1:3" x14ac:dyDescent="0.25">
      <c r="A9334" s="2" t="str">
        <f ca="1">IFERROR(__xludf.DUMMYFUNCTION("""COMPUTED_VALUE"""),"onedex")</f>
        <v>onedex</v>
      </c>
      <c r="B9334" s="2" t="str">
        <f ca="1">IFERROR(__xludf.DUMMYFUNCTION("""COMPUTED_VALUE"""),"one")</f>
        <v>one</v>
      </c>
      <c r="C9334" s="2" t="str">
        <f ca="1">IFERROR(__xludf.DUMMYFUNCTION("""COMPUTED_VALUE"""),"OneFinity")</f>
        <v>OneFinity</v>
      </c>
    </row>
    <row r="9335" spans="1:3" x14ac:dyDescent="0.25">
      <c r="A9335" s="2" t="str">
        <f ca="1">IFERROR(__xludf.DUMMYFUNCTION("""COMPUTED_VALUE"""),"onedex-rone")</f>
        <v>onedex-rone</v>
      </c>
      <c r="B9335" s="2" t="str">
        <f ca="1">IFERROR(__xludf.DUMMYFUNCTION("""COMPUTED_VALUE"""),"rone-bb2e")</f>
        <v>rone-bb2e</v>
      </c>
      <c r="C9335" s="2" t="str">
        <f ca="1">IFERROR(__xludf.DUMMYFUNCTION("""COMPUTED_VALUE"""),"OneDex rONE")</f>
        <v>OneDex rONE</v>
      </c>
    </row>
    <row r="9336" spans="1:3" x14ac:dyDescent="0.25">
      <c r="A9336" s="2" t="str">
        <f ca="1">IFERROR(__xludf.DUMMYFUNCTION("""COMPUTED_VALUE"""),"one-hundred-million-inu")</f>
        <v>one-hundred-million-inu</v>
      </c>
      <c r="B9336" s="2" t="str">
        <f ca="1">IFERROR(__xludf.DUMMYFUNCTION("""COMPUTED_VALUE"""),"ohmi")</f>
        <v>ohmi</v>
      </c>
      <c r="C9336" s="2" t="str">
        <f ca="1">IFERROR(__xludf.DUMMYFUNCTION("""COMPUTED_VALUE"""),"One Hundred Million Inu")</f>
        <v>One Hundred Million Inu</v>
      </c>
    </row>
    <row r="9337" spans="1:3" x14ac:dyDescent="0.25">
      <c r="A9337" s="2" t="str">
        <f ca="1">IFERROR(__xludf.DUMMYFUNCTION("""COMPUTED_VALUE"""),"one-ledger")</f>
        <v>one-ledger</v>
      </c>
      <c r="B9337" s="2" t="str">
        <f ca="1">IFERROR(__xludf.DUMMYFUNCTION("""COMPUTED_VALUE"""),"olt")</f>
        <v>olt</v>
      </c>
      <c r="C9337" s="2" t="str">
        <f ca="1">IFERROR(__xludf.DUMMYFUNCTION("""COMPUTED_VALUE"""),"OneLedger")</f>
        <v>OneLedger</v>
      </c>
    </row>
    <row r="9338" spans="1:3" x14ac:dyDescent="0.25">
      <c r="A9338" s="2" t="str">
        <f ca="1">IFERROR(__xludf.DUMMYFUNCTION("""COMPUTED_VALUE"""),"onepunch")</f>
        <v>onepunch</v>
      </c>
      <c r="B9338" s="2" t="str">
        <f ca="1">IFERROR(__xludf.DUMMYFUNCTION("""COMPUTED_VALUE"""),"onepunch")</f>
        <v>onepunch</v>
      </c>
      <c r="C9338" s="2" t="str">
        <f ca="1">IFERROR(__xludf.DUMMYFUNCTION("""COMPUTED_VALUE"""),"ONEPUNCH")</f>
        <v>ONEPUNCH</v>
      </c>
    </row>
    <row r="9339" spans="1:3" x14ac:dyDescent="0.25">
      <c r="A9339" s="2" t="str">
        <f ca="1">IFERROR(__xludf.DUMMYFUNCTION("""COMPUTED_VALUE"""),"one-punch-cat")</f>
        <v>one-punch-cat</v>
      </c>
      <c r="B9339" s="2" t="str">
        <f ca="1">IFERROR(__xludf.DUMMYFUNCTION("""COMPUTED_VALUE"""),"punch")</f>
        <v>punch</v>
      </c>
      <c r="C9339" s="2" t="str">
        <f ca="1">IFERROR(__xludf.DUMMYFUNCTION("""COMPUTED_VALUE"""),"ONE PUNCH CAT")</f>
        <v>ONE PUNCH CAT</v>
      </c>
    </row>
    <row r="9340" spans="1:3" x14ac:dyDescent="0.25">
      <c r="A9340" s="2" t="str">
        <f ca="1">IFERROR(__xludf.DUMMYFUNCTION("""COMPUTED_VALUE"""),"onerare")</f>
        <v>onerare</v>
      </c>
      <c r="B9340" s="2" t="str">
        <f ca="1">IFERROR(__xludf.DUMMYFUNCTION("""COMPUTED_VALUE"""),"orare")</f>
        <v>orare</v>
      </c>
      <c r="C9340" s="2" t="str">
        <f ca="1">IFERROR(__xludf.DUMMYFUNCTION("""COMPUTED_VALUE"""),"OneRare")</f>
        <v>OneRare</v>
      </c>
    </row>
    <row r="9341" spans="1:3" x14ac:dyDescent="0.25">
      <c r="A9341" s="2" t="str">
        <f ca="1">IFERROR(__xludf.DUMMYFUNCTION("""COMPUTED_VALUE"""),"onering")</f>
        <v>onering</v>
      </c>
      <c r="B9341" s="2" t="str">
        <f ca="1">IFERROR(__xludf.DUMMYFUNCTION("""COMPUTED_VALUE"""),"ring")</f>
        <v>ring</v>
      </c>
      <c r="C9341" s="2" t="str">
        <f ca="1">IFERROR(__xludf.DUMMYFUNCTION("""COMPUTED_VALUE"""),"OneRing")</f>
        <v>OneRing</v>
      </c>
    </row>
    <row r="9342" spans="1:3" x14ac:dyDescent="0.25">
      <c r="A9342" s="2" t="str">
        <f ca="1">IFERROR(__xludf.DUMMYFUNCTION("""COMPUTED_VALUE"""),"one-share")</f>
        <v>one-share</v>
      </c>
      <c r="B9342" s="2" t="str">
        <f ca="1">IFERROR(__xludf.DUMMYFUNCTION("""COMPUTED_VALUE"""),"ons")</f>
        <v>ons</v>
      </c>
      <c r="C9342" s="2" t="str">
        <f ca="1">IFERROR(__xludf.DUMMYFUNCTION("""COMPUTED_VALUE"""),"One Share")</f>
        <v>One Share</v>
      </c>
    </row>
    <row r="9343" spans="1:3" x14ac:dyDescent="0.25">
      <c r="A9343" s="2" t="str">
        <f ca="1">IFERROR(__xludf.DUMMYFUNCTION("""COMPUTED_VALUE"""),"onetokenburn")</f>
        <v>onetokenburn</v>
      </c>
      <c r="B9343" s="2" t="str">
        <f ca="1">IFERROR(__xludf.DUMMYFUNCTION("""COMPUTED_VALUE"""),"one")</f>
        <v>one</v>
      </c>
      <c r="C9343" s="2" t="str">
        <f ca="1">IFERROR(__xludf.DUMMYFUNCTION("""COMPUTED_VALUE"""),"One Token")</f>
        <v>One Token</v>
      </c>
    </row>
    <row r="9344" spans="1:3" x14ac:dyDescent="0.25">
      <c r="A9344" s="2" t="str">
        <f ca="1">IFERROR(__xludf.DUMMYFUNCTION("""COMPUTED_VALUE"""),"one-world-chain")</f>
        <v>one-world-chain</v>
      </c>
      <c r="B9344" s="2" t="str">
        <f ca="1">IFERROR(__xludf.DUMMYFUNCTION("""COMPUTED_VALUE"""),"owct")</f>
        <v>owct</v>
      </c>
      <c r="C9344" s="2" t="str">
        <f ca="1">IFERROR(__xludf.DUMMYFUNCTION("""COMPUTED_VALUE"""),"One World Chain")</f>
        <v>One World Chain</v>
      </c>
    </row>
    <row r="9345" spans="1:3" x14ac:dyDescent="0.25">
      <c r="A9345" s="2" t="str">
        <f ca="1">IFERROR(__xludf.DUMMYFUNCTION("""COMPUTED_VALUE"""),"onez")</f>
        <v>onez</v>
      </c>
      <c r="B9345" s="2" t="str">
        <f ca="1">IFERROR(__xludf.DUMMYFUNCTION("""COMPUTED_VALUE"""),"onez")</f>
        <v>onez</v>
      </c>
      <c r="C9345" s="2" t="str">
        <f ca="1">IFERROR(__xludf.DUMMYFUNCTION("""COMPUTED_VALUE"""),"ONEZ")</f>
        <v>ONEZ</v>
      </c>
    </row>
    <row r="9346" spans="1:3" x14ac:dyDescent="0.25">
      <c r="A9346" s="2" t="str">
        <f ca="1">IFERROR(__xludf.DUMMYFUNCTION("""COMPUTED_VALUE"""),"onfa")</f>
        <v>onfa</v>
      </c>
      <c r="B9346" s="2" t="str">
        <f ca="1">IFERROR(__xludf.DUMMYFUNCTION("""COMPUTED_VALUE"""),"oft")</f>
        <v>oft</v>
      </c>
      <c r="C9346" s="2" t="str">
        <f ca="1">IFERROR(__xludf.DUMMYFUNCTION("""COMPUTED_VALUE"""),"ONFA")</f>
        <v>ONFA</v>
      </c>
    </row>
    <row r="9347" spans="1:3" x14ac:dyDescent="0.25">
      <c r="A9347" s="2" t="str">
        <f ca="1">IFERROR(__xludf.DUMMYFUNCTION("""COMPUTED_VALUE"""),"ong")</f>
        <v>ong</v>
      </c>
      <c r="B9347" s="2" t="str">
        <f ca="1">IFERROR(__xludf.DUMMYFUNCTION("""COMPUTED_VALUE"""),"ong")</f>
        <v>ong</v>
      </c>
      <c r="C9347" s="2" t="str">
        <f ca="1">IFERROR(__xludf.DUMMYFUNCTION("""COMPUTED_VALUE"""),"Ontology Gas")</f>
        <v>Ontology Gas</v>
      </c>
    </row>
    <row r="9348" spans="1:3" x14ac:dyDescent="0.25">
      <c r="A9348" s="2" t="str">
        <f ca="1">IFERROR(__xludf.DUMMYFUNCTION("""COMPUTED_VALUE"""),"onigiri-2")</f>
        <v>onigiri-2</v>
      </c>
      <c r="B9348" s="2" t="str">
        <f ca="1">IFERROR(__xludf.DUMMYFUNCTION("""COMPUTED_VALUE"""),"oni")</f>
        <v>oni</v>
      </c>
      <c r="C9348" s="2" t="str">
        <f ca="1">IFERROR(__xludf.DUMMYFUNCTION("""COMPUTED_VALUE"""),"Onigiri")</f>
        <v>Onigiri</v>
      </c>
    </row>
    <row r="9349" spans="1:3" x14ac:dyDescent="0.25">
      <c r="A9349" s="2" t="str">
        <f ca="1">IFERROR(__xludf.DUMMYFUNCTION("""COMPUTED_VALUE"""),"onigiri-kitty")</f>
        <v>onigiri-kitty</v>
      </c>
      <c r="B9349" s="2" t="str">
        <f ca="1">IFERROR(__xludf.DUMMYFUNCTION("""COMPUTED_VALUE"""),"oky")</f>
        <v>oky</v>
      </c>
      <c r="C9349" s="2" t="str">
        <f ca="1">IFERROR(__xludf.DUMMYFUNCTION("""COMPUTED_VALUE"""),"Onigiri Kitty")</f>
        <v>Onigiri Kitty</v>
      </c>
    </row>
    <row r="9350" spans="1:3" x14ac:dyDescent="0.25">
      <c r="A9350" s="2" t="str">
        <f ca="1">IFERROR(__xludf.DUMMYFUNCTION("""COMPUTED_VALUE"""),"oni-token")</f>
        <v>oni-token</v>
      </c>
      <c r="B9350" s="2" t="str">
        <f ca="1">IFERROR(__xludf.DUMMYFUNCTION("""COMPUTED_VALUE"""),"oni")</f>
        <v>oni</v>
      </c>
      <c r="C9350" s="2" t="str">
        <f ca="1">IFERROR(__xludf.DUMMYFUNCTION("""COMPUTED_VALUE"""),"ONINO")</f>
        <v>ONINO</v>
      </c>
    </row>
    <row r="9351" spans="1:3" x14ac:dyDescent="0.25">
      <c r="A9351" s="2" t="str">
        <f ca="1">IFERROR(__xludf.DUMMYFUNCTION("""COMPUTED_VALUE"""),"only1")</f>
        <v>only1</v>
      </c>
      <c r="B9351" s="2" t="str">
        <f ca="1">IFERROR(__xludf.DUMMYFUNCTION("""COMPUTED_VALUE"""),"like")</f>
        <v>like</v>
      </c>
      <c r="C9351" s="2" t="str">
        <f ca="1">IFERROR(__xludf.DUMMYFUNCTION("""COMPUTED_VALUE"""),"Only1")</f>
        <v>Only1</v>
      </c>
    </row>
    <row r="9352" spans="1:3" x14ac:dyDescent="0.25">
      <c r="A9352" s="2" t="str">
        <f ca="1">IFERROR(__xludf.DUMMYFUNCTION("""COMPUTED_VALUE"""),"only-possible-on-solana")</f>
        <v>only-possible-on-solana</v>
      </c>
      <c r="B9352" s="2" t="str">
        <f ca="1">IFERROR(__xludf.DUMMYFUNCTION("""COMPUTED_VALUE"""),"opos")</f>
        <v>opos</v>
      </c>
      <c r="C9352" s="2" t="str">
        <f ca="1">IFERROR(__xludf.DUMMYFUNCTION("""COMPUTED_VALUE"""),"Only Possible On Solana")</f>
        <v>Only Possible On Solana</v>
      </c>
    </row>
    <row r="9353" spans="1:3" x14ac:dyDescent="0.25">
      <c r="A9353" s="2" t="str">
        <f ca="1">IFERROR(__xludf.DUMMYFUNCTION("""COMPUTED_VALUE"""),"onmax-2")</f>
        <v>onmax-2</v>
      </c>
      <c r="B9353" s="2" t="str">
        <f ca="1">IFERROR(__xludf.DUMMYFUNCTION("""COMPUTED_VALUE"""),"omp")</f>
        <v>omp</v>
      </c>
      <c r="C9353" s="2" t="str">
        <f ca="1">IFERROR(__xludf.DUMMYFUNCTION("""COMPUTED_VALUE"""),"Onmax")</f>
        <v>Onmax</v>
      </c>
    </row>
    <row r="9354" spans="1:3" x14ac:dyDescent="0.25">
      <c r="A9354" s="2" t="str">
        <f ca="1">IFERROR(__xludf.DUMMYFUNCTION("""COMPUTED_VALUE"""),"onomy-protocol")</f>
        <v>onomy-protocol</v>
      </c>
      <c r="B9354" s="2" t="str">
        <f ca="1">IFERROR(__xludf.DUMMYFUNCTION("""COMPUTED_VALUE"""),"nom")</f>
        <v>nom</v>
      </c>
      <c r="C9354" s="2" t="str">
        <f ca="1">IFERROR(__xludf.DUMMYFUNCTION("""COMPUTED_VALUE"""),"Onomy Protocol")</f>
        <v>Onomy Protocol</v>
      </c>
    </row>
    <row r="9355" spans="1:3" x14ac:dyDescent="0.25">
      <c r="A9355" s="2" t="str">
        <f ca="1">IFERROR(__xludf.DUMMYFUNCTION("""COMPUTED_VALUE"""),"onooks")</f>
        <v>onooks</v>
      </c>
      <c r="B9355" s="2" t="str">
        <f ca="1">IFERROR(__xludf.DUMMYFUNCTION("""COMPUTED_VALUE"""),"ooks")</f>
        <v>ooks</v>
      </c>
      <c r="C9355" s="2" t="str">
        <f ca="1">IFERROR(__xludf.DUMMYFUNCTION("""COMPUTED_VALUE"""),"Onooks")</f>
        <v>Onooks</v>
      </c>
    </row>
    <row r="9356" spans="1:3" x14ac:dyDescent="0.25">
      <c r="A9356" s="2" t="str">
        <f ca="1">IFERROR(__xludf.DUMMYFUNCTION("""COMPUTED_VALUE"""),"onpulse")</f>
        <v>onpulse</v>
      </c>
      <c r="B9356" s="2" t="str">
        <f ca="1">IFERROR(__xludf.DUMMYFUNCTION("""COMPUTED_VALUE"""),"opls")</f>
        <v>opls</v>
      </c>
      <c r="C9356" s="2" t="str">
        <f ca="1">IFERROR(__xludf.DUMMYFUNCTION("""COMPUTED_VALUE"""),"OnPulse")</f>
        <v>OnPulse</v>
      </c>
    </row>
    <row r="9357" spans="1:3" x14ac:dyDescent="0.25">
      <c r="A9357" s="2" t="str">
        <f ca="1">IFERROR(__xludf.DUMMYFUNCTION("""COMPUTED_VALUE"""),"onston")</f>
        <v>onston</v>
      </c>
      <c r="B9357" s="2" t="str">
        <f ca="1">IFERROR(__xludf.DUMMYFUNCTION("""COMPUTED_VALUE"""),"onston")</f>
        <v>onston</v>
      </c>
      <c r="C9357" s="2" t="str">
        <f ca="1">IFERROR(__xludf.DUMMYFUNCTION("""COMPUTED_VALUE"""),"Onston")</f>
        <v>Onston</v>
      </c>
    </row>
    <row r="9358" spans="1:3" x14ac:dyDescent="0.25">
      <c r="A9358" s="2" t="str">
        <f ca="1">IFERROR(__xludf.DUMMYFUNCTION("""COMPUTED_VALUE"""),"ontology")</f>
        <v>ontology</v>
      </c>
      <c r="B9358" s="2" t="str">
        <f ca="1">IFERROR(__xludf.DUMMYFUNCTION("""COMPUTED_VALUE"""),"ont")</f>
        <v>ont</v>
      </c>
      <c r="C9358" s="2" t="str">
        <f ca="1">IFERROR(__xludf.DUMMYFUNCTION("""COMPUTED_VALUE"""),"Ontology")</f>
        <v>Ontology</v>
      </c>
    </row>
    <row r="9359" spans="1:3" x14ac:dyDescent="0.25">
      <c r="A9359" s="2" t="str">
        <f ca="1">IFERROR(__xludf.DUMMYFUNCTION("""COMPUTED_VALUE"""),"onus")</f>
        <v>onus</v>
      </c>
      <c r="B9359" s="2" t="str">
        <f ca="1">IFERROR(__xludf.DUMMYFUNCTION("""COMPUTED_VALUE"""),"onus")</f>
        <v>onus</v>
      </c>
      <c r="C9359" s="2" t="str">
        <f ca="1">IFERROR(__xludf.DUMMYFUNCTION("""COMPUTED_VALUE"""),"ONUS")</f>
        <v>ONUS</v>
      </c>
    </row>
    <row r="9360" spans="1:3" x14ac:dyDescent="0.25">
      <c r="A9360" s="2" t="str">
        <f ca="1">IFERROR(__xludf.DUMMYFUNCTION("""COMPUTED_VALUE"""),"onx-finance")</f>
        <v>onx-finance</v>
      </c>
      <c r="B9360" s="2" t="str">
        <f ca="1">IFERROR(__xludf.DUMMYFUNCTION("""COMPUTED_VALUE"""),"onx")</f>
        <v>onx</v>
      </c>
      <c r="C9360" s="2" t="str">
        <f ca="1">IFERROR(__xludf.DUMMYFUNCTION("""COMPUTED_VALUE"""),"OnX Finance")</f>
        <v>OnX Finance</v>
      </c>
    </row>
    <row r="9361" spans="1:3" x14ac:dyDescent="0.25">
      <c r="A9361" s="2" t="str">
        <f ca="1">IFERROR(__xludf.DUMMYFUNCTION("""COMPUTED_VALUE"""),"onyx-2")</f>
        <v>onyx-2</v>
      </c>
      <c r="B9361" s="2" t="str">
        <f ca="1">IFERROR(__xludf.DUMMYFUNCTION("""COMPUTED_VALUE"""),"onyx")</f>
        <v>onyx</v>
      </c>
      <c r="C9361" s="2" t="str">
        <f ca="1">IFERROR(__xludf.DUMMYFUNCTION("""COMPUTED_VALUE"""),"Onyx (∑, ∆)")</f>
        <v>Onyx (∑, ∆)</v>
      </c>
    </row>
    <row r="9362" spans="1:3" x14ac:dyDescent="0.25">
      <c r="A9362" s="2" t="str">
        <f ca="1">IFERROR(__xludf.DUMMYFUNCTION("""COMPUTED_VALUE"""),"oobit")</f>
        <v>oobit</v>
      </c>
      <c r="B9362" s="2" t="str">
        <f ca="1">IFERROR(__xludf.DUMMYFUNCTION("""COMPUTED_VALUE"""),"obt")</f>
        <v>obt</v>
      </c>
      <c r="C9362" s="2" t="str">
        <f ca="1">IFERROR(__xludf.DUMMYFUNCTION("""COMPUTED_VALUE"""),"Oobit")</f>
        <v>Oobit</v>
      </c>
    </row>
    <row r="9363" spans="1:3" x14ac:dyDescent="0.25">
      <c r="A9363" s="2" t="str">
        <f ca="1">IFERROR(__xludf.DUMMYFUNCTION("""COMPUTED_VALUE"""),"oofp")</f>
        <v>oofp</v>
      </c>
      <c r="B9363" s="2" t="str">
        <f ca="1">IFERROR(__xludf.DUMMYFUNCTION("""COMPUTED_VALUE"""),"oofp")</f>
        <v>oofp</v>
      </c>
      <c r="C9363" s="2" t="str">
        <f ca="1">IFERROR(__xludf.DUMMYFUNCTION("""COMPUTED_VALUE"""),"OOFP")</f>
        <v>OOFP</v>
      </c>
    </row>
    <row r="9364" spans="1:3" x14ac:dyDescent="0.25">
      <c r="A9364" s="2" t="str">
        <f ca="1">IFERROR(__xludf.DUMMYFUNCTION("""COMPUTED_VALUE"""),"ooki")</f>
        <v>ooki</v>
      </c>
      <c r="B9364" s="2" t="str">
        <f ca="1">IFERROR(__xludf.DUMMYFUNCTION("""COMPUTED_VALUE"""),"ooki")</f>
        <v>ooki</v>
      </c>
      <c r="C9364" s="2" t="str">
        <f ca="1">IFERROR(__xludf.DUMMYFUNCTION("""COMPUTED_VALUE"""),"Ooki")</f>
        <v>Ooki</v>
      </c>
    </row>
    <row r="9365" spans="1:3" x14ac:dyDescent="0.25">
      <c r="A9365" s="2" t="str">
        <f ca="1">IFERROR(__xludf.DUMMYFUNCTION("""COMPUTED_VALUE"""),"oort")</f>
        <v>oort</v>
      </c>
      <c r="B9365" s="2" t="str">
        <f ca="1">IFERROR(__xludf.DUMMYFUNCTION("""COMPUTED_VALUE"""),"oort")</f>
        <v>oort</v>
      </c>
      <c r="C9365" s="2" t="str">
        <f ca="1">IFERROR(__xludf.DUMMYFUNCTION("""COMPUTED_VALUE"""),"OORT")</f>
        <v>OORT</v>
      </c>
    </row>
    <row r="9366" spans="1:3" x14ac:dyDescent="0.25">
      <c r="A9366" s="2" t="str">
        <f ca="1">IFERROR(__xludf.DUMMYFUNCTION("""COMPUTED_VALUE"""),"oort-digital")</f>
        <v>oort-digital</v>
      </c>
      <c r="B9366" s="2" t="str">
        <f ca="1">IFERROR(__xludf.DUMMYFUNCTION("""COMPUTED_VALUE"""),"oort")</f>
        <v>oort</v>
      </c>
      <c r="C9366" s="2" t="str">
        <f ca="1">IFERROR(__xludf.DUMMYFUNCTION("""COMPUTED_VALUE"""),"Oort Digital")</f>
        <v>Oort Digital</v>
      </c>
    </row>
    <row r="9367" spans="1:3" x14ac:dyDescent="0.25">
      <c r="A9367" s="2" t="str">
        <f ca="1">IFERROR(__xludf.DUMMYFUNCTION("""COMPUTED_VALUE"""),"opacity")</f>
        <v>opacity</v>
      </c>
      <c r="B9367" s="2" t="str">
        <f ca="1">IFERROR(__xludf.DUMMYFUNCTION("""COMPUTED_VALUE"""),"opct")</f>
        <v>opct</v>
      </c>
      <c r="C9367" s="2" t="str">
        <f ca="1">IFERROR(__xludf.DUMMYFUNCTION("""COMPUTED_VALUE"""),"Opacity")</f>
        <v>Opacity</v>
      </c>
    </row>
    <row r="9368" spans="1:3" x14ac:dyDescent="0.25">
      <c r="A9368" s="2" t="str">
        <f ca="1">IFERROR(__xludf.DUMMYFUNCTION("""COMPUTED_VALUE"""),"opal-2")</f>
        <v>opal-2</v>
      </c>
      <c r="B9368" s="2" t="str">
        <f ca="1">IFERROR(__xludf.DUMMYFUNCTION("""COMPUTED_VALUE"""),"gem")</f>
        <v>gem</v>
      </c>
      <c r="C9368" s="2" t="str">
        <f ca="1">IFERROR(__xludf.DUMMYFUNCTION("""COMPUTED_VALUE"""),"Opal")</f>
        <v>Opal</v>
      </c>
    </row>
    <row r="9369" spans="1:3" x14ac:dyDescent="0.25">
      <c r="A9369" s="2" t="str">
        <f ca="1">IFERROR(__xludf.DUMMYFUNCTION("""COMPUTED_VALUE"""),"opcat")</f>
        <v>opcat</v>
      </c>
      <c r="B9369" s="2" t="str">
        <f ca="1">IFERROR(__xludf.DUMMYFUNCTION("""COMPUTED_VALUE"""),"$opcat")</f>
        <v>$opcat</v>
      </c>
      <c r="C9369" s="2" t="str">
        <f ca="1">IFERROR(__xludf.DUMMYFUNCTION("""COMPUTED_VALUE"""),"OPCAT")</f>
        <v>OPCAT</v>
      </c>
    </row>
    <row r="9370" spans="1:3" x14ac:dyDescent="0.25">
      <c r="A9370" s="2" t="str">
        <f ca="1">IFERROR(__xludf.DUMMYFUNCTION("""COMPUTED_VALUE"""),"op-chads")</f>
        <v>op-chads</v>
      </c>
      <c r="B9370" s="2" t="str">
        <f ca="1">IFERROR(__xludf.DUMMYFUNCTION("""COMPUTED_VALUE"""),"opc")</f>
        <v>opc</v>
      </c>
      <c r="C9370" s="2" t="str">
        <f ca="1">IFERROR(__xludf.DUMMYFUNCTION("""COMPUTED_VALUE"""),"OP Chads")</f>
        <v>OP Chads</v>
      </c>
    </row>
    <row r="9371" spans="1:3" x14ac:dyDescent="0.25">
      <c r="A9371" s="2" t="str">
        <f ca="1">IFERROR(__xludf.DUMMYFUNCTION("""COMPUTED_VALUE"""),"opclouds")</f>
        <v>opclouds</v>
      </c>
      <c r="B9371" s="2" t="str">
        <f ca="1">IFERROR(__xludf.DUMMYFUNCTION("""COMPUTED_VALUE"""),"opc")</f>
        <v>opc</v>
      </c>
      <c r="C9371" s="2" t="str">
        <f ca="1">IFERROR(__xludf.DUMMYFUNCTION("""COMPUTED_VALUE"""),"OpClouds")</f>
        <v>OpClouds</v>
      </c>
    </row>
    <row r="9372" spans="1:3" x14ac:dyDescent="0.25">
      <c r="A9372" s="2" t="str">
        <f ca="1">IFERROR(__xludf.DUMMYFUNCTION("""COMPUTED_VALUE"""),"openai-erc")</f>
        <v>openai-erc</v>
      </c>
      <c r="B9372" s="2" t="str">
        <f ca="1">IFERROR(__xludf.DUMMYFUNCTION("""COMPUTED_VALUE"""),"openai erc")</f>
        <v>openai erc</v>
      </c>
      <c r="C9372" s="2" t="str">
        <f ca="1">IFERROR(__xludf.DUMMYFUNCTION("""COMPUTED_VALUE"""),"OpenAI ERC")</f>
        <v>OpenAI ERC</v>
      </c>
    </row>
    <row r="9373" spans="1:3" x14ac:dyDescent="0.25">
      <c r="A9373" s="2" t="str">
        <f ca="1">IFERROR(__xludf.DUMMYFUNCTION("""COMPUTED_VALUE"""),"openalexa-protocol")</f>
        <v>openalexa-protocol</v>
      </c>
      <c r="B9373" s="2" t="str">
        <f ca="1">IFERROR(__xludf.DUMMYFUNCTION("""COMPUTED_VALUE"""),"oap")</f>
        <v>oap</v>
      </c>
      <c r="C9373" s="2" t="str">
        <f ca="1">IFERROR(__xludf.DUMMYFUNCTION("""COMPUTED_VALUE"""),"OpenAlexa Protocol")</f>
        <v>OpenAlexa Protocol</v>
      </c>
    </row>
    <row r="9374" spans="1:3" x14ac:dyDescent="0.25">
      <c r="A9374" s="2" t="str">
        <f ca="1">IFERROR(__xludf.DUMMYFUNCTION("""COMPUTED_VALUE"""),"openanx")</f>
        <v>openanx</v>
      </c>
      <c r="B9374" s="2" t="str">
        <f ca="1">IFERROR(__xludf.DUMMYFUNCTION("""COMPUTED_VALUE"""),"oax")</f>
        <v>oax</v>
      </c>
      <c r="C9374" s="2" t="str">
        <f ca="1">IFERROR(__xludf.DUMMYFUNCTION("""COMPUTED_VALUE"""),"OAX")</f>
        <v>OAX</v>
      </c>
    </row>
    <row r="9375" spans="1:3" x14ac:dyDescent="0.25">
      <c r="A9375" s="2" t="str">
        <f ca="1">IFERROR(__xludf.DUMMYFUNCTION("""COMPUTED_VALUE"""),"openblox")</f>
        <v>openblox</v>
      </c>
      <c r="B9375" s="2" t="str">
        <f ca="1">IFERROR(__xludf.DUMMYFUNCTION("""COMPUTED_VALUE"""),"obx")</f>
        <v>obx</v>
      </c>
      <c r="C9375" s="2" t="str">
        <f ca="1">IFERROR(__xludf.DUMMYFUNCTION("""COMPUTED_VALUE"""),"OpenBlox")</f>
        <v>OpenBlox</v>
      </c>
    </row>
    <row r="9376" spans="1:3" x14ac:dyDescent="0.25">
      <c r="A9376" s="2" t="str">
        <f ca="1">IFERROR(__xludf.DUMMYFUNCTION("""COMPUTED_VALUE"""),"openchat")</f>
        <v>openchat</v>
      </c>
      <c r="B9376" s="2" t="str">
        <f ca="1">IFERROR(__xludf.DUMMYFUNCTION("""COMPUTED_VALUE"""),"chat")</f>
        <v>chat</v>
      </c>
      <c r="C9376" s="2" t="str">
        <f ca="1">IFERROR(__xludf.DUMMYFUNCTION("""COMPUTED_VALUE"""),"OpenChat")</f>
        <v>OpenChat</v>
      </c>
    </row>
    <row r="9377" spans="1:3" x14ac:dyDescent="0.25">
      <c r="A9377" s="2" t="str">
        <f ca="1">IFERROR(__xludf.DUMMYFUNCTION("""COMPUTED_VALUE"""),"opendao")</f>
        <v>opendao</v>
      </c>
      <c r="B9377" s="2" t="str">
        <f ca="1">IFERROR(__xludf.DUMMYFUNCTION("""COMPUTED_VALUE"""),"sos")</f>
        <v>sos</v>
      </c>
      <c r="C9377" s="2" t="str">
        <f ca="1">IFERROR(__xludf.DUMMYFUNCTION("""COMPUTED_VALUE"""),"OpenDAO")</f>
        <v>OpenDAO</v>
      </c>
    </row>
    <row r="9378" spans="1:3" x14ac:dyDescent="0.25">
      <c r="A9378" s="2" t="str">
        <f ca="1">IFERROR(__xludf.DUMMYFUNCTION("""COMPUTED_VALUE"""),"open-dollar")</f>
        <v>open-dollar</v>
      </c>
      <c r="B9378" s="2" t="str">
        <f ca="1">IFERROR(__xludf.DUMMYFUNCTION("""COMPUTED_VALUE"""),"od")</f>
        <v>od</v>
      </c>
      <c r="C9378" s="2" t="str">
        <f ca="1">IFERROR(__xludf.DUMMYFUNCTION("""COMPUTED_VALUE"""),"Open Dollar")</f>
        <v>Open Dollar</v>
      </c>
    </row>
    <row r="9379" spans="1:3" x14ac:dyDescent="0.25">
      <c r="A9379" s="2" t="str">
        <f ca="1">IFERROR(__xludf.DUMMYFUNCTION("""COMPUTED_VALUE"""),"open-dollar-governance")</f>
        <v>open-dollar-governance</v>
      </c>
      <c r="B9379" s="2" t="str">
        <f ca="1">IFERROR(__xludf.DUMMYFUNCTION("""COMPUTED_VALUE"""),"odg")</f>
        <v>odg</v>
      </c>
      <c r="C9379" s="2" t="str">
        <f ca="1">IFERROR(__xludf.DUMMYFUNCTION("""COMPUTED_VALUE"""),"Open Dollar Governance")</f>
        <v>Open Dollar Governance</v>
      </c>
    </row>
    <row r="9380" spans="1:3" x14ac:dyDescent="0.25">
      <c r="A9380" s="2" t="str">
        <f ca="1">IFERROR(__xludf.DUMMYFUNCTION("""COMPUTED_VALUE"""),"openeden-tbill")</f>
        <v>openeden-tbill</v>
      </c>
      <c r="B9380" s="2" t="str">
        <f ca="1">IFERROR(__xludf.DUMMYFUNCTION("""COMPUTED_VALUE"""),"tbill")</f>
        <v>tbill</v>
      </c>
      <c r="C9380" s="2" t="str">
        <f ca="1">IFERROR(__xludf.DUMMYFUNCTION("""COMPUTED_VALUE"""),"OpenEden TBILL")</f>
        <v>OpenEden TBILL</v>
      </c>
    </row>
    <row r="9381" spans="1:3" x14ac:dyDescent="0.25">
      <c r="A9381" s="2" t="str">
        <f ca="1">IFERROR(__xludf.DUMMYFUNCTION("""COMPUTED_VALUE"""),"open-exchange-token")</f>
        <v>open-exchange-token</v>
      </c>
      <c r="B9381" s="2" t="str">
        <f ca="1">IFERROR(__xludf.DUMMYFUNCTION("""COMPUTED_VALUE"""),"ox old")</f>
        <v>ox old</v>
      </c>
      <c r="C9381" s="2" t="str">
        <f ca="1">IFERROR(__xludf.DUMMYFUNCTION("""COMPUTED_VALUE"""),"Open Exchange Token")</f>
        <v>Open Exchange Token</v>
      </c>
    </row>
    <row r="9382" spans="1:3" x14ac:dyDescent="0.25">
      <c r="A9382" s="2" t="str">
        <f ca="1">IFERROR(__xludf.DUMMYFUNCTION("""COMPUTED_VALUE"""),"openex-network-token")</f>
        <v>openex-network-token</v>
      </c>
      <c r="B9382" s="2" t="str">
        <f ca="1">IFERROR(__xludf.DUMMYFUNCTION("""COMPUTED_VALUE"""),"oex")</f>
        <v>oex</v>
      </c>
      <c r="C9382" s="2" t="str">
        <f ca="1">IFERROR(__xludf.DUMMYFUNCTION("""COMPUTED_VALUE"""),"OpenEX Network Token")</f>
        <v>OpenEX Network Token</v>
      </c>
    </row>
    <row r="9383" spans="1:3" x14ac:dyDescent="0.25">
      <c r="A9383" s="2" t="str">
        <f ca="1">IFERROR(__xludf.DUMMYFUNCTION("""COMPUTED_VALUE"""),"openfabric")</f>
        <v>openfabric</v>
      </c>
      <c r="B9383" s="2" t="str">
        <f ca="1">IFERROR(__xludf.DUMMYFUNCTION("""COMPUTED_VALUE"""),"ofn")</f>
        <v>ofn</v>
      </c>
      <c r="C9383" s="2" t="str">
        <f ca="1">IFERROR(__xludf.DUMMYFUNCTION("""COMPUTED_VALUE"""),"Openfabric AI")</f>
        <v>Openfabric AI</v>
      </c>
    </row>
    <row r="9384" spans="1:3" x14ac:dyDescent="0.25">
      <c r="A9384" s="2" t="str">
        <f ca="1">IFERROR(__xludf.DUMMYFUNCTION("""COMPUTED_VALUE"""),"open-gpu")</f>
        <v>open-gpu</v>
      </c>
      <c r="B9384" s="2" t="str">
        <f ca="1">IFERROR(__xludf.DUMMYFUNCTION("""COMPUTED_VALUE"""),"ogpu")</f>
        <v>ogpu</v>
      </c>
      <c r="C9384" s="2" t="str">
        <f ca="1">IFERROR(__xludf.DUMMYFUNCTION("""COMPUTED_VALUE"""),"OPEN GPU")</f>
        <v>OPEN GPU</v>
      </c>
    </row>
    <row r="9385" spans="1:3" x14ac:dyDescent="0.25">
      <c r="A9385" s="2" t="str">
        <f ca="1">IFERROR(__xludf.DUMMYFUNCTION("""COMPUTED_VALUE"""),"opengrid")</f>
        <v>opengrid</v>
      </c>
      <c r="B9385" s="2" t="str">
        <f ca="1">IFERROR(__xludf.DUMMYFUNCTION("""COMPUTED_VALUE"""),"grid")</f>
        <v>grid</v>
      </c>
      <c r="C9385" s="2" t="str">
        <f ca="1">IFERROR(__xludf.DUMMYFUNCTION("""COMPUTED_VALUE"""),"OpenGRID")</f>
        <v>OpenGRID</v>
      </c>
    </row>
    <row r="9386" spans="1:3" x14ac:dyDescent="0.25">
      <c r="A9386" s="2" t="str">
        <f ca="1">IFERROR(__xludf.DUMMYFUNCTION("""COMPUTED_VALUE"""),"openleverage")</f>
        <v>openleverage</v>
      </c>
      <c r="B9386" s="2" t="str">
        <f ca="1">IFERROR(__xludf.DUMMYFUNCTION("""COMPUTED_VALUE"""),"ole")</f>
        <v>ole</v>
      </c>
      <c r="C9386" s="2" t="str">
        <f ca="1">IFERROR(__xludf.DUMMYFUNCTION("""COMPUTED_VALUE"""),"OpenLeverage")</f>
        <v>OpenLeverage</v>
      </c>
    </row>
    <row r="9387" spans="1:3" x14ac:dyDescent="0.25">
      <c r="A9387" s="2" t="str">
        <f ca="1">IFERROR(__xludf.DUMMYFUNCTION("""COMPUTED_VALUE"""),"open-meta-city")</f>
        <v>open-meta-city</v>
      </c>
      <c r="B9387" s="2" t="str">
        <f ca="1">IFERROR(__xludf.DUMMYFUNCTION("""COMPUTED_VALUE"""),"omz")</f>
        <v>omz</v>
      </c>
      <c r="C9387" s="2" t="str">
        <f ca="1">IFERROR(__xludf.DUMMYFUNCTION("""COMPUTED_VALUE"""),"Open Meta City")</f>
        <v>Open Meta City</v>
      </c>
    </row>
    <row r="9388" spans="1:3" x14ac:dyDescent="0.25">
      <c r="A9388" s="2" t="str">
        <f ca="1">IFERROR(__xludf.DUMMYFUNCTION("""COMPUTED_VALUE"""),"openmind")</f>
        <v>openmind</v>
      </c>
      <c r="B9388" s="2" t="str">
        <f ca="1">IFERROR(__xludf.DUMMYFUNCTION("""COMPUTED_VALUE"""),"omnd")</f>
        <v>omnd</v>
      </c>
      <c r="C9388" s="2" t="str">
        <f ca="1">IFERROR(__xludf.DUMMYFUNCTION("""COMPUTED_VALUE"""),"OpenMind")</f>
        <v>OpenMind</v>
      </c>
    </row>
    <row r="9389" spans="1:3" x14ac:dyDescent="0.25">
      <c r="A9389" s="2" t="str">
        <f ca="1">IFERROR(__xludf.DUMMYFUNCTION("""COMPUTED_VALUE"""),"open-mind-network")</f>
        <v>open-mind-network</v>
      </c>
      <c r="B9389" s="2" t="str">
        <f ca="1">IFERROR(__xludf.DUMMYFUNCTION("""COMPUTED_VALUE"""),"opmnd")</f>
        <v>opmnd</v>
      </c>
      <c r="C9389" s="2" t="str">
        <f ca="1">IFERROR(__xludf.DUMMYFUNCTION("""COMPUTED_VALUE"""),"Open Mind Network")</f>
        <v>Open Mind Network</v>
      </c>
    </row>
    <row r="9390" spans="1:3" x14ac:dyDescent="0.25">
      <c r="A9390" s="2" t="str">
        <f ca="1">IFERROR(__xludf.DUMMYFUNCTION("""COMPUTED_VALUE"""),"openmoney-usd")</f>
        <v>openmoney-usd</v>
      </c>
      <c r="B9390" s="2" t="str">
        <f ca="1">IFERROR(__xludf.DUMMYFUNCTION("""COMPUTED_VALUE"""),"omusd")</f>
        <v>omusd</v>
      </c>
      <c r="C9390" s="2" t="str">
        <f ca="1">IFERROR(__xludf.DUMMYFUNCTION("""COMPUTED_VALUE"""),"OpenMoney USD")</f>
        <v>OpenMoney USD</v>
      </c>
    </row>
    <row r="9391" spans="1:3" x14ac:dyDescent="0.25">
      <c r="A9391" s="2" t="str">
        <f ca="1">IFERROR(__xludf.DUMMYFUNCTION("""COMPUTED_VALUE"""),"openocean")</f>
        <v>openocean</v>
      </c>
      <c r="B9391" s="2" t="str">
        <f ca="1">IFERROR(__xludf.DUMMYFUNCTION("""COMPUTED_VALUE"""),"ooe")</f>
        <v>ooe</v>
      </c>
      <c r="C9391" s="2" t="str">
        <f ca="1">IFERROR(__xludf.DUMMYFUNCTION("""COMPUTED_VALUE"""),"OpenOcean")</f>
        <v>OpenOcean</v>
      </c>
    </row>
    <row r="9392" spans="1:3" x14ac:dyDescent="0.25">
      <c r="A9392" s="2" t="str">
        <f ca="1">IFERROR(__xludf.DUMMYFUNCTION("""COMPUTED_VALUE"""),"open-platform")</f>
        <v>open-platform</v>
      </c>
      <c r="B9392" s="2" t="str">
        <f ca="1">IFERROR(__xludf.DUMMYFUNCTION("""COMPUTED_VALUE"""),"open")</f>
        <v>open</v>
      </c>
      <c r="C9392" s="2" t="str">
        <f ca="1">IFERROR(__xludf.DUMMYFUNCTION("""COMPUTED_VALUE"""),"Open Platform")</f>
        <v>Open Platform</v>
      </c>
    </row>
    <row r="9393" spans="1:3" x14ac:dyDescent="0.25">
      <c r="A9393" s="2" t="str">
        <f ca="1">IFERROR(__xludf.DUMMYFUNCTION("""COMPUTED_VALUE"""),"opensky-finance")</f>
        <v>opensky-finance</v>
      </c>
      <c r="B9393" s="2" t="str">
        <f ca="1">IFERROR(__xludf.DUMMYFUNCTION("""COMPUTED_VALUE"""),"osky")</f>
        <v>osky</v>
      </c>
      <c r="C9393" s="2" t="str">
        <f ca="1">IFERROR(__xludf.DUMMYFUNCTION("""COMPUTED_VALUE"""),"OpenSky Finance")</f>
        <v>OpenSky Finance</v>
      </c>
    </row>
    <row r="9394" spans="1:3" x14ac:dyDescent="0.25">
      <c r="A9394" s="2" t="str">
        <f ca="1">IFERROR(__xludf.DUMMYFUNCTION("""COMPUTED_VALUE"""),"open-source-network")</f>
        <v>open-source-network</v>
      </c>
      <c r="B9394" s="2" t="str">
        <f ca="1">IFERROR(__xludf.DUMMYFUNCTION("""COMPUTED_VALUE"""),"opn")</f>
        <v>opn</v>
      </c>
      <c r="C9394" s="2" t="str">
        <f ca="1">IFERROR(__xludf.DUMMYFUNCTION("""COMPUTED_VALUE"""),"Open Source Network")</f>
        <v>Open Source Network</v>
      </c>
    </row>
    <row r="9395" spans="1:3" x14ac:dyDescent="0.25">
      <c r="A9395" s="2" t="str">
        <f ca="1">IFERROR(__xludf.DUMMYFUNCTION("""COMPUTED_VALUE"""),"openswap-token")</f>
        <v>openswap-token</v>
      </c>
      <c r="B9395" s="2" t="str">
        <f ca="1">IFERROR(__xludf.DUMMYFUNCTION("""COMPUTED_VALUE"""),"openx")</f>
        <v>openx</v>
      </c>
      <c r="C9395" s="2" t="str">
        <f ca="1">IFERROR(__xludf.DUMMYFUNCTION("""COMPUTED_VALUE"""),"OpenSwap.One")</f>
        <v>OpenSwap.One</v>
      </c>
    </row>
    <row r="9396" spans="1:3" x14ac:dyDescent="0.25">
      <c r="A9396" s="2" t="str">
        <f ca="1">IFERROR(__xludf.DUMMYFUNCTION("""COMPUTED_VALUE"""),"open-ticketing-ecosystem")</f>
        <v>open-ticketing-ecosystem</v>
      </c>
      <c r="B9396" s="2" t="str">
        <f ca="1">IFERROR(__xludf.DUMMYFUNCTION("""COMPUTED_VALUE"""),"opn")</f>
        <v>opn</v>
      </c>
      <c r="C9396" s="2" t="str">
        <f ca="1">IFERROR(__xludf.DUMMYFUNCTION("""COMPUTED_VALUE"""),"OPEN Ticketing Ecosystem")</f>
        <v>OPEN Ticketing Ecosystem</v>
      </c>
    </row>
    <row r="9397" spans="1:3" x14ac:dyDescent="0.25">
      <c r="A9397" s="2" t="str">
        <f ca="1">IFERROR(__xludf.DUMMYFUNCTION("""COMPUTED_VALUE"""),"open-tony")</f>
        <v>open-tony</v>
      </c>
      <c r="B9397" s="2" t="str">
        <f ca="1">IFERROR(__xludf.DUMMYFUNCTION("""COMPUTED_VALUE"""),"open")</f>
        <v>open</v>
      </c>
      <c r="C9397" s="2" t="str">
        <f ca="1">IFERROR(__xludf.DUMMYFUNCTION("""COMPUTED_VALUE"""),"OPEN Tony")</f>
        <v>OPEN Tony</v>
      </c>
    </row>
    <row r="9398" spans="1:3" x14ac:dyDescent="0.25">
      <c r="A9398" s="2" t="str">
        <f ca="1">IFERROR(__xludf.DUMMYFUNCTION("""COMPUTED_VALUE"""),"openworldnft")</f>
        <v>openworldnft</v>
      </c>
      <c r="B9398" s="2" t="str">
        <f ca="1">IFERROR(__xludf.DUMMYFUNCTION("""COMPUTED_VALUE"""),"owner")</f>
        <v>owner</v>
      </c>
      <c r="C9398" s="2" t="str">
        <f ca="1">IFERROR(__xludf.DUMMYFUNCTION("""COMPUTED_VALUE"""),"OPENWORLDNFT")</f>
        <v>OPENWORLDNFT</v>
      </c>
    </row>
    <row r="9399" spans="1:3" x14ac:dyDescent="0.25">
      <c r="A9399" s="2" t="str">
        <f ca="1">IFERROR(__xludf.DUMMYFUNCTION("""COMPUTED_VALUE"""),"openxswap")</f>
        <v>openxswap</v>
      </c>
      <c r="B9399" s="2" t="str">
        <f ca="1">IFERROR(__xludf.DUMMYFUNCTION("""COMPUTED_VALUE"""),"openx")</f>
        <v>openx</v>
      </c>
      <c r="C9399" s="2" t="str">
        <f ca="1">IFERROR(__xludf.DUMMYFUNCTION("""COMPUTED_VALUE"""),"OpenXSwap")</f>
        <v>OpenXSwap</v>
      </c>
    </row>
    <row r="9400" spans="1:3" x14ac:dyDescent="0.25">
      <c r="A9400" s="2" t="str">
        <f ca="1">IFERROR(__xludf.DUMMYFUNCTION("""COMPUTED_VALUE"""),"openxswap-gov-token")</f>
        <v>openxswap-gov-token</v>
      </c>
      <c r="B9400" s="2" t="str">
        <f ca="1">IFERROR(__xludf.DUMMYFUNCTION("""COMPUTED_VALUE"""),"xopenx")</f>
        <v>xopenx</v>
      </c>
      <c r="C9400" s="2" t="str">
        <f ca="1">IFERROR(__xludf.DUMMYFUNCTION("""COMPUTED_VALUE"""),"OpenXSwap Gov. Token")</f>
        <v>OpenXSwap Gov. Token</v>
      </c>
    </row>
    <row r="9401" spans="1:3" x14ac:dyDescent="0.25">
      <c r="A9401" s="2" t="str">
        <f ca="1">IFERROR(__xludf.DUMMYFUNCTION("""COMPUTED_VALUE"""),"operon-origins")</f>
        <v>operon-origins</v>
      </c>
      <c r="B9401" s="2" t="str">
        <f ca="1">IFERROR(__xludf.DUMMYFUNCTION("""COMPUTED_VALUE"""),"oro")</f>
        <v>oro</v>
      </c>
      <c r="C9401" s="2" t="str">
        <f ca="1">IFERROR(__xludf.DUMMYFUNCTION("""COMPUTED_VALUE"""),"Operon Origins")</f>
        <v>Operon Origins</v>
      </c>
    </row>
    <row r="9402" spans="1:3" x14ac:dyDescent="0.25">
      <c r="A9402" s="2" t="str">
        <f ca="1">IFERROR(__xludf.DUMMYFUNCTION("""COMPUTED_VALUE"""),"opes-wrapped-pe")</f>
        <v>opes-wrapped-pe</v>
      </c>
      <c r="B9402" s="2" t="str">
        <f ca="1">IFERROR(__xludf.DUMMYFUNCTION("""COMPUTED_VALUE"""),"wpe")</f>
        <v>wpe</v>
      </c>
      <c r="C9402" s="2" t="str">
        <f ca="1">IFERROR(__xludf.DUMMYFUNCTION("""COMPUTED_VALUE"""),"OpesAI")</f>
        <v>OpesAI</v>
      </c>
    </row>
    <row r="9403" spans="1:3" x14ac:dyDescent="0.25">
      <c r="A9403" s="2" t="str">
        <f ca="1">IFERROR(__xludf.DUMMYFUNCTION("""COMPUTED_VALUE"""),"ophir-dao")</f>
        <v>ophir-dao</v>
      </c>
      <c r="B9403" s="2" t="str">
        <f ca="1">IFERROR(__xludf.DUMMYFUNCTION("""COMPUTED_VALUE"""),"ophir")</f>
        <v>ophir</v>
      </c>
      <c r="C9403" s="2" t="str">
        <f ca="1">IFERROR(__xludf.DUMMYFUNCTION("""COMPUTED_VALUE"""),"Ophir DAO")</f>
        <v>Ophir DAO</v>
      </c>
    </row>
    <row r="9404" spans="1:3" x14ac:dyDescent="0.25">
      <c r="A9404" s="2" t="str">
        <f ca="1">IFERROR(__xludf.DUMMYFUNCTION("""COMPUTED_VALUE"""),"opipets")</f>
        <v>opipets</v>
      </c>
      <c r="B9404" s="2" t="str">
        <f ca="1">IFERROR(__xludf.DUMMYFUNCTION("""COMPUTED_VALUE"""),"opip")</f>
        <v>opip</v>
      </c>
      <c r="C9404" s="2" t="str">
        <f ca="1">IFERROR(__xludf.DUMMYFUNCTION("""COMPUTED_VALUE"""),"OpiPets")</f>
        <v>OpiPets</v>
      </c>
    </row>
    <row r="9405" spans="1:3" x14ac:dyDescent="0.25">
      <c r="A9405" s="2" t="str">
        <f ca="1">IFERROR(__xludf.DUMMYFUNCTION("""COMPUTED_VALUE"""),"opium")</f>
        <v>opium</v>
      </c>
      <c r="B9405" s="2" t="str">
        <f ca="1">IFERROR(__xludf.DUMMYFUNCTION("""COMPUTED_VALUE"""),"opium")</f>
        <v>opium</v>
      </c>
      <c r="C9405" s="2" t="str">
        <f ca="1">IFERROR(__xludf.DUMMYFUNCTION("""COMPUTED_VALUE"""),"Opium")</f>
        <v>Opium</v>
      </c>
    </row>
    <row r="9406" spans="1:3" x14ac:dyDescent="0.25">
      <c r="A9406" s="2" t="str">
        <f ca="1">IFERROR(__xludf.DUMMYFUNCTION("""COMPUTED_VALUE"""),"opportunity")</f>
        <v>opportunity</v>
      </c>
      <c r="B9406" s="2" t="str">
        <f ca="1">IFERROR(__xludf.DUMMYFUNCTION("""COMPUTED_VALUE"""),"opy")</f>
        <v>opy</v>
      </c>
      <c r="C9406" s="2" t="str">
        <f ca="1">IFERROR(__xludf.DUMMYFUNCTION("""COMPUTED_VALUE"""),"OPYx")</f>
        <v>OPYx</v>
      </c>
    </row>
    <row r="9407" spans="1:3" x14ac:dyDescent="0.25">
      <c r="A9407" s="2" t="str">
        <f ca="1">IFERROR(__xludf.DUMMYFUNCTION("""COMPUTED_VALUE"""),"opsec")</f>
        <v>opsec</v>
      </c>
      <c r="B9407" s="2" t="str">
        <f ca="1">IFERROR(__xludf.DUMMYFUNCTION("""COMPUTED_VALUE"""),"opsec")</f>
        <v>opsec</v>
      </c>
      <c r="C9407" s="2" t="str">
        <f ca="1">IFERROR(__xludf.DUMMYFUNCTION("""COMPUTED_VALUE"""),"OpSec")</f>
        <v>OpSec</v>
      </c>
    </row>
    <row r="9408" spans="1:3" x14ac:dyDescent="0.25">
      <c r="A9408" s="2" t="str">
        <f ca="1">IFERROR(__xludf.DUMMYFUNCTION("""COMPUTED_VALUE"""),"opta-global")</f>
        <v>opta-global</v>
      </c>
      <c r="B9408" s="2" t="str">
        <f ca="1">IFERROR(__xludf.DUMMYFUNCTION("""COMPUTED_VALUE"""),"opta")</f>
        <v>opta</v>
      </c>
      <c r="C9408" s="2" t="str">
        <f ca="1">IFERROR(__xludf.DUMMYFUNCTION("""COMPUTED_VALUE"""),"OPTA Global")</f>
        <v>OPTA Global</v>
      </c>
    </row>
    <row r="9409" spans="1:3" x14ac:dyDescent="0.25">
      <c r="A9409" s="2" t="str">
        <f ca="1">IFERROR(__xludf.DUMMYFUNCTION("""COMPUTED_VALUE"""),"optical-bitcoin")</f>
        <v>optical-bitcoin</v>
      </c>
      <c r="B9409" s="2" t="str">
        <f ca="1">IFERROR(__xludf.DUMMYFUNCTION("""COMPUTED_VALUE"""),"obtc")</f>
        <v>obtc</v>
      </c>
      <c r="C9409" s="2" t="str">
        <f ca="1">IFERROR(__xludf.DUMMYFUNCTION("""COMPUTED_VALUE"""),"Optical Bitcoin")</f>
        <v>Optical Bitcoin</v>
      </c>
    </row>
    <row r="9410" spans="1:3" x14ac:dyDescent="0.25">
      <c r="A9410" s="2" t="str">
        <f ca="1">IFERROR(__xludf.DUMMYFUNCTION("""COMPUTED_VALUE"""),"opticash")</f>
        <v>opticash</v>
      </c>
      <c r="B9410" s="2" t="str">
        <f ca="1">IFERROR(__xludf.DUMMYFUNCTION("""COMPUTED_VALUE"""),"opch")</f>
        <v>opch</v>
      </c>
      <c r="C9410" s="2" t="str">
        <f ca="1">IFERROR(__xludf.DUMMYFUNCTION("""COMPUTED_VALUE"""),"Opticash")</f>
        <v>Opticash</v>
      </c>
    </row>
    <row r="9411" spans="1:3" x14ac:dyDescent="0.25">
      <c r="A9411" s="2" t="str">
        <f ca="1">IFERROR(__xludf.DUMMYFUNCTION("""COMPUTED_VALUE"""),"optim")</f>
        <v>optim</v>
      </c>
      <c r="B9411" s="2" t="str">
        <f ca="1">IFERROR(__xludf.DUMMYFUNCTION("""COMPUTED_VALUE"""),"optim")</f>
        <v>optim</v>
      </c>
      <c r="C9411" s="2" t="str">
        <f ca="1">IFERROR(__xludf.DUMMYFUNCTION("""COMPUTED_VALUE"""),"Optim Finance")</f>
        <v>Optim Finance</v>
      </c>
    </row>
    <row r="9412" spans="1:3" x14ac:dyDescent="0.25">
      <c r="A9412" s="2" t="str">
        <f ca="1">IFERROR(__xludf.DUMMYFUNCTION("""COMPUTED_VALUE"""),"optimism")</f>
        <v>optimism</v>
      </c>
      <c r="B9412" s="2" t="str">
        <f ca="1">IFERROR(__xludf.DUMMYFUNCTION("""COMPUTED_VALUE"""),"op")</f>
        <v>op</v>
      </c>
      <c r="C9412" s="2" t="str">
        <f ca="1">IFERROR(__xludf.DUMMYFUNCTION("""COMPUTED_VALUE"""),"Optimism")</f>
        <v>Optimism</v>
      </c>
    </row>
    <row r="9413" spans="1:3" x14ac:dyDescent="0.25">
      <c r="A9413" s="2" t="str">
        <f ca="1">IFERROR(__xludf.DUMMYFUNCTION("""COMPUTED_VALUE"""),"optimism-bridged-wbtc-optimism")</f>
        <v>optimism-bridged-wbtc-optimism</v>
      </c>
      <c r="B9413" s="2" t="str">
        <f ca="1">IFERROR(__xludf.DUMMYFUNCTION("""COMPUTED_VALUE"""),"wbtc")</f>
        <v>wbtc</v>
      </c>
      <c r="C9413" s="2" t="str">
        <f ca="1">IFERROR(__xludf.DUMMYFUNCTION("""COMPUTED_VALUE"""),"Optimism Bridged WBTC (Optimism)")</f>
        <v>Optimism Bridged WBTC (Optimism)</v>
      </c>
    </row>
    <row r="9414" spans="1:3" x14ac:dyDescent="0.25">
      <c r="A9414" s="2" t="str">
        <f ca="1">IFERROR(__xludf.DUMMYFUNCTION("""COMPUTED_VALUE"""),"optim-oada")</f>
        <v>optim-oada</v>
      </c>
      <c r="B9414" s="2" t="str">
        <f ca="1">IFERROR(__xludf.DUMMYFUNCTION("""COMPUTED_VALUE"""),"oada")</f>
        <v>oada</v>
      </c>
      <c r="C9414" s="2" t="str">
        <f ca="1">IFERROR(__xludf.DUMMYFUNCTION("""COMPUTED_VALUE"""),"Optim OADA")</f>
        <v>Optim OADA</v>
      </c>
    </row>
    <row r="9415" spans="1:3" x14ac:dyDescent="0.25">
      <c r="A9415" s="2" t="str">
        <f ca="1">IFERROR(__xludf.DUMMYFUNCTION("""COMPUTED_VALUE"""),"optimus")</f>
        <v>optimus</v>
      </c>
      <c r="B9415" s="2" t="str">
        <f ca="1">IFERROR(__xludf.DUMMYFUNCTION("""COMPUTED_VALUE"""),"optcm")</f>
        <v>optcm</v>
      </c>
      <c r="C9415" s="2" t="str">
        <f ca="1">IFERROR(__xludf.DUMMYFUNCTION("""COMPUTED_VALUE"""),"Optimus")</f>
        <v>Optimus</v>
      </c>
    </row>
    <row r="9416" spans="1:3" x14ac:dyDescent="0.25">
      <c r="A9416" s="2" t="str">
        <f ca="1">IFERROR(__xludf.DUMMYFUNCTION("""COMPUTED_VALUE"""),"optimus-ai")</f>
        <v>optimus-ai</v>
      </c>
      <c r="B9416" s="2" t="str">
        <f ca="1">IFERROR(__xludf.DUMMYFUNCTION("""COMPUTED_VALUE"""),"opti")</f>
        <v>opti</v>
      </c>
      <c r="C9416" s="2" t="str">
        <f ca="1">IFERROR(__xludf.DUMMYFUNCTION("""COMPUTED_VALUE"""),"Optimus AI")</f>
        <v>Optimus AI</v>
      </c>
    </row>
    <row r="9417" spans="1:3" x14ac:dyDescent="0.25">
      <c r="A9417" s="2" t="str">
        <f ca="1">IFERROR(__xludf.DUMMYFUNCTION("""COMPUTED_VALUE"""),"optimuselonai")</f>
        <v>optimuselonai</v>
      </c>
      <c r="B9417" s="2" t="str">
        <f ca="1">IFERROR(__xludf.DUMMYFUNCTION("""COMPUTED_VALUE"""),"optimuselo")</f>
        <v>optimuselo</v>
      </c>
      <c r="C9417" s="2" t="str">
        <f ca="1">IFERROR(__xludf.DUMMYFUNCTION("""COMPUTED_VALUE"""),"OptimusElonAI")</f>
        <v>OptimusElonAI</v>
      </c>
    </row>
    <row r="9418" spans="1:3" x14ac:dyDescent="0.25">
      <c r="A9418" s="2" t="str">
        <f ca="1">IFERROR(__xludf.DUMMYFUNCTION("""COMPUTED_VALUE"""),"optimus-inu")</f>
        <v>optimus-inu</v>
      </c>
      <c r="B9418" s="2" t="str">
        <f ca="1">IFERROR(__xludf.DUMMYFUNCTION("""COMPUTED_VALUE"""),"opinu")</f>
        <v>opinu</v>
      </c>
      <c r="C9418" s="2" t="str">
        <f ca="1">IFERROR(__xludf.DUMMYFUNCTION("""COMPUTED_VALUE"""),"Optimus Inu")</f>
        <v>Optimus Inu</v>
      </c>
    </row>
    <row r="9419" spans="1:3" x14ac:dyDescent="0.25">
      <c r="A9419" s="2" t="str">
        <f ca="1">IFERROR(__xludf.DUMMYFUNCTION("""COMPUTED_VALUE"""),"optimus-x")</f>
        <v>optimus-x</v>
      </c>
      <c r="B9419" s="2" t="str">
        <f ca="1">IFERROR(__xludf.DUMMYFUNCTION("""COMPUTED_VALUE"""),"opx")</f>
        <v>opx</v>
      </c>
      <c r="C9419" s="2" t="str">
        <f ca="1">IFERROR(__xludf.DUMMYFUNCTION("""COMPUTED_VALUE"""),"Optimus X")</f>
        <v>Optimus X</v>
      </c>
    </row>
    <row r="9420" spans="1:3" x14ac:dyDescent="0.25">
      <c r="A9420" s="2" t="str">
        <f ca="1">IFERROR(__xludf.DUMMYFUNCTION("""COMPUTED_VALUE"""),"option2trade")</f>
        <v>option2trade</v>
      </c>
      <c r="B9420" s="2" t="str">
        <f ca="1">IFERROR(__xludf.DUMMYFUNCTION("""COMPUTED_VALUE"""),"o2t")</f>
        <v>o2t</v>
      </c>
      <c r="C9420" s="2" t="str">
        <f ca="1">IFERROR(__xludf.DUMMYFUNCTION("""COMPUTED_VALUE"""),"Option2Trade")</f>
        <v>Option2Trade</v>
      </c>
    </row>
    <row r="9421" spans="1:3" x14ac:dyDescent="0.25">
      <c r="A9421" s="2" t="str">
        <f ca="1">IFERROR(__xludf.DUMMYFUNCTION("""COMPUTED_VALUE"""),"optionflow-finance")</f>
        <v>optionflow-finance</v>
      </c>
      <c r="B9421" s="2" t="str">
        <f ca="1">IFERROR(__xludf.DUMMYFUNCTION("""COMPUTED_VALUE"""),"opt")</f>
        <v>opt</v>
      </c>
      <c r="C9421" s="2" t="str">
        <f ca="1">IFERROR(__xludf.DUMMYFUNCTION("""COMPUTED_VALUE"""),"OptionFlow Finance")</f>
        <v>OptionFlow Finance</v>
      </c>
    </row>
    <row r="9422" spans="1:3" x14ac:dyDescent="0.25">
      <c r="A9422" s="2" t="str">
        <f ca="1">IFERROR(__xludf.DUMMYFUNCTION("""COMPUTED_VALUE"""),"option-panda-platform")</f>
        <v>option-panda-platform</v>
      </c>
      <c r="B9422" s="2" t="str">
        <f ca="1">IFERROR(__xludf.DUMMYFUNCTION("""COMPUTED_VALUE"""),"opa")</f>
        <v>opa</v>
      </c>
      <c r="C9422" s="2" t="str">
        <f ca="1">IFERROR(__xludf.DUMMYFUNCTION("""COMPUTED_VALUE"""),"Option Panda Platform")</f>
        <v>Option Panda Platform</v>
      </c>
    </row>
    <row r="9423" spans="1:3" x14ac:dyDescent="0.25">
      <c r="A9423" s="2" t="str">
        <f ca="1">IFERROR(__xludf.DUMMYFUNCTION("""COMPUTED_VALUE"""),"option-room")</f>
        <v>option-room</v>
      </c>
      <c r="B9423" s="2" t="str">
        <f ca="1">IFERROR(__xludf.DUMMYFUNCTION("""COMPUTED_VALUE"""),"room")</f>
        <v>room</v>
      </c>
      <c r="C9423" s="2" t="str">
        <f ca="1">IFERROR(__xludf.DUMMYFUNCTION("""COMPUTED_VALUE"""),"OptionRoom")</f>
        <v>OptionRoom</v>
      </c>
    </row>
    <row r="9424" spans="1:3" x14ac:dyDescent="0.25">
      <c r="A9424" s="2" t="str">
        <f ca="1">IFERROR(__xludf.DUMMYFUNCTION("""COMPUTED_VALUE"""),"optopia-ai")</f>
        <v>optopia-ai</v>
      </c>
      <c r="B9424" s="2" t="str">
        <f ca="1">IFERROR(__xludf.DUMMYFUNCTION("""COMPUTED_VALUE"""),"opai")</f>
        <v>opai</v>
      </c>
      <c r="C9424" s="2" t="str">
        <f ca="1">IFERROR(__xludf.DUMMYFUNCTION("""COMPUTED_VALUE"""),"Optopia AI")</f>
        <v>Optopia AI</v>
      </c>
    </row>
    <row r="9425" spans="1:3" x14ac:dyDescent="0.25">
      <c r="A9425" s="2" t="str">
        <f ca="1">IFERROR(__xludf.DUMMYFUNCTION("""COMPUTED_VALUE"""),"opulence")</f>
        <v>opulence</v>
      </c>
      <c r="B9425" s="2" t="str">
        <f ca="1">IFERROR(__xludf.DUMMYFUNCTION("""COMPUTED_VALUE"""),"opulence")</f>
        <v>opulence</v>
      </c>
      <c r="C9425" s="2" t="str">
        <f ca="1">IFERROR(__xludf.DUMMYFUNCTION("""COMPUTED_VALUE"""),"OPULENCE")</f>
        <v>OPULENCE</v>
      </c>
    </row>
    <row r="9426" spans="1:3" x14ac:dyDescent="0.25">
      <c r="A9426" s="2" t="str">
        <f ca="1">IFERROR(__xludf.DUMMYFUNCTION("""COMPUTED_VALUE"""),"opulous")</f>
        <v>opulous</v>
      </c>
      <c r="B9426" s="2" t="str">
        <f ca="1">IFERROR(__xludf.DUMMYFUNCTION("""COMPUTED_VALUE"""),"opul")</f>
        <v>opul</v>
      </c>
      <c r="C9426" s="2" t="str">
        <f ca="1">IFERROR(__xludf.DUMMYFUNCTION("""COMPUTED_VALUE"""),"Opulous")</f>
        <v>Opulous</v>
      </c>
    </row>
    <row r="9427" spans="1:3" x14ac:dyDescent="0.25">
      <c r="A9427" s="2" t="str">
        <f ca="1">IFERROR(__xludf.DUMMYFUNCTION("""COMPUTED_VALUE"""),"opus-cash")</f>
        <v>opus-cash</v>
      </c>
      <c r="B9427" s="2" t="str">
        <f ca="1">IFERROR(__xludf.DUMMYFUNCTION("""COMPUTED_VALUE"""),"cash")</f>
        <v>cash</v>
      </c>
      <c r="C9427" s="2" t="str">
        <f ca="1">IFERROR(__xludf.DUMMYFUNCTION("""COMPUTED_VALUE"""),"Opus CASH")</f>
        <v>Opus CASH</v>
      </c>
    </row>
    <row r="9428" spans="1:3" x14ac:dyDescent="0.25">
      <c r="A9428" s="2" t="str">
        <f ca="1">IFERROR(__xludf.DUMMYFUNCTION("""COMPUTED_VALUE"""),"opyn-squeeth")</f>
        <v>opyn-squeeth</v>
      </c>
      <c r="B9428" s="2" t="str">
        <f ca="1">IFERROR(__xludf.DUMMYFUNCTION("""COMPUTED_VALUE"""),"osqth")</f>
        <v>osqth</v>
      </c>
      <c r="C9428" s="2" t="str">
        <f ca="1">IFERROR(__xludf.DUMMYFUNCTION("""COMPUTED_VALUE"""),"Opyn Squeeth")</f>
        <v>Opyn Squeeth</v>
      </c>
    </row>
    <row r="9429" spans="1:3" x14ac:dyDescent="0.25">
      <c r="A9429" s="2" t="str">
        <f ca="1">IFERROR(__xludf.DUMMYFUNCTION("""COMPUTED_VALUE"""),"oracle-2")</f>
        <v>oracle-2</v>
      </c>
      <c r="B9429" s="2" t="str">
        <f ca="1">IFERROR(__xludf.DUMMYFUNCTION("""COMPUTED_VALUE"""),"oracle")</f>
        <v>oracle</v>
      </c>
      <c r="C9429" s="2" t="str">
        <f ca="1">IFERROR(__xludf.DUMMYFUNCTION("""COMPUTED_VALUE"""),"ORACLE")</f>
        <v>ORACLE</v>
      </c>
    </row>
    <row r="9430" spans="1:3" x14ac:dyDescent="0.25">
      <c r="A9430" s="2" t="str">
        <f ca="1">IFERROR(__xludf.DUMMYFUNCTION("""COMPUTED_VALUE"""),"oracle-ai")</f>
        <v>oracle-ai</v>
      </c>
      <c r="B9430" s="2" t="str">
        <f ca="1">IFERROR(__xludf.DUMMYFUNCTION("""COMPUTED_VALUE"""),"oracle")</f>
        <v>oracle</v>
      </c>
      <c r="C9430" s="2" t="str">
        <f ca="1">IFERROR(__xludf.DUMMYFUNCTION("""COMPUTED_VALUE"""),"Oracle AI")</f>
        <v>Oracle AI</v>
      </c>
    </row>
    <row r="9431" spans="1:3" x14ac:dyDescent="0.25">
      <c r="A9431" s="2" t="str">
        <f ca="1">IFERROR(__xludf.DUMMYFUNCTION("""COMPUTED_VALUE"""),"oracle-bot")</f>
        <v>oracle-bot</v>
      </c>
      <c r="B9431" s="2" t="str">
        <f ca="1">IFERROR(__xludf.DUMMYFUNCTION("""COMPUTED_VALUE"""),"oracle")</f>
        <v>oracle</v>
      </c>
      <c r="C9431" s="2" t="str">
        <f ca="1">IFERROR(__xludf.DUMMYFUNCTION("""COMPUTED_VALUE"""),"Oracle.Bot")</f>
        <v>Oracle.Bot</v>
      </c>
    </row>
    <row r="9432" spans="1:3" x14ac:dyDescent="0.25">
      <c r="A9432" s="2" t="str">
        <f ca="1">IFERROR(__xludf.DUMMYFUNCTION("""COMPUTED_VALUE"""),"oracle-cat")</f>
        <v>oracle-cat</v>
      </c>
      <c r="B9432" s="2" t="str">
        <f ca="1">IFERROR(__xludf.DUMMYFUNCTION("""COMPUTED_VALUE"""),"oracle")</f>
        <v>oracle</v>
      </c>
      <c r="C9432" s="2" t="str">
        <f ca="1">IFERROR(__xludf.DUMMYFUNCTION("""COMPUTED_VALUE"""),"Oracle Cat")</f>
        <v>Oracle Cat</v>
      </c>
    </row>
    <row r="9433" spans="1:3" x14ac:dyDescent="0.25">
      <c r="A9433" s="2" t="str">
        <f ca="1">IFERROR(__xludf.DUMMYFUNCTION("""COMPUTED_VALUE"""),"oracle-meta-technologies")</f>
        <v>oracle-meta-technologies</v>
      </c>
      <c r="B9433" s="2" t="str">
        <f ca="1">IFERROR(__xludf.DUMMYFUNCTION("""COMPUTED_VALUE"""),"omt")</f>
        <v>omt</v>
      </c>
      <c r="C9433" s="2" t="str">
        <f ca="1">IFERROR(__xludf.DUMMYFUNCTION("""COMPUTED_VALUE"""),"Oracle Meta Technologies")</f>
        <v>Oracle Meta Technologies</v>
      </c>
    </row>
    <row r="9434" spans="1:3" x14ac:dyDescent="0.25">
      <c r="A9434" s="2" t="str">
        <f ca="1">IFERROR(__xludf.DUMMYFUNCTION("""COMPUTED_VALUE"""),"oracleswap")</f>
        <v>oracleswap</v>
      </c>
      <c r="B9434" s="2" t="str">
        <f ca="1">IFERROR(__xludf.DUMMYFUNCTION("""COMPUTED_VALUE"""),"oracle")</f>
        <v>oracle</v>
      </c>
      <c r="C9434" s="2" t="str">
        <f ca="1">IFERROR(__xludf.DUMMYFUNCTION("""COMPUTED_VALUE"""),"OracleSwap")</f>
        <v>OracleSwap</v>
      </c>
    </row>
    <row r="9435" spans="1:3" x14ac:dyDescent="0.25">
      <c r="A9435" s="2" t="str">
        <f ca="1">IFERROR(__xludf.DUMMYFUNCTION("""COMPUTED_VALUE"""),"oracle-tools")</f>
        <v>oracle-tools</v>
      </c>
      <c r="B9435" s="2" t="str">
        <f ca="1">IFERROR(__xludf.DUMMYFUNCTION("""COMPUTED_VALUE"""),"ot")</f>
        <v>ot</v>
      </c>
      <c r="C9435" s="2" t="str">
        <f ca="1">IFERROR(__xludf.DUMMYFUNCTION("""COMPUTED_VALUE"""),"Oracle Tools")</f>
        <v>Oracle Tools</v>
      </c>
    </row>
    <row r="9436" spans="1:3" x14ac:dyDescent="0.25">
      <c r="A9436" s="2" t="str">
        <f ca="1">IFERROR(__xludf.DUMMYFUNCTION("""COMPUTED_VALUE"""),"oraichain-token")</f>
        <v>oraichain-token</v>
      </c>
      <c r="B9436" s="2" t="str">
        <f ca="1">IFERROR(__xludf.DUMMYFUNCTION("""COMPUTED_VALUE"""),"orai")</f>
        <v>orai</v>
      </c>
      <c r="C9436" s="2" t="str">
        <f ca="1">IFERROR(__xludf.DUMMYFUNCTION("""COMPUTED_VALUE"""),"Oraichain")</f>
        <v>Oraichain</v>
      </c>
    </row>
    <row r="9437" spans="1:3" x14ac:dyDescent="0.25">
      <c r="A9437" s="2" t="str">
        <f ca="1">IFERROR(__xludf.DUMMYFUNCTION("""COMPUTED_VALUE"""),"oraidex")</f>
        <v>oraidex</v>
      </c>
      <c r="B9437" s="2" t="str">
        <f ca="1">IFERROR(__xludf.DUMMYFUNCTION("""COMPUTED_VALUE"""),"oraix")</f>
        <v>oraix</v>
      </c>
      <c r="C9437" s="2" t="str">
        <f ca="1">IFERROR(__xludf.DUMMYFUNCTION("""COMPUTED_VALUE"""),"OraiDEX")</f>
        <v>OraiDEX</v>
      </c>
    </row>
    <row r="9438" spans="1:3" x14ac:dyDescent="0.25">
      <c r="A9438" s="2" t="str">
        <f ca="1">IFERROR(__xludf.DUMMYFUNCTION("""COMPUTED_VALUE"""),"orang")</f>
        <v>orang</v>
      </c>
      <c r="B9438" s="2" t="str">
        <f ca="1">IFERROR(__xludf.DUMMYFUNCTION("""COMPUTED_VALUE"""),"orang")</f>
        <v>orang</v>
      </c>
      <c r="C9438" s="2" t="str">
        <f ca="1">IFERROR(__xludf.DUMMYFUNCTION("""COMPUTED_VALUE"""),"Orang")</f>
        <v>Orang</v>
      </c>
    </row>
    <row r="9439" spans="1:3" x14ac:dyDescent="0.25">
      <c r="A9439" s="2" t="str">
        <f ca="1">IFERROR(__xludf.DUMMYFUNCTION("""COMPUTED_VALUE"""),"orange")</f>
        <v>orange</v>
      </c>
      <c r="B9439" s="2" t="str">
        <f ca="1">IFERROR(__xludf.DUMMYFUNCTION("""COMPUTED_VALUE"""),"ornj")</f>
        <v>ornj</v>
      </c>
      <c r="C9439" s="2" t="str">
        <f ca="1">IFERROR(__xludf.DUMMYFUNCTION("""COMPUTED_VALUE"""),"Orange")</f>
        <v>Orange</v>
      </c>
    </row>
    <row r="9440" spans="1:3" x14ac:dyDescent="0.25">
      <c r="A9440" s="2" t="str">
        <f ca="1">IFERROR(__xludf.DUMMYFUNCTION("""COMPUTED_VALUE"""),"orange-2")</f>
        <v>orange-2</v>
      </c>
      <c r="B9440" s="2" t="str">
        <f ca="1">IFERROR(__xludf.DUMMYFUNCTION("""COMPUTED_VALUE"""),"orng")</f>
        <v>orng</v>
      </c>
      <c r="C9440" s="2" t="str">
        <f ca="1">IFERROR(__xludf.DUMMYFUNCTION("""COMPUTED_VALUE"""),"ORANGE")</f>
        <v>ORANGE</v>
      </c>
    </row>
    <row r="9441" spans="1:3" x14ac:dyDescent="0.25">
      <c r="A9441" s="2" t="str">
        <f ca="1">IFERROR(__xludf.DUMMYFUNCTION("""COMPUTED_VALUE"""),"orangedx")</f>
        <v>orangedx</v>
      </c>
      <c r="B9441" s="2" t="str">
        <f ca="1">IFERROR(__xludf.DUMMYFUNCTION("""COMPUTED_VALUE"""),"o4dx")</f>
        <v>o4dx</v>
      </c>
      <c r="C9441" s="2" t="str">
        <f ca="1">IFERROR(__xludf.DUMMYFUNCTION("""COMPUTED_VALUE"""),"OrangeDX")</f>
        <v>OrangeDX</v>
      </c>
    </row>
    <row r="9442" spans="1:3" x14ac:dyDescent="0.25">
      <c r="A9442" s="2" t="str">
        <f ca="1">IFERROR(__xludf.DUMMYFUNCTION("""COMPUTED_VALUE"""),"orao-network")</f>
        <v>orao-network</v>
      </c>
      <c r="B9442" s="2" t="str">
        <f ca="1">IFERROR(__xludf.DUMMYFUNCTION("""COMPUTED_VALUE"""),"orao")</f>
        <v>orao</v>
      </c>
      <c r="C9442" s="2" t="str">
        <f ca="1">IFERROR(__xludf.DUMMYFUNCTION("""COMPUTED_VALUE"""),"ORAO Network")</f>
        <v>ORAO Network</v>
      </c>
    </row>
    <row r="9443" spans="1:3" x14ac:dyDescent="0.25">
      <c r="A9443" s="2" t="str">
        <f ca="1">IFERROR(__xludf.DUMMYFUNCTION("""COMPUTED_VALUE"""),"ora-protocol")</f>
        <v>ora-protocol</v>
      </c>
      <c r="B9443" s="2" t="str">
        <f ca="1">IFERROR(__xludf.DUMMYFUNCTION("""COMPUTED_VALUE"""),"olm")</f>
        <v>olm</v>
      </c>
      <c r="C9443" s="2" t="str">
        <f ca="1">IFERROR(__xludf.DUMMYFUNCTION("""COMPUTED_VALUE"""),"OpenLM RevShare Token")</f>
        <v>OpenLM RevShare Token</v>
      </c>
    </row>
    <row r="9444" spans="1:3" x14ac:dyDescent="0.25">
      <c r="A9444" s="2" t="str">
        <f ca="1">IFERROR(__xludf.DUMMYFUNCTION("""COMPUTED_VALUE"""),"orb")</f>
        <v>orb</v>
      </c>
      <c r="B9444" s="2" t="str">
        <f ca="1">IFERROR(__xludf.DUMMYFUNCTION("""COMPUTED_VALUE"""),"orb")</f>
        <v>orb</v>
      </c>
      <c r="C9444" s="2" t="str">
        <f ca="1">IFERROR(__xludf.DUMMYFUNCTION("""COMPUTED_VALUE"""),"ORB")</f>
        <v>ORB</v>
      </c>
    </row>
    <row r="9445" spans="1:3" x14ac:dyDescent="0.25">
      <c r="A9445" s="2" t="str">
        <f ca="1">IFERROR(__xludf.DUMMYFUNCTION("""COMPUTED_VALUE"""),"orbital7")</f>
        <v>orbital7</v>
      </c>
      <c r="B9445" s="2" t="str">
        <f ca="1">IFERROR(__xludf.DUMMYFUNCTION("""COMPUTED_VALUE"""),"orbi")</f>
        <v>orbi</v>
      </c>
      <c r="C9445" s="2" t="str">
        <f ca="1">IFERROR(__xludf.DUMMYFUNCTION("""COMPUTED_VALUE"""),"Orbital7")</f>
        <v>Orbital7</v>
      </c>
    </row>
    <row r="9446" spans="1:3" x14ac:dyDescent="0.25">
      <c r="A9446" s="2" t="str">
        <f ca="1">IFERROR(__xludf.DUMMYFUNCTION("""COMPUTED_VALUE"""),"orbit-bridge-klaytn-belt")</f>
        <v>orbit-bridge-klaytn-belt</v>
      </c>
      <c r="B9446" s="2" t="str">
        <f ca="1">IFERROR(__xludf.DUMMYFUNCTION("""COMPUTED_VALUE"""),"obelt")</f>
        <v>obelt</v>
      </c>
      <c r="C9446" s="2" t="str">
        <f ca="1">IFERROR(__xludf.DUMMYFUNCTION("""COMPUTED_VALUE"""),"Orbit Bridge Klaytn BELT")</f>
        <v>Orbit Bridge Klaytn BELT</v>
      </c>
    </row>
    <row r="9447" spans="1:3" x14ac:dyDescent="0.25">
      <c r="A9447" s="2" t="str">
        <f ca="1">IFERROR(__xludf.DUMMYFUNCTION("""COMPUTED_VALUE"""),"orbit-bridge-klaytn-binance-coin")</f>
        <v>orbit-bridge-klaytn-binance-coin</v>
      </c>
      <c r="B9447" s="2" t="str">
        <f ca="1">IFERROR(__xludf.DUMMYFUNCTION("""COMPUTED_VALUE"""),"obnb")</f>
        <v>obnb</v>
      </c>
      <c r="C9447" s="2" t="str">
        <f ca="1">IFERROR(__xludf.DUMMYFUNCTION("""COMPUTED_VALUE"""),"Orbit Bridge Klaytn Binance Coin")</f>
        <v>Orbit Bridge Klaytn Binance Coin</v>
      </c>
    </row>
    <row r="9448" spans="1:3" x14ac:dyDescent="0.25">
      <c r="A9448" s="2" t="str">
        <f ca="1">IFERROR(__xludf.DUMMYFUNCTION("""COMPUTED_VALUE"""),"orbit-bridge-klaytn-ethereum")</f>
        <v>orbit-bridge-klaytn-ethereum</v>
      </c>
      <c r="B9448" s="2" t="str">
        <f ca="1">IFERROR(__xludf.DUMMYFUNCTION("""COMPUTED_VALUE"""),"oeth")</f>
        <v>oeth</v>
      </c>
      <c r="C9448" s="2" t="str">
        <f ca="1">IFERROR(__xludf.DUMMYFUNCTION("""COMPUTED_VALUE"""),"Orbit Bridge Klaytn Ethereum")</f>
        <v>Orbit Bridge Klaytn Ethereum</v>
      </c>
    </row>
    <row r="9449" spans="1:3" x14ac:dyDescent="0.25">
      <c r="A9449" s="2" t="str">
        <f ca="1">IFERROR(__xludf.DUMMYFUNCTION("""COMPUTED_VALUE"""),"orbit-bridge-klaytn-handy")</f>
        <v>orbit-bridge-klaytn-handy</v>
      </c>
      <c r="B9449" s="2" t="str">
        <f ca="1">IFERROR(__xludf.DUMMYFUNCTION("""COMPUTED_VALUE"""),"ohandy")</f>
        <v>ohandy</v>
      </c>
      <c r="C9449" s="2" t="str">
        <f ca="1">IFERROR(__xludf.DUMMYFUNCTION("""COMPUTED_VALUE"""),"Orbit Bridge Klaytn Handy")</f>
        <v>Orbit Bridge Klaytn Handy</v>
      </c>
    </row>
    <row r="9450" spans="1:3" x14ac:dyDescent="0.25">
      <c r="A9450" s="2" t="str">
        <f ca="1">IFERROR(__xludf.DUMMYFUNCTION("""COMPUTED_VALUE"""),"orbit-bridge-klaytn-matic")</f>
        <v>orbit-bridge-klaytn-matic</v>
      </c>
      <c r="B9450" s="2" t="str">
        <f ca="1">IFERROR(__xludf.DUMMYFUNCTION("""COMPUTED_VALUE"""),"omatic")</f>
        <v>omatic</v>
      </c>
      <c r="C9450" s="2" t="str">
        <f ca="1">IFERROR(__xludf.DUMMYFUNCTION("""COMPUTED_VALUE"""),"Orbit Bridge Klaytn MATIC")</f>
        <v>Orbit Bridge Klaytn MATIC</v>
      </c>
    </row>
    <row r="9451" spans="1:3" x14ac:dyDescent="0.25">
      <c r="A9451" s="2" t="str">
        <f ca="1">IFERROR(__xludf.DUMMYFUNCTION("""COMPUTED_VALUE"""),"orbit-bridge-klaytn-orbit-chain")</f>
        <v>orbit-bridge-klaytn-orbit-chain</v>
      </c>
      <c r="B9451" s="2" t="str">
        <f ca="1">IFERROR(__xludf.DUMMYFUNCTION("""COMPUTED_VALUE"""),"oorc")</f>
        <v>oorc</v>
      </c>
      <c r="C9451" s="2" t="str">
        <f ca="1">IFERROR(__xludf.DUMMYFUNCTION("""COMPUTED_VALUE"""),"Orbit Bridge Klaytn Orbit Chain")</f>
        <v>Orbit Bridge Klaytn Orbit Chain</v>
      </c>
    </row>
    <row r="9452" spans="1:3" x14ac:dyDescent="0.25">
      <c r="A9452" s="2" t="str">
        <f ca="1">IFERROR(__xludf.DUMMYFUNCTION("""COMPUTED_VALUE"""),"orbit-bridge-klaytn-ripple")</f>
        <v>orbit-bridge-klaytn-ripple</v>
      </c>
      <c r="B9452" s="2" t="str">
        <f ca="1">IFERROR(__xludf.DUMMYFUNCTION("""COMPUTED_VALUE"""),"oxrp")</f>
        <v>oxrp</v>
      </c>
      <c r="C9452" s="2" t="str">
        <f ca="1">IFERROR(__xludf.DUMMYFUNCTION("""COMPUTED_VALUE"""),"Orbit Bridge Klaytn Ripple")</f>
        <v>Orbit Bridge Klaytn Ripple</v>
      </c>
    </row>
    <row r="9453" spans="1:3" x14ac:dyDescent="0.25">
      <c r="A9453" s="2" t="str">
        <f ca="1">IFERROR(__xludf.DUMMYFUNCTION("""COMPUTED_VALUE"""),"orbit-bridge-klaytn-usdc")</f>
        <v>orbit-bridge-klaytn-usdc</v>
      </c>
      <c r="B9453" s="2" t="str">
        <f ca="1">IFERROR(__xludf.DUMMYFUNCTION("""COMPUTED_VALUE"""),"ousdc")</f>
        <v>ousdc</v>
      </c>
      <c r="C9453" s="2" t="str">
        <f ca="1">IFERROR(__xludf.DUMMYFUNCTION("""COMPUTED_VALUE"""),"Bridged USD Coin (Orbit Bridge)")</f>
        <v>Bridged USD Coin (Orbit Bridge)</v>
      </c>
    </row>
    <row r="9454" spans="1:3" x14ac:dyDescent="0.25">
      <c r="A9454" s="2" t="str">
        <f ca="1">IFERROR(__xludf.DUMMYFUNCTION("""COMPUTED_VALUE"""),"orbit-bridge-klaytn-usd-tether")</f>
        <v>orbit-bridge-klaytn-usd-tether</v>
      </c>
      <c r="B9454" s="2" t="str">
        <f ca="1">IFERROR(__xludf.DUMMYFUNCTION("""COMPUTED_VALUE"""),"ousdt")</f>
        <v>ousdt</v>
      </c>
      <c r="C9454" s="2" t="str">
        <f ca="1">IFERROR(__xludf.DUMMYFUNCTION("""COMPUTED_VALUE"""),"Bridged Tether (Orbit Bridge)")</f>
        <v>Bridged Tether (Orbit Bridge)</v>
      </c>
    </row>
    <row r="9455" spans="1:3" x14ac:dyDescent="0.25">
      <c r="A9455" s="2" t="str">
        <f ca="1">IFERROR(__xludf.DUMMYFUNCTION("""COMPUTED_VALUE"""),"orbit-bridge-klaytn-wrapped-btc")</f>
        <v>orbit-bridge-klaytn-wrapped-btc</v>
      </c>
      <c r="B9455" s="2" t="str">
        <f ca="1">IFERROR(__xludf.DUMMYFUNCTION("""COMPUTED_VALUE"""),"owbtc")</f>
        <v>owbtc</v>
      </c>
      <c r="C9455" s="2" t="str">
        <f ca="1">IFERROR(__xludf.DUMMYFUNCTION("""COMPUTED_VALUE"""),"Orbit Bridge Klaytn Wrapped BTC")</f>
        <v>Orbit Bridge Klaytn Wrapped BTC</v>
      </c>
    </row>
    <row r="9456" spans="1:3" x14ac:dyDescent="0.25">
      <c r="A9456" s="2" t="str">
        <f ca="1">IFERROR(__xludf.DUMMYFUNCTION("""COMPUTED_VALUE"""),"orbit-chain")</f>
        <v>orbit-chain</v>
      </c>
      <c r="B9456" s="2" t="str">
        <f ca="1">IFERROR(__xludf.DUMMYFUNCTION("""COMPUTED_VALUE"""),"orc")</f>
        <v>orc</v>
      </c>
      <c r="C9456" s="2" t="str">
        <f ca="1">IFERROR(__xludf.DUMMYFUNCTION("""COMPUTED_VALUE"""),"Orbit Chain")</f>
        <v>Orbit Chain</v>
      </c>
    </row>
    <row r="9457" spans="1:3" x14ac:dyDescent="0.25">
      <c r="A9457" s="2" t="str">
        <f ca="1">IFERROR(__xludf.DUMMYFUNCTION("""COMPUTED_VALUE"""),"orbitpad")</f>
        <v>orbitpad</v>
      </c>
      <c r="B9457" s="2" t="str">
        <f ca="1">IFERROR(__xludf.DUMMYFUNCTION("""COMPUTED_VALUE"""),"opad")</f>
        <v>opad</v>
      </c>
      <c r="C9457" s="2" t="str">
        <f ca="1">IFERROR(__xludf.DUMMYFUNCTION("""COMPUTED_VALUE"""),"Orbitpad")</f>
        <v>Orbitpad</v>
      </c>
    </row>
    <row r="9458" spans="1:3" x14ac:dyDescent="0.25">
      <c r="A9458" s="2" t="str">
        <f ca="1">IFERROR(__xludf.DUMMYFUNCTION("""COMPUTED_VALUE"""),"orbit-protocol")</f>
        <v>orbit-protocol</v>
      </c>
      <c r="B9458" s="2" t="str">
        <f ca="1">IFERROR(__xludf.DUMMYFUNCTION("""COMPUTED_VALUE"""),"orbit")</f>
        <v>orbit</v>
      </c>
      <c r="C9458" s="2" t="str">
        <f ca="1">IFERROR(__xludf.DUMMYFUNCTION("""COMPUTED_VALUE"""),"Orbit Protocol")</f>
        <v>Orbit Protocol</v>
      </c>
    </row>
    <row r="9459" spans="1:3" x14ac:dyDescent="0.25">
      <c r="A9459" s="2" t="str">
        <f ca="1">IFERROR(__xludf.DUMMYFUNCTION("""COMPUTED_VALUE"""),"orbitt-pro")</f>
        <v>orbitt-pro</v>
      </c>
      <c r="B9459" s="2" t="str">
        <f ca="1">IFERROR(__xludf.DUMMYFUNCTION("""COMPUTED_VALUE"""),"orbt")</f>
        <v>orbt</v>
      </c>
      <c r="C9459" s="2" t="str">
        <f ca="1">IFERROR(__xludf.DUMMYFUNCTION("""COMPUTED_VALUE"""),"Orbitt Pro")</f>
        <v>Orbitt Pro</v>
      </c>
    </row>
    <row r="9460" spans="1:3" x14ac:dyDescent="0.25">
      <c r="A9460" s="2" t="str">
        <f ca="1">IFERROR(__xludf.DUMMYFUNCTION("""COMPUTED_VALUE"""),"orbler")</f>
        <v>orbler</v>
      </c>
      <c r="B9460" s="2" t="str">
        <f ca="1">IFERROR(__xludf.DUMMYFUNCTION("""COMPUTED_VALUE"""),"orbr")</f>
        <v>orbr</v>
      </c>
      <c r="C9460" s="2" t="str">
        <f ca="1">IFERROR(__xludf.DUMMYFUNCTION("""COMPUTED_VALUE"""),"Orbler")</f>
        <v>Orbler</v>
      </c>
    </row>
    <row r="9461" spans="1:3" x14ac:dyDescent="0.25">
      <c r="A9461" s="2" t="str">
        <f ca="1">IFERROR(__xludf.DUMMYFUNCTION("""COMPUTED_VALUE"""),"orbofi-ai")</f>
        <v>orbofi-ai</v>
      </c>
      <c r="B9461" s="2" t="str">
        <f ca="1">IFERROR(__xludf.DUMMYFUNCTION("""COMPUTED_VALUE"""),"obi")</f>
        <v>obi</v>
      </c>
      <c r="C9461" s="2" t="str">
        <f ca="1">IFERROR(__xludf.DUMMYFUNCTION("""COMPUTED_VALUE"""),"Orbofi AI")</f>
        <v>Orbofi AI</v>
      </c>
    </row>
    <row r="9462" spans="1:3" x14ac:dyDescent="0.25">
      <c r="A9462" s="2" t="str">
        <f ca="1">IFERROR(__xludf.DUMMYFUNCTION("""COMPUTED_VALUE"""),"orbs")</f>
        <v>orbs</v>
      </c>
      <c r="B9462" s="2" t="str">
        <f ca="1">IFERROR(__xludf.DUMMYFUNCTION("""COMPUTED_VALUE"""),"orbs")</f>
        <v>orbs</v>
      </c>
      <c r="C9462" s="2" t="str">
        <f ca="1">IFERROR(__xludf.DUMMYFUNCTION("""COMPUTED_VALUE"""),"Orbs")</f>
        <v>Orbs</v>
      </c>
    </row>
    <row r="9463" spans="1:3" x14ac:dyDescent="0.25">
      <c r="A9463" s="2" t="str">
        <f ca="1">IFERROR(__xludf.DUMMYFUNCTION("""COMPUTED_VALUE"""),"orby-network-usc-stablecoin")</f>
        <v>orby-network-usc-stablecoin</v>
      </c>
      <c r="B9463" s="2" t="str">
        <f ca="1">IFERROR(__xludf.DUMMYFUNCTION("""COMPUTED_VALUE"""),"usc")</f>
        <v>usc</v>
      </c>
      <c r="C9463" s="2" t="str">
        <f ca="1">IFERROR(__xludf.DUMMYFUNCTION("""COMPUTED_VALUE"""),"Orby Network USC Stablecoin")</f>
        <v>Orby Network USC Stablecoin</v>
      </c>
    </row>
    <row r="9464" spans="1:3" x14ac:dyDescent="0.25">
      <c r="A9464" s="2" t="str">
        <f ca="1">IFERROR(__xludf.DUMMYFUNCTION("""COMPUTED_VALUE"""),"orc")</f>
        <v>orc</v>
      </c>
      <c r="B9464" s="2" t="str">
        <f ca="1">IFERROR(__xludf.DUMMYFUNCTION("""COMPUTED_VALUE"""),"orc")</f>
        <v>orc</v>
      </c>
      <c r="C9464" s="2" t="str">
        <f ca="1">IFERROR(__xludf.DUMMYFUNCTION("""COMPUTED_VALUE"""),"ORC")</f>
        <v>ORC</v>
      </c>
    </row>
    <row r="9465" spans="1:3" x14ac:dyDescent="0.25">
      <c r="A9465" s="2" t="str">
        <f ca="1">IFERROR(__xludf.DUMMYFUNCTION("""COMPUTED_VALUE"""),"orca")</f>
        <v>orca</v>
      </c>
      <c r="B9465" s="2" t="str">
        <f ca="1">IFERROR(__xludf.DUMMYFUNCTION("""COMPUTED_VALUE"""),"orca")</f>
        <v>orca</v>
      </c>
      <c r="C9465" s="2" t="str">
        <f ca="1">IFERROR(__xludf.DUMMYFUNCTION("""COMPUTED_VALUE"""),"Orca")</f>
        <v>Orca</v>
      </c>
    </row>
    <row r="9466" spans="1:3" x14ac:dyDescent="0.25">
      <c r="A9466" s="2" t="str">
        <f ca="1">IFERROR(__xludf.DUMMYFUNCTION("""COMPUTED_VALUE"""),"orca-avai")</f>
        <v>orca-avai</v>
      </c>
      <c r="B9466" s="2" t="str">
        <f ca="1">IFERROR(__xludf.DUMMYFUNCTION("""COMPUTED_VALUE"""),"avai")</f>
        <v>avai</v>
      </c>
      <c r="C9466" s="2" t="str">
        <f ca="1">IFERROR(__xludf.DUMMYFUNCTION("""COMPUTED_VALUE"""),"Orca AVAI")</f>
        <v>Orca AVAI</v>
      </c>
    </row>
    <row r="9467" spans="1:3" x14ac:dyDescent="0.25">
      <c r="A9467" s="2" t="str">
        <f ca="1">IFERROR(__xludf.DUMMYFUNCTION("""COMPUTED_VALUE"""),"orcfax")</f>
        <v>orcfax</v>
      </c>
      <c r="B9467" s="2" t="str">
        <f ca="1">IFERROR(__xludf.DUMMYFUNCTION("""COMPUTED_VALUE"""),"fact")</f>
        <v>fact</v>
      </c>
      <c r="C9467" s="2" t="str">
        <f ca="1">IFERROR(__xludf.DUMMYFUNCTION("""COMPUTED_VALUE"""),"Orcfax")</f>
        <v>Orcfax</v>
      </c>
    </row>
    <row r="9468" spans="1:3" x14ac:dyDescent="0.25">
      <c r="A9468" s="2" t="str">
        <f ca="1">IFERROR(__xludf.DUMMYFUNCTION("""COMPUTED_VALUE"""),"orchai-protocol-staked-compound-atom")</f>
        <v>orchai-protocol-staked-compound-atom</v>
      </c>
      <c r="B9468" s="2" t="str">
        <f ca="1">IFERROR(__xludf.DUMMYFUNCTION("""COMPUTED_VALUE"""),"scatom")</f>
        <v>scatom</v>
      </c>
      <c r="C9468" s="2" t="str">
        <f ca="1">IFERROR(__xludf.DUMMYFUNCTION("""COMPUTED_VALUE"""),"Orchai Protocol Staked Compound ATOM")</f>
        <v>Orchai Protocol Staked Compound ATOM</v>
      </c>
    </row>
    <row r="9469" spans="1:3" x14ac:dyDescent="0.25">
      <c r="A9469" s="2" t="str">
        <f ca="1">IFERROR(__xludf.DUMMYFUNCTION("""COMPUTED_VALUE"""),"orchid-protocol")</f>
        <v>orchid-protocol</v>
      </c>
      <c r="B9469" s="2" t="str">
        <f ca="1">IFERROR(__xludf.DUMMYFUNCTION("""COMPUTED_VALUE"""),"oxt")</f>
        <v>oxt</v>
      </c>
      <c r="C9469" s="2" t="str">
        <f ca="1">IFERROR(__xludf.DUMMYFUNCTION("""COMPUTED_VALUE"""),"Orchid Protocol")</f>
        <v>Orchid Protocol</v>
      </c>
    </row>
    <row r="9470" spans="1:3" x14ac:dyDescent="0.25">
      <c r="A9470" s="2" t="str">
        <f ca="1">IFERROR(__xludf.DUMMYFUNCTION("""COMPUTED_VALUE"""),"ordbridge")</f>
        <v>ordbridge</v>
      </c>
      <c r="B9470" s="2" t="str">
        <f ca="1">IFERROR(__xludf.DUMMYFUNCTION("""COMPUTED_VALUE"""),"wbrge")</f>
        <v>wbrge</v>
      </c>
      <c r="C9470" s="2" t="str">
        <f ca="1">IFERROR(__xludf.DUMMYFUNCTION("""COMPUTED_VALUE"""),"Wrapped OrdBridge")</f>
        <v>Wrapped OrdBridge</v>
      </c>
    </row>
    <row r="9471" spans="1:3" x14ac:dyDescent="0.25">
      <c r="A9471" s="2" t="str">
        <f ca="1">IFERROR(__xludf.DUMMYFUNCTION("""COMPUTED_VALUE"""),"orderly-network")</f>
        <v>orderly-network</v>
      </c>
      <c r="B9471" s="2" t="str">
        <f ca="1">IFERROR(__xludf.DUMMYFUNCTION("""COMPUTED_VALUE"""),"order")</f>
        <v>order</v>
      </c>
      <c r="C9471" s="2" t="str">
        <f ca="1">IFERROR(__xludf.DUMMYFUNCTION("""COMPUTED_VALUE"""),"Orderly Network")</f>
        <v>Orderly Network</v>
      </c>
    </row>
    <row r="9472" spans="1:3" x14ac:dyDescent="0.25">
      <c r="A9472" s="2" t="str">
        <f ca="1">IFERROR(__xludf.DUMMYFUNCTION("""COMPUTED_VALUE"""),"orders-exchange")</f>
        <v>orders-exchange</v>
      </c>
      <c r="B9472" s="2" t="str">
        <f ca="1">IFERROR(__xludf.DUMMYFUNCTION("""COMPUTED_VALUE"""),"rdex")</f>
        <v>rdex</v>
      </c>
      <c r="C9472" s="2" t="str">
        <f ca="1">IFERROR(__xludf.DUMMYFUNCTION("""COMPUTED_VALUE"""),"Orders.Exchange")</f>
        <v>Orders.Exchange</v>
      </c>
    </row>
    <row r="9473" spans="1:3" x14ac:dyDescent="0.25">
      <c r="A9473" s="2" t="str">
        <f ca="1">IFERROR(__xludf.DUMMYFUNCTION("""COMPUTED_VALUE"""),"ordibank")</f>
        <v>ordibank</v>
      </c>
      <c r="B9473" s="2" t="str">
        <f ca="1">IFERROR(__xludf.DUMMYFUNCTION("""COMPUTED_VALUE"""),"orbk")</f>
        <v>orbk</v>
      </c>
      <c r="C9473" s="2" t="str">
        <f ca="1">IFERROR(__xludf.DUMMYFUNCTION("""COMPUTED_VALUE"""),"Ordibank")</f>
        <v>Ordibank</v>
      </c>
    </row>
    <row r="9474" spans="1:3" x14ac:dyDescent="0.25">
      <c r="A9474" s="2" t="str">
        <f ca="1">IFERROR(__xludf.DUMMYFUNCTION("""COMPUTED_VALUE"""),"ordibot")</f>
        <v>ordibot</v>
      </c>
      <c r="B9474" s="2" t="str">
        <f ca="1">IFERROR(__xludf.DUMMYFUNCTION("""COMPUTED_VALUE"""),"ordibot")</f>
        <v>ordibot</v>
      </c>
      <c r="C9474" s="2" t="str">
        <f ca="1">IFERROR(__xludf.DUMMYFUNCTION("""COMPUTED_VALUE"""),"OrdiBot")</f>
        <v>OrdiBot</v>
      </c>
    </row>
    <row r="9475" spans="1:3" x14ac:dyDescent="0.25">
      <c r="A9475" s="2" t="str">
        <f ca="1">IFERROR(__xludf.DUMMYFUNCTION("""COMPUTED_VALUE"""),"ordify")</f>
        <v>ordify</v>
      </c>
      <c r="B9475" s="2" t="str">
        <f ca="1">IFERROR(__xludf.DUMMYFUNCTION("""COMPUTED_VALUE"""),"orfy")</f>
        <v>orfy</v>
      </c>
      <c r="C9475" s="2" t="str">
        <f ca="1">IFERROR(__xludf.DUMMYFUNCTION("""COMPUTED_VALUE"""),"Ordify")</f>
        <v>Ordify</v>
      </c>
    </row>
    <row r="9476" spans="1:3" x14ac:dyDescent="0.25">
      <c r="A9476" s="2" t="str">
        <f ca="1">IFERROR(__xludf.DUMMYFUNCTION("""COMPUTED_VALUE"""),"ordigen")</f>
        <v>ordigen</v>
      </c>
      <c r="B9476" s="2" t="str">
        <f ca="1">IFERROR(__xludf.DUMMYFUNCTION("""COMPUTED_VALUE"""),"odgn")</f>
        <v>odgn</v>
      </c>
      <c r="C9476" s="2" t="str">
        <f ca="1">IFERROR(__xludf.DUMMYFUNCTION("""COMPUTED_VALUE"""),"OrdiGen")</f>
        <v>OrdiGen</v>
      </c>
    </row>
    <row r="9477" spans="1:3" x14ac:dyDescent="0.25">
      <c r="A9477" s="2" t="str">
        <f ca="1">IFERROR(__xludf.DUMMYFUNCTION("""COMPUTED_VALUE"""),"ordinal-bridge")</f>
        <v>ordinal-bridge</v>
      </c>
      <c r="B9477" s="2" t="str">
        <f ca="1">IFERROR(__xludf.DUMMYFUNCTION("""COMPUTED_VALUE"""),"ordibridge")</f>
        <v>ordibridge</v>
      </c>
      <c r="C9477" s="2" t="str">
        <f ca="1">IFERROR(__xludf.DUMMYFUNCTION("""COMPUTED_VALUE"""),"Ordinal Bridge")</f>
        <v>Ordinal Bridge</v>
      </c>
    </row>
    <row r="9478" spans="1:3" x14ac:dyDescent="0.25">
      <c r="A9478" s="2" t="str">
        <f ca="1">IFERROR(__xludf.DUMMYFUNCTION("""COMPUTED_VALUE"""),"ordinal-doge")</f>
        <v>ordinal-doge</v>
      </c>
      <c r="B9478" s="2" t="str">
        <f ca="1">IFERROR(__xludf.DUMMYFUNCTION("""COMPUTED_VALUE"""),"odoge")</f>
        <v>odoge</v>
      </c>
      <c r="C9478" s="2" t="str">
        <f ca="1">IFERROR(__xludf.DUMMYFUNCTION("""COMPUTED_VALUE"""),"Ordinal Doge")</f>
        <v>Ordinal Doge</v>
      </c>
    </row>
    <row r="9479" spans="1:3" x14ac:dyDescent="0.25">
      <c r="A9479" s="2" t="str">
        <f ca="1">IFERROR(__xludf.DUMMYFUNCTION("""COMPUTED_VALUE"""),"ordinals")</f>
        <v>ordinals</v>
      </c>
      <c r="B9479" s="2" t="str">
        <f ca="1">IFERROR(__xludf.DUMMYFUNCTION("""COMPUTED_VALUE"""),"ordi")</f>
        <v>ordi</v>
      </c>
      <c r="C9479" s="2" t="str">
        <f ca="1">IFERROR(__xludf.DUMMYFUNCTION("""COMPUTED_VALUE"""),"ORDI")</f>
        <v>ORDI</v>
      </c>
    </row>
    <row r="9480" spans="1:3" x14ac:dyDescent="0.25">
      <c r="A9480" s="2" t="str">
        <f ca="1">IFERROR(__xludf.DUMMYFUNCTION("""COMPUTED_VALUE"""),"ordinalsfi")</f>
        <v>ordinalsfi</v>
      </c>
      <c r="B9480" s="2" t="str">
        <f ca="1">IFERROR(__xludf.DUMMYFUNCTION("""COMPUTED_VALUE"""),"ordifi")</f>
        <v>ordifi</v>
      </c>
      <c r="C9480" s="2" t="str">
        <f ca="1">IFERROR(__xludf.DUMMYFUNCTION("""COMPUTED_VALUE"""),"OrdinalsFi")</f>
        <v>OrdinalsFi</v>
      </c>
    </row>
    <row r="9481" spans="1:3" x14ac:dyDescent="0.25">
      <c r="A9481" s="2" t="str">
        <f ca="1">IFERROR(__xludf.DUMMYFUNCTION("""COMPUTED_VALUE"""),"ordinals-world")</f>
        <v>ordinals-world</v>
      </c>
      <c r="B9481" s="2" t="str">
        <f ca="1">IFERROR(__xludf.DUMMYFUNCTION("""COMPUTED_VALUE"""),"ord")</f>
        <v>ord</v>
      </c>
      <c r="C9481" s="2" t="str">
        <f ca="1">IFERROR(__xludf.DUMMYFUNCTION("""COMPUTED_VALUE"""),"Ordinals World")</f>
        <v>Ordinals World</v>
      </c>
    </row>
    <row r="9482" spans="1:3" x14ac:dyDescent="0.25">
      <c r="A9482" s="2" t="str">
        <f ca="1">IFERROR(__xludf.DUMMYFUNCTION("""COMPUTED_VALUE"""),"ordinal-tools")</f>
        <v>ordinal-tools</v>
      </c>
      <c r="B9482" s="2" t="str">
        <f ca="1">IFERROR(__xludf.DUMMYFUNCTION("""COMPUTED_VALUE"""),"ort")</f>
        <v>ort</v>
      </c>
      <c r="C9482" s="2" t="str">
        <f ca="1">IFERROR(__xludf.DUMMYFUNCTION("""COMPUTED_VALUE"""),"ORDINAL TOOLS")</f>
        <v>ORDINAL TOOLS</v>
      </c>
    </row>
    <row r="9483" spans="1:3" x14ac:dyDescent="0.25">
      <c r="A9483" s="2" t="str">
        <f ca="1">IFERROR(__xludf.DUMMYFUNCTION("""COMPUTED_VALUE"""),"ordinex")</f>
        <v>ordinex</v>
      </c>
      <c r="B9483" s="2" t="str">
        <f ca="1">IFERROR(__xludf.DUMMYFUNCTION("""COMPUTED_VALUE"""),"ord")</f>
        <v>ord</v>
      </c>
      <c r="C9483" s="2" t="str">
        <f ca="1">IFERROR(__xludf.DUMMYFUNCTION("""COMPUTED_VALUE"""),"ordinex")</f>
        <v>ordinex</v>
      </c>
    </row>
    <row r="9484" spans="1:3" x14ac:dyDescent="0.25">
      <c r="A9484" s="2" t="str">
        <f ca="1">IFERROR(__xludf.DUMMYFUNCTION("""COMPUTED_VALUE"""),"ordiswap-token")</f>
        <v>ordiswap-token</v>
      </c>
      <c r="B9484" s="2" t="str">
        <f ca="1">IFERROR(__xludf.DUMMYFUNCTION("""COMPUTED_VALUE"""),"ords")</f>
        <v>ords</v>
      </c>
      <c r="C9484" s="2" t="str">
        <f ca="1">IFERROR(__xludf.DUMMYFUNCTION("""COMPUTED_VALUE"""),"Ordiswap")</f>
        <v>Ordiswap</v>
      </c>
    </row>
    <row r="9485" spans="1:3" x14ac:dyDescent="0.25">
      <c r="A9485" s="2" t="str">
        <f ca="1">IFERROR(__xludf.DUMMYFUNCTION("""COMPUTED_VALUE"""),"ore")</f>
        <v>ore</v>
      </c>
      <c r="B9485" s="2" t="str">
        <f ca="1">IFERROR(__xludf.DUMMYFUNCTION("""COMPUTED_VALUE"""),"ore")</f>
        <v>ore</v>
      </c>
      <c r="C9485" s="2" t="str">
        <f ca="1">IFERROR(__xludf.DUMMYFUNCTION("""COMPUTED_VALUE"""),"Ore")</f>
        <v>Ore</v>
      </c>
    </row>
    <row r="9486" spans="1:3" x14ac:dyDescent="0.25">
      <c r="A9486" s="2" t="str">
        <f ca="1">IFERROR(__xludf.DUMMYFUNCTION("""COMPUTED_VALUE"""),"orenium-protocol")</f>
        <v>orenium-protocol</v>
      </c>
      <c r="B9486" s="2" t="str">
        <f ca="1">IFERROR(__xludf.DUMMYFUNCTION("""COMPUTED_VALUE"""),"ore")</f>
        <v>ore</v>
      </c>
      <c r="C9486" s="2" t="str">
        <f ca="1">IFERROR(__xludf.DUMMYFUNCTION("""COMPUTED_VALUE"""),"Orenium Protocol")</f>
        <v>Orenium Protocol</v>
      </c>
    </row>
    <row r="9487" spans="1:3" x14ac:dyDescent="0.25">
      <c r="A9487" s="2" t="str">
        <f ca="1">IFERROR(__xludf.DUMMYFUNCTION("""COMPUTED_VALUE"""),"oreoswap")</f>
        <v>oreoswap</v>
      </c>
      <c r="B9487" s="2" t="str">
        <f ca="1">IFERROR(__xludf.DUMMYFUNCTION("""COMPUTED_VALUE"""),"oreo")</f>
        <v>oreo</v>
      </c>
      <c r="C9487" s="2" t="str">
        <f ca="1">IFERROR(__xludf.DUMMYFUNCTION("""COMPUTED_VALUE"""),"OreoSwap")</f>
        <v>OreoSwap</v>
      </c>
    </row>
    <row r="9488" spans="1:3" x14ac:dyDescent="0.25">
      <c r="A9488" s="2" t="str">
        <f ca="1">IFERROR(__xludf.DUMMYFUNCTION("""COMPUTED_VALUE"""),"oreswap-2")</f>
        <v>oreswap-2</v>
      </c>
      <c r="B9488" s="2" t="str">
        <f ca="1">IFERROR(__xludf.DUMMYFUNCTION("""COMPUTED_VALUE"""),"ost")</f>
        <v>ost</v>
      </c>
      <c r="C9488" s="2" t="str">
        <f ca="1">IFERROR(__xludf.DUMMYFUNCTION("""COMPUTED_VALUE"""),"OreSwap")</f>
        <v>OreSwap</v>
      </c>
    </row>
    <row r="9489" spans="1:3" x14ac:dyDescent="0.25">
      <c r="A9489" s="2" t="str">
        <f ca="1">IFERROR(__xludf.DUMMYFUNCTION("""COMPUTED_VALUE"""),"ore-token")</f>
        <v>ore-token</v>
      </c>
      <c r="B9489" s="2" t="str">
        <f ca="1">IFERROR(__xludf.DUMMYFUNCTION("""COMPUTED_VALUE"""),"ore")</f>
        <v>ore</v>
      </c>
      <c r="C9489" s="2" t="str">
        <f ca="1">IFERROR(__xludf.DUMMYFUNCTION("""COMPUTED_VALUE"""),"ORE")</f>
        <v>ORE</v>
      </c>
    </row>
    <row r="9490" spans="1:3" x14ac:dyDescent="0.25">
      <c r="A9490" s="2" t="str">
        <f ca="1">IFERROR(__xludf.DUMMYFUNCTION("""COMPUTED_VALUE"""),"origin-dollar")</f>
        <v>origin-dollar</v>
      </c>
      <c r="B9490" s="2" t="str">
        <f ca="1">IFERROR(__xludf.DUMMYFUNCTION("""COMPUTED_VALUE"""),"ousd")</f>
        <v>ousd</v>
      </c>
      <c r="C9490" s="2" t="str">
        <f ca="1">IFERROR(__xludf.DUMMYFUNCTION("""COMPUTED_VALUE"""),"Origin Dollar")</f>
        <v>Origin Dollar</v>
      </c>
    </row>
    <row r="9491" spans="1:3" x14ac:dyDescent="0.25">
      <c r="A9491" s="2" t="str">
        <f ca="1">IFERROR(__xludf.DUMMYFUNCTION("""COMPUTED_VALUE"""),"origin-dollar-governance")</f>
        <v>origin-dollar-governance</v>
      </c>
      <c r="B9491" s="2" t="str">
        <f ca="1">IFERROR(__xludf.DUMMYFUNCTION("""COMPUTED_VALUE"""),"ogv")</f>
        <v>ogv</v>
      </c>
      <c r="C9491" s="2" t="str">
        <f ca="1">IFERROR(__xludf.DUMMYFUNCTION("""COMPUTED_VALUE"""),"Origin DeFi Governance")</f>
        <v>Origin DeFi Governance</v>
      </c>
    </row>
    <row r="9492" spans="1:3" x14ac:dyDescent="0.25">
      <c r="A9492" s="2" t="str">
        <f ca="1">IFERROR(__xludf.DUMMYFUNCTION("""COMPUTED_VALUE"""),"origin-ether")</f>
        <v>origin-ether</v>
      </c>
      <c r="B9492" s="2" t="str">
        <f ca="1">IFERROR(__xludf.DUMMYFUNCTION("""COMPUTED_VALUE"""),"oeth")</f>
        <v>oeth</v>
      </c>
      <c r="C9492" s="2" t="str">
        <f ca="1">IFERROR(__xludf.DUMMYFUNCTION("""COMPUTED_VALUE"""),"Origin Ether")</f>
        <v>Origin Ether</v>
      </c>
    </row>
    <row r="9493" spans="1:3" x14ac:dyDescent="0.25">
      <c r="A9493" s="2" t="str">
        <f ca="1">IFERROR(__xludf.DUMMYFUNCTION("""COMPUTED_VALUE"""),"origin-lgns")</f>
        <v>origin-lgns</v>
      </c>
      <c r="B9493" s="2" t="str">
        <f ca="1">IFERROR(__xludf.DUMMYFUNCTION("""COMPUTED_VALUE"""),"lgns")</f>
        <v>lgns</v>
      </c>
      <c r="C9493" s="2" t="str">
        <f ca="1">IFERROR(__xludf.DUMMYFUNCTION("""COMPUTED_VALUE"""),"Origin LGNS")</f>
        <v>Origin LGNS</v>
      </c>
    </row>
    <row r="9494" spans="1:3" x14ac:dyDescent="0.25">
      <c r="A9494" s="2" t="str">
        <f ca="1">IFERROR(__xludf.DUMMYFUNCTION("""COMPUTED_VALUE"""),"origin-protocol")</f>
        <v>origin-protocol</v>
      </c>
      <c r="B9494" s="2" t="str">
        <f ca="1">IFERROR(__xludf.DUMMYFUNCTION("""COMPUTED_VALUE"""),"ogn")</f>
        <v>ogn</v>
      </c>
      <c r="C9494" s="2" t="str">
        <f ca="1">IFERROR(__xludf.DUMMYFUNCTION("""COMPUTED_VALUE"""),"Origin Token")</f>
        <v>Origin Token</v>
      </c>
    </row>
    <row r="9495" spans="1:3" x14ac:dyDescent="0.25">
      <c r="A9495" s="2" t="str">
        <f ca="1">IFERROR(__xludf.DUMMYFUNCTION("""COMPUTED_VALUE"""),"origintrail")</f>
        <v>origintrail</v>
      </c>
      <c r="B9495" s="2" t="str">
        <f ca="1">IFERROR(__xludf.DUMMYFUNCTION("""COMPUTED_VALUE"""),"trac")</f>
        <v>trac</v>
      </c>
      <c r="C9495" s="2" t="str">
        <f ca="1">IFERROR(__xludf.DUMMYFUNCTION("""COMPUTED_VALUE"""),"OriginTrail")</f>
        <v>OriginTrail</v>
      </c>
    </row>
    <row r="9496" spans="1:3" x14ac:dyDescent="0.25">
      <c r="A9496" s="2" t="str">
        <f ca="1">IFERROR(__xludf.DUMMYFUNCTION("""COMPUTED_VALUE"""),"origyn-foundation")</f>
        <v>origyn-foundation</v>
      </c>
      <c r="B9496" s="2" t="str">
        <f ca="1">IFERROR(__xludf.DUMMYFUNCTION("""COMPUTED_VALUE"""),"ogy")</f>
        <v>ogy</v>
      </c>
      <c r="C9496" s="2" t="str">
        <f ca="1">IFERROR(__xludf.DUMMYFUNCTION("""COMPUTED_VALUE"""),"ORIGYN Foundation")</f>
        <v>ORIGYN Foundation</v>
      </c>
    </row>
    <row r="9497" spans="1:3" x14ac:dyDescent="0.25">
      <c r="A9497" s="2" t="str">
        <f ca="1">IFERROR(__xludf.DUMMYFUNCTION("""COMPUTED_VALUE"""),"orion-money")</f>
        <v>orion-money</v>
      </c>
      <c r="B9497" s="2" t="str">
        <f ca="1">IFERROR(__xludf.DUMMYFUNCTION("""COMPUTED_VALUE"""),"orion")</f>
        <v>orion</v>
      </c>
      <c r="C9497" s="2" t="str">
        <f ca="1">IFERROR(__xludf.DUMMYFUNCTION("""COMPUTED_VALUE"""),"Orion Money")</f>
        <v>Orion Money</v>
      </c>
    </row>
    <row r="9498" spans="1:3" x14ac:dyDescent="0.25">
      <c r="A9498" s="2" t="str">
        <f ca="1">IFERROR(__xludf.DUMMYFUNCTION("""COMPUTED_VALUE"""),"orion-protocol")</f>
        <v>orion-protocol</v>
      </c>
      <c r="B9498" s="2" t="str">
        <f ca="1">IFERROR(__xludf.DUMMYFUNCTION("""COMPUTED_VALUE"""),"orn")</f>
        <v>orn</v>
      </c>
      <c r="C9498" s="2" t="str">
        <f ca="1">IFERROR(__xludf.DUMMYFUNCTION("""COMPUTED_VALUE"""),"Orion")</f>
        <v>Orion</v>
      </c>
    </row>
    <row r="9499" spans="1:3" x14ac:dyDescent="0.25">
      <c r="A9499" s="2" t="str">
        <f ca="1">IFERROR(__xludf.DUMMYFUNCTION("""COMPUTED_VALUE"""),"orkan")</f>
        <v>orkan</v>
      </c>
      <c r="B9499" s="2" t="str">
        <f ca="1">IFERROR(__xludf.DUMMYFUNCTION("""COMPUTED_VALUE"""),"ork")</f>
        <v>ork</v>
      </c>
      <c r="C9499" s="2" t="str">
        <f ca="1">IFERROR(__xludf.DUMMYFUNCTION("""COMPUTED_VALUE"""),"Orkan")</f>
        <v>Orkan</v>
      </c>
    </row>
    <row r="9500" spans="1:3" x14ac:dyDescent="0.25">
      <c r="A9500" s="2" t="str">
        <f ca="1">IFERROR(__xludf.DUMMYFUNCTION("""COMPUTED_VALUE"""),"ormeus-ecosystem")</f>
        <v>ormeus-ecosystem</v>
      </c>
      <c r="B9500" s="2" t="str">
        <f ca="1">IFERROR(__xludf.DUMMYFUNCTION("""COMPUTED_VALUE"""),"eco")</f>
        <v>eco</v>
      </c>
      <c r="C9500" s="2" t="str">
        <f ca="1">IFERROR(__xludf.DUMMYFUNCTION("""COMPUTED_VALUE"""),"Ormeus Ecosystem")</f>
        <v>Ormeus Ecosystem</v>
      </c>
    </row>
    <row r="9501" spans="1:3" x14ac:dyDescent="0.25">
      <c r="A9501" s="2" t="str">
        <f ca="1">IFERROR(__xludf.DUMMYFUNCTION("""COMPUTED_VALUE"""),"oro")</f>
        <v>oro</v>
      </c>
      <c r="B9501" s="2" t="str">
        <f ca="1">IFERROR(__xludf.DUMMYFUNCTION("""COMPUTED_VALUE"""),"oro")</f>
        <v>oro</v>
      </c>
      <c r="C9501" s="2" t="str">
        <f ca="1">IFERROR(__xludf.DUMMYFUNCTION("""COMPUTED_VALUE"""),"ORO")</f>
        <v>ORO</v>
      </c>
    </row>
    <row r="9502" spans="1:3" x14ac:dyDescent="0.25">
      <c r="A9502" s="2" t="str">
        <f ca="1">IFERROR(__xludf.DUMMYFUNCTION("""COMPUTED_VALUE"""),"orym")</f>
        <v>orym</v>
      </c>
      <c r="B9502" s="2" t="str">
        <f ca="1">IFERROR(__xludf.DUMMYFUNCTION("""COMPUTED_VALUE"""),"orym")</f>
        <v>orym</v>
      </c>
      <c r="C9502" s="2" t="str">
        <f ca="1">IFERROR(__xludf.DUMMYFUNCTION("""COMPUTED_VALUE"""),"Orym")</f>
        <v>Orym</v>
      </c>
    </row>
    <row r="9503" spans="1:3" x14ac:dyDescent="0.25">
      <c r="A9503" s="2" t="str">
        <f ca="1">IFERROR(__xludf.DUMMYFUNCTION("""COMPUTED_VALUE"""),"osaka-protocol")</f>
        <v>osaka-protocol</v>
      </c>
      <c r="B9503" s="2" t="str">
        <f ca="1">IFERROR(__xludf.DUMMYFUNCTION("""COMPUTED_VALUE"""),"osak")</f>
        <v>osak</v>
      </c>
      <c r="C9503" s="2" t="str">
        <f ca="1">IFERROR(__xludf.DUMMYFUNCTION("""COMPUTED_VALUE"""),"Osaka Protocol")</f>
        <v>Osaka Protocol</v>
      </c>
    </row>
    <row r="9504" spans="1:3" x14ac:dyDescent="0.25">
      <c r="A9504" s="2" t="str">
        <f ca="1">IFERROR(__xludf.DUMMYFUNCTION("""COMPUTED_VALUE"""),"osean")</f>
        <v>osean</v>
      </c>
      <c r="B9504" s="2" t="str">
        <f ca="1">IFERROR(__xludf.DUMMYFUNCTION("""COMPUTED_VALUE"""),"osean")</f>
        <v>osean</v>
      </c>
      <c r="C9504" s="2" t="str">
        <f ca="1">IFERROR(__xludf.DUMMYFUNCTION("""COMPUTED_VALUE"""),"Osean")</f>
        <v>Osean</v>
      </c>
    </row>
    <row r="9505" spans="1:3" x14ac:dyDescent="0.25">
      <c r="A9505" s="2" t="str">
        <f ca="1">IFERROR(__xludf.DUMMYFUNCTION("""COMPUTED_VALUE"""),"oshi")</f>
        <v>oshi</v>
      </c>
      <c r="B9505" s="2" t="str">
        <f ca="1">IFERROR(__xludf.DUMMYFUNCTION("""COMPUTED_VALUE"""),"oshi")</f>
        <v>oshi</v>
      </c>
      <c r="C9505" s="2" t="str">
        <f ca="1">IFERROR(__xludf.DUMMYFUNCTION("""COMPUTED_VALUE"""),"OSHI")</f>
        <v>OSHI</v>
      </c>
    </row>
    <row r="9506" spans="1:3" x14ac:dyDescent="0.25">
      <c r="A9506" s="2" t="str">
        <f ca="1">IFERROR(__xludf.DUMMYFUNCTION("""COMPUTED_VALUE"""),"osk")</f>
        <v>osk</v>
      </c>
      <c r="B9506" s="2" t="str">
        <f ca="1">IFERROR(__xludf.DUMMYFUNCTION("""COMPUTED_VALUE"""),"osk")</f>
        <v>osk</v>
      </c>
      <c r="C9506" s="2" t="str">
        <f ca="1">IFERROR(__xludf.DUMMYFUNCTION("""COMPUTED_VALUE"""),"OSK")</f>
        <v>OSK</v>
      </c>
    </row>
    <row r="9507" spans="1:3" x14ac:dyDescent="0.25">
      <c r="A9507" s="2" t="str">
        <f ca="1">IFERROR(__xludf.DUMMYFUNCTION("""COMPUTED_VALUE"""),"osmium")</f>
        <v>osmium</v>
      </c>
      <c r="B9507" s="2" t="str">
        <f ca="1">IFERROR(__xludf.DUMMYFUNCTION("""COMPUTED_VALUE"""),"osmi")</f>
        <v>osmi</v>
      </c>
      <c r="C9507" s="2" t="str">
        <f ca="1">IFERROR(__xludf.DUMMYFUNCTION("""COMPUTED_VALUE"""),"Osmium")</f>
        <v>Osmium</v>
      </c>
    </row>
    <row r="9508" spans="1:3" x14ac:dyDescent="0.25">
      <c r="A9508" s="2" t="str">
        <f ca="1">IFERROR(__xludf.DUMMYFUNCTION("""COMPUTED_VALUE"""),"osmosis")</f>
        <v>osmosis</v>
      </c>
      <c r="B9508" s="2" t="str">
        <f ca="1">IFERROR(__xludf.DUMMYFUNCTION("""COMPUTED_VALUE"""),"osmo")</f>
        <v>osmo</v>
      </c>
      <c r="C9508" s="2" t="str">
        <f ca="1">IFERROR(__xludf.DUMMYFUNCTION("""COMPUTED_VALUE"""),"Osmosis")</f>
        <v>Osmosis</v>
      </c>
    </row>
    <row r="9509" spans="1:3" x14ac:dyDescent="0.25">
      <c r="A9509" s="2" t="str">
        <f ca="1">IFERROR(__xludf.DUMMYFUNCTION("""COMPUTED_VALUE"""),"osmosis-allarb")</f>
        <v>osmosis-allarb</v>
      </c>
      <c r="B9509" s="2" t="str">
        <f ca="1">IFERROR(__xludf.DUMMYFUNCTION("""COMPUTED_VALUE"""),"arb")</f>
        <v>arb</v>
      </c>
      <c r="C9509" s="2" t="str">
        <f ca="1">IFERROR(__xludf.DUMMYFUNCTION("""COMPUTED_VALUE"""),"Osmosis allARB")</f>
        <v>Osmosis allARB</v>
      </c>
    </row>
    <row r="9510" spans="1:3" x14ac:dyDescent="0.25">
      <c r="A9510" s="2" t="str">
        <f ca="1">IFERROR(__xludf.DUMMYFUNCTION("""COMPUTED_VALUE"""),"osmosis-allbtc")</f>
        <v>osmosis-allbtc</v>
      </c>
      <c r="B9510" s="2" t="str">
        <f ca="1">IFERROR(__xludf.DUMMYFUNCTION("""COMPUTED_VALUE"""),"btc")</f>
        <v>btc</v>
      </c>
      <c r="C9510" s="2" t="str">
        <f ca="1">IFERROR(__xludf.DUMMYFUNCTION("""COMPUTED_VALUE"""),"Osmosis allBTC")</f>
        <v>Osmosis allBTC</v>
      </c>
    </row>
    <row r="9511" spans="1:3" x14ac:dyDescent="0.25">
      <c r="A9511" s="2" t="str">
        <f ca="1">IFERROR(__xludf.DUMMYFUNCTION("""COMPUTED_VALUE"""),"osmosis-alldot")</f>
        <v>osmosis-alldot</v>
      </c>
      <c r="B9511" s="2" t="str">
        <f ca="1">IFERROR(__xludf.DUMMYFUNCTION("""COMPUTED_VALUE"""),"dot")</f>
        <v>dot</v>
      </c>
      <c r="C9511" s="2" t="str">
        <f ca="1">IFERROR(__xludf.DUMMYFUNCTION("""COMPUTED_VALUE"""),"Osmosis allDOT")</f>
        <v>Osmosis allDOT</v>
      </c>
    </row>
    <row r="9512" spans="1:3" x14ac:dyDescent="0.25">
      <c r="A9512" s="2" t="str">
        <f ca="1">IFERROR(__xludf.DUMMYFUNCTION("""COMPUTED_VALUE"""),"osmosis-alleth")</f>
        <v>osmosis-alleth</v>
      </c>
      <c r="B9512" s="2" t="str">
        <f ca="1">IFERROR(__xludf.DUMMYFUNCTION("""COMPUTED_VALUE"""),"eth")</f>
        <v>eth</v>
      </c>
      <c r="C9512" s="2" t="str">
        <f ca="1">IFERROR(__xludf.DUMMYFUNCTION("""COMPUTED_VALUE"""),"Osmosis allETH")</f>
        <v>Osmosis allETH</v>
      </c>
    </row>
    <row r="9513" spans="1:3" x14ac:dyDescent="0.25">
      <c r="A9513" s="2" t="str">
        <f ca="1">IFERROR(__xludf.DUMMYFUNCTION("""COMPUTED_VALUE"""),"osmosis-alllink")</f>
        <v>osmosis-alllink</v>
      </c>
      <c r="B9513" s="2" t="str">
        <f ca="1">IFERROR(__xludf.DUMMYFUNCTION("""COMPUTED_VALUE"""),"link")</f>
        <v>link</v>
      </c>
      <c r="C9513" s="2" t="str">
        <f ca="1">IFERROR(__xludf.DUMMYFUNCTION("""COMPUTED_VALUE"""),"Osmosis allLINK")</f>
        <v>Osmosis allLINK</v>
      </c>
    </row>
    <row r="9514" spans="1:3" x14ac:dyDescent="0.25">
      <c r="A9514" s="2" t="str">
        <f ca="1">IFERROR(__xludf.DUMMYFUNCTION("""COMPUTED_VALUE"""),"osmosis-allop")</f>
        <v>osmosis-allop</v>
      </c>
      <c r="B9514" s="2" t="str">
        <f ca="1">IFERROR(__xludf.DUMMYFUNCTION("""COMPUTED_VALUE"""),"op")</f>
        <v>op</v>
      </c>
      <c r="C9514" s="2" t="str">
        <f ca="1">IFERROR(__xludf.DUMMYFUNCTION("""COMPUTED_VALUE"""),"Osmosis allOP")</f>
        <v>Osmosis allOP</v>
      </c>
    </row>
    <row r="9515" spans="1:3" x14ac:dyDescent="0.25">
      <c r="A9515" s="2" t="str">
        <f ca="1">IFERROR(__xludf.DUMMYFUNCTION("""COMPUTED_VALUE"""),"osmosis-allpepe")</f>
        <v>osmosis-allpepe</v>
      </c>
      <c r="B9515" s="2" t="str">
        <f ca="1">IFERROR(__xludf.DUMMYFUNCTION("""COMPUTED_VALUE"""),"pepe")</f>
        <v>pepe</v>
      </c>
      <c r="C9515" s="2" t="str">
        <f ca="1">IFERROR(__xludf.DUMMYFUNCTION("""COMPUTED_VALUE"""),"Osmosis allPEPE")</f>
        <v>Osmosis allPEPE</v>
      </c>
    </row>
    <row r="9516" spans="1:3" x14ac:dyDescent="0.25">
      <c r="A9516" s="2" t="str">
        <f ca="1">IFERROR(__xludf.DUMMYFUNCTION("""COMPUTED_VALUE"""),"osmosis-allshib")</f>
        <v>osmosis-allshib</v>
      </c>
      <c r="B9516" s="2" t="str">
        <f ca="1">IFERROR(__xludf.DUMMYFUNCTION("""COMPUTED_VALUE"""),"shib")</f>
        <v>shib</v>
      </c>
      <c r="C9516" s="2" t="str">
        <f ca="1">IFERROR(__xludf.DUMMYFUNCTION("""COMPUTED_VALUE"""),"Osmosis allSHIB")</f>
        <v>Osmosis allSHIB</v>
      </c>
    </row>
    <row r="9517" spans="1:3" x14ac:dyDescent="0.25">
      <c r="A9517" s="2" t="str">
        <f ca="1">IFERROR(__xludf.DUMMYFUNCTION("""COMPUTED_VALUE"""),"osmosis-allsol")</f>
        <v>osmosis-allsol</v>
      </c>
      <c r="B9517" s="2" t="str">
        <f ca="1">IFERROR(__xludf.DUMMYFUNCTION("""COMPUTED_VALUE"""),"sol")</f>
        <v>sol</v>
      </c>
      <c r="C9517" s="2" t="str">
        <f ca="1">IFERROR(__xludf.DUMMYFUNCTION("""COMPUTED_VALUE"""),"Osmosis allSOL")</f>
        <v>Osmosis allSOL</v>
      </c>
    </row>
    <row r="9518" spans="1:3" x14ac:dyDescent="0.25">
      <c r="A9518" s="2" t="str">
        <f ca="1">IFERROR(__xludf.DUMMYFUNCTION("""COMPUTED_VALUE"""),"osmosis-allton")</f>
        <v>osmosis-allton</v>
      </c>
      <c r="B9518" s="2" t="str">
        <f ca="1">IFERROR(__xludf.DUMMYFUNCTION("""COMPUTED_VALUE"""),"ton")</f>
        <v>ton</v>
      </c>
      <c r="C9518" s="2" t="str">
        <f ca="1">IFERROR(__xludf.DUMMYFUNCTION("""COMPUTED_VALUE"""),"Osmosis allTON")</f>
        <v>Osmosis allTON</v>
      </c>
    </row>
    <row r="9519" spans="1:3" x14ac:dyDescent="0.25">
      <c r="A9519" s="2" t="str">
        <f ca="1">IFERROR(__xludf.DUMMYFUNCTION("""COMPUTED_VALUE"""),"osmosis-alltrx")</f>
        <v>osmosis-alltrx</v>
      </c>
      <c r="B9519" s="2" t="str">
        <f ca="1">IFERROR(__xludf.DUMMYFUNCTION("""COMPUTED_VALUE"""),"trx")</f>
        <v>trx</v>
      </c>
      <c r="C9519" s="2" t="str">
        <f ca="1">IFERROR(__xludf.DUMMYFUNCTION("""COMPUTED_VALUE"""),"Osmosis allTRX")</f>
        <v>Osmosis allTRX</v>
      </c>
    </row>
    <row r="9520" spans="1:3" x14ac:dyDescent="0.25">
      <c r="A9520" s="2" t="str">
        <f ca="1">IFERROR(__xludf.DUMMYFUNCTION("""COMPUTED_VALUE"""),"osmosis-allusdt")</f>
        <v>osmosis-allusdt</v>
      </c>
      <c r="B9520" s="2" t="str">
        <f ca="1">IFERROR(__xludf.DUMMYFUNCTION("""COMPUTED_VALUE"""),"usdt")</f>
        <v>usdt</v>
      </c>
      <c r="C9520" s="2" t="str">
        <f ca="1">IFERROR(__xludf.DUMMYFUNCTION("""COMPUTED_VALUE"""),"Osmosis allUSDT")</f>
        <v>Osmosis allUSDT</v>
      </c>
    </row>
    <row r="9521" spans="1:3" x14ac:dyDescent="0.25">
      <c r="A9521" s="2" t="str">
        <f ca="1">IFERROR(__xludf.DUMMYFUNCTION("""COMPUTED_VALUE"""),"otacon-ai")</f>
        <v>otacon-ai</v>
      </c>
      <c r="B9521" s="2" t="str">
        <f ca="1">IFERROR(__xludf.DUMMYFUNCTION("""COMPUTED_VALUE"""),"otacon")</f>
        <v>otacon</v>
      </c>
      <c r="C9521" s="2" t="str">
        <f ca="1">IFERROR(__xludf.DUMMYFUNCTION("""COMPUTED_VALUE"""),"Otacon AI")</f>
        <v>Otacon AI</v>
      </c>
    </row>
    <row r="9522" spans="1:3" x14ac:dyDescent="0.25">
      <c r="A9522" s="2" t="str">
        <f ca="1">IFERROR(__xludf.DUMMYFUNCTION("""COMPUTED_VALUE"""),"otherworld")</f>
        <v>otherworld</v>
      </c>
      <c r="B9522" s="2" t="str">
        <f ca="1">IFERROR(__xludf.DUMMYFUNCTION("""COMPUTED_VALUE"""),"own")</f>
        <v>own</v>
      </c>
      <c r="C9522" s="2" t="str">
        <f ca="1">IFERROR(__xludf.DUMMYFUNCTION("""COMPUTED_VALUE"""),"Otherworld")</f>
        <v>Otherworld</v>
      </c>
    </row>
    <row r="9523" spans="1:3" x14ac:dyDescent="0.25">
      <c r="A9523" s="2" t="str">
        <f ca="1">IFERROR(__xludf.DUMMYFUNCTION("""COMPUTED_VALUE"""),"otia")</f>
        <v>otia</v>
      </c>
      <c r="B9523" s="2" t="str">
        <f ca="1">IFERROR(__xludf.DUMMYFUNCTION("""COMPUTED_VALUE"""),"otia")</f>
        <v>otia</v>
      </c>
      <c r="C9523" s="2" t="str">
        <f ca="1">IFERROR(__xludf.DUMMYFUNCTION("""COMPUTED_VALUE"""),"OTIA")</f>
        <v>OTIA</v>
      </c>
    </row>
    <row r="9524" spans="1:3" x14ac:dyDescent="0.25">
      <c r="A9524" s="2" t="str">
        <f ca="1">IFERROR(__xludf.DUMMYFUNCTION("""COMPUTED_VALUE"""),"otiainu")</f>
        <v>otiainu</v>
      </c>
      <c r="B9524" s="2" t="str">
        <f ca="1">IFERROR(__xludf.DUMMYFUNCTION("""COMPUTED_VALUE"""),"otiainu")</f>
        <v>otiainu</v>
      </c>
      <c r="C9524" s="2" t="str">
        <f ca="1">IFERROR(__xludf.DUMMYFUNCTION("""COMPUTED_VALUE"""),"OTIAINU")</f>
        <v>OTIAINU</v>
      </c>
    </row>
    <row r="9525" spans="1:3" x14ac:dyDescent="0.25">
      <c r="A9525" s="2" t="str">
        <f ca="1">IFERROR(__xludf.DUMMYFUNCTION("""COMPUTED_VALUE"""),"otsea")</f>
        <v>otsea</v>
      </c>
      <c r="B9525" s="2" t="str">
        <f ca="1">IFERROR(__xludf.DUMMYFUNCTION("""COMPUTED_VALUE"""),"otsea")</f>
        <v>otsea</v>
      </c>
      <c r="C9525" s="2" t="str">
        <f ca="1">IFERROR(__xludf.DUMMYFUNCTION("""COMPUTED_VALUE"""),"OTSea")</f>
        <v>OTSea</v>
      </c>
    </row>
    <row r="9526" spans="1:3" x14ac:dyDescent="0.25">
      <c r="A9526" s="2" t="str">
        <f ca="1">IFERROR(__xludf.DUMMYFUNCTION("""COMPUTED_VALUE"""),"otterhome")</f>
        <v>otterhome</v>
      </c>
      <c r="B9526" s="2" t="str">
        <f ca="1">IFERROR(__xludf.DUMMYFUNCTION("""COMPUTED_VALUE"""),"home")</f>
        <v>home</v>
      </c>
      <c r="C9526" s="2" t="str">
        <f ca="1">IFERROR(__xludf.DUMMYFUNCTION("""COMPUTED_VALUE"""),"OtterHome")</f>
        <v>OtterHome</v>
      </c>
    </row>
    <row r="9527" spans="1:3" x14ac:dyDescent="0.25">
      <c r="A9527" s="2" t="str">
        <f ca="1">IFERROR(__xludf.DUMMYFUNCTION("""COMPUTED_VALUE"""),"otti")</f>
        <v>otti</v>
      </c>
      <c r="B9527" s="2" t="str">
        <f ca="1">IFERROR(__xludf.DUMMYFUNCTION("""COMPUTED_VALUE"""),"otti")</f>
        <v>otti</v>
      </c>
      <c r="C9527" s="2" t="str">
        <f ca="1">IFERROR(__xludf.DUMMYFUNCTION("""COMPUTED_VALUE"""),"otti")</f>
        <v>otti</v>
      </c>
    </row>
    <row r="9528" spans="1:3" x14ac:dyDescent="0.25">
      <c r="A9528" s="2" t="str">
        <f ca="1">IFERROR(__xludf.DUMMYFUNCTION("""COMPUTED_VALUE"""),"ottochain")</f>
        <v>ottochain</v>
      </c>
      <c r="B9528" s="2" t="str">
        <f ca="1">IFERROR(__xludf.DUMMYFUNCTION("""COMPUTED_VALUE"""),"otto")</f>
        <v>otto</v>
      </c>
      <c r="C9528" s="2" t="str">
        <f ca="1">IFERROR(__xludf.DUMMYFUNCTION("""COMPUTED_VALUE"""),"Ottochain")</f>
        <v>Ottochain</v>
      </c>
    </row>
    <row r="9529" spans="1:3" x14ac:dyDescent="0.25">
      <c r="A9529" s="2" t="str">
        <f ca="1">IFERROR(__xludf.DUMMYFUNCTION("""COMPUTED_VALUE"""),"otton")</f>
        <v>otton</v>
      </c>
      <c r="B9529" s="2" t="str">
        <f ca="1">IFERROR(__xludf.DUMMYFUNCTION("""COMPUTED_VALUE"""),"otn")</f>
        <v>otn</v>
      </c>
      <c r="C9529" s="2" t="str">
        <f ca="1">IFERROR(__xludf.DUMMYFUNCTION("""COMPUTED_VALUE"""),"Otton")</f>
        <v>Otton</v>
      </c>
    </row>
    <row r="9530" spans="1:3" x14ac:dyDescent="0.25">
      <c r="A9530" s="2" t="str">
        <f ca="1">IFERROR(__xludf.DUMMYFUNCTION("""COMPUTED_VALUE"""),"otty-the-otter")</f>
        <v>otty-the-otter</v>
      </c>
      <c r="B9530" s="2" t="str">
        <f ca="1">IFERROR(__xludf.DUMMYFUNCTION("""COMPUTED_VALUE"""),"$otty")</f>
        <v>$otty</v>
      </c>
      <c r="C9530" s="2" t="str">
        <f ca="1">IFERROR(__xludf.DUMMYFUNCTION("""COMPUTED_VALUE"""),"Otty the Otter")</f>
        <v>Otty the Otter</v>
      </c>
    </row>
    <row r="9531" spans="1:3" x14ac:dyDescent="0.25">
      <c r="A9531" s="2" t="str">
        <f ca="1">IFERROR(__xludf.DUMMYFUNCTION("""COMPUTED_VALUE"""),"otx-exchange")</f>
        <v>otx-exchange</v>
      </c>
      <c r="B9531" s="2" t="str">
        <f ca="1">IFERROR(__xludf.DUMMYFUNCTION("""COMPUTED_VALUE"""),"otx")</f>
        <v>otx</v>
      </c>
      <c r="C9531" s="2" t="str">
        <f ca="1">IFERROR(__xludf.DUMMYFUNCTION("""COMPUTED_VALUE"""),"OTX EXCHANGE")</f>
        <v>OTX EXCHANGE</v>
      </c>
    </row>
    <row r="9532" spans="1:3" x14ac:dyDescent="0.25">
      <c r="A9532" s="2" t="str">
        <f ca="1">IFERROR(__xludf.DUMMYFUNCTION("""COMPUTED_VALUE"""),"ousg")</f>
        <v>ousg</v>
      </c>
      <c r="B9532" s="2" t="str">
        <f ca="1">IFERROR(__xludf.DUMMYFUNCTION("""COMPUTED_VALUE"""),"ousg")</f>
        <v>ousg</v>
      </c>
      <c r="C9532" s="2" t="str">
        <f ca="1">IFERROR(__xludf.DUMMYFUNCTION("""COMPUTED_VALUE"""),"OUSG")</f>
        <v>OUSG</v>
      </c>
    </row>
    <row r="9533" spans="1:3" x14ac:dyDescent="0.25">
      <c r="A9533" s="2" t="str">
        <f ca="1">IFERROR(__xludf.DUMMYFUNCTION("""COMPUTED_VALUE"""),"outdefine")</f>
        <v>outdefine</v>
      </c>
      <c r="B9533" s="2" t="str">
        <f ca="1">IFERROR(__xludf.DUMMYFUNCTION("""COMPUTED_VALUE"""),"outdefine")</f>
        <v>outdefine</v>
      </c>
      <c r="C9533" s="2" t="str">
        <f ca="1">IFERROR(__xludf.DUMMYFUNCTION("""COMPUTED_VALUE"""),"Outdefine")</f>
        <v>Outdefine</v>
      </c>
    </row>
    <row r="9534" spans="1:3" x14ac:dyDescent="0.25">
      <c r="A9534" s="2" t="str">
        <f ca="1">IFERROR(__xludf.DUMMYFUNCTION("""COMPUTED_VALUE"""),"outer-ring")</f>
        <v>outer-ring</v>
      </c>
      <c r="B9534" s="2" t="str">
        <f ca="1">IFERROR(__xludf.DUMMYFUNCTION("""COMPUTED_VALUE"""),"gq")</f>
        <v>gq</v>
      </c>
      <c r="C9534" s="2" t="str">
        <f ca="1">IFERROR(__xludf.DUMMYFUNCTION("""COMPUTED_VALUE"""),"Blink Galaxy")</f>
        <v>Blink Galaxy</v>
      </c>
    </row>
    <row r="9535" spans="1:3" x14ac:dyDescent="0.25">
      <c r="A9535" s="2" t="str">
        <f ca="1">IFERROR(__xludf.DUMMYFUNCTION("""COMPUTED_VALUE"""),"outlanders")</f>
        <v>outlanders</v>
      </c>
      <c r="B9535" s="2" t="str">
        <f ca="1">IFERROR(__xludf.DUMMYFUNCTION("""COMPUTED_VALUE"""),"land")</f>
        <v>land</v>
      </c>
      <c r="C9535" s="2" t="str">
        <f ca="1">IFERROR(__xludf.DUMMYFUNCTION("""COMPUTED_VALUE"""),"Outlanders")</f>
        <v>Outlanders</v>
      </c>
    </row>
    <row r="9536" spans="1:3" x14ac:dyDescent="0.25">
      <c r="A9536" s="2" t="str">
        <f ca="1">IFERROR(__xludf.DUMMYFUNCTION("""COMPUTED_VALUE"""),"outter-finance-2")</f>
        <v>outter-finance-2</v>
      </c>
      <c r="B9536" s="2" t="str">
        <f ca="1">IFERROR(__xludf.DUMMYFUNCTION("""COMPUTED_VALUE"""),"out")</f>
        <v>out</v>
      </c>
      <c r="C9536" s="2" t="str">
        <f ca="1">IFERROR(__xludf.DUMMYFUNCTION("""COMPUTED_VALUE"""),"Outter Finance")</f>
        <v>Outter Finance</v>
      </c>
    </row>
    <row r="9537" spans="1:3" x14ac:dyDescent="0.25">
      <c r="A9537" s="2" t="str">
        <f ca="1">IFERROR(__xludf.DUMMYFUNCTION("""COMPUTED_VALUE"""),"oval3")</f>
        <v>oval3</v>
      </c>
      <c r="B9537" s="2" t="str">
        <f ca="1">IFERROR(__xludf.DUMMYFUNCTION("""COMPUTED_VALUE"""),"ovl3")</f>
        <v>ovl3</v>
      </c>
      <c r="C9537" s="2" t="str">
        <f ca="1">IFERROR(__xludf.DUMMYFUNCTION("""COMPUTED_VALUE"""),"OVAL3")</f>
        <v>OVAL3</v>
      </c>
    </row>
    <row r="9538" spans="1:3" x14ac:dyDescent="0.25">
      <c r="A9538" s="2" t="str">
        <f ca="1">IFERROR(__xludf.DUMMYFUNCTION("""COMPUTED_VALUE"""),"overclock-staked-sol")</f>
        <v>overclock-staked-sol</v>
      </c>
      <c r="B9538" s="2" t="str">
        <f ca="1">IFERROR(__xludf.DUMMYFUNCTION("""COMPUTED_VALUE"""),"clocksol")</f>
        <v>clocksol</v>
      </c>
      <c r="C9538" s="2" t="str">
        <f ca="1">IFERROR(__xludf.DUMMYFUNCTION("""COMPUTED_VALUE"""),"Overclock Staked SOL")</f>
        <v>Overclock Staked SOL</v>
      </c>
    </row>
    <row r="9539" spans="1:3" x14ac:dyDescent="0.25">
      <c r="A9539" s="2" t="str">
        <f ca="1">IFERROR(__xludf.DUMMYFUNCTION("""COMPUTED_VALUE"""),"overdome")</f>
        <v>overdome</v>
      </c>
      <c r="B9539" s="2" t="str">
        <f ca="1">IFERROR(__xludf.DUMMYFUNCTION("""COMPUTED_VALUE"""),"ovdm")</f>
        <v>ovdm</v>
      </c>
      <c r="C9539" s="2" t="str">
        <f ca="1">IFERROR(__xludf.DUMMYFUNCTION("""COMPUTED_VALUE"""),"Overdome")</f>
        <v>Overdome</v>
      </c>
    </row>
    <row r="9540" spans="1:3" x14ac:dyDescent="0.25">
      <c r="A9540" s="2" t="str">
        <f ca="1">IFERROR(__xludf.DUMMYFUNCTION("""COMPUTED_VALUE"""),"overlay-protocol")</f>
        <v>overlay-protocol</v>
      </c>
      <c r="B9540" s="2" t="str">
        <f ca="1">IFERROR(__xludf.DUMMYFUNCTION("""COMPUTED_VALUE"""),"ov")</f>
        <v>ov</v>
      </c>
      <c r="C9540" s="2" t="str">
        <f ca="1">IFERROR(__xludf.DUMMYFUNCTION("""COMPUTED_VALUE"""),"Overlay Protocol")</f>
        <v>Overlay Protocol</v>
      </c>
    </row>
    <row r="9541" spans="1:3" x14ac:dyDescent="0.25">
      <c r="A9541" s="2" t="str">
        <f ca="1">IFERROR(__xludf.DUMMYFUNCTION("""COMPUTED_VALUE"""),"overnight-dai")</f>
        <v>overnight-dai</v>
      </c>
      <c r="B9541" s="2" t="str">
        <f ca="1">IFERROR(__xludf.DUMMYFUNCTION("""COMPUTED_VALUE"""),"dai+")</f>
        <v>dai+</v>
      </c>
      <c r="C9541" s="2" t="str">
        <f ca="1">IFERROR(__xludf.DUMMYFUNCTION("""COMPUTED_VALUE"""),"Overnight.fi DAI+")</f>
        <v>Overnight.fi DAI+</v>
      </c>
    </row>
    <row r="9542" spans="1:3" x14ac:dyDescent="0.25">
      <c r="A9542" s="2" t="str">
        <f ca="1">IFERROR(__xludf.DUMMYFUNCTION("""COMPUTED_VALUE"""),"overnight-finance")</f>
        <v>overnight-finance</v>
      </c>
      <c r="B9542" s="2" t="str">
        <f ca="1">IFERROR(__xludf.DUMMYFUNCTION("""COMPUTED_VALUE"""),"ovn")</f>
        <v>ovn</v>
      </c>
      <c r="C9542" s="2" t="str">
        <f ca="1">IFERROR(__xludf.DUMMYFUNCTION("""COMPUTED_VALUE"""),"Overnight Finance")</f>
        <v>Overnight Finance</v>
      </c>
    </row>
    <row r="9543" spans="1:3" x14ac:dyDescent="0.25">
      <c r="A9543" s="2" t="str">
        <f ca="1">IFERROR(__xludf.DUMMYFUNCTION("""COMPUTED_VALUE"""),"overnight-fi-usd-arbitrum-one")</f>
        <v>overnight-fi-usd-arbitrum-one</v>
      </c>
      <c r="B9543" s="2" t="str">
        <f ca="1">IFERROR(__xludf.DUMMYFUNCTION("""COMPUTED_VALUE"""),"usd+")</f>
        <v>usd+</v>
      </c>
      <c r="C9543" s="2" t="str">
        <f ca="1">IFERROR(__xludf.DUMMYFUNCTION("""COMPUTED_VALUE"""),"Overnight.fi USD+ (Arbitrum One)")</f>
        <v>Overnight.fi USD+ (Arbitrum One)</v>
      </c>
    </row>
    <row r="9544" spans="1:3" x14ac:dyDescent="0.25">
      <c r="A9544" s="2" t="str">
        <f ca="1">IFERROR(__xludf.DUMMYFUNCTION("""COMPUTED_VALUE"""),"overnight-fi-usd-base")</f>
        <v>overnight-fi-usd-base</v>
      </c>
      <c r="B9544" s="2" t="str">
        <f ca="1">IFERROR(__xludf.DUMMYFUNCTION("""COMPUTED_VALUE"""),"usd+")</f>
        <v>usd+</v>
      </c>
      <c r="C9544" s="2" t="str">
        <f ca="1">IFERROR(__xludf.DUMMYFUNCTION("""COMPUTED_VALUE"""),"Overnight.fi USD+ (Base)")</f>
        <v>Overnight.fi USD+ (Base)</v>
      </c>
    </row>
    <row r="9545" spans="1:3" x14ac:dyDescent="0.25">
      <c r="A9545" s="2" t="str">
        <f ca="1">IFERROR(__xludf.DUMMYFUNCTION("""COMPUTED_VALUE"""),"overnight-fi-usd-blast")</f>
        <v>overnight-fi-usd-blast</v>
      </c>
      <c r="B9545" s="2" t="str">
        <f ca="1">IFERROR(__xludf.DUMMYFUNCTION("""COMPUTED_VALUE"""),"usd+")</f>
        <v>usd+</v>
      </c>
      <c r="C9545" s="2" t="str">
        <f ca="1">IFERROR(__xludf.DUMMYFUNCTION("""COMPUTED_VALUE"""),"Overnight.fi USD+ (Blast)")</f>
        <v>Overnight.fi USD+ (Blast)</v>
      </c>
    </row>
    <row r="9546" spans="1:3" x14ac:dyDescent="0.25">
      <c r="A9546" s="2" t="str">
        <f ca="1">IFERROR(__xludf.DUMMYFUNCTION("""COMPUTED_VALUE"""),"overnight-fi-usd-linea")</f>
        <v>overnight-fi-usd-linea</v>
      </c>
      <c r="B9546" s="2" t="str">
        <f ca="1">IFERROR(__xludf.DUMMYFUNCTION("""COMPUTED_VALUE"""),"usd+")</f>
        <v>usd+</v>
      </c>
      <c r="C9546" s="2" t="str">
        <f ca="1">IFERROR(__xludf.DUMMYFUNCTION("""COMPUTED_VALUE"""),"Overnight.fi USD+ (Linea)")</f>
        <v>Overnight.fi USD+ (Linea)</v>
      </c>
    </row>
    <row r="9547" spans="1:3" x14ac:dyDescent="0.25">
      <c r="A9547" s="2" t="str">
        <f ca="1">IFERROR(__xludf.DUMMYFUNCTION("""COMPUTED_VALUE"""),"overnight-fi-usd-optimism")</f>
        <v>overnight-fi-usd-optimism</v>
      </c>
      <c r="B9547" s="2" t="str">
        <f ca="1">IFERROR(__xludf.DUMMYFUNCTION("""COMPUTED_VALUE"""),"usd+")</f>
        <v>usd+</v>
      </c>
      <c r="C9547" s="2" t="str">
        <f ca="1">IFERROR(__xludf.DUMMYFUNCTION("""COMPUTED_VALUE"""),"Overnight.fi USD+ (Optimism)")</f>
        <v>Overnight.fi USD+ (Optimism)</v>
      </c>
    </row>
    <row r="9548" spans="1:3" x14ac:dyDescent="0.25">
      <c r="A9548" s="2" t="str">
        <f ca="1">IFERROR(__xludf.DUMMYFUNCTION("""COMPUTED_VALUE"""),"overpowered")</f>
        <v>overpowered</v>
      </c>
      <c r="B9548" s="2" t="str">
        <f ca="1">IFERROR(__xludf.DUMMYFUNCTION("""COMPUTED_VALUE"""),"overpow")</f>
        <v>overpow</v>
      </c>
      <c r="C9548" s="2" t="str">
        <f ca="1">IFERROR(__xludf.DUMMYFUNCTION("""COMPUTED_VALUE"""),"OVERPOWERED")</f>
        <v>OVERPOWERED</v>
      </c>
    </row>
    <row r="9549" spans="1:3" x14ac:dyDescent="0.25">
      <c r="A9549" s="2" t="str">
        <f ca="1">IFERROR(__xludf.DUMMYFUNCTION("""COMPUTED_VALUE"""),"overprotocol")</f>
        <v>overprotocol</v>
      </c>
      <c r="B9549" s="2" t="str">
        <f ca="1">IFERROR(__xludf.DUMMYFUNCTION("""COMPUTED_VALUE"""),"over")</f>
        <v>over</v>
      </c>
      <c r="C9549" s="2" t="str">
        <f ca="1">IFERROR(__xludf.DUMMYFUNCTION("""COMPUTED_VALUE"""),"OverProtocol")</f>
        <v>OverProtocol</v>
      </c>
    </row>
    <row r="9550" spans="1:3" x14ac:dyDescent="0.25">
      <c r="A9550" s="2" t="str">
        <f ca="1">IFERROR(__xludf.DUMMYFUNCTION("""COMPUTED_VALUE"""),"ovols-floor-index")</f>
        <v>ovols-floor-index</v>
      </c>
      <c r="B9550" s="2" t="str">
        <f ca="1">IFERROR(__xludf.DUMMYFUNCTION("""COMPUTED_VALUE"""),"$ovol")</f>
        <v>$ovol</v>
      </c>
      <c r="C9550" s="2" t="str">
        <f ca="1">IFERROR(__xludf.DUMMYFUNCTION("""COMPUTED_VALUE"""),"Ovols Floor Index")</f>
        <v>Ovols Floor Index</v>
      </c>
    </row>
    <row r="9551" spans="1:3" x14ac:dyDescent="0.25">
      <c r="A9551" s="2" t="str">
        <f ca="1">IFERROR(__xludf.DUMMYFUNCTION("""COMPUTED_VALUE"""),"ovo-nft-platform")</f>
        <v>ovo-nft-platform</v>
      </c>
      <c r="B9551" s="2" t="str">
        <f ca="1">IFERROR(__xludf.DUMMYFUNCTION("""COMPUTED_VALUE"""),"ovo")</f>
        <v>ovo</v>
      </c>
      <c r="C9551" s="2" t="str">
        <f ca="1">IFERROR(__xludf.DUMMYFUNCTION("""COMPUTED_VALUE"""),"OVO")</f>
        <v>OVO</v>
      </c>
    </row>
    <row r="9552" spans="1:3" x14ac:dyDescent="0.25">
      <c r="A9552" s="2" t="str">
        <f ca="1">IFERROR(__xludf.DUMMYFUNCTION("""COMPUTED_VALUE"""),"ovr")</f>
        <v>ovr</v>
      </c>
      <c r="B9552" s="2" t="str">
        <f ca="1">IFERROR(__xludf.DUMMYFUNCTION("""COMPUTED_VALUE"""),"ovr")</f>
        <v>ovr</v>
      </c>
      <c r="C9552" s="2" t="str">
        <f ca="1">IFERROR(__xludf.DUMMYFUNCTION("""COMPUTED_VALUE"""),"Ovr")</f>
        <v>Ovr</v>
      </c>
    </row>
    <row r="9553" spans="1:3" x14ac:dyDescent="0.25">
      <c r="A9553" s="2" t="str">
        <f ca="1">IFERROR(__xludf.DUMMYFUNCTION("""COMPUTED_VALUE"""),"owloper")</f>
        <v>owloper</v>
      </c>
      <c r="B9553" s="2" t="str">
        <f ca="1">IFERROR(__xludf.DUMMYFUNCTION("""COMPUTED_VALUE"""),"owl")</f>
        <v>owl</v>
      </c>
      <c r="C9553" s="2" t="str">
        <f ca="1">IFERROR(__xludf.DUMMYFUNCTION("""COMPUTED_VALUE"""),"Owloper Owl")</f>
        <v>Owloper Owl</v>
      </c>
    </row>
    <row r="9554" spans="1:3" x14ac:dyDescent="0.25">
      <c r="A9554" s="2" t="str">
        <f ca="1">IFERROR(__xludf.DUMMYFUNCTION("""COMPUTED_VALUE"""),"owners-casino-online")</f>
        <v>owners-casino-online</v>
      </c>
      <c r="B9554" s="2" t="str">
        <f ca="1">IFERROR(__xludf.DUMMYFUNCTION("""COMPUTED_VALUE"""),"oco")</f>
        <v>oco</v>
      </c>
      <c r="C9554" s="2" t="str">
        <f ca="1">IFERROR(__xludf.DUMMYFUNCTION("""COMPUTED_VALUE"""),"Owners Casino Online")</f>
        <v>Owners Casino Online</v>
      </c>
    </row>
    <row r="9555" spans="1:3" x14ac:dyDescent="0.25">
      <c r="A9555" s="2" t="str">
        <f ca="1">IFERROR(__xludf.DUMMYFUNCTION("""COMPUTED_VALUE"""),"oxbitcoin")</f>
        <v>oxbitcoin</v>
      </c>
      <c r="B9555" s="2" t="str">
        <f ca="1">IFERROR(__xludf.DUMMYFUNCTION("""COMPUTED_VALUE"""),"0xbtc")</f>
        <v>0xbtc</v>
      </c>
      <c r="C9555" s="2" t="str">
        <f ca="1">IFERROR(__xludf.DUMMYFUNCTION("""COMPUTED_VALUE"""),"0xBitcoin")</f>
        <v>0xBitcoin</v>
      </c>
    </row>
    <row r="9556" spans="1:3" x14ac:dyDescent="0.25">
      <c r="A9556" s="2" t="str">
        <f ca="1">IFERROR(__xludf.DUMMYFUNCTION("""COMPUTED_VALUE"""),"oxbt")</f>
        <v>oxbt</v>
      </c>
      <c r="B9556" s="2" t="str">
        <f ca="1">IFERROR(__xludf.DUMMYFUNCTION("""COMPUTED_VALUE"""),"oxbt")</f>
        <v>oxbt</v>
      </c>
      <c r="C9556" s="2" t="str">
        <f ca="1">IFERROR(__xludf.DUMMYFUNCTION("""COMPUTED_VALUE"""),"OXBT")</f>
        <v>OXBT</v>
      </c>
    </row>
    <row r="9557" spans="1:3" x14ac:dyDescent="0.25">
      <c r="A9557" s="2" t="str">
        <f ca="1">IFERROR(__xludf.DUMMYFUNCTION("""COMPUTED_VALUE"""),"oxbull-tech-2")</f>
        <v>oxbull-tech-2</v>
      </c>
      <c r="B9557" s="2" t="str">
        <f ca="1">IFERROR(__xludf.DUMMYFUNCTION("""COMPUTED_VALUE"""),"oxb")</f>
        <v>oxb</v>
      </c>
      <c r="C9557" s="2" t="str">
        <f ca="1">IFERROR(__xludf.DUMMYFUNCTION("""COMPUTED_VALUE"""),"Oxbull Tech")</f>
        <v>Oxbull Tech</v>
      </c>
    </row>
    <row r="9558" spans="1:3" x14ac:dyDescent="0.25">
      <c r="A9558" s="2" t="str">
        <f ca="1">IFERROR(__xludf.DUMMYFUNCTION("""COMPUTED_VALUE"""),"ox-fun")</f>
        <v>ox-fun</v>
      </c>
      <c r="B9558" s="2" t="str">
        <f ca="1">IFERROR(__xludf.DUMMYFUNCTION("""COMPUTED_VALUE"""),"ox")</f>
        <v>ox</v>
      </c>
      <c r="C9558" s="2" t="str">
        <f ca="1">IFERROR(__xludf.DUMMYFUNCTION("""COMPUTED_VALUE"""),"OX Coin")</f>
        <v>OX Coin</v>
      </c>
    </row>
    <row r="9559" spans="1:3" x14ac:dyDescent="0.25">
      <c r="A9559" s="2" t="str">
        <f ca="1">IFERROR(__xludf.DUMMYFUNCTION("""COMPUTED_VALUE"""),"oxygen")</f>
        <v>oxygen</v>
      </c>
      <c r="B9559" s="2" t="str">
        <f ca="1">IFERROR(__xludf.DUMMYFUNCTION("""COMPUTED_VALUE"""),"oxy")</f>
        <v>oxy</v>
      </c>
      <c r="C9559" s="2" t="str">
        <f ca="1">IFERROR(__xludf.DUMMYFUNCTION("""COMPUTED_VALUE"""),"Oxygen")</f>
        <v>Oxygen</v>
      </c>
    </row>
    <row r="9560" spans="1:3" x14ac:dyDescent="0.25">
      <c r="A9560" s="2" t="str">
        <f ca="1">IFERROR(__xludf.DUMMYFUNCTION("""COMPUTED_VALUE"""),"oxyo2")</f>
        <v>oxyo2</v>
      </c>
      <c r="B9560" s="2" t="str">
        <f ca="1">IFERROR(__xludf.DUMMYFUNCTION("""COMPUTED_VALUE"""),"krpza")</f>
        <v>krpza</v>
      </c>
      <c r="C9560" s="2" t="str">
        <f ca="1">IFERROR(__xludf.DUMMYFUNCTION("""COMPUTED_VALUE"""),"OxyO2")</f>
        <v>OxyO2</v>
      </c>
    </row>
    <row r="9561" spans="1:3" x14ac:dyDescent="0.25">
      <c r="A9561" s="2" t="str">
        <f ca="1">IFERROR(__xludf.DUMMYFUNCTION("""COMPUTED_VALUE"""),"ozone-chain")</f>
        <v>ozone-chain</v>
      </c>
      <c r="B9561" s="2" t="str">
        <f ca="1">IFERROR(__xludf.DUMMYFUNCTION("""COMPUTED_VALUE"""),"ozo")</f>
        <v>ozo</v>
      </c>
      <c r="C9561" s="2" t="str">
        <f ca="1">IFERROR(__xludf.DUMMYFUNCTION("""COMPUTED_VALUE"""),"Ozone Chain")</f>
        <v>Ozone Chain</v>
      </c>
    </row>
    <row r="9562" spans="1:3" x14ac:dyDescent="0.25">
      <c r="A9562" s="2" t="str">
        <f ca="1">IFERROR(__xludf.DUMMYFUNCTION("""COMPUTED_VALUE"""),"ozone-metaverse")</f>
        <v>ozone-metaverse</v>
      </c>
      <c r="B9562" s="2" t="str">
        <f ca="1">IFERROR(__xludf.DUMMYFUNCTION("""COMPUTED_VALUE"""),"$ozone")</f>
        <v>$ozone</v>
      </c>
      <c r="C9562" s="2" t="str">
        <f ca="1">IFERROR(__xludf.DUMMYFUNCTION("""COMPUTED_VALUE"""),"Ozone Metaverse")</f>
        <v>Ozone Metaverse</v>
      </c>
    </row>
    <row r="9563" spans="1:3" x14ac:dyDescent="0.25">
      <c r="A9563" s="2" t="str">
        <f ca="1">IFERROR(__xludf.DUMMYFUNCTION("""COMPUTED_VALUE"""),"p2p-solutions-foundation")</f>
        <v>p2p-solutions-foundation</v>
      </c>
      <c r="B9563" s="2" t="str">
        <f ca="1">IFERROR(__xludf.DUMMYFUNCTION("""COMPUTED_VALUE"""),"p2ps")</f>
        <v>p2ps</v>
      </c>
      <c r="C9563" s="2" t="str">
        <f ca="1">IFERROR(__xludf.DUMMYFUNCTION("""COMPUTED_VALUE"""),"P2P solutions foundation")</f>
        <v>P2P solutions foundation</v>
      </c>
    </row>
    <row r="9564" spans="1:3" x14ac:dyDescent="0.25">
      <c r="A9564" s="2" t="str">
        <f ca="1">IFERROR(__xludf.DUMMYFUNCTION("""COMPUTED_VALUE"""),"paal-ai")</f>
        <v>paal-ai</v>
      </c>
      <c r="B9564" s="2" t="str">
        <f ca="1">IFERROR(__xludf.DUMMYFUNCTION("""COMPUTED_VALUE"""),"paal")</f>
        <v>paal</v>
      </c>
      <c r="C9564" s="2" t="str">
        <f ca="1">IFERROR(__xludf.DUMMYFUNCTION("""COMPUTED_VALUE"""),"PAAL AI")</f>
        <v>PAAL AI</v>
      </c>
    </row>
    <row r="9565" spans="1:3" x14ac:dyDescent="0.25">
      <c r="A9565" s="2" t="str">
        <f ca="1">IFERROR(__xludf.DUMMYFUNCTION("""COMPUTED_VALUE"""),"paccoin")</f>
        <v>paccoin</v>
      </c>
      <c r="B9565" s="2" t="str">
        <f ca="1">IFERROR(__xludf.DUMMYFUNCTION("""COMPUTED_VALUE"""),"pac")</f>
        <v>pac</v>
      </c>
      <c r="C9565" s="2" t="str">
        <f ca="1">IFERROR(__xludf.DUMMYFUNCTION("""COMPUTED_VALUE"""),"PAC Protocol")</f>
        <v>PAC Protocol</v>
      </c>
    </row>
    <row r="9566" spans="1:3" x14ac:dyDescent="0.25">
      <c r="A9566" s="2" t="str">
        <f ca="1">IFERROR(__xludf.DUMMYFUNCTION("""COMPUTED_VALUE"""),"pacific")</f>
        <v>pacific</v>
      </c>
      <c r="B9566" s="2" t="str">
        <f ca="1">IFERROR(__xludf.DUMMYFUNCTION("""COMPUTED_VALUE"""),"paf")</f>
        <v>paf</v>
      </c>
      <c r="C9566" s="2" t="str">
        <f ca="1">IFERROR(__xludf.DUMMYFUNCTION("""COMPUTED_VALUE"""),"Pacific")</f>
        <v>Pacific</v>
      </c>
    </row>
    <row r="9567" spans="1:3" x14ac:dyDescent="0.25">
      <c r="A9567" s="2" t="str">
        <f ca="1">IFERROR(__xludf.DUMMYFUNCTION("""COMPUTED_VALUE"""),"packageportal")</f>
        <v>packageportal</v>
      </c>
      <c r="B9567" s="2" t="str">
        <f ca="1">IFERROR(__xludf.DUMMYFUNCTION("""COMPUTED_VALUE"""),"port")</f>
        <v>port</v>
      </c>
      <c r="C9567" s="2" t="str">
        <f ca="1">IFERROR(__xludf.DUMMYFUNCTION("""COMPUTED_VALUE"""),"PackagePortal")</f>
        <v>PackagePortal</v>
      </c>
    </row>
    <row r="9568" spans="1:3" x14ac:dyDescent="0.25">
      <c r="A9568" s="2" t="str">
        <f ca="1">IFERROR(__xludf.DUMMYFUNCTION("""COMPUTED_VALUE"""),"pacman")</f>
        <v>pacman</v>
      </c>
      <c r="B9568" s="2" t="str">
        <f ca="1">IFERROR(__xludf.DUMMYFUNCTION("""COMPUTED_VALUE"""),"pac")</f>
        <v>pac</v>
      </c>
      <c r="C9568" s="2" t="str">
        <f ca="1">IFERROR(__xludf.DUMMYFUNCTION("""COMPUTED_VALUE"""),"PAC Project")</f>
        <v>PAC Project</v>
      </c>
    </row>
    <row r="9569" spans="1:3" x14ac:dyDescent="0.25">
      <c r="A9569" s="2" t="str">
        <f ca="1">IFERROR(__xludf.DUMMYFUNCTION("""COMPUTED_VALUE"""),"pacman-native-token")</f>
        <v>pacman-native-token</v>
      </c>
      <c r="B9569" s="2" t="str">
        <f ca="1">IFERROR(__xludf.DUMMYFUNCTION("""COMPUTED_VALUE"""),"pac")</f>
        <v>pac</v>
      </c>
      <c r="C9569" s="2" t="str">
        <f ca="1">IFERROR(__xludf.DUMMYFUNCTION("""COMPUTED_VALUE"""),"Pacman Native Token")</f>
        <v>Pacman Native Token</v>
      </c>
    </row>
    <row r="9570" spans="1:3" x14ac:dyDescent="0.25">
      <c r="A9570" s="2" t="str">
        <f ca="1">IFERROR(__xludf.DUMMYFUNCTION("""COMPUTED_VALUE"""),"pacmoon")</f>
        <v>pacmoon</v>
      </c>
      <c r="B9570" s="2" t="str">
        <f ca="1">IFERROR(__xludf.DUMMYFUNCTION("""COMPUTED_VALUE"""),"pac")</f>
        <v>pac</v>
      </c>
      <c r="C9570" s="2" t="str">
        <f ca="1">IFERROR(__xludf.DUMMYFUNCTION("""COMPUTED_VALUE"""),"PacMoon")</f>
        <v>PacMoon</v>
      </c>
    </row>
    <row r="9571" spans="1:3" x14ac:dyDescent="0.25">
      <c r="A9571" s="2" t="str">
        <f ca="1">IFERROR(__xludf.DUMMYFUNCTION("""COMPUTED_VALUE"""),"paco")</f>
        <v>paco</v>
      </c>
      <c r="B9571" s="2" t="str">
        <f ca="1">IFERROR(__xludf.DUMMYFUNCTION("""COMPUTED_VALUE"""),"$paco")</f>
        <v>$paco</v>
      </c>
      <c r="C9571" s="2" t="str">
        <f ca="1">IFERROR(__xludf.DUMMYFUNCTION("""COMPUTED_VALUE"""),"Paco")</f>
        <v>Paco</v>
      </c>
    </row>
    <row r="9572" spans="1:3" x14ac:dyDescent="0.25">
      <c r="A9572" s="2" t="str">
        <f ca="1">IFERROR(__xludf.DUMMYFUNCTION("""COMPUTED_VALUE"""),"pacoca")</f>
        <v>pacoca</v>
      </c>
      <c r="B9572" s="2" t="str">
        <f ca="1">IFERROR(__xludf.DUMMYFUNCTION("""COMPUTED_VALUE"""),"pacoca")</f>
        <v>pacoca</v>
      </c>
      <c r="C9572" s="2" t="str">
        <f ca="1">IFERROR(__xludf.DUMMYFUNCTION("""COMPUTED_VALUE"""),"Pacoca")</f>
        <v>Pacoca</v>
      </c>
    </row>
    <row r="9573" spans="1:3" x14ac:dyDescent="0.25">
      <c r="A9573" s="2" t="str">
        <f ca="1">IFERROR(__xludf.DUMMYFUNCTION("""COMPUTED_VALUE"""),"pactus")</f>
        <v>pactus</v>
      </c>
      <c r="B9573" s="2" t="str">
        <f ca="1">IFERROR(__xludf.DUMMYFUNCTION("""COMPUTED_VALUE"""),"pac")</f>
        <v>pac</v>
      </c>
      <c r="C9573" s="2" t="str">
        <f ca="1">IFERROR(__xludf.DUMMYFUNCTION("""COMPUTED_VALUE"""),"Pactus")</f>
        <v>Pactus</v>
      </c>
    </row>
    <row r="9574" spans="1:3" x14ac:dyDescent="0.25">
      <c r="A9574" s="2" t="str">
        <f ca="1">IFERROR(__xludf.DUMMYFUNCTION("""COMPUTED_VALUE"""),"padawan")</f>
        <v>padawan</v>
      </c>
      <c r="B9574" s="2" t="str">
        <f ca="1">IFERROR(__xludf.DUMMYFUNCTION("""COMPUTED_VALUE"""),"padawan")</f>
        <v>padawan</v>
      </c>
      <c r="C9574" s="2" t="str">
        <f ca="1">IFERROR(__xludf.DUMMYFUNCTION("""COMPUTED_VALUE"""),"PADAWAN")</f>
        <v>PADAWAN</v>
      </c>
    </row>
    <row r="9575" spans="1:3" x14ac:dyDescent="0.25">
      <c r="A9575" s="2" t="str">
        <f ca="1">IFERROR(__xludf.DUMMYFUNCTION("""COMPUTED_VALUE"""),"padre")</f>
        <v>padre</v>
      </c>
      <c r="B9575" s="2" t="str">
        <f ca="1">IFERROR(__xludf.DUMMYFUNCTION("""COMPUTED_VALUE"""),"padre")</f>
        <v>padre</v>
      </c>
      <c r="C9575" s="2" t="str">
        <f ca="1">IFERROR(__xludf.DUMMYFUNCTION("""COMPUTED_VALUE"""),"Padre")</f>
        <v>Padre</v>
      </c>
    </row>
    <row r="9576" spans="1:3" x14ac:dyDescent="0.25">
      <c r="A9576" s="2" t="str">
        <f ca="1">IFERROR(__xludf.DUMMYFUNCTION("""COMPUTED_VALUE"""),"page")</f>
        <v>page</v>
      </c>
      <c r="B9576" s="2" t="str">
        <f ca="1">IFERROR(__xludf.DUMMYFUNCTION("""COMPUTED_VALUE"""),"page")</f>
        <v>page</v>
      </c>
      <c r="C9576" s="2" t="str">
        <f ca="1">IFERROR(__xludf.DUMMYFUNCTION("""COMPUTED_VALUE"""),"Page")</f>
        <v>Page</v>
      </c>
    </row>
    <row r="9577" spans="1:3" x14ac:dyDescent="0.25">
      <c r="A9577" s="2" t="str">
        <f ca="1">IFERROR(__xludf.DUMMYFUNCTION("""COMPUTED_VALUE"""),"paideia")</f>
        <v>paideia</v>
      </c>
      <c r="B9577" s="2" t="str">
        <f ca="1">IFERROR(__xludf.DUMMYFUNCTION("""COMPUTED_VALUE"""),"pai")</f>
        <v>pai</v>
      </c>
      <c r="C9577" s="2" t="str">
        <f ca="1">IFERROR(__xludf.DUMMYFUNCTION("""COMPUTED_VALUE"""),"Paideia")</f>
        <v>Paideia</v>
      </c>
    </row>
    <row r="9578" spans="1:3" x14ac:dyDescent="0.25">
      <c r="A9578" s="2" t="str">
        <f ca="1">IFERROR(__xludf.DUMMYFUNCTION("""COMPUTED_VALUE"""),"paid-network")</f>
        <v>paid-network</v>
      </c>
      <c r="B9578" s="2" t="str">
        <f ca="1">IFERROR(__xludf.DUMMYFUNCTION("""COMPUTED_VALUE"""),"paid")</f>
        <v>paid</v>
      </c>
      <c r="C9578" s="2" t="str">
        <f ca="1">IFERROR(__xludf.DUMMYFUNCTION("""COMPUTED_VALUE"""),"PAID Network")</f>
        <v>PAID Network</v>
      </c>
    </row>
    <row r="9579" spans="1:3" x14ac:dyDescent="0.25">
      <c r="A9579" s="2" t="str">
        <f ca="1">IFERROR(__xludf.DUMMYFUNCTION("""COMPUTED_VALUE"""),"paidwork-worken")</f>
        <v>paidwork-worken</v>
      </c>
      <c r="B9579" s="2" t="str">
        <f ca="1">IFERROR(__xludf.DUMMYFUNCTION("""COMPUTED_VALUE"""),"work")</f>
        <v>work</v>
      </c>
      <c r="C9579" s="2" t="str">
        <f ca="1">IFERROR(__xludf.DUMMYFUNCTION("""COMPUTED_VALUE"""),"Paidwork Worken")</f>
        <v>Paidwork Worken</v>
      </c>
    </row>
    <row r="9580" spans="1:3" x14ac:dyDescent="0.25">
      <c r="A9580" s="2" t="str">
        <f ca="1">IFERROR(__xludf.DUMMYFUNCTION("""COMPUTED_VALUE"""),"paint")</f>
        <v>paint</v>
      </c>
      <c r="B9580" s="2" t="str">
        <f ca="1">IFERROR(__xludf.DUMMYFUNCTION("""COMPUTED_VALUE"""),"paint")</f>
        <v>paint</v>
      </c>
      <c r="C9580" s="2" t="str">
        <f ca="1">IFERROR(__xludf.DUMMYFUNCTION("""COMPUTED_VALUE"""),"MurAll")</f>
        <v>MurAll</v>
      </c>
    </row>
    <row r="9581" spans="1:3" x14ac:dyDescent="0.25">
      <c r="A9581" s="2" t="str">
        <f ca="1">IFERROR(__xludf.DUMMYFUNCTION("""COMPUTED_VALUE"""),"paint-swap")</f>
        <v>paint-swap</v>
      </c>
      <c r="B9581" s="2" t="str">
        <f ca="1">IFERROR(__xludf.DUMMYFUNCTION("""COMPUTED_VALUE"""),"brush")</f>
        <v>brush</v>
      </c>
      <c r="C9581" s="2" t="str">
        <f ca="1">IFERROR(__xludf.DUMMYFUNCTION("""COMPUTED_VALUE"""),"Paint Swap")</f>
        <v>Paint Swap</v>
      </c>
    </row>
    <row r="9582" spans="1:3" x14ac:dyDescent="0.25">
      <c r="A9582" s="2" t="str">
        <f ca="1">IFERROR(__xludf.DUMMYFUNCTION("""COMPUTED_VALUE"""),"pairedworld")</f>
        <v>pairedworld</v>
      </c>
      <c r="B9582" s="2" t="str">
        <f ca="1">IFERROR(__xludf.DUMMYFUNCTION("""COMPUTED_VALUE"""),"paired")</f>
        <v>paired</v>
      </c>
      <c r="C9582" s="2" t="str">
        <f ca="1">IFERROR(__xludf.DUMMYFUNCTION("""COMPUTED_VALUE"""),"PairedWorld")</f>
        <v>PairedWorld</v>
      </c>
    </row>
    <row r="9583" spans="1:3" x14ac:dyDescent="0.25">
      <c r="A9583" s="2" t="str">
        <f ca="1">IFERROR(__xludf.DUMMYFUNCTION("""COMPUTED_VALUE"""),"paisapad")</f>
        <v>paisapad</v>
      </c>
      <c r="B9583" s="2" t="str">
        <f ca="1">IFERROR(__xludf.DUMMYFUNCTION("""COMPUTED_VALUE"""),"ppd")</f>
        <v>ppd</v>
      </c>
      <c r="C9583" s="2" t="str">
        <f ca="1">IFERROR(__xludf.DUMMYFUNCTION("""COMPUTED_VALUE"""),"PaisaPad")</f>
        <v>PaisaPad</v>
      </c>
    </row>
    <row r="9584" spans="1:3" x14ac:dyDescent="0.25">
      <c r="A9584" s="2" t="str">
        <f ca="1">IFERROR(__xludf.DUMMYFUNCTION("""COMPUTED_VALUE"""),"pajamas-cat")</f>
        <v>pajamas-cat</v>
      </c>
      <c r="B9584" s="2" t="str">
        <f ca="1">IFERROR(__xludf.DUMMYFUNCTION("""COMPUTED_VALUE"""),"pajamas")</f>
        <v>pajamas</v>
      </c>
      <c r="C9584" s="2" t="str">
        <f ca="1">IFERROR(__xludf.DUMMYFUNCTION("""COMPUTED_VALUE"""),"Pajamas Cat")</f>
        <v>Pajamas Cat</v>
      </c>
    </row>
    <row r="9585" spans="1:3" x14ac:dyDescent="0.25">
      <c r="A9585" s="2" t="str">
        <f ca="1">IFERROR(__xludf.DUMMYFUNCTION("""COMPUTED_VALUE"""),"paje-etdev-company")</f>
        <v>paje-etdev-company</v>
      </c>
      <c r="B9585" s="2" t="str">
        <f ca="1">IFERROR(__xludf.DUMMYFUNCTION("""COMPUTED_VALUE"""),"bolly")</f>
        <v>bolly</v>
      </c>
      <c r="C9585" s="2" t="str">
        <f ca="1">IFERROR(__xludf.DUMMYFUNCTION("""COMPUTED_VALUE"""),"BOLLY.DEV")</f>
        <v>BOLLY.DEV</v>
      </c>
    </row>
    <row r="9586" spans="1:3" x14ac:dyDescent="0.25">
      <c r="A9586" s="2" t="str">
        <f ca="1">IFERROR(__xludf.DUMMYFUNCTION("""COMPUTED_VALUE"""),"pakcoin")</f>
        <v>pakcoin</v>
      </c>
      <c r="B9586" s="2" t="str">
        <f ca="1">IFERROR(__xludf.DUMMYFUNCTION("""COMPUTED_VALUE"""),"pak")</f>
        <v>pak</v>
      </c>
      <c r="C9586" s="2" t="str">
        <f ca="1">IFERROR(__xludf.DUMMYFUNCTION("""COMPUTED_VALUE"""),"Pakcoin")</f>
        <v>Pakcoin</v>
      </c>
    </row>
    <row r="9587" spans="1:3" x14ac:dyDescent="0.25">
      <c r="A9587" s="2" t="str">
        <f ca="1">IFERROR(__xludf.DUMMYFUNCTION("""COMPUTED_VALUE"""),"pal")</f>
        <v>pal</v>
      </c>
      <c r="B9587" s="2" t="str">
        <f ca="1">IFERROR(__xludf.DUMMYFUNCTION("""COMPUTED_VALUE"""),"pal")</f>
        <v>pal</v>
      </c>
      <c r="C9587" s="2" t="str">
        <f ca="1">IFERROR(__xludf.DUMMYFUNCTION("""COMPUTED_VALUE"""),"PAL")</f>
        <v>PAL</v>
      </c>
    </row>
    <row r="9588" spans="1:3" x14ac:dyDescent="0.25">
      <c r="A9588" s="2" t="str">
        <f ca="1">IFERROR(__xludf.DUMMYFUNCTION("""COMPUTED_VALUE"""),"paladeum")</f>
        <v>paladeum</v>
      </c>
      <c r="B9588" s="2" t="str">
        <f ca="1">IFERROR(__xludf.DUMMYFUNCTION("""COMPUTED_VALUE"""),"plb")</f>
        <v>plb</v>
      </c>
      <c r="C9588" s="2" t="str">
        <f ca="1">IFERROR(__xludf.DUMMYFUNCTION("""COMPUTED_VALUE"""),"Paladeum")</f>
        <v>Paladeum</v>
      </c>
    </row>
    <row r="9589" spans="1:3" x14ac:dyDescent="0.25">
      <c r="A9589" s="2" t="str">
        <f ca="1">IFERROR(__xludf.DUMMYFUNCTION("""COMPUTED_VALUE"""),"paladin")</f>
        <v>paladin</v>
      </c>
      <c r="B9589" s="2" t="str">
        <f ca="1">IFERROR(__xludf.DUMMYFUNCTION("""COMPUTED_VALUE"""),"pal")</f>
        <v>pal</v>
      </c>
      <c r="C9589" s="2" t="str">
        <f ca="1">IFERROR(__xludf.DUMMYFUNCTION("""COMPUTED_VALUE"""),"Paladin")</f>
        <v>Paladin</v>
      </c>
    </row>
    <row r="9590" spans="1:3" x14ac:dyDescent="0.25">
      <c r="A9590" s="2" t="str">
        <f ca="1">IFERROR(__xludf.DUMMYFUNCTION("""COMPUTED_VALUE"""),"paladinai")</f>
        <v>paladinai</v>
      </c>
      <c r="B9590" s="2" t="str">
        <f ca="1">IFERROR(__xludf.DUMMYFUNCTION("""COMPUTED_VALUE"""),"palai")</f>
        <v>palai</v>
      </c>
      <c r="C9590" s="2" t="str">
        <f ca="1">IFERROR(__xludf.DUMMYFUNCTION("""COMPUTED_VALUE"""),"PaladinAI")</f>
        <v>PaladinAI</v>
      </c>
    </row>
    <row r="9591" spans="1:3" x14ac:dyDescent="0.25">
      <c r="A9591" s="2" t="str">
        <f ca="1">IFERROR(__xludf.DUMMYFUNCTION("""COMPUTED_VALUE"""),"palantir-tokenized-stock-defichain")</f>
        <v>palantir-tokenized-stock-defichain</v>
      </c>
      <c r="B9591" s="2" t="str">
        <f ca="1">IFERROR(__xludf.DUMMYFUNCTION("""COMPUTED_VALUE"""),"dpltr")</f>
        <v>dpltr</v>
      </c>
      <c r="C9591" s="2" t="str">
        <f ca="1">IFERROR(__xludf.DUMMYFUNCTION("""COMPUTED_VALUE"""),"Palantir Tokenized Stock Defichain")</f>
        <v>Palantir Tokenized Stock Defichain</v>
      </c>
    </row>
    <row r="9592" spans="1:3" x14ac:dyDescent="0.25">
      <c r="A9592" s="2" t="str">
        <f ca="1">IFERROR(__xludf.DUMMYFUNCTION("""COMPUTED_VALUE"""),"palebluedot")</f>
        <v>palebluedot</v>
      </c>
      <c r="B9592" s="2" t="str">
        <f ca="1">IFERROR(__xludf.DUMMYFUNCTION("""COMPUTED_VALUE"""),"earth")</f>
        <v>earth</v>
      </c>
      <c r="C9592" s="2" t="str">
        <f ca="1">IFERROR(__xludf.DUMMYFUNCTION("""COMPUTED_VALUE"""),"PaleBlueDot")</f>
        <v>PaleBlueDot</v>
      </c>
    </row>
    <row r="9593" spans="1:3" x14ac:dyDescent="0.25">
      <c r="A9593" s="2" t="str">
        <f ca="1">IFERROR(__xludf.DUMMYFUNCTION("""COMPUTED_VALUE"""),"palette")</f>
        <v>palette</v>
      </c>
      <c r="B9593" s="2" t="str">
        <f ca="1">IFERROR(__xludf.DUMMYFUNCTION("""COMPUTED_VALUE"""),"plt")</f>
        <v>plt</v>
      </c>
      <c r="C9593" s="2" t="str">
        <f ca="1">IFERROR(__xludf.DUMMYFUNCTION("""COMPUTED_VALUE"""),"Palette")</f>
        <v>Palette</v>
      </c>
    </row>
    <row r="9594" spans="1:3" x14ac:dyDescent="0.25">
      <c r="A9594" s="2" t="str">
        <f ca="1">IFERROR(__xludf.DUMMYFUNCTION("""COMPUTED_VALUE"""),"palette-2")</f>
        <v>palette-2</v>
      </c>
      <c r="B9594" s="2" t="str">
        <f ca="1">IFERROR(__xludf.DUMMYFUNCTION("""COMPUTED_VALUE"""),"plt")</f>
        <v>plt</v>
      </c>
      <c r="C9594" s="2" t="str">
        <f ca="1">IFERROR(__xludf.DUMMYFUNCTION("""COMPUTED_VALUE"""),"Palette")</f>
        <v>Palette</v>
      </c>
    </row>
    <row r="9595" spans="1:3" x14ac:dyDescent="0.25">
      <c r="A9595" s="2" t="str">
        <f ca="1">IFERROR(__xludf.DUMMYFUNCTION("""COMPUTED_VALUE"""),"palgold")</f>
        <v>palgold</v>
      </c>
      <c r="B9595" s="2" t="str">
        <f ca="1">IFERROR(__xludf.DUMMYFUNCTION("""COMPUTED_VALUE"""),"palg")</f>
        <v>palg</v>
      </c>
      <c r="C9595" s="2" t="str">
        <f ca="1">IFERROR(__xludf.DUMMYFUNCTION("""COMPUTED_VALUE"""),"PalGold")</f>
        <v>PalGold</v>
      </c>
    </row>
    <row r="9596" spans="1:3" x14ac:dyDescent="0.25">
      <c r="A9596" s="2" t="str">
        <f ca="1">IFERROR(__xludf.DUMMYFUNCTION("""COMPUTED_VALUE"""),"palm-ai")</f>
        <v>palm-ai</v>
      </c>
      <c r="B9596" s="2" t="str">
        <f ca="1">IFERROR(__xludf.DUMMYFUNCTION("""COMPUTED_VALUE"""),"palm")</f>
        <v>palm</v>
      </c>
      <c r="C9596" s="2" t="str">
        <f ca="1">IFERROR(__xludf.DUMMYFUNCTION("""COMPUTED_VALUE"""),"PaLM AI")</f>
        <v>PaLM AI</v>
      </c>
    </row>
    <row r="9597" spans="1:3" x14ac:dyDescent="0.25">
      <c r="A9597" s="2" t="str">
        <f ca="1">IFERROR(__xludf.DUMMYFUNCTION("""COMPUTED_VALUE"""),"palmeiras-fan-token")</f>
        <v>palmeiras-fan-token</v>
      </c>
      <c r="B9597" s="2" t="str">
        <f ca="1">IFERROR(__xludf.DUMMYFUNCTION("""COMPUTED_VALUE"""),"verdao")</f>
        <v>verdao</v>
      </c>
      <c r="C9597" s="2" t="str">
        <f ca="1">IFERROR(__xludf.DUMMYFUNCTION("""COMPUTED_VALUE"""),"Palmeiras Fan Token")</f>
        <v>Palmeiras Fan Token</v>
      </c>
    </row>
    <row r="9598" spans="1:3" x14ac:dyDescent="0.25">
      <c r="A9598" s="2" t="str">
        <f ca="1">IFERROR(__xludf.DUMMYFUNCTION("""COMPUTED_VALUE"""),"palmpay")</f>
        <v>palmpay</v>
      </c>
      <c r="B9598" s="2" t="str">
        <f ca="1">IFERROR(__xludf.DUMMYFUNCTION("""COMPUTED_VALUE"""),"palm")</f>
        <v>palm</v>
      </c>
      <c r="C9598" s="2" t="str">
        <f ca="1">IFERROR(__xludf.DUMMYFUNCTION("""COMPUTED_VALUE"""),"PalmPay")</f>
        <v>PalmPay</v>
      </c>
    </row>
    <row r="9599" spans="1:3" x14ac:dyDescent="0.25">
      <c r="A9599" s="2" t="str">
        <f ca="1">IFERROR(__xludf.DUMMYFUNCTION("""COMPUTED_VALUE"""),"pambii")</f>
        <v>pambii</v>
      </c>
      <c r="B9599" s="2" t="str">
        <f ca="1">IFERROR(__xludf.DUMMYFUNCTION("""COMPUTED_VALUE"""),"pambii")</f>
        <v>pambii</v>
      </c>
      <c r="C9599" s="2" t="str">
        <f ca="1">IFERROR(__xludf.DUMMYFUNCTION("""COMPUTED_VALUE"""),"PAMBII")</f>
        <v>PAMBII</v>
      </c>
    </row>
    <row r="9600" spans="1:3" x14ac:dyDescent="0.25">
      <c r="A9600" s="2" t="str">
        <f ca="1">IFERROR(__xludf.DUMMYFUNCTION("""COMPUTED_VALUE"""),"panacoin")</f>
        <v>panacoin</v>
      </c>
      <c r="B9600" s="2" t="str">
        <f ca="1">IFERROR(__xludf.DUMMYFUNCTION("""COMPUTED_VALUE"""),"pana")</f>
        <v>pana</v>
      </c>
      <c r="C9600" s="2" t="str">
        <f ca="1">IFERROR(__xludf.DUMMYFUNCTION("""COMPUTED_VALUE"""),"Panacoin")</f>
        <v>Panacoin</v>
      </c>
    </row>
    <row r="9601" spans="1:3" x14ac:dyDescent="0.25">
      <c r="A9601" s="2" t="str">
        <f ca="1">IFERROR(__xludf.DUMMYFUNCTION("""COMPUTED_VALUE"""),"pancake-bunny")</f>
        <v>pancake-bunny</v>
      </c>
      <c r="B9601" s="2" t="str">
        <f ca="1">IFERROR(__xludf.DUMMYFUNCTION("""COMPUTED_VALUE"""),"bunny")</f>
        <v>bunny</v>
      </c>
      <c r="C9601" s="2" t="str">
        <f ca="1">IFERROR(__xludf.DUMMYFUNCTION("""COMPUTED_VALUE"""),"Pancake Bunny")</f>
        <v>Pancake Bunny</v>
      </c>
    </row>
    <row r="9602" spans="1:3" x14ac:dyDescent="0.25">
      <c r="A9602" s="2" t="str">
        <f ca="1">IFERROR(__xludf.DUMMYFUNCTION("""COMPUTED_VALUE"""),"pancake-games")</f>
        <v>pancake-games</v>
      </c>
      <c r="B9602" s="2" t="str">
        <f ca="1">IFERROR(__xludf.DUMMYFUNCTION("""COMPUTED_VALUE"""),"gcake")</f>
        <v>gcake</v>
      </c>
      <c r="C9602" s="2" t="str">
        <f ca="1">IFERROR(__xludf.DUMMYFUNCTION("""COMPUTED_VALUE"""),"Pancake Games")</f>
        <v>Pancake Games</v>
      </c>
    </row>
    <row r="9603" spans="1:3" x14ac:dyDescent="0.25">
      <c r="A9603" s="2" t="str">
        <f ca="1">IFERROR(__xludf.DUMMYFUNCTION("""COMPUTED_VALUE"""),"pancake-hunny")</f>
        <v>pancake-hunny</v>
      </c>
      <c r="B9603" s="2" t="str">
        <f ca="1">IFERROR(__xludf.DUMMYFUNCTION("""COMPUTED_VALUE"""),"hunny")</f>
        <v>hunny</v>
      </c>
      <c r="C9603" s="2" t="str">
        <f ca="1">IFERROR(__xludf.DUMMYFUNCTION("""COMPUTED_VALUE"""),"Hunny Finance")</f>
        <v>Hunny Finance</v>
      </c>
    </row>
    <row r="9604" spans="1:3" x14ac:dyDescent="0.25">
      <c r="A9604" s="2" t="str">
        <f ca="1">IFERROR(__xludf.DUMMYFUNCTION("""COMPUTED_VALUE"""),"pancakeswap-token")</f>
        <v>pancakeswap-token</v>
      </c>
      <c r="B9604" s="2" t="str">
        <f ca="1">IFERROR(__xludf.DUMMYFUNCTION("""COMPUTED_VALUE"""),"cake")</f>
        <v>cake</v>
      </c>
      <c r="C9604" s="2" t="str">
        <f ca="1">IFERROR(__xludf.DUMMYFUNCTION("""COMPUTED_VALUE"""),"PancakeSwap")</f>
        <v>PancakeSwap</v>
      </c>
    </row>
    <row r="9605" spans="1:3" x14ac:dyDescent="0.25">
      <c r="A9605" s="2" t="str">
        <f ca="1">IFERROR(__xludf.DUMMYFUNCTION("""COMPUTED_VALUE"""),"panda")</f>
        <v>panda</v>
      </c>
      <c r="B9605" s="2" t="str">
        <f ca="1">IFERROR(__xludf.DUMMYFUNCTION("""COMPUTED_VALUE"""),"ptkn")</f>
        <v>ptkn</v>
      </c>
      <c r="C9605" s="2" t="str">
        <f ca="1">IFERROR(__xludf.DUMMYFUNCTION("""COMPUTED_VALUE"""),"Panda")</f>
        <v>Panda</v>
      </c>
    </row>
    <row r="9606" spans="1:3" x14ac:dyDescent="0.25">
      <c r="A9606" s="2" t="str">
        <f ca="1">IFERROR(__xludf.DUMMYFUNCTION("""COMPUTED_VALUE"""),"panda-2")</f>
        <v>panda-2</v>
      </c>
      <c r="B9606" s="2" t="str">
        <f ca="1">IFERROR(__xludf.DUMMYFUNCTION("""COMPUTED_VALUE"""),"panda")</f>
        <v>panda</v>
      </c>
      <c r="C9606" s="2" t="str">
        <f ca="1">IFERROR(__xludf.DUMMYFUNCTION("""COMPUTED_VALUE"""),"Panda")</f>
        <v>Panda</v>
      </c>
    </row>
    <row r="9607" spans="1:3" x14ac:dyDescent="0.25">
      <c r="A9607" s="2" t="str">
        <f ca="1">IFERROR(__xludf.DUMMYFUNCTION("""COMPUTED_VALUE"""),"pandacoin")</f>
        <v>pandacoin</v>
      </c>
      <c r="B9607" s="2" t="str">
        <f ca="1">IFERROR(__xludf.DUMMYFUNCTION("""COMPUTED_VALUE"""),"pnd")</f>
        <v>pnd</v>
      </c>
      <c r="C9607" s="2" t="str">
        <f ca="1">IFERROR(__xludf.DUMMYFUNCTION("""COMPUTED_VALUE"""),"Pandacoin")</f>
        <v>Pandacoin</v>
      </c>
    </row>
    <row r="9608" spans="1:3" x14ac:dyDescent="0.25">
      <c r="A9608" s="2" t="str">
        <f ca="1">IFERROR(__xludf.DUMMYFUNCTION("""COMPUTED_VALUE"""),"panda-coin")</f>
        <v>panda-coin</v>
      </c>
      <c r="B9608" s="2" t="str">
        <f ca="1">IFERROR(__xludf.DUMMYFUNCTION("""COMPUTED_VALUE"""),"panda")</f>
        <v>panda</v>
      </c>
      <c r="C9608" s="2" t="str">
        <f ca="1">IFERROR(__xludf.DUMMYFUNCTION("""COMPUTED_VALUE"""),"Panda Coin")</f>
        <v>Panda Coin</v>
      </c>
    </row>
    <row r="9609" spans="1:3" x14ac:dyDescent="0.25">
      <c r="A9609" s="2" t="str">
        <f ca="1">IFERROR(__xludf.DUMMYFUNCTION("""COMPUTED_VALUE"""),"pandacoin-inu")</f>
        <v>pandacoin-inu</v>
      </c>
      <c r="B9609" s="2" t="str">
        <f ca="1">IFERROR(__xludf.DUMMYFUNCTION("""COMPUTED_VALUE"""),"panda")</f>
        <v>panda</v>
      </c>
      <c r="C9609" s="2" t="str">
        <f ca="1">IFERROR(__xludf.DUMMYFUNCTION("""COMPUTED_VALUE"""),"Pandacoin Inu")</f>
        <v>Pandacoin Inu</v>
      </c>
    </row>
    <row r="9610" spans="1:3" x14ac:dyDescent="0.25">
      <c r="A9610" s="2" t="str">
        <f ca="1">IFERROR(__xludf.DUMMYFUNCTION("""COMPUTED_VALUE"""),"pandadao")</f>
        <v>pandadao</v>
      </c>
      <c r="B9610" s="2" t="str">
        <f ca="1">IFERROR(__xludf.DUMMYFUNCTION("""COMPUTED_VALUE"""),"panda")</f>
        <v>panda</v>
      </c>
      <c r="C9610" s="2" t="str">
        <f ca="1">IFERROR(__xludf.DUMMYFUNCTION("""COMPUTED_VALUE"""),"PandaDAO")</f>
        <v>PandaDAO</v>
      </c>
    </row>
    <row r="9611" spans="1:3" x14ac:dyDescent="0.25">
      <c r="A9611" s="2" t="str">
        <f ca="1">IFERROR(__xludf.DUMMYFUNCTION("""COMPUTED_VALUE"""),"pandafi")</f>
        <v>pandafi</v>
      </c>
      <c r="B9611" s="2" t="str">
        <f ca="1">IFERROR(__xludf.DUMMYFUNCTION("""COMPUTED_VALUE"""),"pfi")</f>
        <v>pfi</v>
      </c>
      <c r="C9611" s="2" t="str">
        <f ca="1">IFERROR(__xludf.DUMMYFUNCTION("""COMPUTED_VALUE"""),"PandaFi")</f>
        <v>PandaFi</v>
      </c>
    </row>
    <row r="9612" spans="1:3" x14ac:dyDescent="0.25">
      <c r="A9612" s="2" t="str">
        <f ca="1">IFERROR(__xludf.DUMMYFUNCTION("""COMPUTED_VALUE"""),"pandarea")</f>
        <v>pandarea</v>
      </c>
      <c r="B9612" s="2" t="str">
        <f ca="1">IFERROR(__xludf.DUMMYFUNCTION("""COMPUTED_VALUE"""),"panda")</f>
        <v>panda</v>
      </c>
      <c r="C9612" s="2" t="str">
        <f ca="1">IFERROR(__xludf.DUMMYFUNCTION("""COMPUTED_VALUE"""),"Pandarea")</f>
        <v>Pandarea</v>
      </c>
    </row>
    <row r="9613" spans="1:3" x14ac:dyDescent="0.25">
      <c r="A9613" s="2" t="str">
        <f ca="1">IFERROR(__xludf.DUMMYFUNCTION("""COMPUTED_VALUE"""),"panda-swap")</f>
        <v>panda-swap</v>
      </c>
      <c r="B9613" s="2" t="str">
        <f ca="1">IFERROR(__xludf.DUMMYFUNCTION("""COMPUTED_VALUE"""),"panda")</f>
        <v>panda</v>
      </c>
      <c r="C9613" s="2" t="str">
        <f ca="1">IFERROR(__xludf.DUMMYFUNCTION("""COMPUTED_VALUE"""),"Panda Swap")</f>
        <v>Panda Swap</v>
      </c>
    </row>
    <row r="9614" spans="1:3" x14ac:dyDescent="0.25">
      <c r="A9614" s="2" t="str">
        <f ca="1">IFERROR(__xludf.DUMMYFUNCTION("""COMPUTED_VALUE"""),"pandemic-diamond")</f>
        <v>pandemic-diamond</v>
      </c>
      <c r="B9614" s="2" t="str">
        <f ca="1">IFERROR(__xludf.DUMMYFUNCTION("""COMPUTED_VALUE"""),"pmd")</f>
        <v>pmd</v>
      </c>
      <c r="C9614" s="2" t="str">
        <f ca="1">IFERROR(__xludf.DUMMYFUNCTION("""COMPUTED_VALUE"""),"Pandemic Diamond")</f>
        <v>Pandemic Diamond</v>
      </c>
    </row>
    <row r="9615" spans="1:3" x14ac:dyDescent="0.25">
      <c r="A9615" s="2" t="str">
        <f ca="1">IFERROR(__xludf.DUMMYFUNCTION("""COMPUTED_VALUE"""),"pando")</f>
        <v>pando</v>
      </c>
      <c r="B9615" s="2" t="str">
        <f ca="1">IFERROR(__xludf.DUMMYFUNCTION("""COMPUTED_VALUE"""),"pando")</f>
        <v>pando</v>
      </c>
      <c r="C9615" s="2" t="str">
        <f ca="1">IFERROR(__xludf.DUMMYFUNCTION("""COMPUTED_VALUE"""),"Pando")</f>
        <v>Pando</v>
      </c>
    </row>
    <row r="9616" spans="1:3" x14ac:dyDescent="0.25">
      <c r="A9616" s="2" t="str">
        <f ca="1">IFERROR(__xludf.DUMMYFUNCTION("""COMPUTED_VALUE"""),"pandora")</f>
        <v>pandora</v>
      </c>
      <c r="B9616" s="2" t="str">
        <f ca="1">IFERROR(__xludf.DUMMYFUNCTION("""COMPUTED_VALUE"""),"pandora")</f>
        <v>pandora</v>
      </c>
      <c r="C9616" s="2" t="str">
        <f ca="1">IFERROR(__xludf.DUMMYFUNCTION("""COMPUTED_VALUE"""),"Pandora")</f>
        <v>Pandora</v>
      </c>
    </row>
    <row r="9617" spans="1:3" x14ac:dyDescent="0.25">
      <c r="A9617" s="2" t="str">
        <f ca="1">IFERROR(__xludf.DUMMYFUNCTION("""COMPUTED_VALUE"""),"pandora-finance")</f>
        <v>pandora-finance</v>
      </c>
      <c r="B9617" s="2" t="str">
        <f ca="1">IFERROR(__xludf.DUMMYFUNCTION("""COMPUTED_VALUE"""),"pan")</f>
        <v>pan</v>
      </c>
      <c r="C9617" s="2" t="str">
        <f ca="1">IFERROR(__xludf.DUMMYFUNCTION("""COMPUTED_VALUE"""),"Pandora Finance")</f>
        <v>Pandora Finance</v>
      </c>
    </row>
    <row r="9618" spans="1:3" x14ac:dyDescent="0.25">
      <c r="A9618" s="2" t="str">
        <f ca="1">IFERROR(__xludf.DUMMYFUNCTION("""COMPUTED_VALUE"""),"pandora-protocol")</f>
        <v>pandora-protocol</v>
      </c>
      <c r="B9618" s="2" t="str">
        <f ca="1">IFERROR(__xludf.DUMMYFUNCTION("""COMPUTED_VALUE"""),"pndr")</f>
        <v>pndr</v>
      </c>
      <c r="C9618" s="2" t="str">
        <f ca="1">IFERROR(__xludf.DUMMYFUNCTION("""COMPUTED_VALUE"""),"Pandora Finance")</f>
        <v>Pandora Finance</v>
      </c>
    </row>
    <row r="9619" spans="1:3" x14ac:dyDescent="0.25">
      <c r="A9619" s="2" t="str">
        <f ca="1">IFERROR(__xludf.DUMMYFUNCTION("""COMPUTED_VALUE"""),"pando-token")</f>
        <v>pando-token</v>
      </c>
      <c r="B9619" s="2" t="str">
        <f ca="1">IFERROR(__xludf.DUMMYFUNCTION("""COMPUTED_VALUE"""),"ptx")</f>
        <v>ptx</v>
      </c>
      <c r="C9619" s="2" t="str">
        <f ca="1">IFERROR(__xludf.DUMMYFUNCTION("""COMPUTED_VALUE"""),"PandoProject")</f>
        <v>PandoProject</v>
      </c>
    </row>
    <row r="9620" spans="1:3" x14ac:dyDescent="0.25">
      <c r="A9620" s="2" t="str">
        <f ca="1">IFERROR(__xludf.DUMMYFUNCTION("""COMPUTED_VALUE"""),"pangea-governance-token")</f>
        <v>pangea-governance-token</v>
      </c>
      <c r="B9620" s="2" t="str">
        <f ca="1">IFERROR(__xludf.DUMMYFUNCTION("""COMPUTED_VALUE"""),"stone")</f>
        <v>stone</v>
      </c>
      <c r="C9620" s="2" t="str">
        <f ca="1">IFERROR(__xludf.DUMMYFUNCTION("""COMPUTED_VALUE"""),"PANGEA GOVERNANCE TOKEN")</f>
        <v>PANGEA GOVERNANCE TOKEN</v>
      </c>
    </row>
    <row r="9621" spans="1:3" x14ac:dyDescent="0.25">
      <c r="A9621" s="2" t="str">
        <f ca="1">IFERROR(__xludf.DUMMYFUNCTION("""COMPUTED_VALUE"""),"pangolin")</f>
        <v>pangolin</v>
      </c>
      <c r="B9621" s="2" t="str">
        <f ca="1">IFERROR(__xludf.DUMMYFUNCTION("""COMPUTED_VALUE"""),"png")</f>
        <v>png</v>
      </c>
      <c r="C9621" s="2" t="str">
        <f ca="1">IFERROR(__xludf.DUMMYFUNCTION("""COMPUTED_VALUE"""),"Pangolin")</f>
        <v>Pangolin</v>
      </c>
    </row>
    <row r="9622" spans="1:3" x14ac:dyDescent="0.25">
      <c r="A9622" s="2" t="str">
        <f ca="1">IFERROR(__xludf.DUMMYFUNCTION("""COMPUTED_VALUE"""),"pangolin-flare")</f>
        <v>pangolin-flare</v>
      </c>
      <c r="B9622" s="2" t="str">
        <f ca="1">IFERROR(__xludf.DUMMYFUNCTION("""COMPUTED_VALUE"""),"pfl")</f>
        <v>pfl</v>
      </c>
      <c r="C9622" s="2" t="str">
        <f ca="1">IFERROR(__xludf.DUMMYFUNCTION("""COMPUTED_VALUE"""),"Pangolin Flare")</f>
        <v>Pangolin Flare</v>
      </c>
    </row>
    <row r="9623" spans="1:3" x14ac:dyDescent="0.25">
      <c r="A9623" s="2" t="str">
        <f ca="1">IFERROR(__xludf.DUMMYFUNCTION("""COMPUTED_VALUE"""),"pangolin-hedera")</f>
        <v>pangolin-hedera</v>
      </c>
      <c r="B9623" s="2" t="str">
        <f ca="1">IFERROR(__xludf.DUMMYFUNCTION("""COMPUTED_VALUE"""),"pbar")</f>
        <v>pbar</v>
      </c>
      <c r="C9623" s="2" t="str">
        <f ca="1">IFERROR(__xludf.DUMMYFUNCTION("""COMPUTED_VALUE"""),"Pangolin Hedera")</f>
        <v>Pangolin Hedera</v>
      </c>
    </row>
    <row r="9624" spans="1:3" x14ac:dyDescent="0.25">
      <c r="A9624" s="2" t="str">
        <f ca="1">IFERROR(__xludf.DUMMYFUNCTION("""COMPUTED_VALUE"""),"pangolin-songbird")</f>
        <v>pangolin-songbird</v>
      </c>
      <c r="B9624" s="2" t="str">
        <f ca="1">IFERROR(__xludf.DUMMYFUNCTION("""COMPUTED_VALUE"""),"psb")</f>
        <v>psb</v>
      </c>
      <c r="C9624" s="2" t="str">
        <f ca="1">IFERROR(__xludf.DUMMYFUNCTION("""COMPUTED_VALUE"""),"Pangolin Songbird")</f>
        <v>Pangolin Songbird</v>
      </c>
    </row>
    <row r="9625" spans="1:3" x14ac:dyDescent="0.25">
      <c r="A9625" s="2" t="str">
        <f ca="1">IFERROR(__xludf.DUMMYFUNCTION("""COMPUTED_VALUE"""),"panicswap")</f>
        <v>panicswap</v>
      </c>
      <c r="B9625" s="2" t="str">
        <f ca="1">IFERROR(__xludf.DUMMYFUNCTION("""COMPUTED_VALUE"""),"panic")</f>
        <v>panic</v>
      </c>
      <c r="C9625" s="2" t="str">
        <f ca="1">IFERROR(__xludf.DUMMYFUNCTION("""COMPUTED_VALUE"""),"PanicSwap")</f>
        <v>PanicSwap</v>
      </c>
    </row>
    <row r="9626" spans="1:3" x14ac:dyDescent="0.25">
      <c r="A9626" s="2" t="str">
        <f ca="1">IFERROR(__xludf.DUMMYFUNCTION("""COMPUTED_VALUE"""),"panjea")</f>
        <v>panjea</v>
      </c>
      <c r="B9626" s="2" t="str">
        <f ca="1">IFERROR(__xludf.DUMMYFUNCTION("""COMPUTED_VALUE"""),"panj")</f>
        <v>panj</v>
      </c>
      <c r="C9626" s="2" t="str">
        <f ca="1">IFERROR(__xludf.DUMMYFUNCTION("""COMPUTED_VALUE"""),"Panjea")</f>
        <v>Panjea</v>
      </c>
    </row>
    <row r="9627" spans="1:3" x14ac:dyDescent="0.25">
      <c r="A9627" s="2" t="str">
        <f ca="1">IFERROR(__xludf.DUMMYFUNCTION("""COMPUTED_VALUE"""),"pankito")</f>
        <v>pankito</v>
      </c>
      <c r="B9627" s="2" t="str">
        <f ca="1">IFERROR(__xludf.DUMMYFUNCTION("""COMPUTED_VALUE"""),"pan")</f>
        <v>pan</v>
      </c>
      <c r="C9627" s="2" t="str">
        <f ca="1">IFERROR(__xludf.DUMMYFUNCTION("""COMPUTED_VALUE"""),"Pankito")</f>
        <v>Pankito</v>
      </c>
    </row>
    <row r="9628" spans="1:3" x14ac:dyDescent="0.25">
      <c r="A9628" s="2" t="str">
        <f ca="1">IFERROR(__xludf.DUMMYFUNCTION("""COMPUTED_VALUE"""),"pankuku")</f>
        <v>pankuku</v>
      </c>
      <c r="B9628" s="2" t="str">
        <f ca="1">IFERROR(__xludf.DUMMYFUNCTION("""COMPUTED_VALUE"""),"kuku")</f>
        <v>kuku</v>
      </c>
      <c r="C9628" s="2" t="str">
        <f ca="1">IFERROR(__xludf.DUMMYFUNCTION("""COMPUTED_VALUE"""),"panKUKU")</f>
        <v>panKUKU</v>
      </c>
    </row>
    <row r="9629" spans="1:3" x14ac:dyDescent="0.25">
      <c r="A9629" s="2" t="str">
        <f ca="1">IFERROR(__xludf.DUMMYFUNCTION("""COMPUTED_VALUE"""),"panorama-swap-token")</f>
        <v>panorama-swap-token</v>
      </c>
      <c r="B9629" s="2" t="str">
        <f ca="1">IFERROR(__xludf.DUMMYFUNCTION("""COMPUTED_VALUE"""),"panx")</f>
        <v>panx</v>
      </c>
      <c r="C9629" s="2" t="str">
        <f ca="1">IFERROR(__xludf.DUMMYFUNCTION("""COMPUTED_VALUE"""),"Panorama Swap Token")</f>
        <v>Panorama Swap Token</v>
      </c>
    </row>
    <row r="9630" spans="1:3" x14ac:dyDescent="0.25">
      <c r="A9630" s="2" t="str">
        <f ca="1">IFERROR(__xludf.DUMMYFUNCTION("""COMPUTED_VALUE"""),"panoverse")</f>
        <v>panoverse</v>
      </c>
      <c r="B9630" s="2" t="str">
        <f ca="1">IFERROR(__xludf.DUMMYFUNCTION("""COMPUTED_VALUE"""),"pano")</f>
        <v>pano</v>
      </c>
      <c r="C9630" s="2" t="str">
        <f ca="1">IFERROR(__xludf.DUMMYFUNCTION("""COMPUTED_VALUE"""),"PanoVerse")</f>
        <v>PanoVerse</v>
      </c>
    </row>
    <row r="9631" spans="1:3" x14ac:dyDescent="0.25">
      <c r="A9631" s="2" t="str">
        <f ca="1">IFERROR(__xludf.DUMMYFUNCTION("""COMPUTED_VALUE"""),"panther")</f>
        <v>panther</v>
      </c>
      <c r="B9631" s="2" t="str">
        <f ca="1">IFERROR(__xludf.DUMMYFUNCTION("""COMPUTED_VALUE"""),"zkp")</f>
        <v>zkp</v>
      </c>
      <c r="C9631" s="2" t="str">
        <f ca="1">IFERROR(__xludf.DUMMYFUNCTION("""COMPUTED_VALUE"""),"Panther Protocol")</f>
        <v>Panther Protocol</v>
      </c>
    </row>
    <row r="9632" spans="1:3" x14ac:dyDescent="0.25">
      <c r="A9632" s="2" t="str">
        <f ca="1">IFERROR(__xludf.DUMMYFUNCTION("""COMPUTED_VALUE"""),"panties")</f>
        <v>panties</v>
      </c>
      <c r="B9632" s="2" t="str">
        <f ca="1">IFERROR(__xludf.DUMMYFUNCTION("""COMPUTED_VALUE"""),"panties")</f>
        <v>panties</v>
      </c>
      <c r="C9632" s="2" t="str">
        <f ca="1">IFERROR(__xludf.DUMMYFUNCTION("""COMPUTED_VALUE"""),"PANTIES")</f>
        <v>PANTIES</v>
      </c>
    </row>
    <row r="9633" spans="1:3" x14ac:dyDescent="0.25">
      <c r="A9633" s="2" t="str">
        <f ca="1">IFERROR(__xludf.DUMMYFUNCTION("""COMPUTED_VALUE"""),"pantos")</f>
        <v>pantos</v>
      </c>
      <c r="B9633" s="2" t="str">
        <f ca="1">IFERROR(__xludf.DUMMYFUNCTION("""COMPUTED_VALUE"""),"pan")</f>
        <v>pan</v>
      </c>
      <c r="C9633" s="2" t="str">
        <f ca="1">IFERROR(__xludf.DUMMYFUNCTION("""COMPUTED_VALUE"""),"Pantos")</f>
        <v>Pantos</v>
      </c>
    </row>
    <row r="9634" spans="1:3" x14ac:dyDescent="0.25">
      <c r="A9634" s="2" t="str">
        <f ca="1">IFERROR(__xludf.DUMMYFUNCTION("""COMPUTED_VALUE"""),"papa-bear-2")</f>
        <v>papa-bear-2</v>
      </c>
      <c r="B9634" s="2" t="str">
        <f ca="1">IFERROR(__xludf.DUMMYFUNCTION("""COMPUTED_VALUE"""),"papa")</f>
        <v>papa</v>
      </c>
      <c r="C9634" s="2" t="str">
        <f ca="1">IFERROR(__xludf.DUMMYFUNCTION("""COMPUTED_VALUE"""),"PAPA BEAR")</f>
        <v>PAPA BEAR</v>
      </c>
    </row>
    <row r="9635" spans="1:3" x14ac:dyDescent="0.25">
      <c r="A9635" s="2" t="str">
        <f ca="1">IFERROR(__xludf.DUMMYFUNCTION("""COMPUTED_VALUE"""),"papa-doge")</f>
        <v>papa-doge</v>
      </c>
      <c r="B9635" s="2" t="str">
        <f ca="1">IFERROR(__xludf.DUMMYFUNCTION("""COMPUTED_VALUE"""),"papadoge")</f>
        <v>papadoge</v>
      </c>
      <c r="C9635" s="2" t="str">
        <f ca="1">IFERROR(__xludf.DUMMYFUNCTION("""COMPUTED_VALUE"""),"Papa Doge")</f>
        <v>Papa Doge</v>
      </c>
    </row>
    <row r="9636" spans="1:3" x14ac:dyDescent="0.25">
      <c r="A9636" s="2" t="str">
        <f ca="1">IFERROR(__xludf.DUMMYFUNCTION("""COMPUTED_VALUE"""),"papa-on-sol")</f>
        <v>papa-on-sol</v>
      </c>
      <c r="B9636" s="2" t="str">
        <f ca="1">IFERROR(__xludf.DUMMYFUNCTION("""COMPUTED_VALUE"""),"papa")</f>
        <v>papa</v>
      </c>
      <c r="C9636" s="2" t="str">
        <f ca="1">IFERROR(__xludf.DUMMYFUNCTION("""COMPUTED_VALUE"""),"PAPA on SOL")</f>
        <v>PAPA on SOL</v>
      </c>
    </row>
    <row r="9637" spans="1:3" x14ac:dyDescent="0.25">
      <c r="A9637" s="2" t="str">
        <f ca="1">IFERROR(__xludf.DUMMYFUNCTION("""COMPUTED_VALUE"""),"papa-trump")</f>
        <v>papa-trump</v>
      </c>
      <c r="B9637" s="2" t="str">
        <f ca="1">IFERROR(__xludf.DUMMYFUNCTION("""COMPUTED_VALUE"""),"ppt")</f>
        <v>ppt</v>
      </c>
      <c r="C9637" s="2" t="str">
        <f ca="1">IFERROR(__xludf.DUMMYFUNCTION("""COMPUTED_VALUE"""),"PAPA Trump")</f>
        <v>PAPA Trump</v>
      </c>
    </row>
    <row r="9638" spans="1:3" x14ac:dyDescent="0.25">
      <c r="A9638" s="2" t="str">
        <f ca="1">IFERROR(__xludf.DUMMYFUNCTION("""COMPUTED_VALUE"""),"paper-fantom")</f>
        <v>paper-fantom</v>
      </c>
      <c r="B9638" s="2" t="str">
        <f ca="1">IFERROR(__xludf.DUMMYFUNCTION("""COMPUTED_VALUE"""),"paper")</f>
        <v>paper</v>
      </c>
      <c r="C9638" s="2" t="str">
        <f ca="1">IFERROR(__xludf.DUMMYFUNCTION("""COMPUTED_VALUE"""),"Paper")</f>
        <v>Paper</v>
      </c>
    </row>
    <row r="9639" spans="1:3" x14ac:dyDescent="0.25">
      <c r="A9639" s="2" t="str">
        <f ca="1">IFERROR(__xludf.DUMMYFUNCTION("""COMPUTED_VALUE"""),"paper-plane")</f>
        <v>paper-plane</v>
      </c>
      <c r="B9639" s="2" t="str">
        <f ca="1">IFERROR(__xludf.DUMMYFUNCTION("""COMPUTED_VALUE"""),"plane")</f>
        <v>plane</v>
      </c>
      <c r="C9639" s="2" t="str">
        <f ca="1">IFERROR(__xludf.DUMMYFUNCTION("""COMPUTED_VALUE"""),"Paper Plane")</f>
        <v>Paper Plane</v>
      </c>
    </row>
    <row r="9640" spans="1:3" x14ac:dyDescent="0.25">
      <c r="A9640" s="2" t="str">
        <f ca="1">IFERROR(__xludf.DUMMYFUNCTION("""COMPUTED_VALUE"""),"papichulo")</f>
        <v>papichulo</v>
      </c>
      <c r="B9640" s="2" t="str">
        <f ca="1">IFERROR(__xludf.DUMMYFUNCTION("""COMPUTED_VALUE"""),"chulo")</f>
        <v>chulo</v>
      </c>
      <c r="C9640" s="2" t="str">
        <f ca="1">IFERROR(__xludf.DUMMYFUNCTION("""COMPUTED_VALUE"""),"Papichulo")</f>
        <v>Papichulo</v>
      </c>
    </row>
    <row r="9641" spans="1:3" x14ac:dyDescent="0.25">
      <c r="A9641" s="2" t="str">
        <f ca="1">IFERROR(__xludf.DUMMYFUNCTION("""COMPUTED_VALUE"""),"papi-eth")</f>
        <v>papi-eth</v>
      </c>
      <c r="B9641" s="2" t="str">
        <f ca="1">IFERROR(__xludf.DUMMYFUNCTION("""COMPUTED_VALUE"""),"papi")</f>
        <v>papi</v>
      </c>
      <c r="C9641" s="2" t="str">
        <f ca="1">IFERROR(__xludf.DUMMYFUNCTION("""COMPUTED_VALUE"""),"PAPI (ETH)")</f>
        <v>PAPI (ETH)</v>
      </c>
    </row>
    <row r="9642" spans="1:3" x14ac:dyDescent="0.25">
      <c r="A9642" s="2" t="str">
        <f ca="1">IFERROR(__xludf.DUMMYFUNCTION("""COMPUTED_VALUE"""),"papocoin")</f>
        <v>papocoin</v>
      </c>
      <c r="B9642" s="2" t="str">
        <f ca="1">IFERROR(__xludf.DUMMYFUNCTION("""COMPUTED_VALUE"""),"papo")</f>
        <v>papo</v>
      </c>
      <c r="C9642" s="2" t="str">
        <f ca="1">IFERROR(__xludf.DUMMYFUNCTION("""COMPUTED_VALUE"""),"PapoCoin")</f>
        <v>PapoCoin</v>
      </c>
    </row>
    <row r="9643" spans="1:3" x14ac:dyDescent="0.25">
      <c r="A9643" s="2" t="str">
        <f ca="1">IFERROR(__xludf.DUMMYFUNCTION("""COMPUTED_VALUE"""),"papparico-finance-token")</f>
        <v>papparico-finance-token</v>
      </c>
      <c r="B9643" s="2" t="str">
        <f ca="1">IFERROR(__xludf.DUMMYFUNCTION("""COMPUTED_VALUE"""),"ppft")</f>
        <v>ppft</v>
      </c>
      <c r="C9643" s="2" t="str">
        <f ca="1">IFERROR(__xludf.DUMMYFUNCTION("""COMPUTED_VALUE"""),"Papparico Finance Token")</f>
        <v>Papparico Finance Token</v>
      </c>
    </row>
    <row r="9644" spans="1:3" x14ac:dyDescent="0.25">
      <c r="A9644" s="2" t="str">
        <f ca="1">IFERROR(__xludf.DUMMYFUNCTION("""COMPUTED_VALUE"""),"papu-token")</f>
        <v>papu-token</v>
      </c>
      <c r="B9644" s="2" t="str">
        <f ca="1">IFERROR(__xludf.DUMMYFUNCTION("""COMPUTED_VALUE"""),"papu")</f>
        <v>papu</v>
      </c>
      <c r="C9644" s="2" t="str">
        <f ca="1">IFERROR(__xludf.DUMMYFUNCTION("""COMPUTED_VALUE"""),"Papu Token")</f>
        <v>Papu Token</v>
      </c>
    </row>
    <row r="9645" spans="1:3" x14ac:dyDescent="0.25">
      <c r="A9645" s="2" t="str">
        <f ca="1">IFERROR(__xludf.DUMMYFUNCTION("""COMPUTED_VALUE"""),"papyrus-2")</f>
        <v>papyrus-2</v>
      </c>
      <c r="B9645" s="2" t="str">
        <f ca="1">IFERROR(__xludf.DUMMYFUNCTION("""COMPUTED_VALUE"""),"pap")</f>
        <v>pap</v>
      </c>
      <c r="C9645" s="2" t="str">
        <f ca="1">IFERROR(__xludf.DUMMYFUNCTION("""COMPUTED_VALUE"""),"PAPYRUS")</f>
        <v>PAPYRUS</v>
      </c>
    </row>
    <row r="9646" spans="1:3" x14ac:dyDescent="0.25">
      <c r="A9646" s="2" t="str">
        <f ca="1">IFERROR(__xludf.DUMMYFUNCTION("""COMPUTED_VALUE"""),"papyrus-swap")</f>
        <v>papyrus-swap</v>
      </c>
      <c r="B9646" s="2" t="str">
        <f ca="1">IFERROR(__xludf.DUMMYFUNCTION("""COMPUTED_VALUE"""),"papyrus")</f>
        <v>papyrus</v>
      </c>
      <c r="C9646" s="2" t="str">
        <f ca="1">IFERROR(__xludf.DUMMYFUNCTION("""COMPUTED_VALUE"""),"Papyrus Swap")</f>
        <v>Papyrus Swap</v>
      </c>
    </row>
    <row r="9647" spans="1:3" x14ac:dyDescent="0.25">
      <c r="A9647" s="2" t="str">
        <f ca="1">IFERROR(__xludf.DUMMYFUNCTION("""COMPUTED_VALUE"""),"parachute")</f>
        <v>parachute</v>
      </c>
      <c r="B9647" s="2" t="str">
        <f ca="1">IFERROR(__xludf.DUMMYFUNCTION("""COMPUTED_VALUE"""),"par")</f>
        <v>par</v>
      </c>
      <c r="C9647" s="2" t="str">
        <f ca="1">IFERROR(__xludf.DUMMYFUNCTION("""COMPUTED_VALUE"""),"Parachute")</f>
        <v>Parachute</v>
      </c>
    </row>
    <row r="9648" spans="1:3" x14ac:dyDescent="0.25">
      <c r="A9648" s="2" t="str">
        <f ca="1">IFERROR(__xludf.DUMMYFUNCTION("""COMPUTED_VALUE"""),"paradisefi")</f>
        <v>paradisefi</v>
      </c>
      <c r="B9648" s="2" t="str">
        <f ca="1">IFERROR(__xludf.DUMMYFUNCTION("""COMPUTED_VALUE"""),"eden")</f>
        <v>eden</v>
      </c>
      <c r="C9648" s="2" t="str">
        <f ca="1">IFERROR(__xludf.DUMMYFUNCTION("""COMPUTED_VALUE"""),"ParadiseFi")</f>
        <v>ParadiseFi</v>
      </c>
    </row>
    <row r="9649" spans="1:3" x14ac:dyDescent="0.25">
      <c r="A9649" s="2" t="str">
        <f ca="1">IFERROR(__xludf.DUMMYFUNCTION("""COMPUTED_VALUE"""),"paradox-2")</f>
        <v>paradox-2</v>
      </c>
      <c r="B9649" s="2" t="str">
        <f ca="1">IFERROR(__xludf.DUMMYFUNCTION("""COMPUTED_VALUE"""),"pdx")</f>
        <v>pdx</v>
      </c>
      <c r="C9649" s="2" t="str">
        <f ca="1">IFERROR(__xludf.DUMMYFUNCTION("""COMPUTED_VALUE"""),"Paradox")</f>
        <v>Paradox</v>
      </c>
    </row>
    <row r="9650" spans="1:3" x14ac:dyDescent="0.25">
      <c r="A9650" s="2" t="str">
        <f ca="1">IFERROR(__xludf.DUMMYFUNCTION("""COMPUTED_VALUE"""),"paragen")</f>
        <v>paragen</v>
      </c>
      <c r="B9650" s="2" t="str">
        <f ca="1">IFERROR(__xludf.DUMMYFUNCTION("""COMPUTED_VALUE"""),"rgen")</f>
        <v>rgen</v>
      </c>
      <c r="C9650" s="2" t="str">
        <f ca="1">IFERROR(__xludf.DUMMYFUNCTION("""COMPUTED_VALUE"""),"Paragen")</f>
        <v>Paragen</v>
      </c>
    </row>
    <row r="9651" spans="1:3" x14ac:dyDescent="0.25">
      <c r="A9651" s="2" t="str">
        <f ca="1">IFERROR(__xludf.DUMMYFUNCTION("""COMPUTED_VALUE"""),"paragon-network")</f>
        <v>paragon-network</v>
      </c>
      <c r="B9651" s="2" t="str">
        <f ca="1">IFERROR(__xludf.DUMMYFUNCTION("""COMPUTED_VALUE"""),"para")</f>
        <v>para</v>
      </c>
      <c r="C9651" s="2" t="str">
        <f ca="1">IFERROR(__xludf.DUMMYFUNCTION("""COMPUTED_VALUE"""),"Paragon Network")</f>
        <v>Paragon Network</v>
      </c>
    </row>
    <row r="9652" spans="1:3" x14ac:dyDescent="0.25">
      <c r="A9652" s="2" t="str">
        <f ca="1">IFERROR(__xludf.DUMMYFUNCTION("""COMPUTED_VALUE"""),"paragonsdao")</f>
        <v>paragonsdao</v>
      </c>
      <c r="B9652" s="2" t="str">
        <f ca="1">IFERROR(__xludf.DUMMYFUNCTION("""COMPUTED_VALUE"""),"pdt")</f>
        <v>pdt</v>
      </c>
      <c r="C9652" s="2" t="str">
        <f ca="1">IFERROR(__xludf.DUMMYFUNCTION("""COMPUTED_VALUE"""),"ParagonsDAO")</f>
        <v>ParagonsDAO</v>
      </c>
    </row>
    <row r="9653" spans="1:3" x14ac:dyDescent="0.25">
      <c r="A9653" s="2" t="str">
        <f ca="1">IFERROR(__xludf.DUMMYFUNCTION("""COMPUTED_VALUE"""),"paralink-network")</f>
        <v>paralink-network</v>
      </c>
      <c r="B9653" s="2" t="str">
        <f ca="1">IFERROR(__xludf.DUMMYFUNCTION("""COMPUTED_VALUE"""),"para")</f>
        <v>para</v>
      </c>
      <c r="C9653" s="2" t="str">
        <f ca="1">IFERROR(__xludf.DUMMYFUNCTION("""COMPUTED_VALUE"""),"Paralink Network")</f>
        <v>Paralink Network</v>
      </c>
    </row>
    <row r="9654" spans="1:3" x14ac:dyDescent="0.25">
      <c r="A9654" s="2" t="str">
        <f ca="1">IFERROR(__xludf.DUMMYFUNCTION("""COMPUTED_VALUE"""),"parallax")</f>
        <v>parallax</v>
      </c>
      <c r="B9654" s="2" t="str">
        <f ca="1">IFERROR(__xludf.DUMMYFUNCTION("""COMPUTED_VALUE"""),"plx")</f>
        <v>plx</v>
      </c>
      <c r="C9654" s="2" t="str">
        <f ca="1">IFERROR(__xludf.DUMMYFUNCTION("""COMPUTED_VALUE"""),"Parallax")</f>
        <v>Parallax</v>
      </c>
    </row>
    <row r="9655" spans="1:3" x14ac:dyDescent="0.25">
      <c r="A9655" s="2" t="str">
        <f ca="1">IFERROR(__xludf.DUMMYFUNCTION("""COMPUTED_VALUE"""),"parallelai")</f>
        <v>parallelai</v>
      </c>
      <c r="B9655" s="2" t="str">
        <f ca="1">IFERROR(__xludf.DUMMYFUNCTION("""COMPUTED_VALUE"""),"pai")</f>
        <v>pai</v>
      </c>
      <c r="C9655" s="2" t="str">
        <f ca="1">IFERROR(__xludf.DUMMYFUNCTION("""COMPUTED_VALUE"""),"ParallelAI")</f>
        <v>ParallelAI</v>
      </c>
    </row>
    <row r="9656" spans="1:3" x14ac:dyDescent="0.25">
      <c r="A9656" s="2" t="str">
        <f ca="1">IFERROR(__xludf.DUMMYFUNCTION("""COMPUTED_VALUE"""),"parallelchain")</f>
        <v>parallelchain</v>
      </c>
      <c r="B9656" s="2" t="str">
        <f ca="1">IFERROR(__xludf.DUMMYFUNCTION("""COMPUTED_VALUE"""),"xpll")</f>
        <v>xpll</v>
      </c>
      <c r="C9656" s="2" t="str">
        <f ca="1">IFERROR(__xludf.DUMMYFUNCTION("""COMPUTED_VALUE"""),"ParallelChain")</f>
        <v>ParallelChain</v>
      </c>
    </row>
    <row r="9657" spans="1:3" x14ac:dyDescent="0.25">
      <c r="A9657" s="2" t="str">
        <f ca="1">IFERROR(__xludf.DUMMYFUNCTION("""COMPUTED_VALUE"""),"parallel-usd")</f>
        <v>parallel-usd</v>
      </c>
      <c r="B9657" s="2" t="str">
        <f ca="1">IFERROR(__xludf.DUMMYFUNCTION("""COMPUTED_VALUE"""),"pausd")</f>
        <v>pausd</v>
      </c>
      <c r="C9657" s="2" t="str">
        <f ca="1">IFERROR(__xludf.DUMMYFUNCTION("""COMPUTED_VALUE"""),"Parallel USD")</f>
        <v>Parallel USD</v>
      </c>
    </row>
    <row r="9658" spans="1:3" x14ac:dyDescent="0.25">
      <c r="A9658" s="2" t="str">
        <f ca="1">IFERROR(__xludf.DUMMYFUNCTION("""COMPUTED_VALUE"""),"param")</f>
        <v>param</v>
      </c>
      <c r="B9658" s="2" t="str">
        <f ca="1">IFERROR(__xludf.DUMMYFUNCTION("""COMPUTED_VALUE"""),"param")</f>
        <v>param</v>
      </c>
      <c r="C9658" s="2" t="str">
        <f ca="1">IFERROR(__xludf.DUMMYFUNCTION("""COMPUTED_VALUE"""),"Param")</f>
        <v>Param</v>
      </c>
    </row>
    <row r="9659" spans="1:3" x14ac:dyDescent="0.25">
      <c r="A9659" s="2" t="str">
        <f ca="1">IFERROR(__xludf.DUMMYFUNCTION("""COMPUTED_VALUE"""),"paras")</f>
        <v>paras</v>
      </c>
      <c r="B9659" s="2" t="str">
        <f ca="1">IFERROR(__xludf.DUMMYFUNCTION("""COMPUTED_VALUE"""),"paras")</f>
        <v>paras</v>
      </c>
      <c r="C9659" s="2" t="str">
        <f ca="1">IFERROR(__xludf.DUMMYFUNCTION("""COMPUTED_VALUE"""),"Paras")</f>
        <v>Paras</v>
      </c>
    </row>
    <row r="9660" spans="1:3" x14ac:dyDescent="0.25">
      <c r="A9660" s="2" t="str">
        <f ca="1">IFERROR(__xludf.DUMMYFUNCTION("""COMPUTED_VALUE"""),"parasol-finance")</f>
        <v>parasol-finance</v>
      </c>
      <c r="B9660" s="2" t="str">
        <f ca="1">IFERROR(__xludf.DUMMYFUNCTION("""COMPUTED_VALUE"""),"psol")</f>
        <v>psol</v>
      </c>
      <c r="C9660" s="2" t="str">
        <f ca="1">IFERROR(__xludf.DUMMYFUNCTION("""COMPUTED_VALUE"""),"Parasol Finance")</f>
        <v>Parasol Finance</v>
      </c>
    </row>
    <row r="9661" spans="1:3" x14ac:dyDescent="0.25">
      <c r="A9661" s="2" t="str">
        <f ca="1">IFERROR(__xludf.DUMMYFUNCTION("""COMPUTED_VALUE"""),"paraswap")</f>
        <v>paraswap</v>
      </c>
      <c r="B9661" s="2" t="str">
        <f ca="1">IFERROR(__xludf.DUMMYFUNCTION("""COMPUTED_VALUE"""),"psp")</f>
        <v>psp</v>
      </c>
      <c r="C9661" s="2" t="str">
        <f ca="1">IFERROR(__xludf.DUMMYFUNCTION("""COMPUTED_VALUE"""),"ParaSwap")</f>
        <v>ParaSwap</v>
      </c>
    </row>
    <row r="9662" spans="1:3" x14ac:dyDescent="0.25">
      <c r="A9662" s="2" t="str">
        <f ca="1">IFERROR(__xludf.DUMMYFUNCTION("""COMPUTED_VALUE"""),"paratoken-2")</f>
        <v>paratoken-2</v>
      </c>
      <c r="B9662" s="2" t="str">
        <f ca="1">IFERROR(__xludf.DUMMYFUNCTION("""COMPUTED_VALUE"""),"para")</f>
        <v>para</v>
      </c>
      <c r="C9662" s="2" t="str">
        <f ca="1">IFERROR(__xludf.DUMMYFUNCTION("""COMPUTED_VALUE"""),"Para")</f>
        <v>Para</v>
      </c>
    </row>
    <row r="9663" spans="1:3" x14ac:dyDescent="0.25">
      <c r="A9663" s="2" t="str">
        <f ca="1">IFERROR(__xludf.DUMMYFUNCTION("""COMPUTED_VALUE"""),"paraverse")</f>
        <v>paraverse</v>
      </c>
      <c r="B9663" s="2" t="str">
        <f ca="1">IFERROR(__xludf.DUMMYFUNCTION("""COMPUTED_VALUE"""),"para")</f>
        <v>para</v>
      </c>
      <c r="C9663" s="2" t="str">
        <f ca="1">IFERROR(__xludf.DUMMYFUNCTION("""COMPUTED_VALUE"""),"Paraverse")</f>
        <v>Paraverse</v>
      </c>
    </row>
    <row r="9664" spans="1:3" x14ac:dyDescent="0.25">
      <c r="A9664" s="2" t="str">
        <f ca="1">IFERROR(__xludf.DUMMYFUNCTION("""COMPUTED_VALUE"""),"parcl")</f>
        <v>parcl</v>
      </c>
      <c r="B9664" s="2" t="str">
        <f ca="1">IFERROR(__xludf.DUMMYFUNCTION("""COMPUTED_VALUE"""),"prcl")</f>
        <v>prcl</v>
      </c>
      <c r="C9664" s="2" t="str">
        <f ca="1">IFERROR(__xludf.DUMMYFUNCTION("""COMPUTED_VALUE"""),"Parcl")</f>
        <v>Parcl</v>
      </c>
    </row>
    <row r="9665" spans="1:3" x14ac:dyDescent="0.25">
      <c r="A9665" s="2" t="str">
        <f ca="1">IFERROR(__xludf.DUMMYFUNCTION("""COMPUTED_VALUE"""),"parex")</f>
        <v>parex</v>
      </c>
      <c r="B9665" s="2" t="str">
        <f ca="1">IFERROR(__xludf.DUMMYFUNCTION("""COMPUTED_VALUE"""),"prx")</f>
        <v>prx</v>
      </c>
      <c r="C9665" s="2" t="str">
        <f ca="1">IFERROR(__xludf.DUMMYFUNCTION("""COMPUTED_VALUE"""),"Parex")</f>
        <v>Parex</v>
      </c>
    </row>
    <row r="9666" spans="1:3" x14ac:dyDescent="0.25">
      <c r="A9666" s="2" t="str">
        <f ca="1">IFERROR(__xludf.DUMMYFUNCTION("""COMPUTED_VALUE"""),"paribu-net")</f>
        <v>paribu-net</v>
      </c>
      <c r="B9666" s="2" t="str">
        <f ca="1">IFERROR(__xludf.DUMMYFUNCTION("""COMPUTED_VALUE"""),"prb")</f>
        <v>prb</v>
      </c>
      <c r="C9666" s="2" t="str">
        <f ca="1">IFERROR(__xludf.DUMMYFUNCTION("""COMPUTED_VALUE"""),"Paribu Net")</f>
        <v>Paribu Net</v>
      </c>
    </row>
    <row r="9667" spans="1:3" x14ac:dyDescent="0.25">
      <c r="A9667" s="2" t="str">
        <f ca="1">IFERROR(__xludf.DUMMYFUNCTION("""COMPUTED_VALUE"""),"paribus")</f>
        <v>paribus</v>
      </c>
      <c r="B9667" s="2" t="str">
        <f ca="1">IFERROR(__xludf.DUMMYFUNCTION("""COMPUTED_VALUE"""),"pbx")</f>
        <v>pbx</v>
      </c>
      <c r="C9667" s="2" t="str">
        <f ca="1">IFERROR(__xludf.DUMMYFUNCTION("""COMPUTED_VALUE"""),"Paribus")</f>
        <v>Paribus</v>
      </c>
    </row>
    <row r="9668" spans="1:3" x14ac:dyDescent="0.25">
      <c r="A9668" s="2" t="str">
        <f ca="1">IFERROR(__xludf.DUMMYFUNCTION("""COMPUTED_VALUE"""),"parifi")</f>
        <v>parifi</v>
      </c>
      <c r="B9668" s="2" t="str">
        <f ca="1">IFERROR(__xludf.DUMMYFUNCTION("""COMPUTED_VALUE"""),"prf")</f>
        <v>prf</v>
      </c>
      <c r="C9668" s="2" t="str">
        <f ca="1">IFERROR(__xludf.DUMMYFUNCTION("""COMPUTED_VALUE"""),"Parifi")</f>
        <v>Parifi</v>
      </c>
    </row>
    <row r="9669" spans="1:3" x14ac:dyDescent="0.25">
      <c r="A9669" s="2" t="str">
        <f ca="1">IFERROR(__xludf.DUMMYFUNCTION("""COMPUTED_VALUE"""),"parifi-usdc")</f>
        <v>parifi-usdc</v>
      </c>
      <c r="B9669" s="2" t="str">
        <f ca="1">IFERROR(__xludf.DUMMYFUNCTION("""COMPUTED_VALUE"""),"pfusdc")</f>
        <v>pfusdc</v>
      </c>
      <c r="C9669" s="2" t="str">
        <f ca="1">IFERROR(__xludf.DUMMYFUNCTION("""COMPUTED_VALUE"""),"Parifi USDC")</f>
        <v>Parifi USDC</v>
      </c>
    </row>
    <row r="9670" spans="1:3" x14ac:dyDescent="0.25">
      <c r="A9670" s="2" t="str">
        <f ca="1">IFERROR(__xludf.DUMMYFUNCTION("""COMPUTED_VALUE"""),"parifi-weth")</f>
        <v>parifi-weth</v>
      </c>
      <c r="B9670" s="2" t="str">
        <f ca="1">IFERROR(__xludf.DUMMYFUNCTION("""COMPUTED_VALUE"""),"pfweth")</f>
        <v>pfweth</v>
      </c>
      <c r="C9670" s="2" t="str">
        <f ca="1">IFERROR(__xludf.DUMMYFUNCTION("""COMPUTED_VALUE"""),"Parifi WETH")</f>
        <v>Parifi WETH</v>
      </c>
    </row>
    <row r="9671" spans="1:3" x14ac:dyDescent="0.25">
      <c r="A9671" s="2" t="str">
        <f ca="1">IFERROR(__xludf.DUMMYFUNCTION("""COMPUTED_VALUE"""),"paris-saint-germain-fan-token")</f>
        <v>paris-saint-germain-fan-token</v>
      </c>
      <c r="B9671" s="2" t="str">
        <f ca="1">IFERROR(__xludf.DUMMYFUNCTION("""COMPUTED_VALUE"""),"psg")</f>
        <v>psg</v>
      </c>
      <c r="C9671" s="2" t="str">
        <f ca="1">IFERROR(__xludf.DUMMYFUNCTION("""COMPUTED_VALUE"""),"Paris Saint-Germain Fan Token")</f>
        <v>Paris Saint-Germain Fan Token</v>
      </c>
    </row>
    <row r="9672" spans="1:3" x14ac:dyDescent="0.25">
      <c r="A9672" s="2" t="str">
        <f ca="1">IFERROR(__xludf.DUMMYFUNCTION("""COMPUTED_VALUE"""),"parma-calcio-1913-fan-token")</f>
        <v>parma-calcio-1913-fan-token</v>
      </c>
      <c r="B9672" s="2" t="str">
        <f ca="1">IFERROR(__xludf.DUMMYFUNCTION("""COMPUTED_VALUE"""),"parma")</f>
        <v>parma</v>
      </c>
      <c r="C9672" s="2" t="str">
        <f ca="1">IFERROR(__xludf.DUMMYFUNCTION("""COMPUTED_VALUE"""),"Parma Calcio 1913 Fan Token")</f>
        <v>Parma Calcio 1913 Fan Token</v>
      </c>
    </row>
    <row r="9673" spans="1:3" x14ac:dyDescent="0.25">
      <c r="A9673" s="2" t="str">
        <f ca="1">IFERROR(__xludf.DUMMYFUNCTION("""COMPUTED_VALUE"""),"parobot")</f>
        <v>parobot</v>
      </c>
      <c r="B9673" s="2" t="str">
        <f ca="1">IFERROR(__xludf.DUMMYFUNCTION("""COMPUTED_VALUE"""),"paro")</f>
        <v>paro</v>
      </c>
      <c r="C9673" s="2" t="str">
        <f ca="1">IFERROR(__xludf.DUMMYFUNCTION("""COMPUTED_VALUE"""),"Parobot")</f>
        <v>Parobot</v>
      </c>
    </row>
    <row r="9674" spans="1:3" x14ac:dyDescent="0.25">
      <c r="A9674" s="2" t="str">
        <f ca="1">IFERROR(__xludf.DUMMYFUNCTION("""COMPUTED_VALUE"""),"parrotly")</f>
        <v>parrotly</v>
      </c>
      <c r="B9674" s="2" t="str">
        <f ca="1">IFERROR(__xludf.DUMMYFUNCTION("""COMPUTED_VALUE"""),"pbirb")</f>
        <v>pbirb</v>
      </c>
      <c r="C9674" s="2" t="str">
        <f ca="1">IFERROR(__xludf.DUMMYFUNCTION("""COMPUTED_VALUE"""),"Parrotly")</f>
        <v>Parrotly</v>
      </c>
    </row>
    <row r="9675" spans="1:3" x14ac:dyDescent="0.25">
      <c r="A9675" s="2" t="str">
        <f ca="1">IFERROR(__xludf.DUMMYFUNCTION("""COMPUTED_VALUE"""),"parrot-protocol")</f>
        <v>parrot-protocol</v>
      </c>
      <c r="B9675" s="2" t="str">
        <f ca="1">IFERROR(__xludf.DUMMYFUNCTION("""COMPUTED_VALUE"""),"prt")</f>
        <v>prt</v>
      </c>
      <c r="C9675" s="2" t="str">
        <f ca="1">IFERROR(__xludf.DUMMYFUNCTION("""COMPUTED_VALUE"""),"Parrot Protocol")</f>
        <v>Parrot Protocol</v>
      </c>
    </row>
    <row r="9676" spans="1:3" x14ac:dyDescent="0.25">
      <c r="A9676" s="2" t="str">
        <f ca="1">IFERROR(__xludf.DUMMYFUNCTION("""COMPUTED_VALUE"""),"parrot-usd")</f>
        <v>parrot-usd</v>
      </c>
      <c r="B9676" s="2" t="str">
        <f ca="1">IFERROR(__xludf.DUMMYFUNCTION("""COMPUTED_VALUE"""),"pai")</f>
        <v>pai</v>
      </c>
      <c r="C9676" s="2" t="str">
        <f ca="1">IFERROR(__xludf.DUMMYFUNCTION("""COMPUTED_VALUE"""),"Parrot USD")</f>
        <v>Parrot USD</v>
      </c>
    </row>
    <row r="9677" spans="1:3" x14ac:dyDescent="0.25">
      <c r="A9677" s="2" t="str">
        <f ca="1">IFERROR(__xludf.DUMMYFUNCTION("""COMPUTED_VALUE"""),"parsiq")</f>
        <v>parsiq</v>
      </c>
      <c r="B9677" s="2" t="str">
        <f ca="1">IFERROR(__xludf.DUMMYFUNCTION("""COMPUTED_VALUE"""),"prq")</f>
        <v>prq</v>
      </c>
      <c r="C9677" s="2" t="str">
        <f ca="1">IFERROR(__xludf.DUMMYFUNCTION("""COMPUTED_VALUE"""),"PARSIQ")</f>
        <v>PARSIQ</v>
      </c>
    </row>
    <row r="9678" spans="1:3" x14ac:dyDescent="0.25">
      <c r="A9678" s="2" t="str">
        <f ca="1">IFERROR(__xludf.DUMMYFUNCTION("""COMPUTED_VALUE"""),"par-stablecoin")</f>
        <v>par-stablecoin</v>
      </c>
      <c r="B9678" s="2" t="str">
        <f ca="1">IFERROR(__xludf.DUMMYFUNCTION("""COMPUTED_VALUE"""),"par")</f>
        <v>par</v>
      </c>
      <c r="C9678" s="2" t="str">
        <f ca="1">IFERROR(__xludf.DUMMYFUNCTION("""COMPUTED_VALUE"""),"Parallel")</f>
        <v>Parallel</v>
      </c>
    </row>
    <row r="9679" spans="1:3" x14ac:dyDescent="0.25">
      <c r="A9679" s="2" t="str">
        <f ca="1">IFERROR(__xludf.DUMMYFUNCTION("""COMPUTED_VALUE"""),"particl")</f>
        <v>particl</v>
      </c>
      <c r="B9679" s="2" t="str">
        <f ca="1">IFERROR(__xludf.DUMMYFUNCTION("""COMPUTED_VALUE"""),"part")</f>
        <v>part</v>
      </c>
      <c r="C9679" s="2" t="str">
        <f ca="1">IFERROR(__xludf.DUMMYFUNCTION("""COMPUTED_VALUE"""),"Particl")</f>
        <v>Particl</v>
      </c>
    </row>
    <row r="9680" spans="1:3" x14ac:dyDescent="0.25">
      <c r="A9680" s="2" t="str">
        <f ca="1">IFERROR(__xludf.DUMMYFUNCTION("""COMPUTED_VALUE"""),"particle-2")</f>
        <v>particle-2</v>
      </c>
      <c r="B9680" s="2" t="str">
        <f ca="1">IFERROR(__xludf.DUMMYFUNCTION("""COMPUTED_VALUE"""),"prtcle")</f>
        <v>prtcle</v>
      </c>
      <c r="C9680" s="2" t="str">
        <f ca="1">IFERROR(__xludf.DUMMYFUNCTION("""COMPUTED_VALUE"""),"Particle")</f>
        <v>Particle</v>
      </c>
    </row>
    <row r="9681" spans="1:3" x14ac:dyDescent="0.25">
      <c r="A9681" s="2" t="str">
        <f ca="1">IFERROR(__xludf.DUMMYFUNCTION("""COMPUTED_VALUE"""),"particles-money")</f>
        <v>particles-money</v>
      </c>
      <c r="B9681" s="2" t="str">
        <f ca="1">IFERROR(__xludf.DUMMYFUNCTION("""COMPUTED_VALUE"""),"particle")</f>
        <v>particle</v>
      </c>
      <c r="C9681" s="2" t="str">
        <f ca="1">IFERROR(__xludf.DUMMYFUNCTION("""COMPUTED_VALUE"""),"Particles Money")</f>
        <v>Particles Money</v>
      </c>
    </row>
    <row r="9682" spans="1:3" x14ac:dyDescent="0.25">
      <c r="A9682" s="2" t="str">
        <f ca="1">IFERROR(__xludf.DUMMYFUNCTION("""COMPUTED_VALUE"""),"particles-money-xeth")</f>
        <v>particles-money-xeth</v>
      </c>
      <c r="B9682" s="2" t="str">
        <f ca="1">IFERROR(__xludf.DUMMYFUNCTION("""COMPUTED_VALUE"""),"xeth")</f>
        <v>xeth</v>
      </c>
      <c r="C9682" s="2" t="str">
        <f ca="1">IFERROR(__xludf.DUMMYFUNCTION("""COMPUTED_VALUE"""),"Particles Money xETH")</f>
        <v>Particles Money xETH</v>
      </c>
    </row>
    <row r="9683" spans="1:3" x14ac:dyDescent="0.25">
      <c r="A9683" s="2" t="str">
        <f ca="1">IFERROR(__xludf.DUMMYFUNCTION("""COMPUTED_VALUE"""),"particle-trade")</f>
        <v>particle-trade</v>
      </c>
      <c r="B9683" s="2" t="str">
        <f ca="1">IFERROR(__xludf.DUMMYFUNCTION("""COMPUTED_VALUE"""),"ptc")</f>
        <v>ptc</v>
      </c>
      <c r="C9683" s="2" t="str">
        <f ca="1">IFERROR(__xludf.DUMMYFUNCTION("""COMPUTED_VALUE"""),"Particle Trade")</f>
        <v>Particle Trade</v>
      </c>
    </row>
    <row r="9684" spans="1:3" x14ac:dyDescent="0.25">
      <c r="A9684" s="2" t="str">
        <f ca="1">IFERROR(__xludf.DUMMYFUNCTION("""COMPUTED_VALUE"""),"partisia-blockchain")</f>
        <v>partisia-blockchain</v>
      </c>
      <c r="B9684" s="2" t="str">
        <f ca="1">IFERROR(__xludf.DUMMYFUNCTION("""COMPUTED_VALUE"""),"mpc")</f>
        <v>mpc</v>
      </c>
      <c r="C9684" s="2" t="str">
        <f ca="1">IFERROR(__xludf.DUMMYFUNCTION("""COMPUTED_VALUE"""),"Partisia Blockchain")</f>
        <v>Partisia Blockchain</v>
      </c>
    </row>
    <row r="9685" spans="1:3" x14ac:dyDescent="0.25">
      <c r="A9685" s="2" t="str">
        <f ca="1">IFERROR(__xludf.DUMMYFUNCTION("""COMPUTED_VALUE"""),"party")</f>
        <v>party</v>
      </c>
      <c r="B9685" s="2" t="str">
        <f ca="1">IFERROR(__xludf.DUMMYFUNCTION("""COMPUTED_VALUE"""),"party")</f>
        <v>party</v>
      </c>
      <c r="C9685" s="2" t="str">
        <f ca="1">IFERROR(__xludf.DUMMYFUNCTION("""COMPUTED_VALUE"""),"PARTY")</f>
        <v>PARTY</v>
      </c>
    </row>
    <row r="9686" spans="1:3" x14ac:dyDescent="0.25">
      <c r="A9686" s="2" t="str">
        <f ca="1">IFERROR(__xludf.DUMMYFUNCTION("""COMPUTED_VALUE"""),"party-2")</f>
        <v>party-2</v>
      </c>
      <c r="B9686" s="2" t="str">
        <f ca="1">IFERROR(__xludf.DUMMYFUNCTION("""COMPUTED_VALUE"""),"party")</f>
        <v>party</v>
      </c>
      <c r="C9686" s="2" t="str">
        <f ca="1">IFERROR(__xludf.DUMMYFUNCTION("""COMPUTED_VALUE"""),"Party")</f>
        <v>Party</v>
      </c>
    </row>
    <row r="9687" spans="1:3" x14ac:dyDescent="0.25">
      <c r="A9687" s="2" t="str">
        <f ca="1">IFERROR(__xludf.DUMMYFUNCTION("""COMPUTED_VALUE"""),"partyhat-meme")</f>
        <v>partyhat-meme</v>
      </c>
      <c r="B9687" s="2" t="str">
        <f ca="1">IFERROR(__xludf.DUMMYFUNCTION("""COMPUTED_VALUE"""),"phat")</f>
        <v>phat</v>
      </c>
      <c r="C9687" s="2" t="str">
        <f ca="1">IFERROR(__xludf.DUMMYFUNCTION("""COMPUTED_VALUE"""),"partyhat (Meme)")</f>
        <v>partyhat (Meme)</v>
      </c>
    </row>
    <row r="9688" spans="1:3" x14ac:dyDescent="0.25">
      <c r="A9688" s="2" t="str">
        <f ca="1">IFERROR(__xludf.DUMMYFUNCTION("""COMPUTED_VALUE"""),"party-parrot")</f>
        <v>party-parrot</v>
      </c>
      <c r="B9688" s="2" t="str">
        <f ca="1">IFERROR(__xludf.DUMMYFUNCTION("""COMPUTED_VALUE"""),"parry")</f>
        <v>parry</v>
      </c>
      <c r="C9688" s="2" t="str">
        <f ca="1">IFERROR(__xludf.DUMMYFUNCTION("""COMPUTED_VALUE"""),"Party Parrot")</f>
        <v>Party Parrot</v>
      </c>
    </row>
    <row r="9689" spans="1:3" x14ac:dyDescent="0.25">
      <c r="A9689" s="2" t="str">
        <f ca="1">IFERROR(__xludf.DUMMYFUNCTION("""COMPUTED_VALUE"""),"passage")</f>
        <v>passage</v>
      </c>
      <c r="B9689" s="2" t="str">
        <f ca="1">IFERROR(__xludf.DUMMYFUNCTION("""COMPUTED_VALUE"""),"pasg")</f>
        <v>pasg</v>
      </c>
      <c r="C9689" s="2" t="str">
        <f ca="1">IFERROR(__xludf.DUMMYFUNCTION("""COMPUTED_VALUE"""),"Passage")</f>
        <v>Passage</v>
      </c>
    </row>
    <row r="9690" spans="1:3" x14ac:dyDescent="0.25">
      <c r="A9690" s="2" t="str">
        <f ca="1">IFERROR(__xludf.DUMMYFUNCTION("""COMPUTED_VALUE"""),"pastel")</f>
        <v>pastel</v>
      </c>
      <c r="B9690" s="2" t="str">
        <f ca="1">IFERROR(__xludf.DUMMYFUNCTION("""COMPUTED_VALUE"""),"psl")</f>
        <v>psl</v>
      </c>
      <c r="C9690" s="2" t="str">
        <f ca="1">IFERROR(__xludf.DUMMYFUNCTION("""COMPUTED_VALUE"""),"Pastel")</f>
        <v>Pastel</v>
      </c>
    </row>
    <row r="9691" spans="1:3" x14ac:dyDescent="0.25">
      <c r="A9691" s="2" t="str">
        <f ca="1">IFERROR(__xludf.DUMMYFUNCTION("""COMPUTED_VALUE"""),"pat")</f>
        <v>pat</v>
      </c>
      <c r="B9691" s="2" t="str">
        <f ca="1">IFERROR(__xludf.DUMMYFUNCTION("""COMPUTED_VALUE"""),"pat")</f>
        <v>pat</v>
      </c>
      <c r="C9691" s="2" t="str">
        <f ca="1">IFERROR(__xludf.DUMMYFUNCTION("""COMPUTED_VALUE"""),"Pat")</f>
        <v>Pat</v>
      </c>
    </row>
    <row r="9692" spans="1:3" x14ac:dyDescent="0.25">
      <c r="A9692" s="2" t="str">
        <f ca="1">IFERROR(__xludf.DUMMYFUNCTION("""COMPUTED_VALUE"""),"patex")</f>
        <v>patex</v>
      </c>
      <c r="B9692" s="2" t="str">
        <f ca="1">IFERROR(__xludf.DUMMYFUNCTION("""COMPUTED_VALUE"""),"patex")</f>
        <v>patex</v>
      </c>
      <c r="C9692" s="2" t="str">
        <f ca="1">IFERROR(__xludf.DUMMYFUNCTION("""COMPUTED_VALUE"""),"Patex")</f>
        <v>Patex</v>
      </c>
    </row>
    <row r="9693" spans="1:3" x14ac:dyDescent="0.25">
      <c r="A9693" s="2" t="str">
        <f ca="1">IFERROR(__xludf.DUMMYFUNCTION("""COMPUTED_VALUE"""),"pathfinders-staked-sol")</f>
        <v>pathfinders-staked-sol</v>
      </c>
      <c r="B9693" s="2" t="str">
        <f ca="1">IFERROR(__xludf.DUMMYFUNCTION("""COMPUTED_VALUE"""),"pathsol")</f>
        <v>pathsol</v>
      </c>
      <c r="C9693" s="2" t="str">
        <f ca="1">IFERROR(__xludf.DUMMYFUNCTION("""COMPUTED_VALUE"""),"Pathfinders Staked SOL")</f>
        <v>Pathfinders Staked SOL</v>
      </c>
    </row>
    <row r="9694" spans="1:3" x14ac:dyDescent="0.25">
      <c r="A9694" s="2" t="str">
        <f ca="1">IFERROR(__xludf.DUMMYFUNCTION("""COMPUTED_VALUE"""),"patientory")</f>
        <v>patientory</v>
      </c>
      <c r="B9694" s="2" t="str">
        <f ca="1">IFERROR(__xludf.DUMMYFUNCTION("""COMPUTED_VALUE"""),"ptoy")</f>
        <v>ptoy</v>
      </c>
      <c r="C9694" s="2" t="str">
        <f ca="1">IFERROR(__xludf.DUMMYFUNCTION("""COMPUTED_VALUE"""),"Patientory")</f>
        <v>Patientory</v>
      </c>
    </row>
    <row r="9695" spans="1:3" x14ac:dyDescent="0.25">
      <c r="A9695" s="2" t="str">
        <f ca="1">IFERROR(__xludf.DUMMYFUNCTION("""COMPUTED_VALUE"""),"patriot-pay")</f>
        <v>patriot-pay</v>
      </c>
      <c r="B9695" s="2" t="str">
        <f ca="1">IFERROR(__xludf.DUMMYFUNCTION("""COMPUTED_VALUE"""),"ppy")</f>
        <v>ppy</v>
      </c>
      <c r="C9695" s="2" t="str">
        <f ca="1">IFERROR(__xludf.DUMMYFUNCTION("""COMPUTED_VALUE"""),"Patriot Pay")</f>
        <v>Patriot Pay</v>
      </c>
    </row>
    <row r="9696" spans="1:3" x14ac:dyDescent="0.25">
      <c r="A9696" s="2" t="str">
        <f ca="1">IFERROR(__xludf.DUMMYFUNCTION("""COMPUTED_VALUE"""),"patriots-coin")</f>
        <v>patriots-coin</v>
      </c>
      <c r="B9696" s="2" t="str">
        <f ca="1">IFERROR(__xludf.DUMMYFUNCTION("""COMPUTED_VALUE"""),"ptc")</f>
        <v>ptc</v>
      </c>
      <c r="C9696" s="2" t="str">
        <f ca="1">IFERROR(__xludf.DUMMYFUNCTION("""COMPUTED_VALUE"""),"Patriots Coin")</f>
        <v>Patriots Coin</v>
      </c>
    </row>
    <row r="9697" spans="1:3" x14ac:dyDescent="0.25">
      <c r="A9697" s="2" t="str">
        <f ca="1">IFERROR(__xludf.DUMMYFUNCTION("""COMPUTED_VALUE"""),"pats")</f>
        <v>pats</v>
      </c>
      <c r="B9697" s="2" t="str">
        <f ca="1">IFERROR(__xludf.DUMMYFUNCTION("""COMPUTED_VALUE"""),"pats")</f>
        <v>pats</v>
      </c>
      <c r="C9697" s="2" t="str">
        <f ca="1">IFERROR(__xludf.DUMMYFUNCTION("""COMPUTED_VALUE"""),"Pats")</f>
        <v>Pats</v>
      </c>
    </row>
    <row r="9698" spans="1:3" x14ac:dyDescent="0.25">
      <c r="A9698" s="2" t="str">
        <f ca="1">IFERROR(__xludf.DUMMYFUNCTION("""COMPUTED_VALUE"""),"patton")</f>
        <v>patton</v>
      </c>
      <c r="B9698" s="2" t="str">
        <f ca="1">IFERROR(__xludf.DUMMYFUNCTION("""COMPUTED_VALUE"""),"patton")</f>
        <v>patton</v>
      </c>
      <c r="C9698" s="2" t="str">
        <f ca="1">IFERROR(__xludf.DUMMYFUNCTION("""COMPUTED_VALUE"""),"Patton")</f>
        <v>Patton</v>
      </c>
    </row>
    <row r="9699" spans="1:3" x14ac:dyDescent="0.25">
      <c r="A9699" s="2" t="str">
        <f ca="1">IFERROR(__xludf.DUMMYFUNCTION("""COMPUTED_VALUE"""),"paul")</f>
        <v>paul</v>
      </c>
      <c r="B9699" s="2" t="str">
        <f ca="1">IFERROR(__xludf.DUMMYFUNCTION("""COMPUTED_VALUE"""),"paul")</f>
        <v>paul</v>
      </c>
      <c r="C9699" s="2" t="str">
        <f ca="1">IFERROR(__xludf.DUMMYFUNCTION("""COMPUTED_VALUE"""),"paul")</f>
        <v>paul</v>
      </c>
    </row>
    <row r="9700" spans="1:3" x14ac:dyDescent="0.25">
      <c r="A9700" s="2" t="str">
        <f ca="1">IFERROR(__xludf.DUMMYFUNCTION("""COMPUTED_VALUE"""),"pavia")</f>
        <v>pavia</v>
      </c>
      <c r="B9700" s="2" t="str">
        <f ca="1">IFERROR(__xludf.DUMMYFUNCTION("""COMPUTED_VALUE"""),"pavia")</f>
        <v>pavia</v>
      </c>
      <c r="C9700" s="2" t="str">
        <f ca="1">IFERROR(__xludf.DUMMYFUNCTION("""COMPUTED_VALUE"""),"Pavia")</f>
        <v>Pavia</v>
      </c>
    </row>
    <row r="9701" spans="1:3" x14ac:dyDescent="0.25">
      <c r="A9701" s="2" t="str">
        <f ca="1">IFERROR(__xludf.DUMMYFUNCTION("""COMPUTED_VALUE"""),"paw-2")</f>
        <v>paw-2</v>
      </c>
      <c r="B9701" s="2" t="str">
        <f ca="1">IFERROR(__xludf.DUMMYFUNCTION("""COMPUTED_VALUE"""),"paw")</f>
        <v>paw</v>
      </c>
      <c r="C9701" s="2" t="str">
        <f ca="1">IFERROR(__xludf.DUMMYFUNCTION("""COMPUTED_VALUE"""),"PAW")</f>
        <v>PAW</v>
      </c>
    </row>
    <row r="9702" spans="1:3" x14ac:dyDescent="0.25">
      <c r="A9702" s="2" t="str">
        <f ca="1">IFERROR(__xludf.DUMMYFUNCTION("""COMPUTED_VALUE"""),"pawstars")</f>
        <v>pawstars</v>
      </c>
      <c r="B9702" s="2" t="str">
        <f ca="1">IFERROR(__xludf.DUMMYFUNCTION("""COMPUTED_VALUE"""),"paws")</f>
        <v>paws</v>
      </c>
      <c r="C9702" s="2" t="str">
        <f ca="1">IFERROR(__xludf.DUMMYFUNCTION("""COMPUTED_VALUE"""),"PawStars")</f>
        <v>PawStars</v>
      </c>
    </row>
    <row r="9703" spans="1:3" x14ac:dyDescent="0.25">
      <c r="A9703" s="2" t="str">
        <f ca="1">IFERROR(__xludf.DUMMYFUNCTION("""COMPUTED_VALUE"""),"pawswap")</f>
        <v>pawswap</v>
      </c>
      <c r="B9703" s="2" t="str">
        <f ca="1">IFERROR(__xludf.DUMMYFUNCTION("""COMPUTED_VALUE"""),"paw")</f>
        <v>paw</v>
      </c>
      <c r="C9703" s="2" t="str">
        <f ca="1">IFERROR(__xludf.DUMMYFUNCTION("""COMPUTED_VALUE"""),"PAW")</f>
        <v>PAW</v>
      </c>
    </row>
    <row r="9704" spans="1:3" x14ac:dyDescent="0.25">
      <c r="A9704" s="2" t="str">
        <f ca="1">IFERROR(__xludf.DUMMYFUNCTION("""COMPUTED_VALUE"""),"pawthereum-2")</f>
        <v>pawthereum-2</v>
      </c>
      <c r="B9704" s="2" t="str">
        <f ca="1">IFERROR(__xludf.DUMMYFUNCTION("""COMPUTED_VALUE"""),"pawth")</f>
        <v>pawth</v>
      </c>
      <c r="C9704" s="2" t="str">
        <f ca="1">IFERROR(__xludf.DUMMYFUNCTION("""COMPUTED_VALUE"""),"Pawthereum")</f>
        <v>Pawthereum</v>
      </c>
    </row>
    <row r="9705" spans="1:3" x14ac:dyDescent="0.25">
      <c r="A9705" s="2" t="str">
        <f ca="1">IFERROR(__xludf.DUMMYFUNCTION("""COMPUTED_VALUE"""),"pawtocol")</f>
        <v>pawtocol</v>
      </c>
      <c r="B9705" s="2" t="str">
        <f ca="1">IFERROR(__xludf.DUMMYFUNCTION("""COMPUTED_VALUE"""),"upi")</f>
        <v>upi</v>
      </c>
      <c r="C9705" s="2" t="str">
        <f ca="1">IFERROR(__xludf.DUMMYFUNCTION("""COMPUTED_VALUE"""),"Pawtocol")</f>
        <v>Pawtocol</v>
      </c>
    </row>
    <row r="9706" spans="1:3" x14ac:dyDescent="0.25">
      <c r="A9706" s="2" t="str">
        <f ca="1">IFERROR(__xludf.DUMMYFUNCTION("""COMPUTED_VALUE"""),"paw-v2")</f>
        <v>paw-v2</v>
      </c>
      <c r="B9706" s="2" t="str">
        <f ca="1">IFERROR(__xludf.DUMMYFUNCTION("""COMPUTED_VALUE"""),"paw")</f>
        <v>paw</v>
      </c>
      <c r="C9706" s="2" t="str">
        <f ca="1">IFERROR(__xludf.DUMMYFUNCTION("""COMPUTED_VALUE"""),"Paw V2")</f>
        <v>Paw V2</v>
      </c>
    </row>
    <row r="9707" spans="1:3" x14ac:dyDescent="0.25">
      <c r="A9707" s="2" t="str">
        <f ca="1">IFERROR(__xludf.DUMMYFUNCTION("""COMPUTED_VALUE"""),"pawzone")</f>
        <v>pawzone</v>
      </c>
      <c r="B9707" s="2" t="str">
        <f ca="1">IFERROR(__xludf.DUMMYFUNCTION("""COMPUTED_VALUE"""),"paw")</f>
        <v>paw</v>
      </c>
      <c r="C9707" s="2" t="str">
        <f ca="1">IFERROR(__xludf.DUMMYFUNCTION("""COMPUTED_VALUE"""),"PAWZONE")</f>
        <v>PAWZONE</v>
      </c>
    </row>
    <row r="9708" spans="1:3" x14ac:dyDescent="0.25">
      <c r="A9708" s="2" t="str">
        <f ca="1">IFERROR(__xludf.DUMMYFUNCTION("""COMPUTED_VALUE"""),"paxe")</f>
        <v>paxe</v>
      </c>
      <c r="B9708" s="2" t="str">
        <f ca="1">IFERROR(__xludf.DUMMYFUNCTION("""COMPUTED_VALUE"""),"paxe")</f>
        <v>paxe</v>
      </c>
      <c r="C9708" s="2" t="str">
        <f ca="1">IFERROR(__xludf.DUMMYFUNCTION("""COMPUTED_VALUE"""),"Paxe")</f>
        <v>Paxe</v>
      </c>
    </row>
    <row r="9709" spans="1:3" x14ac:dyDescent="0.25">
      <c r="A9709" s="2" t="str">
        <f ca="1">IFERROR(__xludf.DUMMYFUNCTION("""COMPUTED_VALUE"""),"pax-gold")</f>
        <v>pax-gold</v>
      </c>
      <c r="B9709" s="2" t="str">
        <f ca="1">IFERROR(__xludf.DUMMYFUNCTION("""COMPUTED_VALUE"""),"paxg")</f>
        <v>paxg</v>
      </c>
      <c r="C9709" s="2" t="str">
        <f ca="1">IFERROR(__xludf.DUMMYFUNCTION("""COMPUTED_VALUE"""),"PAX Gold")</f>
        <v>PAX Gold</v>
      </c>
    </row>
    <row r="9710" spans="1:3" x14ac:dyDescent="0.25">
      <c r="A9710" s="2" t="str">
        <f ca="1">IFERROR(__xludf.DUMMYFUNCTION("""COMPUTED_VALUE"""),"paxos-standard")</f>
        <v>paxos-standard</v>
      </c>
      <c r="B9710" s="2" t="str">
        <f ca="1">IFERROR(__xludf.DUMMYFUNCTION("""COMPUTED_VALUE"""),"usdp")</f>
        <v>usdp</v>
      </c>
      <c r="C9710" s="2" t="str">
        <f ca="1">IFERROR(__xludf.DUMMYFUNCTION("""COMPUTED_VALUE"""),"Pax Dollar")</f>
        <v>Pax Dollar</v>
      </c>
    </row>
    <row r="9711" spans="1:3" x14ac:dyDescent="0.25">
      <c r="A9711" s="2" t="str">
        <f ca="1">IFERROR(__xludf.DUMMYFUNCTION("""COMPUTED_VALUE"""),"pax-unitas")</f>
        <v>pax-unitas</v>
      </c>
      <c r="B9711" s="2" t="str">
        <f ca="1">IFERROR(__xludf.DUMMYFUNCTION("""COMPUTED_VALUE"""),"paxu")</f>
        <v>paxu</v>
      </c>
      <c r="C9711" s="2" t="str">
        <f ca="1">IFERROR(__xludf.DUMMYFUNCTION("""COMPUTED_VALUE"""),"Pax Unitas")</f>
        <v>Pax Unitas</v>
      </c>
    </row>
    <row r="9712" spans="1:3" x14ac:dyDescent="0.25">
      <c r="A9712" s="2" t="str">
        <f ca="1">IFERROR(__xludf.DUMMYFUNCTION("""COMPUTED_VALUE"""),"payb")</f>
        <v>payb</v>
      </c>
      <c r="B9712" s="2" t="str">
        <f ca="1">IFERROR(__xludf.DUMMYFUNCTION("""COMPUTED_VALUE"""),"payb")</f>
        <v>payb</v>
      </c>
      <c r="C9712" s="2" t="str">
        <f ca="1">IFERROR(__xludf.DUMMYFUNCTION("""COMPUTED_VALUE"""),"PayB")</f>
        <v>PayB</v>
      </c>
    </row>
    <row r="9713" spans="1:3" x14ac:dyDescent="0.25">
      <c r="A9713" s="2" t="str">
        <f ca="1">IFERROR(__xludf.DUMMYFUNCTION("""COMPUTED_VALUE"""),"paybandcoin")</f>
        <v>paybandcoin</v>
      </c>
      <c r="B9713" s="2" t="str">
        <f ca="1">IFERROR(__xludf.DUMMYFUNCTION("""COMPUTED_VALUE"""),"pybc")</f>
        <v>pybc</v>
      </c>
      <c r="C9713" s="2" t="str">
        <f ca="1">IFERROR(__xludf.DUMMYFUNCTION("""COMPUTED_VALUE"""),"PaybandCoin")</f>
        <v>PaybandCoin</v>
      </c>
    </row>
    <row r="9714" spans="1:3" x14ac:dyDescent="0.25">
      <c r="A9714" s="2" t="str">
        <f ca="1">IFERROR(__xludf.DUMMYFUNCTION("""COMPUTED_VALUE"""),"pay-coin")</f>
        <v>pay-coin</v>
      </c>
      <c r="B9714" s="2" t="str">
        <f ca="1">IFERROR(__xludf.DUMMYFUNCTION("""COMPUTED_VALUE"""),"pci")</f>
        <v>pci</v>
      </c>
      <c r="C9714" s="2" t="str">
        <f ca="1">IFERROR(__xludf.DUMMYFUNCTION("""COMPUTED_VALUE"""),"Paycoin")</f>
        <v>Paycoin</v>
      </c>
    </row>
    <row r="9715" spans="1:3" x14ac:dyDescent="0.25">
      <c r="A9715" s="2" t="str">
        <f ca="1">IFERROR(__xludf.DUMMYFUNCTION("""COMPUTED_VALUE"""),"pay-it-now")</f>
        <v>pay-it-now</v>
      </c>
      <c r="B9715" s="2" t="str">
        <f ca="1">IFERROR(__xludf.DUMMYFUNCTION("""COMPUTED_VALUE"""),"pin")</f>
        <v>pin</v>
      </c>
      <c r="C9715" s="2" t="str">
        <f ca="1">IFERROR(__xludf.DUMMYFUNCTION("""COMPUTED_VALUE"""),"Pay It Now")</f>
        <v>Pay It Now</v>
      </c>
    </row>
    <row r="9716" spans="1:3" x14ac:dyDescent="0.25">
      <c r="A9716" s="2" t="str">
        <f ca="1">IFERROR(__xludf.DUMMYFUNCTION("""COMPUTED_VALUE"""),"payment-swap-utility-board")</f>
        <v>payment-swap-utility-board</v>
      </c>
      <c r="B9716" s="2" t="str">
        <f ca="1">IFERROR(__xludf.DUMMYFUNCTION("""COMPUTED_VALUE"""),"psub")</f>
        <v>psub</v>
      </c>
      <c r="C9716" s="2" t="str">
        <f ca="1">IFERROR(__xludf.DUMMYFUNCTION("""COMPUTED_VALUE"""),"Payment Swap Utility Board")</f>
        <v>Payment Swap Utility Board</v>
      </c>
    </row>
    <row r="9717" spans="1:3" x14ac:dyDescent="0.25">
      <c r="A9717" s="2" t="str">
        <f ca="1">IFERROR(__xludf.DUMMYFUNCTION("""COMPUTED_VALUE"""),"paynet-coin")</f>
        <v>paynet-coin</v>
      </c>
      <c r="B9717" s="2" t="str">
        <f ca="1">IFERROR(__xludf.DUMMYFUNCTION("""COMPUTED_VALUE"""),"payn")</f>
        <v>payn</v>
      </c>
      <c r="C9717" s="2" t="str">
        <f ca="1">IFERROR(__xludf.DUMMYFUNCTION("""COMPUTED_VALUE"""),"PAYNET")</f>
        <v>PAYNET</v>
      </c>
    </row>
    <row r="9718" spans="1:3" x14ac:dyDescent="0.25">
      <c r="A9718" s="2" t="str">
        <f ca="1">IFERROR(__xludf.DUMMYFUNCTION("""COMPUTED_VALUE"""),"paypal-usd")</f>
        <v>paypal-usd</v>
      </c>
      <c r="B9718" s="2" t="str">
        <f ca="1">IFERROR(__xludf.DUMMYFUNCTION("""COMPUTED_VALUE"""),"pyusd")</f>
        <v>pyusd</v>
      </c>
      <c r="C9718" s="2" t="str">
        <f ca="1">IFERROR(__xludf.DUMMYFUNCTION("""COMPUTED_VALUE"""),"PayPal USD")</f>
        <v>PayPal USD</v>
      </c>
    </row>
    <row r="9719" spans="1:3" x14ac:dyDescent="0.25">
      <c r="A9719" s="2" t="str">
        <f ca="1">IFERROR(__xludf.DUMMYFUNCTION("""COMPUTED_VALUE"""),"paypaw")</f>
        <v>paypaw</v>
      </c>
      <c r="B9719" s="2" t="str">
        <f ca="1">IFERROR(__xludf.DUMMYFUNCTION("""COMPUTED_VALUE"""),"paw")</f>
        <v>paw</v>
      </c>
      <c r="C9719" s="2" t="str">
        <f ca="1">IFERROR(__xludf.DUMMYFUNCTION("""COMPUTED_VALUE"""),"PayPaw")</f>
        <v>PayPaw</v>
      </c>
    </row>
    <row r="9720" spans="1:3" x14ac:dyDescent="0.25">
      <c r="A9720" s="2" t="str">
        <f ca="1">IFERROR(__xludf.DUMMYFUNCTION("""COMPUTED_VALUE"""),"paypolitan-token")</f>
        <v>paypolitan-token</v>
      </c>
      <c r="B9720" s="2" t="str">
        <f ca="1">IFERROR(__xludf.DUMMYFUNCTION("""COMPUTED_VALUE"""),"epan")</f>
        <v>epan</v>
      </c>
      <c r="C9720" s="2" t="str">
        <f ca="1">IFERROR(__xludf.DUMMYFUNCTION("""COMPUTED_VALUE"""),"Paypolitan")</f>
        <v>Paypolitan</v>
      </c>
    </row>
    <row r="9721" spans="1:3" x14ac:dyDescent="0.25">
      <c r="A9721" s="2" t="str">
        <f ca="1">IFERROR(__xludf.DUMMYFUNCTION("""COMPUTED_VALUE"""),"payrue")</f>
        <v>payrue</v>
      </c>
      <c r="B9721" s="2" t="str">
        <f ca="1">IFERROR(__xludf.DUMMYFUNCTION("""COMPUTED_VALUE"""),"propel")</f>
        <v>propel</v>
      </c>
      <c r="C9721" s="2" t="str">
        <f ca="1">IFERROR(__xludf.DUMMYFUNCTION("""COMPUTED_VALUE"""),"PayRue")</f>
        <v>PayRue</v>
      </c>
    </row>
    <row r="9722" spans="1:3" x14ac:dyDescent="0.25">
      <c r="A9722" s="2" t="str">
        <f ca="1">IFERROR(__xludf.DUMMYFUNCTION("""COMPUTED_VALUE"""),"paysenger-ego")</f>
        <v>paysenger-ego</v>
      </c>
      <c r="B9722" s="2" t="str">
        <f ca="1">IFERROR(__xludf.DUMMYFUNCTION("""COMPUTED_VALUE"""),"ego")</f>
        <v>ego</v>
      </c>
      <c r="C9722" s="2" t="str">
        <f ca="1">IFERROR(__xludf.DUMMYFUNCTION("""COMPUTED_VALUE"""),"Paysenger EGO")</f>
        <v>Paysenger EGO</v>
      </c>
    </row>
    <row r="9723" spans="1:3" x14ac:dyDescent="0.25">
      <c r="A9723" s="2" t="str">
        <f ca="1">IFERROR(__xludf.DUMMYFUNCTION("""COMPUTED_VALUE"""),"payslink-token")</f>
        <v>payslink-token</v>
      </c>
      <c r="B9723" s="2" t="str">
        <f ca="1">IFERROR(__xludf.DUMMYFUNCTION("""COMPUTED_VALUE"""),"pays")</f>
        <v>pays</v>
      </c>
      <c r="C9723" s="2" t="str">
        <f ca="1">IFERROR(__xludf.DUMMYFUNCTION("""COMPUTED_VALUE"""),"Payslink Token")</f>
        <v>Payslink Token</v>
      </c>
    </row>
    <row r="9724" spans="1:3" x14ac:dyDescent="0.25">
      <c r="A9724" s="2" t="str">
        <f ca="1">IFERROR(__xludf.DUMMYFUNCTION("""COMPUTED_VALUE"""),"payx")</f>
        <v>payx</v>
      </c>
      <c r="B9724" s="2" t="str">
        <f ca="1">IFERROR(__xludf.DUMMYFUNCTION("""COMPUTED_VALUE"""),"payx")</f>
        <v>payx</v>
      </c>
      <c r="C9724" s="2" t="str">
        <f ca="1">IFERROR(__xludf.DUMMYFUNCTION("""COMPUTED_VALUE"""),"PayX")</f>
        <v>PayX</v>
      </c>
    </row>
    <row r="9725" spans="1:3" x14ac:dyDescent="0.25">
      <c r="A9725" s="2" t="str">
        <f ca="1">IFERROR(__xludf.DUMMYFUNCTION("""COMPUTED_VALUE"""),"payzcoin")</f>
        <v>payzcoin</v>
      </c>
      <c r="B9725" s="2" t="str">
        <f ca="1">IFERROR(__xludf.DUMMYFUNCTION("""COMPUTED_VALUE"""),"pay")</f>
        <v>pay</v>
      </c>
      <c r="C9725" s="2" t="str">
        <f ca="1">IFERROR(__xludf.DUMMYFUNCTION("""COMPUTED_VALUE"""),"Payzcoin")</f>
        <v>Payzcoin</v>
      </c>
    </row>
    <row r="9726" spans="1:3" x14ac:dyDescent="0.25">
      <c r="A9726" s="2" t="str">
        <f ca="1">IFERROR(__xludf.DUMMYFUNCTION("""COMPUTED_VALUE"""),"pbie")</f>
        <v>pbie</v>
      </c>
      <c r="B9726" s="2" t="str">
        <f ca="1">IFERROR(__xludf.DUMMYFUNCTION("""COMPUTED_VALUE"""),"pbie")</f>
        <v>pbie</v>
      </c>
      <c r="C9726" s="2" t="str">
        <f ca="1">IFERROR(__xludf.DUMMYFUNCTION("""COMPUTED_VALUE"""),"PBIE")</f>
        <v>PBIE</v>
      </c>
    </row>
    <row r="9727" spans="1:3" x14ac:dyDescent="0.25">
      <c r="A9727" s="2" t="str">
        <f ca="1">IFERROR(__xludf.DUMMYFUNCTION("""COMPUTED_VALUE"""),"pbtc35a")</f>
        <v>pbtc35a</v>
      </c>
      <c r="B9727" s="2" t="str">
        <f ca="1">IFERROR(__xludf.DUMMYFUNCTION("""COMPUTED_VALUE"""),"pbtc35a")</f>
        <v>pbtc35a</v>
      </c>
      <c r="C9727" s="2" t="str">
        <f ca="1">IFERROR(__xludf.DUMMYFUNCTION("""COMPUTED_VALUE"""),"pBTC35A")</f>
        <v>pBTC35A</v>
      </c>
    </row>
    <row r="9728" spans="1:3" x14ac:dyDescent="0.25">
      <c r="A9728" s="2" t="str">
        <f ca="1">IFERROR(__xludf.DUMMYFUNCTION("""COMPUTED_VALUE"""),"pchain")</f>
        <v>pchain</v>
      </c>
      <c r="B9728" s="2" t="str">
        <f ca="1">IFERROR(__xludf.DUMMYFUNCTION("""COMPUTED_VALUE"""),"pi")</f>
        <v>pi</v>
      </c>
      <c r="C9728" s="2" t="str">
        <f ca="1">IFERROR(__xludf.DUMMYFUNCTION("""COMPUTED_VALUE"""),"Plian")</f>
        <v>Plian</v>
      </c>
    </row>
    <row r="9729" spans="1:3" x14ac:dyDescent="0.25">
      <c r="A9729" s="2" t="str">
        <f ca="1">IFERROR(__xludf.DUMMYFUNCTION("""COMPUTED_VALUE"""),"pcm")</f>
        <v>pcm</v>
      </c>
      <c r="B9729" s="2" t="str">
        <f ca="1">IFERROR(__xludf.DUMMYFUNCTION("""COMPUTED_VALUE"""),"pcm")</f>
        <v>pcm</v>
      </c>
      <c r="C9729" s="2" t="str">
        <f ca="1">IFERROR(__xludf.DUMMYFUNCTION("""COMPUTED_VALUE"""),"PCM")</f>
        <v>PCM</v>
      </c>
    </row>
    <row r="9730" spans="1:3" x14ac:dyDescent="0.25">
      <c r="A9730" s="2" t="str">
        <f ca="1">IFERROR(__xludf.DUMMYFUNCTION("""COMPUTED_VALUE"""),"pco-metaverse")</f>
        <v>pco-metaverse</v>
      </c>
      <c r="B9730" s="2" t="str">
        <f ca="1">IFERROR(__xludf.DUMMYFUNCTION("""COMPUTED_VALUE"""),"pme")</f>
        <v>pme</v>
      </c>
      <c r="C9730" s="2" t="str">
        <f ca="1">IFERROR(__xludf.DUMMYFUNCTION("""COMPUTED_VALUE"""),"PCO Metaverse")</f>
        <v>PCO Metaverse</v>
      </c>
    </row>
    <row r="9731" spans="1:3" x14ac:dyDescent="0.25">
      <c r="A9731" s="2" t="str">
        <f ca="1">IFERROR(__xludf.DUMMYFUNCTION("""COMPUTED_VALUE"""),"pdbc-defichain")</f>
        <v>pdbc-defichain</v>
      </c>
      <c r="B9731" s="2" t="str">
        <f ca="1">IFERROR(__xludf.DUMMYFUNCTION("""COMPUTED_VALUE"""),"dpdbc")</f>
        <v>dpdbc</v>
      </c>
      <c r="C9731" s="2" t="str">
        <f ca="1">IFERROR(__xludf.DUMMYFUNCTION("""COMPUTED_VALUE"""),"PDBC Defichain")</f>
        <v>PDBC Defichain</v>
      </c>
    </row>
    <row r="9732" spans="1:3" x14ac:dyDescent="0.25">
      <c r="A9732" s="2" t="str">
        <f ca="1">IFERROR(__xludf.DUMMYFUNCTION("""COMPUTED_VALUE"""),"pdx-coin")</f>
        <v>pdx-coin</v>
      </c>
      <c r="B9732" s="2" t="str">
        <f ca="1">IFERROR(__xludf.DUMMYFUNCTION("""COMPUTED_VALUE"""),"pdx")</f>
        <v>pdx</v>
      </c>
      <c r="C9732" s="2" t="str">
        <f ca="1">IFERROR(__xludf.DUMMYFUNCTION("""COMPUTED_VALUE"""),"PDX Coin")</f>
        <v>PDX Coin</v>
      </c>
    </row>
    <row r="9733" spans="1:3" x14ac:dyDescent="0.25">
      <c r="A9733" s="2" t="str">
        <f ca="1">IFERROR(__xludf.DUMMYFUNCTION("""COMPUTED_VALUE"""),"pe")</f>
        <v>pe</v>
      </c>
      <c r="B9733" s="2" t="str">
        <f ca="1">IFERROR(__xludf.DUMMYFUNCTION("""COMPUTED_VALUE"""),"pe")</f>
        <v>pe</v>
      </c>
      <c r="C9733" s="2" t="str">
        <f ca="1">IFERROR(__xludf.DUMMYFUNCTION("""COMPUTED_VALUE"""),"PE")</f>
        <v>PE</v>
      </c>
    </row>
    <row r="9734" spans="1:3" x14ac:dyDescent="0.25">
      <c r="A9734" s="2" t="str">
        <f ca="1">IFERROR(__xludf.DUMMYFUNCTION("""COMPUTED_VALUE"""),"peace-coin")</f>
        <v>peace-coin</v>
      </c>
      <c r="B9734" s="2" t="str">
        <f ca="1">IFERROR(__xludf.DUMMYFUNCTION("""COMPUTED_VALUE"""),"pce")</f>
        <v>pce</v>
      </c>
      <c r="C9734" s="2" t="str">
        <f ca="1">IFERROR(__xludf.DUMMYFUNCTION("""COMPUTED_VALUE"""),"PEACE COIN")</f>
        <v>PEACE COIN</v>
      </c>
    </row>
    <row r="9735" spans="1:3" x14ac:dyDescent="0.25">
      <c r="A9735" s="2" t="str">
        <f ca="1">IFERROR(__xludf.DUMMYFUNCTION("""COMPUTED_VALUE"""),"peace-coin-2")</f>
        <v>peace-coin-2</v>
      </c>
      <c r="B9735" s="2" t="str">
        <f ca="1">IFERROR(__xludf.DUMMYFUNCTION("""COMPUTED_VALUE"""),"pc")</f>
        <v>pc</v>
      </c>
      <c r="C9735" s="2" t="str">
        <f ca="1">IFERROR(__xludf.DUMMYFUNCTION("""COMPUTED_VALUE"""),"Peace Coin")</f>
        <v>Peace Coin</v>
      </c>
    </row>
    <row r="9736" spans="1:3" x14ac:dyDescent="0.25">
      <c r="A9736" s="2" t="str">
        <f ca="1">IFERROR(__xludf.DUMMYFUNCTION("""COMPUTED_VALUE"""),"peach-2")</f>
        <v>peach-2</v>
      </c>
      <c r="B9736" s="2" t="str">
        <f ca="1">IFERROR(__xludf.DUMMYFUNCTION("""COMPUTED_VALUE"""),"pch")</f>
        <v>pch</v>
      </c>
      <c r="C9736" s="2" t="str">
        <f ca="1">IFERROR(__xludf.DUMMYFUNCTION("""COMPUTED_VALUE"""),"Peach")</f>
        <v>Peach</v>
      </c>
    </row>
    <row r="9737" spans="1:3" x14ac:dyDescent="0.25">
      <c r="A9737" s="2" t="str">
        <f ca="1">IFERROR(__xludf.DUMMYFUNCTION("""COMPUTED_VALUE"""),"peachfolio")</f>
        <v>peachfolio</v>
      </c>
      <c r="B9737" s="2" t="str">
        <f ca="1">IFERROR(__xludf.DUMMYFUNCTION("""COMPUTED_VALUE"""),"pchf")</f>
        <v>pchf</v>
      </c>
      <c r="C9737" s="2" t="str">
        <f ca="1">IFERROR(__xludf.DUMMYFUNCTION("""COMPUTED_VALUE"""),"Peachfolio")</f>
        <v>Peachfolio</v>
      </c>
    </row>
    <row r="9738" spans="1:3" x14ac:dyDescent="0.25">
      <c r="A9738" s="2" t="str">
        <f ca="1">IFERROR(__xludf.DUMMYFUNCTION("""COMPUTED_VALUE"""),"peachy")</f>
        <v>peachy</v>
      </c>
      <c r="B9738" s="2" t="str">
        <f ca="1">IFERROR(__xludf.DUMMYFUNCTION("""COMPUTED_VALUE"""),"peachy")</f>
        <v>peachy</v>
      </c>
      <c r="C9738" s="2" t="str">
        <f ca="1">IFERROR(__xludf.DUMMYFUNCTION("""COMPUTED_VALUE"""),"PEACHY")</f>
        <v>PEACHY</v>
      </c>
    </row>
    <row r="9739" spans="1:3" x14ac:dyDescent="0.25">
      <c r="A9739" s="2" t="str">
        <f ca="1">IFERROR(__xludf.DUMMYFUNCTION("""COMPUTED_VALUE"""),"peanie")</f>
        <v>peanie</v>
      </c>
      <c r="B9739" s="2" t="str">
        <f ca="1">IFERROR(__xludf.DUMMYFUNCTION("""COMPUTED_VALUE"""),"peanie")</f>
        <v>peanie</v>
      </c>
      <c r="C9739" s="2" t="str">
        <f ca="1">IFERROR(__xludf.DUMMYFUNCTION("""COMPUTED_VALUE"""),"peanie")</f>
        <v>peanie</v>
      </c>
    </row>
    <row r="9740" spans="1:3" x14ac:dyDescent="0.25">
      <c r="A9740" s="2" t="str">
        <f ca="1">IFERROR(__xludf.DUMMYFUNCTION("""COMPUTED_VALUE"""),"peanut")</f>
        <v>peanut</v>
      </c>
      <c r="B9740" s="2" t="str">
        <f ca="1">IFERROR(__xludf.DUMMYFUNCTION("""COMPUTED_VALUE"""),"nux")</f>
        <v>nux</v>
      </c>
      <c r="C9740" s="2" t="str">
        <f ca="1">IFERROR(__xludf.DUMMYFUNCTION("""COMPUTED_VALUE"""),"Peanut")</f>
        <v>Peanut</v>
      </c>
    </row>
    <row r="9741" spans="1:3" x14ac:dyDescent="0.25">
      <c r="A9741" s="2" t="str">
        <f ca="1">IFERROR(__xludf.DUMMYFUNCTION("""COMPUTED_VALUE"""),"peapods-finance")</f>
        <v>peapods-finance</v>
      </c>
      <c r="B9741" s="2" t="str">
        <f ca="1">IFERROR(__xludf.DUMMYFUNCTION("""COMPUTED_VALUE"""),"peas")</f>
        <v>peas</v>
      </c>
      <c r="C9741" s="2" t="str">
        <f ca="1">IFERROR(__xludf.DUMMYFUNCTION("""COMPUTED_VALUE"""),"Peapods Finance")</f>
        <v>Peapods Finance</v>
      </c>
    </row>
    <row r="9742" spans="1:3" x14ac:dyDescent="0.25">
      <c r="A9742" s="2" t="str">
        <f ca="1">IFERROR(__xludf.DUMMYFUNCTION("""COMPUTED_VALUE"""),"pearl")</f>
        <v>pearl</v>
      </c>
      <c r="B9742" s="2" t="str">
        <f ca="1">IFERROR(__xludf.DUMMYFUNCTION("""COMPUTED_VALUE"""),"pearl")</f>
        <v>pearl</v>
      </c>
      <c r="C9742" s="2" t="str">
        <f ca="1">IFERROR(__xludf.DUMMYFUNCTION("""COMPUTED_VALUE"""),"Pearl")</f>
        <v>Pearl</v>
      </c>
    </row>
    <row r="9743" spans="1:3" x14ac:dyDescent="0.25">
      <c r="A9743" s="2" t="str">
        <f ca="1">IFERROR(__xludf.DUMMYFUNCTION("""COMPUTED_VALUE"""),"pearl-finance")</f>
        <v>pearl-finance</v>
      </c>
      <c r="B9743" s="2" t="str">
        <f ca="1">IFERROR(__xludf.DUMMYFUNCTION("""COMPUTED_VALUE"""),"pearl")</f>
        <v>pearl</v>
      </c>
      <c r="C9743" s="2" t="str">
        <f ca="1">IFERROR(__xludf.DUMMYFUNCTION("""COMPUTED_VALUE"""),"Pearl Finance")</f>
        <v>Pearl Finance</v>
      </c>
    </row>
    <row r="9744" spans="1:3" x14ac:dyDescent="0.25">
      <c r="A9744" s="2" t="str">
        <f ca="1">IFERROR(__xludf.DUMMYFUNCTION("""COMPUTED_VALUE"""),"pear-protocol")</f>
        <v>pear-protocol</v>
      </c>
      <c r="B9744" s="2" t="str">
        <f ca="1">IFERROR(__xludf.DUMMYFUNCTION("""COMPUTED_VALUE"""),"pear")</f>
        <v>pear</v>
      </c>
      <c r="C9744" s="2" t="str">
        <f ca="1">IFERROR(__xludf.DUMMYFUNCTION("""COMPUTED_VALUE"""),"Pear Protocol")</f>
        <v>Pear Protocol</v>
      </c>
    </row>
    <row r="9745" spans="1:3" x14ac:dyDescent="0.25">
      <c r="A9745" s="2" t="str">
        <f ca="1">IFERROR(__xludf.DUMMYFUNCTION("""COMPUTED_VALUE"""),"pear-swap")</f>
        <v>pear-swap</v>
      </c>
      <c r="B9745" s="2" t="str">
        <f ca="1">IFERROR(__xludf.DUMMYFUNCTION("""COMPUTED_VALUE"""),"pear")</f>
        <v>pear</v>
      </c>
      <c r="C9745" s="2" t="str">
        <f ca="1">IFERROR(__xludf.DUMMYFUNCTION("""COMPUTED_VALUE"""),"Pear Swap")</f>
        <v>Pear Swap</v>
      </c>
    </row>
    <row r="9746" spans="1:3" x14ac:dyDescent="0.25">
      <c r="A9746" s="2" t="str">
        <f ca="1">IFERROR(__xludf.DUMMYFUNCTION("""COMPUTED_VALUE"""),"pedro")</f>
        <v>pedro</v>
      </c>
      <c r="B9746" s="2" t="str">
        <f ca="1">IFERROR(__xludf.DUMMYFUNCTION("""COMPUTED_VALUE"""),"pedro")</f>
        <v>pedro</v>
      </c>
      <c r="C9746" s="2" t="str">
        <f ca="1">IFERROR(__xludf.DUMMYFUNCTION("""COMPUTED_VALUE"""),"PEDRO")</f>
        <v>PEDRO</v>
      </c>
    </row>
    <row r="9747" spans="1:3" x14ac:dyDescent="0.25">
      <c r="A9747" s="2" t="str">
        <f ca="1">IFERROR(__xludf.DUMMYFUNCTION("""COMPUTED_VALUE"""),"pedro-meme")</f>
        <v>pedro-meme</v>
      </c>
      <c r="B9747" s="2" t="str">
        <f ca="1">IFERROR(__xludf.DUMMYFUNCTION("""COMPUTED_VALUE"""),"pedro")</f>
        <v>pedro</v>
      </c>
      <c r="C9747" s="2" t="str">
        <f ca="1">IFERROR(__xludf.DUMMYFUNCTION("""COMPUTED_VALUE"""),"PEDRO MEME")</f>
        <v>PEDRO MEME</v>
      </c>
    </row>
    <row r="9748" spans="1:3" x14ac:dyDescent="0.25">
      <c r="A9748" s="2" t="str">
        <f ca="1">IFERROR(__xludf.DUMMYFUNCTION("""COMPUTED_VALUE"""),"pedro-raccoon")</f>
        <v>pedro-raccoon</v>
      </c>
      <c r="B9748" s="2" t="str">
        <f ca="1">IFERROR(__xludf.DUMMYFUNCTION("""COMPUTED_VALUE"""),"ginger")</f>
        <v>ginger</v>
      </c>
      <c r="C9748" s="2" t="str">
        <f ca="1">IFERROR(__xludf.DUMMYFUNCTION("""COMPUTED_VALUE"""),"Pedro Raccoon")</f>
        <v>Pedro Raccoon</v>
      </c>
    </row>
    <row r="9749" spans="1:3" x14ac:dyDescent="0.25">
      <c r="A9749" s="2" t="str">
        <f ca="1">IFERROR(__xludf.DUMMYFUNCTION("""COMPUTED_VALUE"""),"pedro-the-raccoon")</f>
        <v>pedro-the-raccoon</v>
      </c>
      <c r="B9749" s="2" t="str">
        <f ca="1">IFERROR(__xludf.DUMMYFUNCTION("""COMPUTED_VALUE"""),"pedro")</f>
        <v>pedro</v>
      </c>
      <c r="C9749" s="2" t="str">
        <f ca="1">IFERROR(__xludf.DUMMYFUNCTION("""COMPUTED_VALUE"""),"Pedro the Raccoon")</f>
        <v>Pedro the Raccoon</v>
      </c>
    </row>
    <row r="9750" spans="1:3" x14ac:dyDescent="0.25">
      <c r="A9750" s="2" t="str">
        <f ca="1">IFERROR(__xludf.DUMMYFUNCTION("""COMPUTED_VALUE"""),"peeno")</f>
        <v>peeno</v>
      </c>
      <c r="B9750" s="2" t="str">
        <f ca="1">IFERROR(__xludf.DUMMYFUNCTION("""COMPUTED_VALUE"""),"peeno")</f>
        <v>peeno</v>
      </c>
      <c r="C9750" s="2" t="str">
        <f ca="1">IFERROR(__xludf.DUMMYFUNCTION("""COMPUTED_VALUE"""),"PEENO")</f>
        <v>PEENO</v>
      </c>
    </row>
    <row r="9751" spans="1:3" x14ac:dyDescent="0.25">
      <c r="A9751" s="2" t="str">
        <f ca="1">IFERROR(__xludf.DUMMYFUNCTION("""COMPUTED_VALUE"""),"peep")</f>
        <v>peep</v>
      </c>
      <c r="B9751" s="2" t="str">
        <f ca="1">IFERROR(__xludf.DUMMYFUNCTION("""COMPUTED_VALUE"""),"peep")</f>
        <v>peep</v>
      </c>
      <c r="C9751" s="2" t="str">
        <f ca="1">IFERROR(__xludf.DUMMYFUNCTION("""COMPUTED_VALUE"""),"peep")</f>
        <v>peep</v>
      </c>
    </row>
    <row r="9752" spans="1:3" x14ac:dyDescent="0.25">
      <c r="A9752" s="2" t="str">
        <f ca="1">IFERROR(__xludf.DUMMYFUNCTION("""COMPUTED_VALUE"""),"peepa")</f>
        <v>peepa</v>
      </c>
      <c r="B9752" s="2" t="str">
        <f ca="1">IFERROR(__xludf.DUMMYFUNCTION("""COMPUTED_VALUE"""),"peepa")</f>
        <v>peepa</v>
      </c>
      <c r="C9752" s="2" t="str">
        <f ca="1">IFERROR(__xludf.DUMMYFUNCTION("""COMPUTED_VALUE"""),"Peepa")</f>
        <v>Peepa</v>
      </c>
    </row>
    <row r="9753" spans="1:3" x14ac:dyDescent="0.25">
      <c r="A9753" s="2" t="str">
        <f ca="1">IFERROR(__xludf.DUMMYFUNCTION("""COMPUTED_VALUE"""),"peepo")</f>
        <v>peepo</v>
      </c>
      <c r="B9753" s="2" t="str">
        <f ca="1">IFERROR(__xludf.DUMMYFUNCTION("""COMPUTED_VALUE"""),"peepo")</f>
        <v>peepo</v>
      </c>
      <c r="C9753" s="2" t="str">
        <f ca="1">IFERROR(__xludf.DUMMYFUNCTION("""COMPUTED_VALUE"""),"Peepo")</f>
        <v>Peepo</v>
      </c>
    </row>
    <row r="9754" spans="1:3" x14ac:dyDescent="0.25">
      <c r="A9754" s="2" t="str">
        <f ca="1">IFERROR(__xludf.DUMMYFUNCTION("""COMPUTED_VALUE"""),"peepo-eth")</f>
        <v>peepo-eth</v>
      </c>
      <c r="B9754" s="2" t="str">
        <f ca="1">IFERROR(__xludf.DUMMYFUNCTION("""COMPUTED_VALUE"""),"pepo")</f>
        <v>pepo</v>
      </c>
      <c r="C9754" s="2" t="str">
        <f ca="1">IFERROR(__xludf.DUMMYFUNCTION("""COMPUTED_VALUE"""),"Peepo")</f>
        <v>Peepo</v>
      </c>
    </row>
    <row r="9755" spans="1:3" x14ac:dyDescent="0.25">
      <c r="A9755" s="2" t="str">
        <f ca="1">IFERROR(__xludf.DUMMYFUNCTION("""COMPUTED_VALUE"""),"peepo-sol")</f>
        <v>peepo-sol</v>
      </c>
      <c r="B9755" s="2" t="str">
        <f ca="1">IFERROR(__xludf.DUMMYFUNCTION("""COMPUTED_VALUE"""),"$peep")</f>
        <v>$peep</v>
      </c>
      <c r="C9755" s="2" t="str">
        <f ca="1">IFERROR(__xludf.DUMMYFUNCTION("""COMPUTED_VALUE"""),"Peepo (SOL)")</f>
        <v>Peepo (SOL)</v>
      </c>
    </row>
    <row r="9756" spans="1:3" x14ac:dyDescent="0.25">
      <c r="A9756" s="2" t="str">
        <f ca="1">IFERROR(__xludf.DUMMYFUNCTION("""COMPUTED_VALUE"""),"peercoin")</f>
        <v>peercoin</v>
      </c>
      <c r="B9756" s="2" t="str">
        <f ca="1">IFERROR(__xludf.DUMMYFUNCTION("""COMPUTED_VALUE"""),"ppc")</f>
        <v>ppc</v>
      </c>
      <c r="C9756" s="2" t="str">
        <f ca="1">IFERROR(__xludf.DUMMYFUNCTION("""COMPUTED_VALUE"""),"Peercoin")</f>
        <v>Peercoin</v>
      </c>
    </row>
    <row r="9757" spans="1:3" x14ac:dyDescent="0.25">
      <c r="A9757" s="2" t="str">
        <f ca="1">IFERROR(__xludf.DUMMYFUNCTION("""COMPUTED_VALUE"""),"peezy")</f>
        <v>peezy</v>
      </c>
      <c r="B9757" s="2" t="str">
        <f ca="1">IFERROR(__xludf.DUMMYFUNCTION("""COMPUTED_VALUE"""),"peezy")</f>
        <v>peezy</v>
      </c>
      <c r="C9757" s="2" t="str">
        <f ca="1">IFERROR(__xludf.DUMMYFUNCTION("""COMPUTED_VALUE"""),"Peezy")</f>
        <v>Peezy</v>
      </c>
    </row>
    <row r="9758" spans="1:3" x14ac:dyDescent="0.25">
      <c r="A9758" s="2" t="str">
        <f ca="1">IFERROR(__xludf.DUMMYFUNCTION("""COMPUTED_VALUE"""),"pegasus-gold-real-estate")</f>
        <v>pegasus-gold-real-estate</v>
      </c>
      <c r="B9758" s="2" t="str">
        <f ca="1">IFERROR(__xludf.DUMMYFUNCTION("""COMPUTED_VALUE"""),"pgre")</f>
        <v>pgre</v>
      </c>
      <c r="C9758" s="2" t="str">
        <f ca="1">IFERROR(__xludf.DUMMYFUNCTION("""COMPUTED_VALUE"""),"Pegasus Gold Real Estate")</f>
        <v>Pegasus Gold Real Estate</v>
      </c>
    </row>
    <row r="9759" spans="1:3" x14ac:dyDescent="0.25">
      <c r="A9759" s="2" t="str">
        <f ca="1">IFERROR(__xludf.DUMMYFUNCTION("""COMPUTED_VALUE"""),"pegasys")</f>
        <v>pegasys</v>
      </c>
      <c r="B9759" s="2" t="str">
        <f ca="1">IFERROR(__xludf.DUMMYFUNCTION("""COMPUTED_VALUE"""),"psys")</f>
        <v>psys</v>
      </c>
      <c r="C9759" s="2" t="str">
        <f ca="1">IFERROR(__xludf.DUMMYFUNCTION("""COMPUTED_VALUE"""),"Pegasys (Syscoin NEVM)")</f>
        <v>Pegasys (Syscoin NEVM)</v>
      </c>
    </row>
    <row r="9760" spans="1:3" x14ac:dyDescent="0.25">
      <c r="A9760" s="2" t="str">
        <f ca="1">IFERROR(__xludf.DUMMYFUNCTION("""COMPUTED_VALUE"""),"pegasys-rollux")</f>
        <v>pegasys-rollux</v>
      </c>
      <c r="B9760" s="2" t="str">
        <f ca="1">IFERROR(__xludf.DUMMYFUNCTION("""COMPUTED_VALUE"""),"psys")</f>
        <v>psys</v>
      </c>
      <c r="C9760" s="2" t="str">
        <f ca="1">IFERROR(__xludf.DUMMYFUNCTION("""COMPUTED_VALUE"""),"Pegasys (Rollux)")</f>
        <v>Pegasys (Rollux)</v>
      </c>
    </row>
    <row r="9761" spans="1:3" x14ac:dyDescent="0.25">
      <c r="A9761" s="2" t="str">
        <f ca="1">IFERROR(__xludf.DUMMYFUNCTION("""COMPUTED_VALUE"""),"pegaxy-stone")</f>
        <v>pegaxy-stone</v>
      </c>
      <c r="B9761" s="2" t="str">
        <f ca="1">IFERROR(__xludf.DUMMYFUNCTION("""COMPUTED_VALUE"""),"pgx")</f>
        <v>pgx</v>
      </c>
      <c r="C9761" s="2" t="str">
        <f ca="1">IFERROR(__xludf.DUMMYFUNCTION("""COMPUTED_VALUE"""),"Pegaxy")</f>
        <v>Pegaxy</v>
      </c>
    </row>
    <row r="9762" spans="1:3" x14ac:dyDescent="0.25">
      <c r="A9762" s="2" t="str">
        <f ca="1">IFERROR(__xludf.DUMMYFUNCTION("""COMPUTED_VALUE"""),"pegazus-finance")</f>
        <v>pegazus-finance</v>
      </c>
      <c r="B9762" s="2" t="str">
        <f ca="1">IFERROR(__xludf.DUMMYFUNCTION("""COMPUTED_VALUE"""),"peg")</f>
        <v>peg</v>
      </c>
      <c r="C9762" s="2" t="str">
        <f ca="1">IFERROR(__xludf.DUMMYFUNCTION("""COMPUTED_VALUE"""),"Pegazus Finance")</f>
        <v>Pegazus Finance</v>
      </c>
    </row>
    <row r="9763" spans="1:3" x14ac:dyDescent="0.25">
      <c r="A9763" s="2" t="str">
        <f ca="1">IFERROR(__xludf.DUMMYFUNCTION("""COMPUTED_VALUE"""),"peg-eusd")</f>
        <v>peg-eusd</v>
      </c>
      <c r="B9763" s="2" t="str">
        <f ca="1">IFERROR(__xludf.DUMMYFUNCTION("""COMPUTED_VALUE"""),"peusd")</f>
        <v>peusd</v>
      </c>
      <c r="C9763" s="2" t="str">
        <f ca="1">IFERROR(__xludf.DUMMYFUNCTION("""COMPUTED_VALUE"""),"peg-eUSD")</f>
        <v>peg-eUSD</v>
      </c>
    </row>
    <row r="9764" spans="1:3" x14ac:dyDescent="0.25">
      <c r="A9764" s="2" t="str">
        <f ca="1">IFERROR(__xludf.DUMMYFUNCTION("""COMPUTED_VALUE"""),"peipei")</f>
        <v>peipei</v>
      </c>
      <c r="B9764" s="2" t="str">
        <f ca="1">IFERROR(__xludf.DUMMYFUNCTION("""COMPUTED_VALUE"""),"peipei")</f>
        <v>peipei</v>
      </c>
      <c r="C9764" s="2" t="str">
        <f ca="1">IFERROR(__xludf.DUMMYFUNCTION("""COMPUTED_VALUE"""),"PEIPEI")</f>
        <v>PEIPEI</v>
      </c>
    </row>
    <row r="9765" spans="1:3" x14ac:dyDescent="0.25">
      <c r="A9765" s="2" t="str">
        <f ca="1">IFERROR(__xludf.DUMMYFUNCTION("""COMPUTED_VALUE"""),"peipeicoin-vip")</f>
        <v>peipeicoin-vip</v>
      </c>
      <c r="B9765" s="2" t="str">
        <f ca="1">IFERROR(__xludf.DUMMYFUNCTION("""COMPUTED_VALUE"""),"peipei")</f>
        <v>peipei</v>
      </c>
      <c r="C9765" s="2" t="str">
        <f ca="1">IFERROR(__xludf.DUMMYFUNCTION("""COMPUTED_VALUE"""),"PeiPei")</f>
        <v>PeiPei</v>
      </c>
    </row>
    <row r="9766" spans="1:3" x14ac:dyDescent="0.25">
      <c r="A9766" s="2" t="str">
        <f ca="1">IFERROR(__xludf.DUMMYFUNCTION("""COMPUTED_VALUE"""),"peipei-sol")</f>
        <v>peipei-sol</v>
      </c>
      <c r="B9766" s="2" t="str">
        <f ca="1">IFERROR(__xludf.DUMMYFUNCTION("""COMPUTED_VALUE"""),"peipei")</f>
        <v>peipei</v>
      </c>
      <c r="C9766" s="2" t="str">
        <f ca="1">IFERROR(__xludf.DUMMYFUNCTION("""COMPUTED_VALUE"""),"PeiPei Sol")</f>
        <v>PeiPei Sol</v>
      </c>
    </row>
    <row r="9767" spans="1:3" x14ac:dyDescent="0.25">
      <c r="A9767" s="2" t="str">
        <f ca="1">IFERROR(__xludf.DUMMYFUNCTION("""COMPUTED_VALUE"""),"peka")</f>
        <v>peka</v>
      </c>
      <c r="B9767" s="2" t="str">
        <f ca="1">IFERROR(__xludf.DUMMYFUNCTION("""COMPUTED_VALUE"""),"peka")</f>
        <v>peka</v>
      </c>
      <c r="C9767" s="2" t="str">
        <f ca="1">IFERROR(__xludf.DUMMYFUNCTION("""COMPUTED_VALUE"""),"Peka")</f>
        <v>Peka</v>
      </c>
    </row>
    <row r="9768" spans="1:3" x14ac:dyDescent="0.25">
      <c r="A9768" s="2" t="str">
        <f ca="1">IFERROR(__xludf.DUMMYFUNCTION("""COMPUTED_VALUE"""),"pelfort")</f>
        <v>pelfort</v>
      </c>
      <c r="B9768" s="2" t="str">
        <f ca="1">IFERROR(__xludf.DUMMYFUNCTION("""COMPUTED_VALUE"""),"pelf")</f>
        <v>pelf</v>
      </c>
      <c r="C9768" s="2" t="str">
        <f ca="1">IFERROR(__xludf.DUMMYFUNCTION("""COMPUTED_VALUE"""),"PELFORT")</f>
        <v>PELFORT</v>
      </c>
    </row>
    <row r="9769" spans="1:3" x14ac:dyDescent="0.25">
      <c r="A9769" s="2" t="str">
        <f ca="1">IFERROR(__xludf.DUMMYFUNCTION("""COMPUTED_VALUE"""),"pem")</f>
        <v>pem</v>
      </c>
      <c r="B9769" s="2" t="str">
        <f ca="1">IFERROR(__xludf.DUMMYFUNCTION("""COMPUTED_VALUE"""),"pem")</f>
        <v>pem</v>
      </c>
      <c r="C9769" s="2" t="str">
        <f ca="1">IFERROR(__xludf.DUMMYFUNCTION("""COMPUTED_VALUE"""),"Pem")</f>
        <v>Pem</v>
      </c>
    </row>
    <row r="9770" spans="1:3" x14ac:dyDescent="0.25">
      <c r="A9770" s="2" t="str">
        <f ca="1">IFERROR(__xludf.DUMMYFUNCTION("""COMPUTED_VALUE"""),"pembrock")</f>
        <v>pembrock</v>
      </c>
      <c r="B9770" s="2" t="str">
        <f ca="1">IFERROR(__xludf.DUMMYFUNCTION("""COMPUTED_VALUE"""),"pem")</f>
        <v>pem</v>
      </c>
      <c r="C9770" s="2" t="str">
        <f ca="1">IFERROR(__xludf.DUMMYFUNCTION("""COMPUTED_VALUE"""),"Pembrock")</f>
        <v>Pembrock</v>
      </c>
    </row>
    <row r="9771" spans="1:3" x14ac:dyDescent="0.25">
      <c r="A9771" s="2" t="str">
        <f ca="1">IFERROR(__xludf.DUMMYFUNCTION("""COMPUTED_VALUE"""),"pendle")</f>
        <v>pendle</v>
      </c>
      <c r="B9771" s="2" t="str">
        <f ca="1">IFERROR(__xludf.DUMMYFUNCTION("""COMPUTED_VALUE"""),"pendle")</f>
        <v>pendle</v>
      </c>
      <c r="C9771" s="2" t="str">
        <f ca="1">IFERROR(__xludf.DUMMYFUNCTION("""COMPUTED_VALUE"""),"Pendle")</f>
        <v>Pendle</v>
      </c>
    </row>
    <row r="9772" spans="1:3" x14ac:dyDescent="0.25">
      <c r="A9772" s="2" t="str">
        <f ca="1">IFERROR(__xludf.DUMMYFUNCTION("""COMPUTED_VALUE"""),"pendulum-chain")</f>
        <v>pendulum-chain</v>
      </c>
      <c r="B9772" s="2" t="str">
        <f ca="1">IFERROR(__xludf.DUMMYFUNCTION("""COMPUTED_VALUE"""),"pen")</f>
        <v>pen</v>
      </c>
      <c r="C9772" s="2" t="str">
        <f ca="1">IFERROR(__xludf.DUMMYFUNCTION("""COMPUTED_VALUE"""),"Pendulum")</f>
        <v>Pendulum</v>
      </c>
    </row>
    <row r="9773" spans="1:3" x14ac:dyDescent="0.25">
      <c r="A9773" s="2" t="str">
        <f ca="1">IFERROR(__xludf.DUMMYFUNCTION("""COMPUTED_VALUE"""),"peng")</f>
        <v>peng</v>
      </c>
      <c r="B9773" s="2" t="str">
        <f ca="1">IFERROR(__xludf.DUMMYFUNCTION("""COMPUTED_VALUE"""),"peng")</f>
        <v>peng</v>
      </c>
      <c r="C9773" s="2" t="str">
        <f ca="1">IFERROR(__xludf.DUMMYFUNCTION("""COMPUTED_VALUE"""),"Peng")</f>
        <v>Peng</v>
      </c>
    </row>
    <row r="9774" spans="1:3" x14ac:dyDescent="0.25">
      <c r="A9774" s="2" t="str">
        <f ca="1">IFERROR(__xludf.DUMMYFUNCTION("""COMPUTED_VALUE"""),"penguiana")</f>
        <v>penguiana</v>
      </c>
      <c r="B9774" s="2" t="str">
        <f ca="1">IFERROR(__xludf.DUMMYFUNCTION("""COMPUTED_VALUE"""),"pengu")</f>
        <v>pengu</v>
      </c>
      <c r="C9774" s="2" t="str">
        <f ca="1">IFERROR(__xludf.DUMMYFUNCTION("""COMPUTED_VALUE"""),"Penguiana")</f>
        <v>Penguiana</v>
      </c>
    </row>
    <row r="9775" spans="1:3" x14ac:dyDescent="0.25">
      <c r="A9775" s="2" t="str">
        <f ca="1">IFERROR(__xludf.DUMMYFUNCTION("""COMPUTED_VALUE"""),"penguin-finance")</f>
        <v>penguin-finance</v>
      </c>
      <c r="B9775" s="2" t="str">
        <f ca="1">IFERROR(__xludf.DUMMYFUNCTION("""COMPUTED_VALUE"""),"pefi")</f>
        <v>pefi</v>
      </c>
      <c r="C9775" s="2" t="str">
        <f ca="1">IFERROR(__xludf.DUMMYFUNCTION("""COMPUTED_VALUE"""),"Penguin Finance")</f>
        <v>Penguin Finance</v>
      </c>
    </row>
    <row r="9776" spans="1:3" x14ac:dyDescent="0.25">
      <c r="A9776" s="2" t="str">
        <f ca="1">IFERROR(__xludf.DUMMYFUNCTION("""COMPUTED_VALUE"""),"pengyos")</f>
        <v>pengyos</v>
      </c>
      <c r="B9776" s="2" t="str">
        <f ca="1">IFERROR(__xludf.DUMMYFUNCTION("""COMPUTED_VALUE"""),"pos")</f>
        <v>pos</v>
      </c>
      <c r="C9776" s="2" t="str">
        <f ca="1">IFERROR(__xludf.DUMMYFUNCTION("""COMPUTED_VALUE"""),"PengyOS")</f>
        <v>PengyOS</v>
      </c>
    </row>
    <row r="9777" spans="1:3" x14ac:dyDescent="0.25">
      <c r="A9777" s="2" t="str">
        <f ca="1">IFERROR(__xludf.DUMMYFUNCTION("""COMPUTED_VALUE"""),"penjamin-blinkerton")</f>
        <v>penjamin-blinkerton</v>
      </c>
      <c r="B9777" s="2" t="str">
        <f ca="1">IFERROR(__xludf.DUMMYFUNCTION("""COMPUTED_VALUE"""),"pen")</f>
        <v>pen</v>
      </c>
      <c r="C9777" s="2" t="str">
        <f ca="1">IFERROR(__xludf.DUMMYFUNCTION("""COMPUTED_VALUE"""),"Penjamin Blinkerton")</f>
        <v>Penjamin Blinkerton</v>
      </c>
    </row>
    <row r="9778" spans="1:3" x14ac:dyDescent="0.25">
      <c r="A9778" s="2" t="str">
        <f ca="1">IFERROR(__xludf.DUMMYFUNCTION("""COMPUTED_VALUE"""),"penos")</f>
        <v>penos</v>
      </c>
      <c r="B9778" s="2" t="str">
        <f ca="1">IFERROR(__xludf.DUMMYFUNCTION("""COMPUTED_VALUE"""),"penos")</f>
        <v>penos</v>
      </c>
      <c r="C9778" s="2" t="str">
        <f ca="1">IFERROR(__xludf.DUMMYFUNCTION("""COMPUTED_VALUE"""),"PENOS")</f>
        <v>PENOS</v>
      </c>
    </row>
    <row r="9779" spans="1:3" x14ac:dyDescent="0.25">
      <c r="A9779" s="2" t="str">
        <f ca="1">IFERROR(__xludf.DUMMYFUNCTION("""COMPUTED_VALUE"""),"penose")</f>
        <v>penose</v>
      </c>
      <c r="B9779" s="2" t="str">
        <f ca="1">IFERROR(__xludf.DUMMYFUNCTION("""COMPUTED_VALUE"""),"penose")</f>
        <v>penose</v>
      </c>
      <c r="C9779" s="2" t="str">
        <f ca="1">IFERROR(__xludf.DUMMYFUNCTION("""COMPUTED_VALUE"""),"Penose")</f>
        <v>Penose</v>
      </c>
    </row>
    <row r="9780" spans="1:3" x14ac:dyDescent="0.25">
      <c r="A9780" s="2" t="str">
        <f ca="1">IFERROR(__xludf.DUMMYFUNCTION("""COMPUTED_VALUE"""),"penpad-token")</f>
        <v>penpad-token</v>
      </c>
      <c r="B9780" s="2" t="str">
        <f ca="1">IFERROR(__xludf.DUMMYFUNCTION("""COMPUTED_VALUE"""),"dapp")</f>
        <v>dapp</v>
      </c>
      <c r="C9780" s="2" t="str">
        <f ca="1">IFERROR(__xludf.DUMMYFUNCTION("""COMPUTED_VALUE"""),"Pencils Protocol")</f>
        <v>Pencils Protocol</v>
      </c>
    </row>
    <row r="9781" spans="1:3" x14ac:dyDescent="0.25">
      <c r="A9781" s="2" t="str">
        <f ca="1">IFERROR(__xludf.DUMMYFUNCTION("""COMPUTED_VALUE"""),"penpie")</f>
        <v>penpie</v>
      </c>
      <c r="B9781" s="2" t="str">
        <f ca="1">IFERROR(__xludf.DUMMYFUNCTION("""COMPUTED_VALUE"""),"pnp")</f>
        <v>pnp</v>
      </c>
      <c r="C9781" s="2" t="str">
        <f ca="1">IFERROR(__xludf.DUMMYFUNCTION("""COMPUTED_VALUE"""),"Penpie")</f>
        <v>Penpie</v>
      </c>
    </row>
    <row r="9782" spans="1:3" x14ac:dyDescent="0.25">
      <c r="A9782" s="2" t="str">
        <f ca="1">IFERROR(__xludf.DUMMYFUNCTION("""COMPUTED_VALUE"""),"penrose-finance")</f>
        <v>penrose-finance</v>
      </c>
      <c r="B9782" s="2" t="str">
        <f ca="1">IFERROR(__xludf.DUMMYFUNCTION("""COMPUTED_VALUE"""),"pen")</f>
        <v>pen</v>
      </c>
      <c r="C9782" s="2" t="str">
        <f ca="1">IFERROR(__xludf.DUMMYFUNCTION("""COMPUTED_VALUE"""),"Penrose Finance")</f>
        <v>Penrose Finance</v>
      </c>
    </row>
    <row r="9783" spans="1:3" x14ac:dyDescent="0.25">
      <c r="A9783" s="2" t="str">
        <f ca="1">IFERROR(__xludf.DUMMYFUNCTION("""COMPUTED_VALUE"""),"peony-coin")</f>
        <v>peony-coin</v>
      </c>
      <c r="B9783" s="2" t="str">
        <f ca="1">IFERROR(__xludf.DUMMYFUNCTION("""COMPUTED_VALUE"""),"pny")</f>
        <v>pny</v>
      </c>
      <c r="C9783" s="2" t="str">
        <f ca="1">IFERROR(__xludf.DUMMYFUNCTION("""COMPUTED_VALUE"""),"Peony Coin")</f>
        <v>Peony Coin</v>
      </c>
    </row>
    <row r="9784" spans="1:3" x14ac:dyDescent="0.25">
      <c r="A9784" s="2" t="str">
        <f ca="1">IFERROR(__xludf.DUMMYFUNCTION("""COMPUTED_VALUE"""),"pepa-erc")</f>
        <v>pepa-erc</v>
      </c>
      <c r="B9784" s="2" t="str">
        <f ca="1">IFERROR(__xludf.DUMMYFUNCTION("""COMPUTED_VALUE"""),"pepa")</f>
        <v>pepa</v>
      </c>
      <c r="C9784" s="2" t="str">
        <f ca="1">IFERROR(__xludf.DUMMYFUNCTION("""COMPUTED_VALUE"""),"Pepa ERC")</f>
        <v>Pepa ERC</v>
      </c>
    </row>
    <row r="9785" spans="1:3" x14ac:dyDescent="0.25">
      <c r="A9785" s="2" t="str">
        <f ca="1">IFERROR(__xludf.DUMMYFUNCTION("""COMPUTED_VALUE"""),"pepa-inu")</f>
        <v>pepa-inu</v>
      </c>
      <c r="B9785" s="2" t="str">
        <f ca="1">IFERROR(__xludf.DUMMYFUNCTION("""COMPUTED_VALUE"""),"pepa")</f>
        <v>pepa</v>
      </c>
      <c r="C9785" s="2" t="str">
        <f ca="1">IFERROR(__xludf.DUMMYFUNCTION("""COMPUTED_VALUE"""),"Pepa Inu")</f>
        <v>Pepa Inu</v>
      </c>
    </row>
    <row r="9786" spans="1:3" x14ac:dyDescent="0.25">
      <c r="A9786" s="2" t="str">
        <f ca="1">IFERROR(__xludf.DUMMYFUNCTION("""COMPUTED_VALUE"""),"pepcat")</f>
        <v>pepcat</v>
      </c>
      <c r="B9786" s="2" t="str">
        <f ca="1">IFERROR(__xludf.DUMMYFUNCTION("""COMPUTED_VALUE"""),"pepcat")</f>
        <v>pepcat</v>
      </c>
      <c r="C9786" s="2" t="str">
        <f ca="1">IFERROR(__xludf.DUMMYFUNCTION("""COMPUTED_VALUE"""),"pepcat")</f>
        <v>pepcat</v>
      </c>
    </row>
    <row r="9787" spans="1:3" x14ac:dyDescent="0.25">
      <c r="A9787" s="2" t="str">
        <f ca="1">IFERROR(__xludf.DUMMYFUNCTION("""COMPUTED_VALUE"""),"pepe")</f>
        <v>pepe</v>
      </c>
      <c r="B9787" s="2" t="str">
        <f ca="1">IFERROR(__xludf.DUMMYFUNCTION("""COMPUTED_VALUE"""),"pepe")</f>
        <v>pepe</v>
      </c>
      <c r="C9787" s="2" t="str">
        <f ca="1">IFERROR(__xludf.DUMMYFUNCTION("""COMPUTED_VALUE"""),"Pepe")</f>
        <v>Pepe</v>
      </c>
    </row>
    <row r="9788" spans="1:3" x14ac:dyDescent="0.25">
      <c r="A9788" s="2" t="str">
        <f ca="1">IFERROR(__xludf.DUMMYFUNCTION("""COMPUTED_VALUE"""),"pepe-0x69-on-base")</f>
        <v>pepe-0x69-on-base</v>
      </c>
      <c r="B9788" s="2" t="str">
        <f ca="1">IFERROR(__xludf.DUMMYFUNCTION("""COMPUTED_VALUE"""),"pepe")</f>
        <v>pepe</v>
      </c>
      <c r="C9788" s="2" t="str">
        <f ca="1">IFERROR(__xludf.DUMMYFUNCTION("""COMPUTED_VALUE"""),"PEPE 0x69 ON BASE")</f>
        <v>PEPE 0x69 ON BASE</v>
      </c>
    </row>
    <row r="9789" spans="1:3" x14ac:dyDescent="0.25">
      <c r="A9789" s="2" t="str">
        <f ca="1">IFERROR(__xludf.DUMMYFUNCTION("""COMPUTED_VALUE"""),"pepe-2")</f>
        <v>pepe-2</v>
      </c>
      <c r="B9789" s="2" t="str">
        <f ca="1">IFERROR(__xludf.DUMMYFUNCTION("""COMPUTED_VALUE"""),"pepe")</f>
        <v>pepe</v>
      </c>
      <c r="C9789" s="2" t="str">
        <f ca="1">IFERROR(__xludf.DUMMYFUNCTION("""COMPUTED_VALUE"""),"The Original Pepe")</f>
        <v>The Original Pepe</v>
      </c>
    </row>
    <row r="9790" spans="1:3" x14ac:dyDescent="0.25">
      <c r="A9790" s="2" t="str">
        <f ca="1">IFERROR(__xludf.DUMMYFUNCTION("""COMPUTED_VALUE"""),"pepe-2-0")</f>
        <v>pepe-2-0</v>
      </c>
      <c r="B9790" s="2" t="str">
        <f ca="1">IFERROR(__xludf.DUMMYFUNCTION("""COMPUTED_VALUE"""),"pepe2.0")</f>
        <v>pepe2.0</v>
      </c>
      <c r="C9790" s="2" t="str">
        <f ca="1">IFERROR(__xludf.DUMMYFUNCTION("""COMPUTED_VALUE"""),"Pepe 2.0")</f>
        <v>Pepe 2.0</v>
      </c>
    </row>
    <row r="9791" spans="1:3" x14ac:dyDescent="0.25">
      <c r="A9791" s="2" t="str">
        <f ca="1">IFERROR(__xludf.DUMMYFUNCTION("""COMPUTED_VALUE"""),"pepe-2nd-chance")</f>
        <v>pepe-2nd-chance</v>
      </c>
      <c r="B9791" s="2" t="str">
        <f ca="1">IFERROR(__xludf.DUMMYFUNCTION("""COMPUTED_VALUE"""),"pepe")</f>
        <v>pepe</v>
      </c>
      <c r="C9791" s="2" t="str">
        <f ca="1">IFERROR(__xludf.DUMMYFUNCTION("""COMPUTED_VALUE"""),"Pepe 2nd Chance")</f>
        <v>Pepe 2nd Chance</v>
      </c>
    </row>
    <row r="9792" spans="1:3" x14ac:dyDescent="0.25">
      <c r="A9792" s="2" t="str">
        <f ca="1">IFERROR(__xludf.DUMMYFUNCTION("""COMPUTED_VALUE"""),"pepe-3")</f>
        <v>pepe-3</v>
      </c>
      <c r="B9792" s="2" t="str">
        <f ca="1">IFERROR(__xludf.DUMMYFUNCTION("""COMPUTED_VALUE"""),"trump")</f>
        <v>trump</v>
      </c>
      <c r="C9792" s="2" t="str">
        <f ca="1">IFERROR(__xludf.DUMMYFUNCTION("""COMPUTED_VALUE"""),"Pepe")</f>
        <v>Pepe</v>
      </c>
    </row>
    <row r="9793" spans="1:3" x14ac:dyDescent="0.25">
      <c r="A9793" s="2" t="str">
        <f ca="1">IFERROR(__xludf.DUMMYFUNCTION("""COMPUTED_VALUE"""),"pepe-ai")</f>
        <v>pepe-ai</v>
      </c>
      <c r="B9793" s="2" t="str">
        <f ca="1">IFERROR(__xludf.DUMMYFUNCTION("""COMPUTED_VALUE"""),"pepeai")</f>
        <v>pepeai</v>
      </c>
      <c r="C9793" s="2" t="str">
        <f ca="1">IFERROR(__xludf.DUMMYFUNCTION("""COMPUTED_VALUE"""),"Pepe AI")</f>
        <v>Pepe AI</v>
      </c>
    </row>
    <row r="9794" spans="1:3" x14ac:dyDescent="0.25">
      <c r="A9794" s="2" t="str">
        <f ca="1">IFERROR(__xludf.DUMMYFUNCTION("""COMPUTED_VALUE"""),"pepe-black")</f>
        <v>pepe-black</v>
      </c>
      <c r="B9794" s="2" t="str">
        <f ca="1">IFERROR(__xludf.DUMMYFUNCTION("""COMPUTED_VALUE"""),"pepe")</f>
        <v>pepe</v>
      </c>
      <c r="C9794" s="2" t="str">
        <f ca="1">IFERROR(__xludf.DUMMYFUNCTION("""COMPUTED_VALUE"""),"PEPE BLACK")</f>
        <v>PEPE BLACK</v>
      </c>
    </row>
    <row r="9795" spans="1:3" x14ac:dyDescent="0.25">
      <c r="A9795" s="2" t="str">
        <f ca="1">IFERROR(__xludf.DUMMYFUNCTION("""COMPUTED_VALUE"""),"pepeblue")</f>
        <v>pepeblue</v>
      </c>
      <c r="B9795" s="2" t="str">
        <f ca="1">IFERROR(__xludf.DUMMYFUNCTION("""COMPUTED_VALUE"""),"pepeblue")</f>
        <v>pepeblue</v>
      </c>
      <c r="C9795" s="2" t="str">
        <f ca="1">IFERROR(__xludf.DUMMYFUNCTION("""COMPUTED_VALUE"""),"Pepeblue")</f>
        <v>Pepeblue</v>
      </c>
    </row>
    <row r="9796" spans="1:3" x14ac:dyDescent="0.25">
      <c r="A9796" s="2" t="str">
        <f ca="1">IFERROR(__xludf.DUMMYFUNCTION("""COMPUTED_VALUE"""),"pepebnbs")</f>
        <v>pepebnbs</v>
      </c>
      <c r="B9796" s="2" t="str">
        <f ca="1">IFERROR(__xludf.DUMMYFUNCTION("""COMPUTED_VALUE"""),"pepebnbs")</f>
        <v>pepebnbs</v>
      </c>
      <c r="C9796" s="2" t="str">
        <f ca="1">IFERROR(__xludf.DUMMYFUNCTION("""COMPUTED_VALUE"""),"PEPEBNBS")</f>
        <v>PEPEBNBS</v>
      </c>
    </row>
    <row r="9797" spans="1:3" x14ac:dyDescent="0.25">
      <c r="A9797" s="2" t="str">
        <f ca="1">IFERROR(__xludf.DUMMYFUNCTION("""COMPUTED_VALUE"""),"pepebomb")</f>
        <v>pepebomb</v>
      </c>
      <c r="B9797" s="2" t="str">
        <f ca="1">IFERROR(__xludf.DUMMYFUNCTION("""COMPUTED_VALUE"""),"pepe")</f>
        <v>pepe</v>
      </c>
      <c r="C9797" s="2" t="str">
        <f ca="1">IFERROR(__xludf.DUMMYFUNCTION("""COMPUTED_VALUE"""),"PEPEBOMB")</f>
        <v>PEPEBOMB</v>
      </c>
    </row>
    <row r="9798" spans="1:3" x14ac:dyDescent="0.25">
      <c r="A9798" s="2" t="str">
        <f ca="1">IFERROR(__xludf.DUMMYFUNCTION("""COMPUTED_VALUE"""),"pepebrc")</f>
        <v>pepebrc</v>
      </c>
      <c r="B9798" s="2" t="str">
        <f ca="1">IFERROR(__xludf.DUMMYFUNCTION("""COMPUTED_VALUE"""),"pepe")</f>
        <v>pepe</v>
      </c>
      <c r="C9798" s="2" t="str">
        <f ca="1">IFERROR(__xludf.DUMMYFUNCTION("""COMPUTED_VALUE"""),"PEPE (Ordinals)")</f>
        <v>PEPE (Ordinals)</v>
      </c>
    </row>
    <row r="9799" spans="1:3" x14ac:dyDescent="0.25">
      <c r="A9799" s="2" t="str">
        <f ca="1">IFERROR(__xludf.DUMMYFUNCTION("""COMPUTED_VALUE"""),"pepebull")</f>
        <v>pepebull</v>
      </c>
      <c r="B9799" s="2" t="str">
        <f ca="1">IFERROR(__xludf.DUMMYFUNCTION("""COMPUTED_VALUE"""),"beef")</f>
        <v>beef</v>
      </c>
      <c r="C9799" s="2" t="str">
        <f ca="1">IFERROR(__xludf.DUMMYFUNCTION("""COMPUTED_VALUE"""),"PepeBull")</f>
        <v>PepeBull</v>
      </c>
    </row>
    <row r="9800" spans="1:3" x14ac:dyDescent="0.25">
      <c r="A9800" s="2" t="str">
        <f ca="1">IFERROR(__xludf.DUMMYFUNCTION("""COMPUTED_VALUE"""),"pepe-but-blue")</f>
        <v>pepe-but-blue</v>
      </c>
      <c r="B9800" s="2" t="str">
        <f ca="1">IFERROR(__xludf.DUMMYFUNCTION("""COMPUTED_VALUE"""),"pbb")</f>
        <v>pbb</v>
      </c>
      <c r="C9800" s="2" t="str">
        <f ca="1">IFERROR(__xludf.DUMMYFUNCTION("""COMPUTED_VALUE"""),"Pepe But Blue")</f>
        <v>Pepe But Blue</v>
      </c>
    </row>
    <row r="9801" spans="1:3" x14ac:dyDescent="0.25">
      <c r="A9801" s="2" t="str">
        <f ca="1">IFERROR(__xludf.DUMMYFUNCTION("""COMPUTED_VALUE"""),"pepecash-bsc")</f>
        <v>pepecash-bsc</v>
      </c>
      <c r="B9801" s="2" t="str">
        <f ca="1">IFERROR(__xludf.DUMMYFUNCTION("""COMPUTED_VALUE"""),"pepecash")</f>
        <v>pepecash</v>
      </c>
      <c r="C9801" s="2" t="str">
        <f ca="1">IFERROR(__xludf.DUMMYFUNCTION("""COMPUTED_VALUE"""),"PEPECASH")</f>
        <v>PEPECASH</v>
      </c>
    </row>
    <row r="9802" spans="1:3" x14ac:dyDescent="0.25">
      <c r="A9802" s="2" t="str">
        <f ca="1">IFERROR(__xludf.DUMMYFUNCTION("""COMPUTED_VALUE"""),"pepecat")</f>
        <v>pepecat</v>
      </c>
      <c r="B9802" s="2" t="str">
        <f ca="1">IFERROR(__xludf.DUMMYFUNCTION("""COMPUTED_VALUE"""),"pepecat")</f>
        <v>pepecat</v>
      </c>
      <c r="C9802" s="2" t="str">
        <f ca="1">IFERROR(__xludf.DUMMYFUNCTION("""COMPUTED_VALUE"""),"PEPECAT")</f>
        <v>PEPECAT</v>
      </c>
    </row>
    <row r="9803" spans="1:3" x14ac:dyDescent="0.25">
      <c r="A9803" s="2" t="str">
        <f ca="1">IFERROR(__xludf.DUMMYFUNCTION("""COMPUTED_VALUE"""),"pepe-ceo")</f>
        <v>pepe-ceo</v>
      </c>
      <c r="B9803" s="2" t="str">
        <f ca="1">IFERROR(__xludf.DUMMYFUNCTION("""COMPUTED_VALUE"""),"peo")</f>
        <v>peo</v>
      </c>
      <c r="C9803" s="2" t="str">
        <f ca="1">IFERROR(__xludf.DUMMYFUNCTION("""COMPUTED_VALUE"""),"Pepe CEO")</f>
        <v>Pepe CEO</v>
      </c>
    </row>
    <row r="9804" spans="1:3" x14ac:dyDescent="0.25">
      <c r="A9804" s="2" t="str">
        <f ca="1">IFERROR(__xludf.DUMMYFUNCTION("""COMPUTED_VALUE"""),"pepechain")</f>
        <v>pepechain</v>
      </c>
      <c r="B9804" s="2" t="str">
        <f ca="1">IFERROR(__xludf.DUMMYFUNCTION("""COMPUTED_VALUE"""),"pc")</f>
        <v>pc</v>
      </c>
      <c r="C9804" s="2" t="str">
        <f ca="1">IFERROR(__xludf.DUMMYFUNCTION("""COMPUTED_VALUE"""),"Pepechain")</f>
        <v>Pepechain</v>
      </c>
    </row>
    <row r="9805" spans="1:3" x14ac:dyDescent="0.25">
      <c r="A9805" s="2" t="str">
        <f ca="1">IFERROR(__xludf.DUMMYFUNCTION("""COMPUTED_VALUE"""),"pepe-chain")</f>
        <v>pepe-chain</v>
      </c>
      <c r="B9805" s="2" t="str">
        <f ca="1">IFERROR(__xludf.DUMMYFUNCTION("""COMPUTED_VALUE"""),"pepechain")</f>
        <v>pepechain</v>
      </c>
      <c r="C9805" s="2" t="str">
        <f ca="1">IFERROR(__xludf.DUMMYFUNCTION("""COMPUTED_VALUE"""),"PEPE Chain")</f>
        <v>PEPE Chain</v>
      </c>
    </row>
    <row r="9806" spans="1:3" x14ac:dyDescent="0.25">
      <c r="A9806" s="2" t="str">
        <f ca="1">IFERROR(__xludf.DUMMYFUNCTION("""COMPUTED_VALUE"""),"pepe-chain-2")</f>
        <v>pepe-chain-2</v>
      </c>
      <c r="B9806" s="2" t="str">
        <f ca="1">IFERROR(__xludf.DUMMYFUNCTION("""COMPUTED_VALUE"""),"pc")</f>
        <v>pc</v>
      </c>
      <c r="C9806" s="2" t="str">
        <f ca="1">IFERROR(__xludf.DUMMYFUNCTION("""COMPUTED_VALUE"""),"Pepe Chain")</f>
        <v>Pepe Chain</v>
      </c>
    </row>
    <row r="9807" spans="1:3" x14ac:dyDescent="0.25">
      <c r="A9807" s="2" t="str">
        <f ca="1">IFERROR(__xludf.DUMMYFUNCTION("""COMPUTED_VALUE"""),"pepecoin-2")</f>
        <v>pepecoin-2</v>
      </c>
      <c r="B9807" s="2" t="str">
        <f ca="1">IFERROR(__xludf.DUMMYFUNCTION("""COMPUTED_VALUE"""),"pepecoin")</f>
        <v>pepecoin</v>
      </c>
      <c r="C9807" s="2" t="str">
        <f ca="1">IFERROR(__xludf.DUMMYFUNCTION("""COMPUTED_VALUE"""),"PepeCoin")</f>
        <v>PepeCoin</v>
      </c>
    </row>
    <row r="9808" spans="1:3" x14ac:dyDescent="0.25">
      <c r="A9808" s="2" t="str">
        <f ca="1">IFERROR(__xludf.DUMMYFUNCTION("""COMPUTED_VALUE"""),"pepecoin-network")</f>
        <v>pepecoin-network</v>
      </c>
      <c r="B9808" s="2" t="str">
        <f ca="1">IFERROR(__xludf.DUMMYFUNCTION("""COMPUTED_VALUE"""),"pep")</f>
        <v>pep</v>
      </c>
      <c r="C9808" s="2" t="str">
        <f ca="1">IFERROR(__xludf.DUMMYFUNCTION("""COMPUTED_VALUE"""),"Pepecoin Network")</f>
        <v>Pepecoin Network</v>
      </c>
    </row>
    <row r="9809" spans="1:3" x14ac:dyDescent="0.25">
      <c r="A9809" s="2" t="str">
        <f ca="1">IFERROR(__xludf.DUMMYFUNCTION("""COMPUTED_VALUE"""),"pepecoin-on-sol")</f>
        <v>pepecoin-on-sol</v>
      </c>
      <c r="B9809" s="2" t="str">
        <f ca="1">IFERROR(__xludf.DUMMYFUNCTION("""COMPUTED_VALUE"""),"pepe")</f>
        <v>pepe</v>
      </c>
      <c r="C9809" s="2" t="str">
        <f ca="1">IFERROR(__xludf.DUMMYFUNCTION("""COMPUTED_VALUE"""),"PEPECOIN on SOL")</f>
        <v>PEPECOIN on SOL</v>
      </c>
    </row>
    <row r="9810" spans="1:3" x14ac:dyDescent="0.25">
      <c r="A9810" s="2" t="str">
        <f ca="1">IFERROR(__xludf.DUMMYFUNCTION("""COMPUTED_VALUE"""),"pepecoin-on-solana")</f>
        <v>pepecoin-on-solana</v>
      </c>
      <c r="B9810" s="2" t="str">
        <f ca="1">IFERROR(__xludf.DUMMYFUNCTION("""COMPUTED_VALUE"""),"pepe")</f>
        <v>pepe</v>
      </c>
      <c r="C9810" s="2" t="str">
        <f ca="1">IFERROR(__xludf.DUMMYFUNCTION("""COMPUTED_VALUE"""),"PepeCoin on Solana")</f>
        <v>PepeCoin on Solana</v>
      </c>
    </row>
    <row r="9811" spans="1:3" x14ac:dyDescent="0.25">
      <c r="A9811" s="2" t="str">
        <f ca="1">IFERROR(__xludf.DUMMYFUNCTION("""COMPUTED_VALUE"""),"pepe-cto")</f>
        <v>pepe-cto</v>
      </c>
      <c r="B9811" s="2" t="str">
        <f ca="1">IFERROR(__xludf.DUMMYFUNCTION("""COMPUTED_VALUE"""),"pepe")</f>
        <v>pepe</v>
      </c>
      <c r="C9811" s="2" t="str">
        <f ca="1">IFERROR(__xludf.DUMMYFUNCTION("""COMPUTED_VALUE"""),"Pepe CTO")</f>
        <v>Pepe CTO</v>
      </c>
    </row>
    <row r="9812" spans="1:3" x14ac:dyDescent="0.25">
      <c r="A9812" s="2" t="str">
        <f ca="1">IFERROR(__xludf.DUMMYFUNCTION("""COMPUTED_VALUE"""),"pepedex")</f>
        <v>pepedex</v>
      </c>
      <c r="B9812" s="2" t="str">
        <f ca="1">IFERROR(__xludf.DUMMYFUNCTION("""COMPUTED_VALUE"""),"ppdex")</f>
        <v>ppdex</v>
      </c>
      <c r="C9812" s="2" t="str">
        <f ca="1">IFERROR(__xludf.DUMMYFUNCTION("""COMPUTED_VALUE"""),"Pepedex")</f>
        <v>Pepedex</v>
      </c>
    </row>
    <row r="9813" spans="1:3" x14ac:dyDescent="0.25">
      <c r="A9813" s="2" t="str">
        <f ca="1">IFERROR(__xludf.DUMMYFUNCTION("""COMPUTED_VALUE"""),"pepe-doge")</f>
        <v>pepe-doge</v>
      </c>
      <c r="B9813" s="2" t="str">
        <f ca="1">IFERROR(__xludf.DUMMYFUNCTION("""COMPUTED_VALUE"""),"pepedoge")</f>
        <v>pepedoge</v>
      </c>
      <c r="C9813" s="2" t="str">
        <f ca="1">IFERROR(__xludf.DUMMYFUNCTION("""COMPUTED_VALUE"""),"Pepe Doge")</f>
        <v>Pepe Doge</v>
      </c>
    </row>
    <row r="9814" spans="1:3" x14ac:dyDescent="0.25">
      <c r="A9814" s="2" t="str">
        <f ca="1">IFERROR(__xludf.DUMMYFUNCTION("""COMPUTED_VALUE"""),"pepefork")</f>
        <v>pepefork</v>
      </c>
      <c r="B9814" s="2" t="str">
        <f ca="1">IFERROR(__xludf.DUMMYFUNCTION("""COMPUTED_VALUE"""),"pork")</f>
        <v>pork</v>
      </c>
      <c r="C9814" s="2" t="str">
        <f ca="1">IFERROR(__xludf.DUMMYFUNCTION("""COMPUTED_VALUE"""),"PepeFork")</f>
        <v>PepeFork</v>
      </c>
    </row>
    <row r="9815" spans="1:3" x14ac:dyDescent="0.25">
      <c r="A9815" s="2" t="str">
        <f ca="1">IFERROR(__xludf.DUMMYFUNCTION("""COMPUTED_VALUE"""),"pepega")</f>
        <v>pepega</v>
      </c>
      <c r="B9815" s="2" t="str">
        <f ca="1">IFERROR(__xludf.DUMMYFUNCTION("""COMPUTED_VALUE"""),"pepega")</f>
        <v>pepega</v>
      </c>
      <c r="C9815" s="2" t="str">
        <f ca="1">IFERROR(__xludf.DUMMYFUNCTION("""COMPUTED_VALUE"""),"Pepega")</f>
        <v>Pepega</v>
      </c>
    </row>
    <row r="9816" spans="1:3" x14ac:dyDescent="0.25">
      <c r="A9816" s="2" t="str">
        <f ca="1">IFERROR(__xludf.DUMMYFUNCTION("""COMPUTED_VALUE"""),"pepe-girl")</f>
        <v>pepe-girl</v>
      </c>
      <c r="B9816" s="2" t="str">
        <f ca="1">IFERROR(__xludf.DUMMYFUNCTION("""COMPUTED_VALUE"""),"pepeg")</f>
        <v>pepeg</v>
      </c>
      <c r="C9816" s="2" t="str">
        <f ca="1">IFERROR(__xludf.DUMMYFUNCTION("""COMPUTED_VALUE"""),"Pepe Girl")</f>
        <v>Pepe Girl</v>
      </c>
    </row>
    <row r="9817" spans="1:3" x14ac:dyDescent="0.25">
      <c r="A9817" s="2" t="str">
        <f ca="1">IFERROR(__xludf.DUMMYFUNCTION("""COMPUTED_VALUE"""),"pepe-gold")</f>
        <v>pepe-gold</v>
      </c>
      <c r="B9817" s="2" t="str">
        <f ca="1">IFERROR(__xludf.DUMMYFUNCTION("""COMPUTED_VALUE"""),"pepe")</f>
        <v>pepe</v>
      </c>
      <c r="C9817" s="2" t="str">
        <f ca="1">IFERROR(__xludf.DUMMYFUNCTION("""COMPUTED_VALUE"""),"PEPE GOLD")</f>
        <v>PEPE GOLD</v>
      </c>
    </row>
    <row r="9818" spans="1:3" x14ac:dyDescent="0.25">
      <c r="A9818" s="2" t="str">
        <f ca="1">IFERROR(__xludf.DUMMYFUNCTION("""COMPUTED_VALUE"""),"pepegold-6ea5105a-8bbe-45bc-bd1c-dc9b01a19be7")</f>
        <v>pepegold-6ea5105a-8bbe-45bc-bd1c-dc9b01a19be7</v>
      </c>
      <c r="B9818" s="2" t="str">
        <f ca="1">IFERROR(__xludf.DUMMYFUNCTION("""COMPUTED_VALUE"""),"pepe")</f>
        <v>pepe</v>
      </c>
      <c r="C9818" s="2" t="str">
        <f ca="1">IFERROR(__xludf.DUMMYFUNCTION("""COMPUTED_VALUE"""),"PEPEGOLD")</f>
        <v>PEPEGOLD</v>
      </c>
    </row>
    <row r="9819" spans="1:3" x14ac:dyDescent="0.25">
      <c r="A9819" s="2" t="str">
        <f ca="1">IFERROR(__xludf.DUMMYFUNCTION("""COMPUTED_VALUE"""),"pepe-in-a-memes-world")</f>
        <v>pepe-in-a-memes-world</v>
      </c>
      <c r="B9819" s="2" t="str">
        <f ca="1">IFERROR(__xludf.DUMMYFUNCTION("""COMPUTED_VALUE"""),"pew")</f>
        <v>pew</v>
      </c>
      <c r="C9819" s="2" t="str">
        <f ca="1">IFERROR(__xludf.DUMMYFUNCTION("""COMPUTED_VALUE"""),"pepe in a memes world")</f>
        <v>pepe in a memes world</v>
      </c>
    </row>
    <row r="9820" spans="1:3" x14ac:dyDescent="0.25">
      <c r="A9820" s="2" t="str">
        <f ca="1">IFERROR(__xludf.DUMMYFUNCTION("""COMPUTED_VALUE"""),"pepeinatux")</f>
        <v>pepeinatux</v>
      </c>
      <c r="B9820" s="2" t="str">
        <f ca="1">IFERROR(__xludf.DUMMYFUNCTION("""COMPUTED_VALUE"""),"$ina")</f>
        <v>$ina</v>
      </c>
      <c r="C9820" s="2" t="str">
        <f ca="1">IFERROR(__xludf.DUMMYFUNCTION("""COMPUTED_VALUE"""),"Pepeinatux")</f>
        <v>Pepeinatux</v>
      </c>
    </row>
    <row r="9821" spans="1:3" x14ac:dyDescent="0.25">
      <c r="A9821" s="2" t="str">
        <f ca="1">IFERROR(__xludf.DUMMYFUNCTION("""COMPUTED_VALUE"""),"pepe-inscriptions")</f>
        <v>pepe-inscriptions</v>
      </c>
      <c r="B9821" s="2" t="str">
        <f ca="1">IFERROR(__xludf.DUMMYFUNCTION("""COMPUTED_VALUE"""),"pepi")</f>
        <v>pepi</v>
      </c>
      <c r="C9821" s="2" t="str">
        <f ca="1">IFERROR(__xludf.DUMMYFUNCTION("""COMPUTED_VALUE"""),"Pepe Inscriptions")</f>
        <v>Pepe Inscriptions</v>
      </c>
    </row>
    <row r="9822" spans="1:3" x14ac:dyDescent="0.25">
      <c r="A9822" s="2" t="str">
        <f ca="1">IFERROR(__xludf.DUMMYFUNCTION("""COMPUTED_VALUE"""),"pepe-inu")</f>
        <v>pepe-inu</v>
      </c>
      <c r="B9822" s="2" t="str">
        <f ca="1">IFERROR(__xludf.DUMMYFUNCTION("""COMPUTED_VALUE"""),"pepinu")</f>
        <v>pepinu</v>
      </c>
      <c r="C9822" s="2" t="str">
        <f ca="1">IFERROR(__xludf.DUMMYFUNCTION("""COMPUTED_VALUE"""),"Pepe Inu")</f>
        <v>Pepe Inu</v>
      </c>
    </row>
    <row r="9823" spans="1:3" x14ac:dyDescent="0.25">
      <c r="A9823" s="2" t="str">
        <f ca="1">IFERROR(__xludf.DUMMYFUNCTION("""COMPUTED_VALUE"""),"pepe-inverted")</f>
        <v>pepe-inverted</v>
      </c>
      <c r="B9823" s="2" t="str">
        <f ca="1">IFERROR(__xludf.DUMMYFUNCTION("""COMPUTED_VALUE"""),"ǝԁǝԁ")</f>
        <v>ǝԁǝԁ</v>
      </c>
      <c r="C9823" s="2" t="str">
        <f ca="1">IFERROR(__xludf.DUMMYFUNCTION("""COMPUTED_VALUE"""),"Pepe Inverted")</f>
        <v>Pepe Inverted</v>
      </c>
    </row>
    <row r="9824" spans="1:3" x14ac:dyDescent="0.25">
      <c r="A9824" s="2" t="str">
        <f ca="1">IFERROR(__xludf.DUMMYFUNCTION("""COMPUTED_VALUE"""),"pepe-junior")</f>
        <v>pepe-junior</v>
      </c>
      <c r="B9824" s="2" t="str">
        <f ca="1">IFERROR(__xludf.DUMMYFUNCTION("""COMPUTED_VALUE"""),"pepejr")</f>
        <v>pepejr</v>
      </c>
      <c r="C9824" s="2" t="str">
        <f ca="1">IFERROR(__xludf.DUMMYFUNCTION("""COMPUTED_VALUE"""),"Pepe Junior")</f>
        <v>Pepe Junior</v>
      </c>
    </row>
    <row r="9825" spans="1:3" x14ac:dyDescent="0.25">
      <c r="A9825" s="2" t="str">
        <f ca="1">IFERROR(__xludf.DUMMYFUNCTION("""COMPUTED_VALUE"""),"pepe-king-prawn")</f>
        <v>pepe-king-prawn</v>
      </c>
      <c r="B9825" s="2" t="str">
        <f ca="1">IFERROR(__xludf.DUMMYFUNCTION("""COMPUTED_VALUE"""),"pepe")</f>
        <v>pepe</v>
      </c>
      <c r="C9825" s="2" t="str">
        <f ca="1">IFERROR(__xludf.DUMMYFUNCTION("""COMPUTED_VALUE"""),"Pepe King Prawn")</f>
        <v>Pepe King Prawn</v>
      </c>
    </row>
    <row r="9826" spans="1:3" x14ac:dyDescent="0.25">
      <c r="A9826" s="2" t="str">
        <f ca="1">IFERROR(__xludf.DUMMYFUNCTION("""COMPUTED_VALUE"""),"pepe-le-pew-coin")</f>
        <v>pepe-le-pew-coin</v>
      </c>
      <c r="B9826" s="2" t="str">
        <f ca="1">IFERROR(__xludf.DUMMYFUNCTION("""COMPUTED_VALUE"""),"$plpc")</f>
        <v>$plpc</v>
      </c>
      <c r="C9826" s="2" t="str">
        <f ca="1">IFERROR(__xludf.DUMMYFUNCTION("""COMPUTED_VALUE"""),"Pepe Le Pew Coin")</f>
        <v>Pepe Le Pew Coin</v>
      </c>
    </row>
    <row r="9827" spans="1:3" x14ac:dyDescent="0.25">
      <c r="A9827" s="2" t="str">
        <f ca="1">IFERROR(__xludf.DUMMYFUNCTION("""COMPUTED_VALUE"""),"pepelon-token")</f>
        <v>pepelon-token</v>
      </c>
      <c r="B9827" s="2" t="str">
        <f ca="1">IFERROR(__xludf.DUMMYFUNCTION("""COMPUTED_VALUE"""),"pelo")</f>
        <v>pelo</v>
      </c>
      <c r="C9827" s="2" t="str">
        <f ca="1">IFERROR(__xludf.DUMMYFUNCTION("""COMPUTED_VALUE"""),"PepElon")</f>
        <v>PepElon</v>
      </c>
    </row>
    <row r="9828" spans="1:3" x14ac:dyDescent="0.25">
      <c r="A9828" s="2" t="str">
        <f ca="1">IFERROR(__xludf.DUMMYFUNCTION("""COMPUTED_VALUE"""),"pepe-maga")</f>
        <v>pepe-maga</v>
      </c>
      <c r="B9828" s="2" t="str">
        <f ca="1">IFERROR(__xludf.DUMMYFUNCTION("""COMPUTED_VALUE"""),"pepemaga")</f>
        <v>pepemaga</v>
      </c>
      <c r="C9828" s="2" t="str">
        <f ca="1">IFERROR(__xludf.DUMMYFUNCTION("""COMPUTED_VALUE"""),"PEPE MAGA")</f>
        <v>PEPE MAGA</v>
      </c>
    </row>
    <row r="9829" spans="1:3" x14ac:dyDescent="0.25">
      <c r="A9829" s="2" t="str">
        <f ca="1">IFERROR(__xludf.DUMMYFUNCTION("""COMPUTED_VALUE"""),"pepemon-pepeballs")</f>
        <v>pepemon-pepeballs</v>
      </c>
      <c r="B9829" s="2" t="str">
        <f ca="1">IFERROR(__xludf.DUMMYFUNCTION("""COMPUTED_VALUE"""),"ppblz")</f>
        <v>ppblz</v>
      </c>
      <c r="C9829" s="2" t="str">
        <f ca="1">IFERROR(__xludf.DUMMYFUNCTION("""COMPUTED_VALUE"""),"Pepemon Pepeballs")</f>
        <v>Pepemon Pepeballs</v>
      </c>
    </row>
    <row r="9830" spans="1:3" x14ac:dyDescent="0.25">
      <c r="A9830" s="2" t="str">
        <f ca="1">IFERROR(__xludf.DUMMYFUNCTION("""COMPUTED_VALUE"""),"pepenomics")</f>
        <v>pepenomics</v>
      </c>
      <c r="B9830" s="2" t="str">
        <f ca="1">IFERROR(__xludf.DUMMYFUNCTION("""COMPUTED_VALUE"""),"pepenomics")</f>
        <v>pepenomics</v>
      </c>
      <c r="C9830" s="2" t="str">
        <f ca="1">IFERROR(__xludf.DUMMYFUNCTION("""COMPUTED_VALUE"""),"Pepenomics")</f>
        <v>Pepenomics</v>
      </c>
    </row>
    <row r="9831" spans="1:3" x14ac:dyDescent="0.25">
      <c r="A9831" s="2" t="str">
        <f ca="1">IFERROR(__xludf.DUMMYFUNCTION("""COMPUTED_VALUE"""),"pepe-on-base")</f>
        <v>pepe-on-base</v>
      </c>
      <c r="B9831" s="2" t="str">
        <f ca="1">IFERROR(__xludf.DUMMYFUNCTION("""COMPUTED_VALUE"""),"pepe")</f>
        <v>pepe</v>
      </c>
      <c r="C9831" s="2" t="str">
        <f ca="1">IFERROR(__xludf.DUMMYFUNCTION("""COMPUTED_VALUE"""),"Pepe on Base")</f>
        <v>Pepe on Base</v>
      </c>
    </row>
    <row r="9832" spans="1:3" x14ac:dyDescent="0.25">
      <c r="A9832" s="2" t="str">
        <f ca="1">IFERROR(__xludf.DUMMYFUNCTION("""COMPUTED_VALUE"""),"pepe-on-fire")</f>
        <v>pepe-on-fire</v>
      </c>
      <c r="B9832" s="2" t="str">
        <f ca="1">IFERROR(__xludf.DUMMYFUNCTION("""COMPUTED_VALUE"""),"pfire")</f>
        <v>pfire</v>
      </c>
      <c r="C9832" s="2" t="str">
        <f ca="1">IFERROR(__xludf.DUMMYFUNCTION("""COMPUTED_VALUE"""),"Pepe On Fire")</f>
        <v>Pepe On Fire</v>
      </c>
    </row>
    <row r="9833" spans="1:3" x14ac:dyDescent="0.25">
      <c r="A9833" s="2" t="str">
        <f ca="1">IFERROR(__xludf.DUMMYFUNCTION("""COMPUTED_VALUE"""),"pepe-on-solana")</f>
        <v>pepe-on-solana</v>
      </c>
      <c r="B9833" s="2" t="str">
        <f ca="1">IFERROR(__xludf.DUMMYFUNCTION("""COMPUTED_VALUE"""),"pepe")</f>
        <v>pepe</v>
      </c>
      <c r="C9833" s="2" t="str">
        <f ca="1">IFERROR(__xludf.DUMMYFUNCTION("""COMPUTED_VALUE"""),"Pepe on Solana")</f>
        <v>Pepe on Solana</v>
      </c>
    </row>
    <row r="9834" spans="1:3" x14ac:dyDescent="0.25">
      <c r="A9834" s="2" t="str">
        <f ca="1">IFERROR(__xludf.DUMMYFUNCTION("""COMPUTED_VALUE"""),"pepe-original-version")</f>
        <v>pepe-original-version</v>
      </c>
      <c r="B9834" s="2" t="str">
        <f ca="1">IFERROR(__xludf.DUMMYFUNCTION("""COMPUTED_VALUE"""),"pov")</f>
        <v>pov</v>
      </c>
      <c r="C9834" s="2" t="str">
        <f ca="1">IFERROR(__xludf.DUMMYFUNCTION("""COMPUTED_VALUE"""),"Pepe Original Version")</f>
        <v>Pepe Original Version</v>
      </c>
    </row>
    <row r="9835" spans="1:3" x14ac:dyDescent="0.25">
      <c r="A9835" s="2" t="str">
        <f ca="1">IFERROR(__xludf.DUMMYFUNCTION("""COMPUTED_VALUE"""),"pepepad")</f>
        <v>pepepad</v>
      </c>
      <c r="B9835" s="2" t="str">
        <f ca="1">IFERROR(__xludf.DUMMYFUNCTION("""COMPUTED_VALUE"""),"pepe")</f>
        <v>pepe</v>
      </c>
      <c r="C9835" s="2" t="str">
        <f ca="1">IFERROR(__xludf.DUMMYFUNCTION("""COMPUTED_VALUE"""),"PepePAD")</f>
        <v>PepePAD</v>
      </c>
    </row>
    <row r="9836" spans="1:3" x14ac:dyDescent="0.25">
      <c r="A9836" s="2" t="str">
        <f ca="1">IFERROR(__xludf.DUMMYFUNCTION("""COMPUTED_VALUE"""),"pepepow")</f>
        <v>pepepow</v>
      </c>
      <c r="B9836" s="2" t="str">
        <f ca="1">IFERROR(__xludf.DUMMYFUNCTION("""COMPUTED_VALUE"""),"pepew")</f>
        <v>pepew</v>
      </c>
      <c r="C9836" s="2" t="str">
        <f ca="1">IFERROR(__xludf.DUMMYFUNCTION("""COMPUTED_VALUE"""),"PEPEPOW")</f>
        <v>PEPEPOW</v>
      </c>
    </row>
    <row r="9837" spans="1:3" x14ac:dyDescent="0.25">
      <c r="A9837" s="2" t="str">
        <f ca="1">IFERROR(__xludf.DUMMYFUNCTION("""COMPUTED_VALUE"""),"pepe-predator")</f>
        <v>pepe-predator</v>
      </c>
      <c r="B9837" s="2" t="str">
        <f ca="1">IFERROR(__xludf.DUMMYFUNCTION("""COMPUTED_VALUE"""),"snake")</f>
        <v>snake</v>
      </c>
      <c r="C9837" s="2" t="str">
        <f ca="1">IFERROR(__xludf.DUMMYFUNCTION("""COMPUTED_VALUE"""),"Pepe Predator")</f>
        <v>Pepe Predator</v>
      </c>
    </row>
    <row r="9838" spans="1:3" x14ac:dyDescent="0.25">
      <c r="A9838" s="2" t="str">
        <f ca="1">IFERROR(__xludf.DUMMYFUNCTION("""COMPUTED_VALUE"""),"pepe-prophet")</f>
        <v>pepe-prophet</v>
      </c>
      <c r="B9838" s="2" t="str">
        <f ca="1">IFERROR(__xludf.DUMMYFUNCTION("""COMPUTED_VALUE"""),"kek")</f>
        <v>kek</v>
      </c>
      <c r="C9838" s="2" t="str">
        <f ca="1">IFERROR(__xludf.DUMMYFUNCTION("""COMPUTED_VALUE"""),"Pepe Prophet")</f>
        <v>Pepe Prophet</v>
      </c>
    </row>
    <row r="9839" spans="1:3" x14ac:dyDescent="0.25">
      <c r="A9839" s="2" t="str">
        <f ca="1">IFERROR(__xludf.DUMMYFUNCTION("""COMPUTED_VALUE"""),"pepera")</f>
        <v>pepera</v>
      </c>
      <c r="B9839" s="2" t="str">
        <f ca="1">IFERROR(__xludf.DUMMYFUNCTION("""COMPUTED_VALUE"""),"pepera")</f>
        <v>pepera</v>
      </c>
      <c r="C9839" s="2" t="str">
        <f ca="1">IFERROR(__xludf.DUMMYFUNCTION("""COMPUTED_VALUE"""),"Pepera")</f>
        <v>Pepera</v>
      </c>
    </row>
    <row r="9840" spans="1:3" x14ac:dyDescent="0.25">
      <c r="A9840" s="2" t="str">
        <f ca="1">IFERROR(__xludf.DUMMYFUNCTION("""COMPUTED_VALUE"""),"pepe-skull")</f>
        <v>pepe-skull</v>
      </c>
      <c r="B9840" s="2" t="str">
        <f ca="1">IFERROR(__xludf.DUMMYFUNCTION("""COMPUTED_VALUE"""),"skull")</f>
        <v>skull</v>
      </c>
      <c r="C9840" s="2" t="str">
        <f ca="1">IFERROR(__xludf.DUMMYFUNCTION("""COMPUTED_VALUE"""),"Pepe SKULL")</f>
        <v>Pepe SKULL</v>
      </c>
    </row>
    <row r="9841" spans="1:3" x14ac:dyDescent="0.25">
      <c r="A9841" s="2" t="str">
        <f ca="1">IFERROR(__xludf.DUMMYFUNCTION("""COMPUTED_VALUE"""),"pepesol")</f>
        <v>pepesol</v>
      </c>
      <c r="B9841" s="2" t="str">
        <f ca="1">IFERROR(__xludf.DUMMYFUNCTION("""COMPUTED_VALUE"""),"pepe")</f>
        <v>pepe</v>
      </c>
      <c r="C9841" s="2" t="str">
        <f ca="1">IFERROR(__xludf.DUMMYFUNCTION("""COMPUTED_VALUE"""),"PepeSol")</f>
        <v>PepeSol</v>
      </c>
    </row>
    <row r="9842" spans="1:3" x14ac:dyDescent="0.25">
      <c r="A9842" s="2" t="str">
        <f ca="1">IFERROR(__xludf.DUMMYFUNCTION("""COMPUTED_VALUE"""),"pepe-sol")</f>
        <v>pepe-sol</v>
      </c>
      <c r="B9842" s="2" t="str">
        <f ca="1">IFERROR(__xludf.DUMMYFUNCTION("""COMPUTED_VALUE"""),"pepe")</f>
        <v>pepe</v>
      </c>
      <c r="C9842" s="2" t="str">
        <f ca="1">IFERROR(__xludf.DUMMYFUNCTION("""COMPUTED_VALUE"""),"Pepe on SOL")</f>
        <v>Pepe on SOL</v>
      </c>
    </row>
    <row r="9843" spans="1:3" x14ac:dyDescent="0.25">
      <c r="A9843" s="2" t="str">
        <f ca="1">IFERROR(__xludf.DUMMYFUNCTION("""COMPUTED_VALUE"""),"pepe-solana")</f>
        <v>pepe-solana</v>
      </c>
      <c r="B9843" s="2" t="str">
        <f ca="1">IFERROR(__xludf.DUMMYFUNCTION("""COMPUTED_VALUE"""),"pepe")</f>
        <v>pepe</v>
      </c>
      <c r="C9843" s="2" t="str">
        <f ca="1">IFERROR(__xludf.DUMMYFUNCTION("""COMPUTED_VALUE"""),"Pepe (Solana)")</f>
        <v>Pepe (Solana)</v>
      </c>
    </row>
    <row r="9844" spans="1:3" x14ac:dyDescent="0.25">
      <c r="A9844" s="2" t="str">
        <f ca="1">IFERROR(__xludf.DUMMYFUNCTION("""COMPUTED_VALUE"""),"pepe-sora-ai")</f>
        <v>pepe-sora-ai</v>
      </c>
      <c r="B9844" s="2" t="str">
        <f ca="1">IFERROR(__xludf.DUMMYFUNCTION("""COMPUTED_VALUE"""),"pepesora")</f>
        <v>pepesora</v>
      </c>
      <c r="C9844" s="2" t="str">
        <f ca="1">IFERROR(__xludf.DUMMYFUNCTION("""COMPUTED_VALUE"""),"Pepe Sora AI")</f>
        <v>Pepe Sora AI</v>
      </c>
    </row>
    <row r="9845" spans="1:3" x14ac:dyDescent="0.25">
      <c r="A9845" s="2" t="str">
        <f ca="1">IFERROR(__xludf.DUMMYFUNCTION("""COMPUTED_VALUE"""),"pepe-the-frog")</f>
        <v>pepe-the-frog</v>
      </c>
      <c r="B9845" s="2" t="str">
        <f ca="1">IFERROR(__xludf.DUMMYFUNCTION("""COMPUTED_VALUE"""),"pepebnb")</f>
        <v>pepebnb</v>
      </c>
      <c r="C9845" s="2" t="str">
        <f ca="1">IFERROR(__xludf.DUMMYFUNCTION("""COMPUTED_VALUE"""),"Pepe the Frog")</f>
        <v>Pepe the Frog</v>
      </c>
    </row>
    <row r="9846" spans="1:3" x14ac:dyDescent="0.25">
      <c r="A9846" s="2" t="str">
        <f ca="1">IFERROR(__xludf.DUMMYFUNCTION("""COMPUTED_VALUE"""),"pepe-the-pepe")</f>
        <v>pepe-the-pepe</v>
      </c>
      <c r="B9846" s="2" t="str">
        <f ca="1">IFERROR(__xludf.DUMMYFUNCTION("""COMPUTED_VALUE"""),"pepee")</f>
        <v>pepee</v>
      </c>
      <c r="C9846" s="2" t="str">
        <f ca="1">IFERROR(__xludf.DUMMYFUNCTION("""COMPUTED_VALUE"""),"Pepe the pepe")</f>
        <v>Pepe the pepe</v>
      </c>
    </row>
    <row r="9847" spans="1:3" x14ac:dyDescent="0.25">
      <c r="A9847" s="2" t="str">
        <f ca="1">IFERROR(__xludf.DUMMYFUNCTION("""COMPUTED_VALUE"""),"pepe-token")</f>
        <v>pepe-token</v>
      </c>
      <c r="B9847" s="2" t="str">
        <f ca="1">IFERROR(__xludf.DUMMYFUNCTION("""COMPUTED_VALUE"""),"pepe")</f>
        <v>pepe</v>
      </c>
      <c r="C9847" s="2" t="str">
        <f ca="1">IFERROR(__xludf.DUMMYFUNCTION("""COMPUTED_VALUE"""),"Pepe Token")</f>
        <v>Pepe Token</v>
      </c>
    </row>
    <row r="9848" spans="1:3" x14ac:dyDescent="0.25">
      <c r="A9848" s="2" t="str">
        <f ca="1">IFERROR(__xludf.DUMMYFUNCTION("""COMPUTED_VALUE"""),"pepe-treasure")</f>
        <v>pepe-treasure</v>
      </c>
      <c r="B9848" s="2" t="str">
        <f ca="1">IFERROR(__xludf.DUMMYFUNCTION("""COMPUTED_VALUE"""),"pepetr")</f>
        <v>pepetr</v>
      </c>
      <c r="C9848" s="2" t="str">
        <f ca="1">IFERROR(__xludf.DUMMYFUNCTION("""COMPUTED_VALUE"""),"Pepe Treasure")</f>
        <v>Pepe Treasure</v>
      </c>
    </row>
    <row r="9849" spans="1:3" x14ac:dyDescent="0.25">
      <c r="A9849" s="2" t="str">
        <f ca="1">IFERROR(__xludf.DUMMYFUNCTION("""COMPUTED_VALUE"""),"pepe-trump")</f>
        <v>pepe-trump</v>
      </c>
      <c r="B9849" s="2" t="str">
        <f ca="1">IFERROR(__xludf.DUMMYFUNCTION("""COMPUTED_VALUE"""),"ptrump")</f>
        <v>ptrump</v>
      </c>
      <c r="C9849" s="2" t="str">
        <f ca="1">IFERROR(__xludf.DUMMYFUNCTION("""COMPUTED_VALUE"""),"Pepe Trump")</f>
        <v>Pepe Trump</v>
      </c>
    </row>
    <row r="9850" spans="1:3" x14ac:dyDescent="0.25">
      <c r="A9850" s="2" t="str">
        <f ca="1">IFERROR(__xludf.DUMMYFUNCTION("""COMPUTED_VALUE"""),"pepe-uncle")</f>
        <v>pepe-uncle</v>
      </c>
      <c r="B9850" s="2" t="str">
        <f ca="1">IFERROR(__xludf.DUMMYFUNCTION("""COMPUTED_VALUE"""),"uncle")</f>
        <v>uncle</v>
      </c>
      <c r="C9850" s="2" t="str">
        <f ca="1">IFERROR(__xludf.DUMMYFUNCTION("""COMPUTED_VALUE"""),"PEPE UNCLE")</f>
        <v>PEPE UNCLE</v>
      </c>
    </row>
    <row r="9851" spans="1:3" x14ac:dyDescent="0.25">
      <c r="A9851" s="2" t="str">
        <f ca="1">IFERROR(__xludf.DUMMYFUNCTION("""COMPUTED_VALUE"""),"pepe-undead")</f>
        <v>pepe-undead</v>
      </c>
      <c r="B9851" s="2" t="str">
        <f ca="1">IFERROR(__xludf.DUMMYFUNCTION("""COMPUTED_VALUE"""),"pepez")</f>
        <v>pepez</v>
      </c>
      <c r="C9851" s="2" t="str">
        <f ca="1">IFERROR(__xludf.DUMMYFUNCTION("""COMPUTED_VALUE"""),"Pepe Undead")</f>
        <v>Pepe Undead</v>
      </c>
    </row>
    <row r="9852" spans="1:3" x14ac:dyDescent="0.25">
      <c r="A9852" s="2" t="str">
        <f ca="1">IFERROR(__xludf.DUMMYFUNCTION("""COMPUTED_VALUE"""),"pepe-uwu")</f>
        <v>pepe-uwu</v>
      </c>
      <c r="B9852" s="2" t="str">
        <f ca="1">IFERROR(__xludf.DUMMYFUNCTION("""COMPUTED_VALUE"""),"cute")</f>
        <v>cute</v>
      </c>
      <c r="C9852" s="2" t="str">
        <f ca="1">IFERROR(__xludf.DUMMYFUNCTION("""COMPUTED_VALUE"""),"PEPE UWU")</f>
        <v>PEPE UWU</v>
      </c>
    </row>
    <row r="9853" spans="1:3" x14ac:dyDescent="0.25">
      <c r="A9853" s="2" t="str">
        <f ca="1">IFERROR(__xludf.DUMMYFUNCTION("""COMPUTED_VALUE"""),"pepewifhat")</f>
        <v>pepewifhat</v>
      </c>
      <c r="B9853" s="2" t="str">
        <f ca="1">IFERROR(__xludf.DUMMYFUNCTION("""COMPUTED_VALUE"""),"pif")</f>
        <v>pif</v>
      </c>
      <c r="C9853" s="2" t="str">
        <f ca="1">IFERROR(__xludf.DUMMYFUNCTION("""COMPUTED_VALUE"""),"pepewifhat")</f>
        <v>pepewifhat</v>
      </c>
    </row>
    <row r="9854" spans="1:3" x14ac:dyDescent="0.25">
      <c r="A9854" s="2" t="str">
        <f ca="1">IFERROR(__xludf.DUMMYFUNCTION("""COMPUTED_VALUE"""),"pepewifhat-2")</f>
        <v>pepewifhat-2</v>
      </c>
      <c r="B9854" s="2" t="str">
        <f ca="1">IFERROR(__xludf.DUMMYFUNCTION("""COMPUTED_VALUE"""),"pwh")</f>
        <v>pwh</v>
      </c>
      <c r="C9854" s="2" t="str">
        <f ca="1">IFERROR(__xludf.DUMMYFUNCTION("""COMPUTED_VALUE"""),"pepewifhat")</f>
        <v>pepewifhat</v>
      </c>
    </row>
    <row r="9855" spans="1:3" x14ac:dyDescent="0.25">
      <c r="A9855" s="2" t="str">
        <f ca="1">IFERROR(__xludf.DUMMYFUNCTION("""COMPUTED_VALUE"""),"pepewifhat-3")</f>
        <v>pepewifhat-3</v>
      </c>
      <c r="B9855" s="2" t="str">
        <f ca="1">IFERROR(__xludf.DUMMYFUNCTION("""COMPUTED_VALUE"""),"pepewifhat")</f>
        <v>pepewifhat</v>
      </c>
      <c r="C9855" s="2" t="str">
        <f ca="1">IFERROR(__xludf.DUMMYFUNCTION("""COMPUTED_VALUE"""),"Pepewifhat")</f>
        <v>Pepewifhat</v>
      </c>
    </row>
    <row r="9856" spans="1:3" x14ac:dyDescent="0.25">
      <c r="A9856" s="2" t="str">
        <f ca="1">IFERROR(__xludf.DUMMYFUNCTION("""COMPUTED_VALUE"""),"pepewifpork")</f>
        <v>pepewifpork</v>
      </c>
      <c r="B9856" s="2" t="str">
        <f ca="1">IFERROR(__xludf.DUMMYFUNCTION("""COMPUTED_VALUE"""),"pepewfpork")</f>
        <v>pepewfpork</v>
      </c>
      <c r="C9856" s="2" t="str">
        <f ca="1">IFERROR(__xludf.DUMMYFUNCTION("""COMPUTED_VALUE"""),"PepeWifPork")</f>
        <v>PepeWifPork</v>
      </c>
    </row>
    <row r="9857" spans="1:3" x14ac:dyDescent="0.25">
      <c r="A9857" s="2" t="str">
        <f ca="1">IFERROR(__xludf.DUMMYFUNCTION("""COMPUTED_VALUE"""),"pepex")</f>
        <v>pepex</v>
      </c>
      <c r="B9857" s="2" t="str">
        <f ca="1">IFERROR(__xludf.DUMMYFUNCTION("""COMPUTED_VALUE"""),"pepex")</f>
        <v>pepex</v>
      </c>
      <c r="C9857" s="2" t="str">
        <f ca="1">IFERROR(__xludf.DUMMYFUNCTION("""COMPUTED_VALUE"""),"PEPEX")</f>
        <v>PEPEX</v>
      </c>
    </row>
    <row r="9858" spans="1:3" x14ac:dyDescent="0.25">
      <c r="A9858" s="2" t="str">
        <f ca="1">IFERROR(__xludf.DUMMYFUNCTION("""COMPUTED_VALUE"""),"pepexl")</f>
        <v>pepexl</v>
      </c>
      <c r="B9858" s="2" t="str">
        <f ca="1">IFERROR(__xludf.DUMMYFUNCTION("""COMPUTED_VALUE"""),"pepexl")</f>
        <v>pepexl</v>
      </c>
      <c r="C9858" s="2" t="str">
        <f ca="1">IFERROR(__xludf.DUMMYFUNCTION("""COMPUTED_VALUE"""),"PepeXL")</f>
        <v>PepeXL</v>
      </c>
    </row>
    <row r="9859" spans="1:3" x14ac:dyDescent="0.25">
      <c r="A9859" s="2" t="str">
        <f ca="1">IFERROR(__xludf.DUMMYFUNCTION("""COMPUTED_VALUE"""),"pepi-2")</f>
        <v>pepi-2</v>
      </c>
      <c r="B9859" s="2" t="str">
        <f ca="1">IFERROR(__xludf.DUMMYFUNCTION("""COMPUTED_VALUE"""),"pepi")</f>
        <v>pepi</v>
      </c>
      <c r="C9859" s="2" t="str">
        <f ca="1">IFERROR(__xludf.DUMMYFUNCTION("""COMPUTED_VALUE"""),"PEPi")</f>
        <v>PEPi</v>
      </c>
    </row>
    <row r="9860" spans="1:3" x14ac:dyDescent="0.25">
      <c r="A9860" s="2" t="str">
        <f ca="1">IFERROR(__xludf.DUMMYFUNCTION("""COMPUTED_VALUE"""),"pepig")</f>
        <v>pepig</v>
      </c>
      <c r="B9860" s="2" t="str">
        <f ca="1">IFERROR(__xludf.DUMMYFUNCTION("""COMPUTED_VALUE"""),"pepig")</f>
        <v>pepig</v>
      </c>
      <c r="C9860" s="2" t="str">
        <f ca="1">IFERROR(__xludf.DUMMYFUNCTION("""COMPUTED_VALUE"""),"PEPIG")</f>
        <v>PEPIG</v>
      </c>
    </row>
    <row r="9861" spans="1:3" x14ac:dyDescent="0.25">
      <c r="A9861" s="2" t="str">
        <f ca="1">IFERROR(__xludf.DUMMYFUNCTION("""COMPUTED_VALUE"""),"pepinu")</f>
        <v>pepinu</v>
      </c>
      <c r="B9861" s="2" t="str">
        <f ca="1">IFERROR(__xludf.DUMMYFUNCTION("""COMPUTED_VALUE"""),"pepinu")</f>
        <v>pepinu</v>
      </c>
      <c r="C9861" s="2" t="str">
        <f ca="1">IFERROR(__xludf.DUMMYFUNCTION("""COMPUTED_VALUE"""),"Pepinu")</f>
        <v>Pepinu</v>
      </c>
    </row>
    <row r="9862" spans="1:3" x14ac:dyDescent="0.25">
      <c r="A9862" s="2" t="str">
        <f ca="1">IFERROR(__xludf.DUMMYFUNCTION("""COMPUTED_VALUE"""),"pepinu-sol")</f>
        <v>pepinu-sol</v>
      </c>
      <c r="B9862" s="2" t="str">
        <f ca="1">IFERROR(__xludf.DUMMYFUNCTION("""COMPUTED_VALUE"""),"pepinu")</f>
        <v>pepinu</v>
      </c>
      <c r="C9862" s="2" t="str">
        <f ca="1">IFERROR(__xludf.DUMMYFUNCTION("""COMPUTED_VALUE"""),"Pepinu (SOL)")</f>
        <v>Pepinu (SOL)</v>
      </c>
    </row>
    <row r="9863" spans="1:3" x14ac:dyDescent="0.25">
      <c r="A9863" s="2" t="str">
        <f ca="1">IFERROR(__xludf.DUMMYFUNCTION("""COMPUTED_VALUE"""),"pepito")</f>
        <v>pepito</v>
      </c>
      <c r="B9863" s="2" t="str">
        <f ca="1">IFERROR(__xludf.DUMMYFUNCTION("""COMPUTED_VALUE"""),"pepi")</f>
        <v>pepi</v>
      </c>
      <c r="C9863" s="2" t="str">
        <f ca="1">IFERROR(__xludf.DUMMYFUNCTION("""COMPUTED_VALUE"""),"Pepito")</f>
        <v>Pepito</v>
      </c>
    </row>
    <row r="9864" spans="1:3" x14ac:dyDescent="0.25">
      <c r="A9864" s="2" t="str">
        <f ca="1">IFERROR(__xludf.DUMMYFUNCTION("""COMPUTED_VALUE"""),"pepoclown")</f>
        <v>pepoclown</v>
      </c>
      <c r="B9864" s="2" t="str">
        <f ca="1">IFERROR(__xludf.DUMMYFUNCTION("""COMPUTED_VALUE"""),"honk")</f>
        <v>honk</v>
      </c>
      <c r="C9864" s="2" t="str">
        <f ca="1">IFERROR(__xludf.DUMMYFUNCTION("""COMPUTED_VALUE"""),"Pepoclown")</f>
        <v>Pepoclown</v>
      </c>
    </row>
    <row r="9865" spans="1:3" x14ac:dyDescent="0.25">
      <c r="A9865" s="2" t="str">
        <f ca="1">IFERROR(__xludf.DUMMYFUNCTION("""COMPUTED_VALUE"""),"peppa")</f>
        <v>peppa</v>
      </c>
      <c r="B9865" s="2" t="str">
        <f ca="1">IFERROR(__xludf.DUMMYFUNCTION("""COMPUTED_VALUE"""),"peppa")</f>
        <v>peppa</v>
      </c>
      <c r="C9865" s="2" t="str">
        <f ca="1">IFERROR(__xludf.DUMMYFUNCTION("""COMPUTED_VALUE"""),"PEPPA")</f>
        <v>PEPPA</v>
      </c>
    </row>
    <row r="9866" spans="1:3" x14ac:dyDescent="0.25">
      <c r="A9866" s="2" t="str">
        <f ca="1">IFERROR(__xludf.DUMMYFUNCTION("""COMPUTED_VALUE"""),"pepper")</f>
        <v>pepper</v>
      </c>
      <c r="B9866" s="2" t="str">
        <f ca="1">IFERROR(__xludf.DUMMYFUNCTION("""COMPUTED_VALUE"""),"pepper")</f>
        <v>pepper</v>
      </c>
      <c r="C9866" s="2" t="str">
        <f ca="1">IFERROR(__xludf.DUMMYFUNCTION("""COMPUTED_VALUE"""),"PEPPER")</f>
        <v>PEPPER</v>
      </c>
    </row>
    <row r="9867" spans="1:3" x14ac:dyDescent="0.25">
      <c r="A9867" s="2" t="str">
        <f ca="1">IFERROR(__xludf.DUMMYFUNCTION("""COMPUTED_VALUE"""),"pepurai")</f>
        <v>pepurai</v>
      </c>
      <c r="B9867" s="2" t="str">
        <f ca="1">IFERROR(__xludf.DUMMYFUNCTION("""COMPUTED_VALUE"""),"pepurai")</f>
        <v>pepurai</v>
      </c>
      <c r="C9867" s="2" t="str">
        <f ca="1">IFERROR(__xludf.DUMMYFUNCTION("""COMPUTED_VALUE"""),"PEPURAI")</f>
        <v>PEPURAI</v>
      </c>
    </row>
    <row r="9868" spans="1:3" x14ac:dyDescent="0.25">
      <c r="A9868" s="2" t="str">
        <f ca="1">IFERROR(__xludf.DUMMYFUNCTION("""COMPUTED_VALUE"""),"pepy-coin")</f>
        <v>pepy-coin</v>
      </c>
      <c r="B9868" s="2" t="str">
        <f ca="1">IFERROR(__xludf.DUMMYFUNCTION("""COMPUTED_VALUE"""),"pepy")</f>
        <v>pepy</v>
      </c>
      <c r="C9868" s="2" t="str">
        <f ca="1">IFERROR(__xludf.DUMMYFUNCTION("""COMPUTED_VALUE"""),"Pepy coin")</f>
        <v>Pepy coin</v>
      </c>
    </row>
    <row r="9869" spans="1:3" x14ac:dyDescent="0.25">
      <c r="A9869" s="2" t="str">
        <f ca="1">IFERROR(__xludf.DUMMYFUNCTION("""COMPUTED_VALUE"""),"pera-finance")</f>
        <v>pera-finance</v>
      </c>
      <c r="B9869" s="2" t="str">
        <f ca="1">IFERROR(__xludf.DUMMYFUNCTION("""COMPUTED_VALUE"""),"pera")</f>
        <v>pera</v>
      </c>
      <c r="C9869" s="2" t="str">
        <f ca="1">IFERROR(__xludf.DUMMYFUNCTION("""COMPUTED_VALUE"""),"Pera Finance")</f>
        <v>Pera Finance</v>
      </c>
    </row>
    <row r="9870" spans="1:3" x14ac:dyDescent="0.25">
      <c r="A9870" s="2" t="str">
        <f ca="1">IFERROR(__xludf.DUMMYFUNCTION("""COMPUTED_VALUE"""),"percy")</f>
        <v>percy</v>
      </c>
      <c r="B9870" s="2" t="str">
        <f ca="1">IFERROR(__xludf.DUMMYFUNCTION("""COMPUTED_VALUE"""),"percy")</f>
        <v>percy</v>
      </c>
      <c r="C9870" s="2" t="str">
        <f ca="1">IFERROR(__xludf.DUMMYFUNCTION("""COMPUTED_VALUE"""),"Percy")</f>
        <v>Percy</v>
      </c>
    </row>
    <row r="9871" spans="1:3" x14ac:dyDescent="0.25">
      <c r="A9871" s="2" t="str">
        <f ca="1">IFERROR(__xludf.DUMMYFUNCTION("""COMPUTED_VALUE"""),"perezoso")</f>
        <v>perezoso</v>
      </c>
      <c r="B9871" s="2" t="str">
        <f ca="1">IFERROR(__xludf.DUMMYFUNCTION("""COMPUTED_VALUE"""),"przs")</f>
        <v>przs</v>
      </c>
      <c r="C9871" s="2" t="str">
        <f ca="1">IFERROR(__xludf.DUMMYFUNCTION("""COMPUTED_VALUE"""),"Perezoso")</f>
        <v>Perezoso</v>
      </c>
    </row>
    <row r="9872" spans="1:3" x14ac:dyDescent="0.25">
      <c r="A9872" s="2" t="str">
        <f ca="1">IFERROR(__xludf.DUMMYFUNCTION("""COMPUTED_VALUE"""),"peri-finance")</f>
        <v>peri-finance</v>
      </c>
      <c r="B9872" s="2" t="str">
        <f ca="1">IFERROR(__xludf.DUMMYFUNCTION("""COMPUTED_VALUE"""),"peri")</f>
        <v>peri</v>
      </c>
      <c r="C9872" s="2" t="str">
        <f ca="1">IFERROR(__xludf.DUMMYFUNCTION("""COMPUTED_VALUE"""),"PERI Finance")</f>
        <v>PERI Finance</v>
      </c>
    </row>
    <row r="9873" spans="1:3" x14ac:dyDescent="0.25">
      <c r="A9873" s="2" t="str">
        <f ca="1">IFERROR(__xludf.DUMMYFUNCTION("""COMPUTED_VALUE"""),"perion")</f>
        <v>perion</v>
      </c>
      <c r="B9873" s="2" t="str">
        <f ca="1">IFERROR(__xludf.DUMMYFUNCTION("""COMPUTED_VALUE"""),"perc")</f>
        <v>perc</v>
      </c>
      <c r="C9873" s="2" t="str">
        <f ca="1">IFERROR(__xludf.DUMMYFUNCTION("""COMPUTED_VALUE"""),"Perion")</f>
        <v>Perion</v>
      </c>
    </row>
    <row r="9874" spans="1:3" x14ac:dyDescent="0.25">
      <c r="A9874" s="2" t="str">
        <f ca="1">IFERROR(__xludf.DUMMYFUNCTION("""COMPUTED_VALUE"""),"perlin")</f>
        <v>perlin</v>
      </c>
      <c r="B9874" s="2" t="str">
        <f ca="1">IFERROR(__xludf.DUMMYFUNCTION("""COMPUTED_VALUE"""),"perl")</f>
        <v>perl</v>
      </c>
      <c r="C9874" s="2" t="str">
        <f ca="1">IFERROR(__xludf.DUMMYFUNCTION("""COMPUTED_VALUE"""),"PERL.eco")</f>
        <v>PERL.eco</v>
      </c>
    </row>
    <row r="9875" spans="1:3" x14ac:dyDescent="0.25">
      <c r="A9875" s="2" t="str">
        <f ca="1">IFERROR(__xludf.DUMMYFUNCTION("""COMPUTED_VALUE"""),"permagiff")</f>
        <v>permagiff</v>
      </c>
      <c r="B9875" s="2" t="str">
        <f ca="1">IFERROR(__xludf.DUMMYFUNCTION("""COMPUTED_VALUE"""),"pgiff")</f>
        <v>pgiff</v>
      </c>
      <c r="C9875" s="2" t="str">
        <f ca="1">IFERROR(__xludf.DUMMYFUNCTION("""COMPUTED_VALUE"""),"PermaGIFF")</f>
        <v>PermaGIFF</v>
      </c>
    </row>
    <row r="9876" spans="1:3" x14ac:dyDescent="0.25">
      <c r="A9876" s="2" t="str">
        <f ca="1">IFERROR(__xludf.DUMMYFUNCTION("""COMPUTED_VALUE"""),"permission-coin")</f>
        <v>permission-coin</v>
      </c>
      <c r="B9876" s="2" t="str">
        <f ca="1">IFERROR(__xludf.DUMMYFUNCTION("""COMPUTED_VALUE"""),"ask")</f>
        <v>ask</v>
      </c>
      <c r="C9876" s="2" t="str">
        <f ca="1">IFERROR(__xludf.DUMMYFUNCTION("""COMPUTED_VALUE"""),"Permission Coin")</f>
        <v>Permission Coin</v>
      </c>
    </row>
    <row r="9877" spans="1:3" x14ac:dyDescent="0.25">
      <c r="A9877" s="2" t="str">
        <f ca="1">IFERROR(__xludf.DUMMYFUNCTION("""COMPUTED_VALUE"""),"perpetual-delta-neutral-yield-optimism")</f>
        <v>perpetual-delta-neutral-yield-optimism</v>
      </c>
      <c r="B9877" s="2" t="str">
        <f ca="1">IFERROR(__xludf.DUMMYFUNCTION("""COMPUTED_VALUE"""),"usdpy")</f>
        <v>usdpy</v>
      </c>
      <c r="C9877" s="2" t="str">
        <f ca="1">IFERROR(__xludf.DUMMYFUNCTION("""COMPUTED_VALUE"""),"Perpetual Delta Neutral Yield (Optimism)")</f>
        <v>Perpetual Delta Neutral Yield (Optimism)</v>
      </c>
    </row>
    <row r="9878" spans="1:3" x14ac:dyDescent="0.25">
      <c r="A9878" s="2" t="str">
        <f ca="1">IFERROR(__xludf.DUMMYFUNCTION("""COMPUTED_VALUE"""),"perpetual-protocol")</f>
        <v>perpetual-protocol</v>
      </c>
      <c r="B9878" s="2" t="str">
        <f ca="1">IFERROR(__xludf.DUMMYFUNCTION("""COMPUTED_VALUE"""),"perp")</f>
        <v>perp</v>
      </c>
      <c r="C9878" s="2" t="str">
        <f ca="1">IFERROR(__xludf.DUMMYFUNCTION("""COMPUTED_VALUE"""),"Perpetual Protocol")</f>
        <v>Perpetual Protocol</v>
      </c>
    </row>
    <row r="9879" spans="1:3" x14ac:dyDescent="0.25">
      <c r="A9879" s="2" t="str">
        <f ca="1">IFERROR(__xludf.DUMMYFUNCTION("""COMPUTED_VALUE"""),"perpetuum-coin")</f>
        <v>perpetuum-coin</v>
      </c>
      <c r="B9879" s="2" t="str">
        <f ca="1">IFERROR(__xludf.DUMMYFUNCTION("""COMPUTED_VALUE"""),"prp")</f>
        <v>prp</v>
      </c>
      <c r="C9879" s="2" t="str">
        <f ca="1">IFERROR(__xludf.DUMMYFUNCTION("""COMPUTED_VALUE"""),"Perpetuum Coin")</f>
        <v>Perpetuum Coin</v>
      </c>
    </row>
    <row r="9880" spans="1:3" x14ac:dyDescent="0.25">
      <c r="A9880" s="2" t="str">
        <f ca="1">IFERROR(__xludf.DUMMYFUNCTION("""COMPUTED_VALUE"""),"perpex")</f>
        <v>perpex</v>
      </c>
      <c r="B9880" s="2" t="str">
        <f ca="1">IFERROR(__xludf.DUMMYFUNCTION("""COMPUTED_VALUE"""),"perpx")</f>
        <v>perpx</v>
      </c>
      <c r="C9880" s="2" t="str">
        <f ca="1">IFERROR(__xludf.DUMMYFUNCTION("""COMPUTED_VALUE"""),"Perpex")</f>
        <v>Perpex</v>
      </c>
    </row>
    <row r="9881" spans="1:3" x14ac:dyDescent="0.25">
      <c r="A9881" s="2" t="str">
        <f ca="1">IFERROR(__xludf.DUMMYFUNCTION("""COMPUTED_VALUE"""),"per-project")</f>
        <v>per-project</v>
      </c>
      <c r="B9881" s="2" t="str">
        <f ca="1">IFERROR(__xludf.DUMMYFUNCTION("""COMPUTED_VALUE"""),"per")</f>
        <v>per</v>
      </c>
      <c r="C9881" s="2" t="str">
        <f ca="1">IFERROR(__xludf.DUMMYFUNCTION("""COMPUTED_VALUE"""),"PER Project")</f>
        <v>PER Project</v>
      </c>
    </row>
    <row r="9882" spans="1:3" x14ac:dyDescent="0.25">
      <c r="A9882" s="2" t="str">
        <f ca="1">IFERROR(__xludf.DUMMYFUNCTION("""COMPUTED_VALUE"""),"perpy-finance")</f>
        <v>perpy-finance</v>
      </c>
      <c r="B9882" s="2" t="str">
        <f ca="1">IFERROR(__xludf.DUMMYFUNCTION("""COMPUTED_VALUE"""),"pry")</f>
        <v>pry</v>
      </c>
      <c r="C9882" s="2" t="str">
        <f ca="1">IFERROR(__xludf.DUMMYFUNCTION("""COMPUTED_VALUE"""),"Perpy Finance")</f>
        <v>Perpy Finance</v>
      </c>
    </row>
    <row r="9883" spans="1:3" x14ac:dyDescent="0.25">
      <c r="A9883" s="2" t="str">
        <f ca="1">IFERROR(__xludf.DUMMYFUNCTION("""COMPUTED_VALUE"""),"perro-dinero")</f>
        <v>perro-dinero</v>
      </c>
      <c r="B9883" s="2" t="str">
        <f ca="1">IFERROR(__xludf.DUMMYFUNCTION("""COMPUTED_VALUE"""),"jotchua")</f>
        <v>jotchua</v>
      </c>
      <c r="C9883" s="2" t="str">
        <f ca="1">IFERROR(__xludf.DUMMYFUNCTION("""COMPUTED_VALUE"""),"PERRO DINERO")</f>
        <v>PERRO DINERO</v>
      </c>
    </row>
    <row r="9884" spans="1:3" x14ac:dyDescent="0.25">
      <c r="A9884" s="2" t="str">
        <f ca="1">IFERROR(__xludf.DUMMYFUNCTION("""COMPUTED_VALUE"""),"perry-the-bnb")</f>
        <v>perry-the-bnb</v>
      </c>
      <c r="B9884" s="2" t="str">
        <f ca="1">IFERROR(__xludf.DUMMYFUNCTION("""COMPUTED_VALUE"""),"perry")</f>
        <v>perry</v>
      </c>
      <c r="C9884" s="2" t="str">
        <f ca="1">IFERROR(__xludf.DUMMYFUNCTION("""COMPUTED_VALUE"""),"Perry The BNB")</f>
        <v>Perry The BNB</v>
      </c>
    </row>
    <row r="9885" spans="1:3" x14ac:dyDescent="0.25">
      <c r="A9885" s="2" t="str">
        <f ca="1">IFERROR(__xludf.DUMMYFUNCTION("""COMPUTED_VALUE"""),"perseid-finance")</f>
        <v>perseid-finance</v>
      </c>
      <c r="B9885" s="2" t="str">
        <f ca="1">IFERROR(__xludf.DUMMYFUNCTION("""COMPUTED_VALUE"""),"ped")</f>
        <v>ped</v>
      </c>
      <c r="C9885" s="2" t="str">
        <f ca="1">IFERROR(__xludf.DUMMYFUNCTION("""COMPUTED_VALUE"""),"Perseid Finance")</f>
        <v>Perseid Finance</v>
      </c>
    </row>
    <row r="9886" spans="1:3" x14ac:dyDescent="0.25">
      <c r="A9886" s="2" t="str">
        <f ca="1">IFERROR(__xludf.DUMMYFUNCTION("""COMPUTED_VALUE"""),"persib-fan-token")</f>
        <v>persib-fan-token</v>
      </c>
      <c r="B9886" s="2" t="str">
        <f ca="1">IFERROR(__xludf.DUMMYFUNCTION("""COMPUTED_VALUE"""),"persib")</f>
        <v>persib</v>
      </c>
      <c r="C9886" s="2" t="str">
        <f ca="1">IFERROR(__xludf.DUMMYFUNCTION("""COMPUTED_VALUE"""),"Persib Fan Token")</f>
        <v>Persib Fan Token</v>
      </c>
    </row>
    <row r="9887" spans="1:3" x14ac:dyDescent="0.25">
      <c r="A9887" s="2" t="str">
        <f ca="1">IFERROR(__xludf.DUMMYFUNCTION("""COMPUTED_VALUE"""),"persistence")</f>
        <v>persistence</v>
      </c>
      <c r="B9887" s="2" t="str">
        <f ca="1">IFERROR(__xludf.DUMMYFUNCTION("""COMPUTED_VALUE"""),"xprt")</f>
        <v>xprt</v>
      </c>
      <c r="C9887" s="2" t="str">
        <f ca="1">IFERROR(__xludf.DUMMYFUNCTION("""COMPUTED_VALUE"""),"Persistence One")</f>
        <v>Persistence One</v>
      </c>
    </row>
    <row r="9888" spans="1:3" x14ac:dyDescent="0.25">
      <c r="A9888" s="2" t="str">
        <f ca="1">IFERROR(__xludf.DUMMYFUNCTION("""COMPUTED_VALUE"""),"persistence-staked-xprt")</f>
        <v>persistence-staked-xprt</v>
      </c>
      <c r="B9888" s="2" t="str">
        <f ca="1">IFERROR(__xludf.DUMMYFUNCTION("""COMPUTED_VALUE"""),"stkxprt")</f>
        <v>stkxprt</v>
      </c>
      <c r="C9888" s="2" t="str">
        <f ca="1">IFERROR(__xludf.DUMMYFUNCTION("""COMPUTED_VALUE"""),"pSTAKE Staked XPRT")</f>
        <v>pSTAKE Staked XPRT</v>
      </c>
    </row>
    <row r="9889" spans="1:3" x14ac:dyDescent="0.25">
      <c r="A9889" s="2" t="str">
        <f ca="1">IFERROR(__xludf.DUMMYFUNCTION("""COMPUTED_VALUE"""),"peruvian-national-football-team-fan-token")</f>
        <v>peruvian-national-football-team-fan-token</v>
      </c>
      <c r="B9889" s="2" t="str">
        <f ca="1">IFERROR(__xludf.DUMMYFUNCTION("""COMPUTED_VALUE"""),"fpft")</f>
        <v>fpft</v>
      </c>
      <c r="C9889" s="2" t="str">
        <f ca="1">IFERROR(__xludf.DUMMYFUNCTION("""COMPUTED_VALUE"""),"Peruvian National Football Team Fan Token")</f>
        <v>Peruvian National Football Team Fan Token</v>
      </c>
    </row>
    <row r="9890" spans="1:3" x14ac:dyDescent="0.25">
      <c r="A9890" s="2" t="str">
        <f ca="1">IFERROR(__xludf.DUMMYFUNCTION("""COMPUTED_VALUE"""),"pesabase")</f>
        <v>pesabase</v>
      </c>
      <c r="B9890" s="2" t="str">
        <f ca="1">IFERROR(__xludf.DUMMYFUNCTION("""COMPUTED_VALUE"""),"pesa")</f>
        <v>pesa</v>
      </c>
      <c r="C9890" s="2" t="str">
        <f ca="1">IFERROR(__xludf.DUMMYFUNCTION("""COMPUTED_VALUE"""),"Pesabase")</f>
        <v>Pesabase</v>
      </c>
    </row>
    <row r="9891" spans="1:3" x14ac:dyDescent="0.25">
      <c r="A9891" s="2" t="str">
        <f ca="1">IFERROR(__xludf.DUMMYFUNCTION("""COMPUTED_VALUE"""),"peshi")</f>
        <v>peshi</v>
      </c>
      <c r="B9891" s="2" t="str">
        <f ca="1">IFERROR(__xludf.DUMMYFUNCTION("""COMPUTED_VALUE"""),"peshi")</f>
        <v>peshi</v>
      </c>
      <c r="C9891" s="2" t="str">
        <f ca="1">IFERROR(__xludf.DUMMYFUNCTION("""COMPUTED_VALUE"""),"PESHI")</f>
        <v>PESHI</v>
      </c>
    </row>
    <row r="9892" spans="1:3" x14ac:dyDescent="0.25">
      <c r="A9892" s="2" t="str">
        <f ca="1">IFERROR(__xludf.DUMMYFUNCTION("""COMPUTED_VALUE"""),"pesto-the-baby-king-penguin")</f>
        <v>pesto-the-baby-king-penguin</v>
      </c>
      <c r="B9892" s="2" t="str">
        <f ca="1">IFERROR(__xludf.DUMMYFUNCTION("""COMPUTED_VALUE"""),"pesto")</f>
        <v>pesto</v>
      </c>
      <c r="C9892" s="2" t="str">
        <f ca="1">IFERROR(__xludf.DUMMYFUNCTION("""COMPUTED_VALUE"""),"Pesto the Baby King Penguin")</f>
        <v>Pesto the Baby King Penguin</v>
      </c>
    </row>
    <row r="9893" spans="1:3" x14ac:dyDescent="0.25">
      <c r="A9893" s="2" t="str">
        <f ca="1">IFERROR(__xludf.DUMMYFUNCTION("""COMPUTED_VALUE"""),"petals")</f>
        <v>petals</v>
      </c>
      <c r="B9893" s="2" t="str">
        <f ca="1">IFERROR(__xludf.DUMMYFUNCTION("""COMPUTED_VALUE"""),"pts")</f>
        <v>pts</v>
      </c>
      <c r="C9893" s="2" t="str">
        <f ca="1">IFERROR(__xludf.DUMMYFUNCTION("""COMPUTED_VALUE"""),"Petals")</f>
        <v>Petals</v>
      </c>
    </row>
    <row r="9894" spans="1:3" x14ac:dyDescent="0.25">
      <c r="A9894" s="2" t="str">
        <f ca="1">IFERROR(__xludf.DUMMYFUNCTION("""COMPUTED_VALUE"""),"petcoin-2")</f>
        <v>petcoin-2</v>
      </c>
      <c r="B9894" s="2" t="str">
        <f ca="1">IFERROR(__xludf.DUMMYFUNCTION("""COMPUTED_VALUE"""),"pet")</f>
        <v>pet</v>
      </c>
      <c r="C9894" s="2" t="str">
        <f ca="1">IFERROR(__xludf.DUMMYFUNCTION("""COMPUTED_VALUE"""),"Petcoin")</f>
        <v>Petcoin</v>
      </c>
    </row>
    <row r="9895" spans="1:3" x14ac:dyDescent="0.25">
      <c r="A9895" s="2" t="str">
        <f ca="1">IFERROR(__xludf.DUMMYFUNCTION("""COMPUTED_VALUE"""),"pete")</f>
        <v>pete</v>
      </c>
      <c r="B9895" s="2" t="str">
        <f ca="1">IFERROR(__xludf.DUMMYFUNCTION("""COMPUTED_VALUE"""),"pete")</f>
        <v>pete</v>
      </c>
      <c r="C9895" s="2" t="str">
        <f ca="1">IFERROR(__xludf.DUMMYFUNCTION("""COMPUTED_VALUE"""),"PETE")</f>
        <v>PETE</v>
      </c>
    </row>
    <row r="9896" spans="1:3" x14ac:dyDescent="0.25">
      <c r="A9896" s="2" t="str">
        <f ca="1">IFERROR(__xludf.DUMMYFUNCTION("""COMPUTED_VALUE"""),"peth")</f>
        <v>peth</v>
      </c>
      <c r="B9896" s="2" t="str">
        <f ca="1">IFERROR(__xludf.DUMMYFUNCTION("""COMPUTED_VALUE"""),"peth")</f>
        <v>peth</v>
      </c>
      <c r="C9896" s="2" t="str">
        <f ca="1">IFERROR(__xludf.DUMMYFUNCTION("""COMPUTED_VALUE"""),"pETH")</f>
        <v>pETH</v>
      </c>
    </row>
    <row r="9897" spans="1:3" x14ac:dyDescent="0.25">
      <c r="A9897" s="2" t="str">
        <f ca="1">IFERROR(__xludf.DUMMYFUNCTION("""COMPUTED_VALUE"""),"petoshi")</f>
        <v>petoshi</v>
      </c>
      <c r="B9897" s="2" t="str">
        <f ca="1">IFERROR(__xludf.DUMMYFUNCTION("""COMPUTED_VALUE"""),"petoshi")</f>
        <v>petoshi</v>
      </c>
      <c r="C9897" s="2" t="str">
        <f ca="1">IFERROR(__xludf.DUMMYFUNCTION("""COMPUTED_VALUE"""),"Petoshi")</f>
        <v>Petoshi</v>
      </c>
    </row>
    <row r="9898" spans="1:3" x14ac:dyDescent="0.25">
      <c r="A9898" s="2" t="str">
        <f ca="1">IFERROR(__xludf.DUMMYFUNCTION("""COMPUTED_VALUE"""),"petroleum-oil")</f>
        <v>petroleum-oil</v>
      </c>
      <c r="B9898" s="2" t="str">
        <f ca="1">IFERROR(__xludf.DUMMYFUNCTION("""COMPUTED_VALUE"""),"oil")</f>
        <v>oil</v>
      </c>
      <c r="C9898" s="2" t="str">
        <f ca="1">IFERROR(__xludf.DUMMYFUNCTION("""COMPUTED_VALUE"""),"Petroleum OIL")</f>
        <v>Petroleum OIL</v>
      </c>
    </row>
    <row r="9899" spans="1:3" x14ac:dyDescent="0.25">
      <c r="A9899" s="2" t="str">
        <f ca="1">IFERROR(__xludf.DUMMYFUNCTION("""COMPUTED_VALUE"""),"petshop-io")</f>
        <v>petshop-io</v>
      </c>
      <c r="B9899" s="2" t="str">
        <f ca="1">IFERROR(__xludf.DUMMYFUNCTION("""COMPUTED_VALUE"""),"ptshp")</f>
        <v>ptshp</v>
      </c>
      <c r="C9899" s="3" t="str">
        <f ca="1">IFERROR(__xludf.DUMMYFUNCTION("""COMPUTED_VALUE"""),"Petshop.io")</f>
        <v>Petshop.io</v>
      </c>
    </row>
    <row r="9900" spans="1:3" x14ac:dyDescent="0.25">
      <c r="A9900" s="2" t="str">
        <f ca="1">IFERROR(__xludf.DUMMYFUNCTION("""COMPUTED_VALUE"""),"petur-shiff")</f>
        <v>petur-shiff</v>
      </c>
      <c r="B9900" s="2" t="str">
        <f ca="1">IFERROR(__xludf.DUMMYFUNCTION("""COMPUTED_VALUE"""),"$gold")</f>
        <v>$gold</v>
      </c>
      <c r="C9900" s="2" t="str">
        <f ca="1">IFERROR(__xludf.DUMMYFUNCTION("""COMPUTED_VALUE"""),"Petur Shiff")</f>
        <v>Petur Shiff</v>
      </c>
    </row>
    <row r="9901" spans="1:3" x14ac:dyDescent="0.25">
      <c r="A9901" s="2" t="str">
        <f ca="1">IFERROR(__xludf.DUMMYFUNCTION("""COMPUTED_VALUE"""),"pew4sol")</f>
        <v>pew4sol</v>
      </c>
      <c r="B9901" s="2" t="str">
        <f ca="1">IFERROR(__xludf.DUMMYFUNCTION("""COMPUTED_VALUE"""),"pew")</f>
        <v>pew</v>
      </c>
      <c r="C9901" s="2" t="str">
        <f ca="1">IFERROR(__xludf.DUMMYFUNCTION("""COMPUTED_VALUE"""),"Pew4Sol")</f>
        <v>Pew4Sol</v>
      </c>
    </row>
    <row r="9902" spans="1:3" x14ac:dyDescent="0.25">
      <c r="A9902" s="2" t="str">
        <f ca="1">IFERROR(__xludf.DUMMYFUNCTION("""COMPUTED_VALUE"""),"pftm")</f>
        <v>pftm</v>
      </c>
      <c r="B9902" s="2" t="str">
        <f ca="1">IFERROR(__xludf.DUMMYFUNCTION("""COMPUTED_VALUE"""),"pftm")</f>
        <v>pftm</v>
      </c>
      <c r="C9902" s="2" t="str">
        <f ca="1">IFERROR(__xludf.DUMMYFUNCTION("""COMPUTED_VALUE"""),"pFTM")</f>
        <v>pFTM</v>
      </c>
    </row>
    <row r="9903" spans="1:3" x14ac:dyDescent="0.25">
      <c r="A9903" s="2" t="str">
        <f ca="1">IFERROR(__xludf.DUMMYFUNCTION("""COMPUTED_VALUE"""),"pgala")</f>
        <v>pgala</v>
      </c>
      <c r="B9903" s="2" t="str">
        <f ca="1">IFERROR(__xludf.DUMMYFUNCTION("""COMPUTED_VALUE"""),"pgala")</f>
        <v>pgala</v>
      </c>
      <c r="C9903" s="2" t="str">
        <f ca="1">IFERROR(__xludf.DUMMYFUNCTION("""COMPUTED_VALUE"""),"pGALA")</f>
        <v>pGALA</v>
      </c>
    </row>
    <row r="9904" spans="1:3" x14ac:dyDescent="0.25">
      <c r="A9904" s="2" t="str">
        <f ca="1">IFERROR(__xludf.DUMMYFUNCTION("""COMPUTED_VALUE"""),"pha")</f>
        <v>pha</v>
      </c>
      <c r="B9904" s="2" t="str">
        <f ca="1">IFERROR(__xludf.DUMMYFUNCTION("""COMPUTED_VALUE"""),"pha")</f>
        <v>pha</v>
      </c>
      <c r="C9904" s="2" t="str">
        <f ca="1">IFERROR(__xludf.DUMMYFUNCTION("""COMPUTED_VALUE"""),"PHALA")</f>
        <v>PHALA</v>
      </c>
    </row>
    <row r="9905" spans="1:3" x14ac:dyDescent="0.25">
      <c r="A9905" s="2" t="str">
        <f ca="1">IFERROR(__xludf.DUMMYFUNCTION("""COMPUTED_VALUE"""),"phala-moonbeam")</f>
        <v>phala-moonbeam</v>
      </c>
      <c r="B9905" s="2" t="str">
        <f ca="1">IFERROR(__xludf.DUMMYFUNCTION("""COMPUTED_VALUE"""),"$xcpha")</f>
        <v>$xcpha</v>
      </c>
      <c r="C9905" s="2" t="str">
        <f ca="1">IFERROR(__xludf.DUMMYFUNCTION("""COMPUTED_VALUE"""),"Phala (Moonbeam)")</f>
        <v>Phala (Moonbeam)</v>
      </c>
    </row>
    <row r="9906" spans="1:3" x14ac:dyDescent="0.25">
      <c r="A9906" s="2" t="str">
        <f ca="1">IFERROR(__xludf.DUMMYFUNCTION("""COMPUTED_VALUE"""),"phame")</f>
        <v>phame</v>
      </c>
      <c r="B9906" s="2" t="str">
        <f ca="1">IFERROR(__xludf.DUMMYFUNCTION("""COMPUTED_VALUE"""),"phame")</f>
        <v>phame</v>
      </c>
      <c r="C9906" s="2" t="str">
        <f ca="1">IFERROR(__xludf.DUMMYFUNCTION("""COMPUTED_VALUE"""),"PHAME")</f>
        <v>PHAME</v>
      </c>
    </row>
    <row r="9907" spans="1:3" x14ac:dyDescent="0.25">
      <c r="A9907" s="2" t="str">
        <f ca="1">IFERROR(__xludf.DUMMYFUNCTION("""COMPUTED_VALUE"""),"phantasma")</f>
        <v>phantasma</v>
      </c>
      <c r="B9907" s="2" t="str">
        <f ca="1">IFERROR(__xludf.DUMMYFUNCTION("""COMPUTED_VALUE"""),"soul")</f>
        <v>soul</v>
      </c>
      <c r="C9907" s="2" t="str">
        <f ca="1">IFERROR(__xludf.DUMMYFUNCTION("""COMPUTED_VALUE"""),"Phantasma")</f>
        <v>Phantasma</v>
      </c>
    </row>
    <row r="9908" spans="1:3" x14ac:dyDescent="0.25">
      <c r="A9908" s="2" t="str">
        <f ca="1">IFERROR(__xludf.DUMMYFUNCTION("""COMPUTED_VALUE"""),"phantom-of-the-kill-alternative-imitation-oshi")</f>
        <v>phantom-of-the-kill-alternative-imitation-oshi</v>
      </c>
      <c r="B9908" s="2" t="str">
        <f ca="1">IFERROR(__xludf.DUMMYFUNCTION("""COMPUTED_VALUE"""),"oshi")</f>
        <v>oshi</v>
      </c>
      <c r="C9908" s="2" t="str">
        <f ca="1">IFERROR(__xludf.DUMMYFUNCTION("""COMPUTED_VALUE"""),"OSHI3")</f>
        <v>OSHI3</v>
      </c>
    </row>
    <row r="9909" spans="1:3" x14ac:dyDescent="0.25">
      <c r="A9909" s="2" t="str">
        <f ca="1">IFERROR(__xludf.DUMMYFUNCTION("""COMPUTED_VALUE"""),"phantom-protocol")</f>
        <v>phantom-protocol</v>
      </c>
      <c r="B9909" s="2" t="str">
        <f ca="1">IFERROR(__xludf.DUMMYFUNCTION("""COMPUTED_VALUE"""),"phm")</f>
        <v>phm</v>
      </c>
      <c r="C9909" s="2" t="str">
        <f ca="1">IFERROR(__xludf.DUMMYFUNCTION("""COMPUTED_VALUE"""),"Phantom Protocol")</f>
        <v>Phantom Protocol</v>
      </c>
    </row>
    <row r="9910" spans="1:3" x14ac:dyDescent="0.25">
      <c r="A9910" s="2" t="str">
        <f ca="1">IFERROR(__xludf.DUMMYFUNCTION("""COMPUTED_VALUE"""),"pharaoh")</f>
        <v>pharaoh</v>
      </c>
      <c r="B9910" s="2" t="str">
        <f ca="1">IFERROR(__xludf.DUMMYFUNCTION("""COMPUTED_VALUE"""),"phar")</f>
        <v>phar</v>
      </c>
      <c r="C9910" s="2" t="str">
        <f ca="1">IFERROR(__xludf.DUMMYFUNCTION("""COMPUTED_VALUE"""),"Pharaoh")</f>
        <v>Pharaoh</v>
      </c>
    </row>
    <row r="9911" spans="1:3" x14ac:dyDescent="0.25">
      <c r="A9911" s="2" t="str">
        <f ca="1">IFERROR(__xludf.DUMMYFUNCTION("""COMPUTED_VALUE"""),"phase-dollar")</f>
        <v>phase-dollar</v>
      </c>
      <c r="B9911" s="2" t="str">
        <f ca="1">IFERROR(__xludf.DUMMYFUNCTION("""COMPUTED_VALUE"""),"cash")</f>
        <v>cash</v>
      </c>
      <c r="C9911" s="2" t="str">
        <f ca="1">IFERROR(__xludf.DUMMYFUNCTION("""COMPUTED_VALUE"""),"Phase Dollar")</f>
        <v>Phase Dollar</v>
      </c>
    </row>
    <row r="9912" spans="1:3" x14ac:dyDescent="0.25">
      <c r="A9912" s="2" t="str">
        <f ca="1">IFERROR(__xludf.DUMMYFUNCTION("""COMPUTED_VALUE"""),"phase-labs-staked-sol")</f>
        <v>phase-labs-staked-sol</v>
      </c>
      <c r="B9912" s="2" t="str">
        <f ca="1">IFERROR(__xludf.DUMMYFUNCTION("""COMPUTED_VALUE"""),"phasesol")</f>
        <v>phasesol</v>
      </c>
      <c r="C9912" s="2" t="str">
        <f ca="1">IFERROR(__xludf.DUMMYFUNCTION("""COMPUTED_VALUE"""),"Phase Labs Staked SOL")</f>
        <v>Phase Labs Staked SOL</v>
      </c>
    </row>
    <row r="9913" spans="1:3" x14ac:dyDescent="0.25">
      <c r="A9913" s="2" t="str">
        <f ca="1">IFERROR(__xludf.DUMMYFUNCTION("""COMPUTED_VALUE"""),"phauntem")</f>
        <v>phauntem</v>
      </c>
      <c r="B9913" s="2" t="str">
        <f ca="1">IFERROR(__xludf.DUMMYFUNCTION("""COMPUTED_VALUE"""),"phauntem")</f>
        <v>phauntem</v>
      </c>
      <c r="C9913" s="2" t="str">
        <f ca="1">IFERROR(__xludf.DUMMYFUNCTION("""COMPUTED_VALUE"""),"Phauntem")</f>
        <v>Phauntem</v>
      </c>
    </row>
    <row r="9914" spans="1:3" x14ac:dyDescent="0.25">
      <c r="A9914" s="2" t="str">
        <f ca="1">IFERROR(__xludf.DUMMYFUNCTION("""COMPUTED_VALUE"""),"phavercoin")</f>
        <v>phavercoin</v>
      </c>
      <c r="B9914" s="2" t="str">
        <f ca="1">IFERROR(__xludf.DUMMYFUNCTION("""COMPUTED_VALUE"""),"social")</f>
        <v>social</v>
      </c>
      <c r="C9914" s="2" t="str">
        <f ca="1">IFERROR(__xludf.DUMMYFUNCTION("""COMPUTED_VALUE"""),"Phavercoin")</f>
        <v>Phavercoin</v>
      </c>
    </row>
    <row r="9915" spans="1:3" x14ac:dyDescent="0.25">
      <c r="A9915" s="2" t="str">
        <f ca="1">IFERROR(__xludf.DUMMYFUNCTION("""COMPUTED_VALUE"""),"phecda")</f>
        <v>phecda</v>
      </c>
      <c r="B9915" s="2" t="str">
        <f ca="1">IFERROR(__xludf.DUMMYFUNCTION("""COMPUTED_VALUE"""),"pcd")</f>
        <v>pcd</v>
      </c>
      <c r="C9915" s="2" t="str">
        <f ca="1">IFERROR(__xludf.DUMMYFUNCTION("""COMPUTED_VALUE"""),"Phecda")</f>
        <v>Phecda</v>
      </c>
    </row>
    <row r="9916" spans="1:3" x14ac:dyDescent="0.25">
      <c r="A9916" s="2" t="str">
        <f ca="1">IFERROR(__xludf.DUMMYFUNCTION("""COMPUTED_VALUE"""),"phemex")</f>
        <v>phemex</v>
      </c>
      <c r="B9916" s="2" t="str">
        <f ca="1">IFERROR(__xludf.DUMMYFUNCTION("""COMPUTED_VALUE"""),"pt")</f>
        <v>pt</v>
      </c>
      <c r="C9916" s="2" t="str">
        <f ca="1">IFERROR(__xludf.DUMMYFUNCTION("""COMPUTED_VALUE"""),"Phemex Token")</f>
        <v>Phemex Token</v>
      </c>
    </row>
    <row r="9917" spans="1:3" x14ac:dyDescent="0.25">
      <c r="A9917" s="2" t="str">
        <f ca="1">IFERROR(__xludf.DUMMYFUNCTION("""COMPUTED_VALUE"""),"phenix-finance-2")</f>
        <v>phenix-finance-2</v>
      </c>
      <c r="B9917" s="2" t="str">
        <f ca="1">IFERROR(__xludf.DUMMYFUNCTION("""COMPUTED_VALUE"""),"phnx")</f>
        <v>phnx</v>
      </c>
      <c r="C9917" s="2" t="str">
        <f ca="1">IFERROR(__xludf.DUMMYFUNCTION("""COMPUTED_VALUE"""),"Phenix Finance (Cronos)")</f>
        <v>Phenix Finance (Cronos)</v>
      </c>
    </row>
    <row r="9918" spans="1:3" x14ac:dyDescent="0.25">
      <c r="A9918" s="2" t="str">
        <f ca="1">IFERROR(__xludf.DUMMYFUNCTION("""COMPUTED_VALUE"""),"phenx")</f>
        <v>phenx</v>
      </c>
      <c r="B9918" s="2" t="str">
        <f ca="1">IFERROR(__xludf.DUMMYFUNCTION("""COMPUTED_VALUE"""),"pnx")</f>
        <v>pnx</v>
      </c>
      <c r="C9918" s="2" t="str">
        <f ca="1">IFERROR(__xludf.DUMMYFUNCTION("""COMPUTED_VALUE"""),"PhenX")</f>
        <v>PhenX</v>
      </c>
    </row>
    <row r="9919" spans="1:3" x14ac:dyDescent="0.25">
      <c r="A9919" s="2" t="str">
        <f ca="1">IFERROR(__xludf.DUMMYFUNCTION("""COMPUTED_VALUE"""),"phiat-protocol")</f>
        <v>phiat-protocol</v>
      </c>
      <c r="B9919" s="2" t="str">
        <f ca="1">IFERROR(__xludf.DUMMYFUNCTION("""COMPUTED_VALUE"""),"phiat")</f>
        <v>phiat</v>
      </c>
      <c r="C9919" s="2" t="str">
        <f ca="1">IFERROR(__xludf.DUMMYFUNCTION("""COMPUTED_VALUE"""),"Phiat Protocol")</f>
        <v>Phiat Protocol</v>
      </c>
    </row>
    <row r="9920" spans="1:3" x14ac:dyDescent="0.25">
      <c r="A9920" s="2" t="str">
        <f ca="1">IFERROR(__xludf.DUMMYFUNCTION("""COMPUTED_VALUE"""),"phil")</f>
        <v>phil</v>
      </c>
      <c r="B9920" s="2" t="str">
        <f ca="1">IFERROR(__xludf.DUMMYFUNCTION("""COMPUTED_VALUE"""),"phil")</f>
        <v>phil</v>
      </c>
      <c r="C9920" s="2" t="str">
        <f ca="1">IFERROR(__xludf.DUMMYFUNCTION("""COMPUTED_VALUE"""),"Phil")</f>
        <v>Phil</v>
      </c>
    </row>
    <row r="9921" spans="1:3" x14ac:dyDescent="0.25">
      <c r="A9921" s="2" t="str">
        <f ca="1">IFERROR(__xludf.DUMMYFUNCTION("""COMPUTED_VALUE"""),"phili-inu")</f>
        <v>phili-inu</v>
      </c>
      <c r="B9921" s="2" t="str">
        <f ca="1">IFERROR(__xludf.DUMMYFUNCTION("""COMPUTED_VALUE"""),"phil")</f>
        <v>phil</v>
      </c>
      <c r="C9921" s="2" t="str">
        <f ca="1">IFERROR(__xludf.DUMMYFUNCTION("""COMPUTED_VALUE"""),"Phili Inu")</f>
        <v>Phili Inu</v>
      </c>
    </row>
    <row r="9922" spans="1:3" x14ac:dyDescent="0.25">
      <c r="A9922" s="2" t="str">
        <f ca="1">IFERROR(__xludf.DUMMYFUNCTION("""COMPUTED_VALUE"""),"philippine-peso-coin")</f>
        <v>philippine-peso-coin</v>
      </c>
      <c r="B9922" s="2" t="str">
        <f ca="1">IFERROR(__xludf.DUMMYFUNCTION("""COMPUTED_VALUE"""),"phpc")</f>
        <v>phpc</v>
      </c>
      <c r="C9922" s="2" t="str">
        <f ca="1">IFERROR(__xludf.DUMMYFUNCTION("""COMPUTED_VALUE"""),"Philippine Peso Coin")</f>
        <v>Philippine Peso Coin</v>
      </c>
    </row>
    <row r="9923" spans="1:3" x14ac:dyDescent="0.25">
      <c r="A9923" s="2" t="str">
        <f ca="1">IFERROR(__xludf.DUMMYFUNCTION("""COMPUTED_VALUE"""),"phobos-token")</f>
        <v>phobos-token</v>
      </c>
      <c r="B9923" s="2" t="str">
        <f ca="1">IFERROR(__xludf.DUMMYFUNCTION("""COMPUTED_VALUE"""),"pbos")</f>
        <v>pbos</v>
      </c>
      <c r="C9923" s="2" t="str">
        <f ca="1">IFERROR(__xludf.DUMMYFUNCTION("""COMPUTED_VALUE"""),"Phobos Token")</f>
        <v>Phobos Token</v>
      </c>
    </row>
    <row r="9924" spans="1:3" x14ac:dyDescent="0.25">
      <c r="A9924" s="2" t="str">
        <f ca="1">IFERROR(__xludf.DUMMYFUNCTION("""COMPUTED_VALUE"""),"phoenic-token")</f>
        <v>phoenic-token</v>
      </c>
      <c r="B9924" s="2" t="str">
        <f ca="1">IFERROR(__xludf.DUMMYFUNCTION("""COMPUTED_VALUE"""),"pnic")</f>
        <v>pnic</v>
      </c>
      <c r="C9924" s="2" t="str">
        <f ca="1">IFERROR(__xludf.DUMMYFUNCTION("""COMPUTED_VALUE"""),"Phoenic Token")</f>
        <v>Phoenic Token</v>
      </c>
    </row>
    <row r="9925" spans="1:3" x14ac:dyDescent="0.25">
      <c r="A9925" s="2" t="str">
        <f ca="1">IFERROR(__xludf.DUMMYFUNCTION("""COMPUTED_VALUE"""),"phoenix")</f>
        <v>phoenix</v>
      </c>
      <c r="B9925" s="2" t="str">
        <f ca="1">IFERROR(__xludf.DUMMYFUNCTION("""COMPUTED_VALUE"""),"phx")</f>
        <v>phx</v>
      </c>
      <c r="C9925" s="2" t="str">
        <f ca="1">IFERROR(__xludf.DUMMYFUNCTION("""COMPUTED_VALUE"""),"Phoenix Blockchain")</f>
        <v>Phoenix Blockchain</v>
      </c>
    </row>
    <row r="9926" spans="1:3" x14ac:dyDescent="0.25">
      <c r="A9926" s="2" t="str">
        <f ca="1">IFERROR(__xludf.DUMMYFUNCTION("""COMPUTED_VALUE"""),"phoenixcoin")</f>
        <v>phoenixcoin</v>
      </c>
      <c r="B9926" s="2" t="str">
        <f ca="1">IFERROR(__xludf.DUMMYFUNCTION("""COMPUTED_VALUE"""),"pxc")</f>
        <v>pxc</v>
      </c>
      <c r="C9926" s="2" t="str">
        <f ca="1">IFERROR(__xludf.DUMMYFUNCTION("""COMPUTED_VALUE"""),"Phoenixcoin")</f>
        <v>Phoenixcoin</v>
      </c>
    </row>
    <row r="9927" spans="1:3" x14ac:dyDescent="0.25">
      <c r="A9927" s="2" t="str">
        <f ca="1">IFERROR(__xludf.DUMMYFUNCTION("""COMPUTED_VALUE"""),"phoenixdao")</f>
        <v>phoenixdao</v>
      </c>
      <c r="B9927" s="2" t="str">
        <f ca="1">IFERROR(__xludf.DUMMYFUNCTION("""COMPUTED_VALUE"""),"phnx")</f>
        <v>phnx</v>
      </c>
      <c r="C9927" s="2" t="str">
        <f ca="1">IFERROR(__xludf.DUMMYFUNCTION("""COMPUTED_VALUE"""),"PhoenixDAO")</f>
        <v>PhoenixDAO</v>
      </c>
    </row>
    <row r="9928" spans="1:3" x14ac:dyDescent="0.25">
      <c r="A9928" s="2" t="str">
        <f ca="1">IFERROR(__xludf.DUMMYFUNCTION("""COMPUTED_VALUE"""),"phoenix-global")</f>
        <v>phoenix-global</v>
      </c>
      <c r="B9928" s="2" t="str">
        <f ca="1">IFERROR(__xludf.DUMMYFUNCTION("""COMPUTED_VALUE"""),"phb")</f>
        <v>phb</v>
      </c>
      <c r="C9928" s="2" t="str">
        <f ca="1">IFERROR(__xludf.DUMMYFUNCTION("""COMPUTED_VALUE"""),"Phoenix")</f>
        <v>Phoenix</v>
      </c>
    </row>
    <row r="9929" spans="1:3" x14ac:dyDescent="0.25">
      <c r="A9929" s="2" t="str">
        <f ca="1">IFERROR(__xludf.DUMMYFUNCTION("""COMPUTED_VALUE"""),"phoenix-token")</f>
        <v>phoenix-token</v>
      </c>
      <c r="B9929" s="2" t="str">
        <f ca="1">IFERROR(__xludf.DUMMYFUNCTION("""COMPUTED_VALUE"""),"phx")</f>
        <v>phx</v>
      </c>
      <c r="C9929" s="2" t="str">
        <f ca="1">IFERROR(__xludf.DUMMYFUNCTION("""COMPUTED_VALUE"""),"Phoenix Finance")</f>
        <v>Phoenix Finance</v>
      </c>
    </row>
    <row r="9930" spans="1:3" x14ac:dyDescent="0.25">
      <c r="A9930" s="2" t="str">
        <f ca="1">IFERROR(__xludf.DUMMYFUNCTION("""COMPUTED_VALUE"""),"phonon-dao")</f>
        <v>phonon-dao</v>
      </c>
      <c r="B9930" s="2" t="str">
        <f ca="1">IFERROR(__xludf.DUMMYFUNCTION("""COMPUTED_VALUE"""),"phonon")</f>
        <v>phonon</v>
      </c>
      <c r="C9930" s="2" t="str">
        <f ca="1">IFERROR(__xludf.DUMMYFUNCTION("""COMPUTED_VALUE"""),"Phonon DAO")</f>
        <v>Phonon DAO</v>
      </c>
    </row>
    <row r="9931" spans="1:3" x14ac:dyDescent="0.25">
      <c r="A9931" s="2" t="str">
        <f ca="1">IFERROR(__xludf.DUMMYFUNCTION("""COMPUTED_VALUE"""),"phore")</f>
        <v>phore</v>
      </c>
      <c r="B9931" s="2" t="str">
        <f ca="1">IFERROR(__xludf.DUMMYFUNCTION("""COMPUTED_VALUE"""),"phr")</f>
        <v>phr</v>
      </c>
      <c r="C9931" s="2" t="str">
        <f ca="1">IFERROR(__xludf.DUMMYFUNCTION("""COMPUTED_VALUE"""),"Phore")</f>
        <v>Phore</v>
      </c>
    </row>
    <row r="9932" spans="1:3" x14ac:dyDescent="0.25">
      <c r="A9932" s="2" t="str">
        <f ca="1">IFERROR(__xludf.DUMMYFUNCTION("""COMPUTED_VALUE"""),"photon-milky-way")</f>
        <v>photon-milky-way</v>
      </c>
      <c r="B9932" s="2" t="str">
        <f ca="1">IFERROR(__xludf.DUMMYFUNCTION("""COMPUTED_VALUE"""),"pmw")</f>
        <v>pmw</v>
      </c>
      <c r="C9932" s="2" t="str">
        <f ca="1">IFERROR(__xludf.DUMMYFUNCTION("""COMPUTED_VALUE"""),"Photon Milky Way")</f>
        <v>Photon Milky Way</v>
      </c>
    </row>
    <row r="9933" spans="1:3" x14ac:dyDescent="0.25">
      <c r="A9933" s="2" t="str">
        <f ca="1">IFERROR(__xludf.DUMMYFUNCTION("""COMPUTED_VALUE"""),"photonswap")</f>
        <v>photonswap</v>
      </c>
      <c r="B9933" s="2" t="str">
        <f ca="1">IFERROR(__xludf.DUMMYFUNCTION("""COMPUTED_VALUE"""),"photon")</f>
        <v>photon</v>
      </c>
      <c r="C9933" s="2" t="str">
        <f ca="1">IFERROR(__xludf.DUMMYFUNCTION("""COMPUTED_VALUE"""),"PhotonSwap")</f>
        <v>PhotonSwap</v>
      </c>
    </row>
    <row r="9934" spans="1:3" x14ac:dyDescent="0.25">
      <c r="A9934" s="2" t="str">
        <f ca="1">IFERROR(__xludf.DUMMYFUNCTION("""COMPUTED_VALUE"""),"phpcoin")</f>
        <v>phpcoin</v>
      </c>
      <c r="B9934" s="2" t="str">
        <f ca="1">IFERROR(__xludf.DUMMYFUNCTION("""COMPUTED_VALUE"""),"php")</f>
        <v>php</v>
      </c>
      <c r="C9934" s="2" t="str">
        <f ca="1">IFERROR(__xludf.DUMMYFUNCTION("""COMPUTED_VALUE"""),"PHPCoin")</f>
        <v>PHPCoin</v>
      </c>
    </row>
    <row r="9935" spans="1:3" x14ac:dyDescent="0.25">
      <c r="A9935" s="2" t="str">
        <f ca="1">IFERROR(__xludf.DUMMYFUNCTION("""COMPUTED_VALUE"""),"phronai")</f>
        <v>phronai</v>
      </c>
      <c r="B9935" s="2" t="str">
        <f ca="1">IFERROR(__xludf.DUMMYFUNCTION("""COMPUTED_VALUE"""),"phron")</f>
        <v>phron</v>
      </c>
      <c r="C9935" s="2" t="str">
        <f ca="1">IFERROR(__xludf.DUMMYFUNCTION("""COMPUTED_VALUE"""),"PhronAI")</f>
        <v>PhronAI</v>
      </c>
    </row>
    <row r="9936" spans="1:3" x14ac:dyDescent="0.25">
      <c r="A9936" s="2" t="str">
        <f ca="1">IFERROR(__xludf.DUMMYFUNCTION("""COMPUTED_VALUE"""),"phteven")</f>
        <v>phteven</v>
      </c>
      <c r="B9936" s="2" t="str">
        <f ca="1">IFERROR(__xludf.DUMMYFUNCTION("""COMPUTED_VALUE"""),"phteve")</f>
        <v>phteve</v>
      </c>
      <c r="C9936" s="2" t="str">
        <f ca="1">IFERROR(__xludf.DUMMYFUNCTION("""COMPUTED_VALUE"""),"Phteven")</f>
        <v>Phteven</v>
      </c>
    </row>
    <row r="9937" spans="1:3" x14ac:dyDescent="0.25">
      <c r="A9937" s="2" t="str">
        <f ca="1">IFERROR(__xludf.DUMMYFUNCTION("""COMPUTED_VALUE"""),"phunk-vault-nftx")</f>
        <v>phunk-vault-nftx</v>
      </c>
      <c r="B9937" s="2" t="str">
        <f ca="1">IFERROR(__xludf.DUMMYFUNCTION("""COMPUTED_VALUE"""),"phunk")</f>
        <v>phunk</v>
      </c>
      <c r="C9937" s="2" t="str">
        <f ca="1">IFERROR(__xludf.DUMMYFUNCTION("""COMPUTED_VALUE"""),"PHUNK Vault (NFTX)")</f>
        <v>PHUNK Vault (NFTX)</v>
      </c>
    </row>
    <row r="9938" spans="1:3" x14ac:dyDescent="0.25">
      <c r="A9938" s="2" t="str">
        <f ca="1">IFERROR(__xludf.DUMMYFUNCTION("""COMPUTED_VALUE"""),"phuture")</f>
        <v>phuture</v>
      </c>
      <c r="B9938" s="2" t="str">
        <f ca="1">IFERROR(__xludf.DUMMYFUNCTION("""COMPUTED_VALUE"""),"phtr")</f>
        <v>phtr</v>
      </c>
      <c r="C9938" s="2" t="str">
        <f ca="1">IFERROR(__xludf.DUMMYFUNCTION("""COMPUTED_VALUE"""),"Phuture")</f>
        <v>Phuture</v>
      </c>
    </row>
    <row r="9939" spans="1:3" x14ac:dyDescent="0.25">
      <c r="A9939" s="2" t="str">
        <f ca="1">IFERROR(__xludf.DUMMYFUNCTION("""COMPUTED_VALUE"""),"phux-governance-token")</f>
        <v>phux-governance-token</v>
      </c>
      <c r="B9939" s="2" t="str">
        <f ca="1">IFERROR(__xludf.DUMMYFUNCTION("""COMPUTED_VALUE"""),"phux")</f>
        <v>phux</v>
      </c>
      <c r="C9939" s="2" t="str">
        <f ca="1">IFERROR(__xludf.DUMMYFUNCTION("""COMPUTED_VALUE"""),"PHUX Governance Token")</f>
        <v>PHUX Governance Token</v>
      </c>
    </row>
    <row r="9940" spans="1:3" x14ac:dyDescent="0.25">
      <c r="A9940" s="2" t="str">
        <f ca="1">IFERROR(__xludf.DUMMYFUNCTION("""COMPUTED_VALUE"""),"physis")</f>
        <v>physis</v>
      </c>
      <c r="B9940" s="2" t="str">
        <f ca="1">IFERROR(__xludf.DUMMYFUNCTION("""COMPUTED_VALUE"""),"phy")</f>
        <v>phy</v>
      </c>
      <c r="C9940" s="2" t="str">
        <f ca="1">IFERROR(__xludf.DUMMYFUNCTION("""COMPUTED_VALUE"""),"Physis")</f>
        <v>Physis</v>
      </c>
    </row>
    <row r="9941" spans="1:3" x14ac:dyDescent="0.25">
      <c r="A9941" s="2" t="str">
        <f ca="1">IFERROR(__xludf.DUMMYFUNCTION("""COMPUTED_VALUE"""),"pibble")</f>
        <v>pibble</v>
      </c>
      <c r="B9941" s="2" t="str">
        <f ca="1">IFERROR(__xludf.DUMMYFUNCTION("""COMPUTED_VALUE"""),"pib")</f>
        <v>pib</v>
      </c>
      <c r="C9941" s="2" t="str">
        <f ca="1">IFERROR(__xludf.DUMMYFUNCTION("""COMPUTED_VALUE"""),"Pibble")</f>
        <v>Pibble</v>
      </c>
    </row>
    <row r="9942" spans="1:3" x14ac:dyDescent="0.25">
      <c r="A9942" s="2" t="str">
        <f ca="1">IFERROR(__xludf.DUMMYFUNCTION("""COMPUTED_VALUE"""),"picasso")</f>
        <v>picasso</v>
      </c>
      <c r="B9942" s="2" t="str">
        <f ca="1">IFERROR(__xludf.DUMMYFUNCTION("""COMPUTED_VALUE"""),"pica")</f>
        <v>pica</v>
      </c>
      <c r="C9942" s="2" t="str">
        <f ca="1">IFERROR(__xludf.DUMMYFUNCTION("""COMPUTED_VALUE"""),"Picasso")</f>
        <v>Picasso</v>
      </c>
    </row>
    <row r="9943" spans="1:3" x14ac:dyDescent="0.25">
      <c r="A9943" s="2" t="str">
        <f ca="1">IFERROR(__xludf.DUMMYFUNCTION("""COMPUTED_VALUE"""),"piccolo-inu")</f>
        <v>piccolo-inu</v>
      </c>
      <c r="B9943" s="2" t="str">
        <f ca="1">IFERROR(__xludf.DUMMYFUNCTION("""COMPUTED_VALUE"""),"pinu")</f>
        <v>pinu</v>
      </c>
      <c r="C9943" s="2" t="str">
        <f ca="1">IFERROR(__xludf.DUMMYFUNCTION("""COMPUTED_VALUE"""),"Piccolo Inu")</f>
        <v>Piccolo Inu</v>
      </c>
    </row>
    <row r="9944" spans="1:3" x14ac:dyDescent="0.25">
      <c r="A9944" s="2" t="str">
        <f ca="1">IFERROR(__xludf.DUMMYFUNCTION("""COMPUTED_VALUE"""),"pichi-finance")</f>
        <v>pichi-finance</v>
      </c>
      <c r="B9944" s="2" t="str">
        <f ca="1">IFERROR(__xludf.DUMMYFUNCTION("""COMPUTED_VALUE"""),"pch")</f>
        <v>pch</v>
      </c>
      <c r="C9944" s="2" t="str">
        <f ca="1">IFERROR(__xludf.DUMMYFUNCTION("""COMPUTED_VALUE"""),"Pichi Finance")</f>
        <v>Pichi Finance</v>
      </c>
    </row>
    <row r="9945" spans="1:3" x14ac:dyDescent="0.25">
      <c r="A9945" s="2" t="str">
        <f ca="1">IFERROR(__xludf.DUMMYFUNCTION("""COMPUTED_VALUE"""),"pickle")</f>
        <v>pickle</v>
      </c>
      <c r="B9945" s="2" t="str">
        <f ca="1">IFERROR(__xludf.DUMMYFUNCTION("""COMPUTED_VALUE"""),"pickle")</f>
        <v>pickle</v>
      </c>
      <c r="C9945" s="2" t="str">
        <f ca="1">IFERROR(__xludf.DUMMYFUNCTION("""COMPUTED_VALUE"""),"PICKLE")</f>
        <v>PICKLE</v>
      </c>
    </row>
    <row r="9946" spans="1:3" x14ac:dyDescent="0.25">
      <c r="A9946" s="2" t="str">
        <f ca="1">IFERROR(__xludf.DUMMYFUNCTION("""COMPUTED_VALUE"""),"pickle-2")</f>
        <v>pickle-2</v>
      </c>
      <c r="B9946" s="2" t="str">
        <f ca="1">IFERROR(__xludf.DUMMYFUNCTION("""COMPUTED_VALUE"""),"pickle")</f>
        <v>pickle</v>
      </c>
      <c r="C9946" s="2" t="str">
        <f ca="1">IFERROR(__xludf.DUMMYFUNCTION("""COMPUTED_VALUE"""),"Pickle")</f>
        <v>Pickle</v>
      </c>
    </row>
    <row r="9947" spans="1:3" x14ac:dyDescent="0.25">
      <c r="A9947" s="2" t="str">
        <f ca="1">IFERROR(__xludf.DUMMYFUNCTION("""COMPUTED_VALUE"""),"pickle-finance")</f>
        <v>pickle-finance</v>
      </c>
      <c r="B9947" s="2" t="str">
        <f ca="1">IFERROR(__xludf.DUMMYFUNCTION("""COMPUTED_VALUE"""),"pickle")</f>
        <v>pickle</v>
      </c>
      <c r="C9947" s="2" t="str">
        <f ca="1">IFERROR(__xludf.DUMMYFUNCTION("""COMPUTED_VALUE"""),"Pickle Finance")</f>
        <v>Pickle Finance</v>
      </c>
    </row>
    <row r="9948" spans="1:3" x14ac:dyDescent="0.25">
      <c r="A9948" s="2" t="str">
        <f ca="1">IFERROR(__xludf.DUMMYFUNCTION("""COMPUTED_VALUE"""),"pick-or-rick")</f>
        <v>pick-or-rick</v>
      </c>
      <c r="B9948" s="2" t="str">
        <f ca="1">IFERROR(__xludf.DUMMYFUNCTION("""COMPUTED_VALUE"""),"rick")</f>
        <v>rick</v>
      </c>
      <c r="C9948" s="2" t="str">
        <f ca="1">IFERROR(__xludf.DUMMYFUNCTION("""COMPUTED_VALUE"""),"Pick Or Rick")</f>
        <v>Pick Or Rick</v>
      </c>
    </row>
    <row r="9949" spans="1:3" x14ac:dyDescent="0.25">
      <c r="A9949" s="2" t="str">
        <f ca="1">IFERROR(__xludf.DUMMYFUNCTION("""COMPUTED_VALUE"""),"pickvibe")</f>
        <v>pickvibe</v>
      </c>
      <c r="B9949" s="2" t="str">
        <f ca="1">IFERROR(__xludf.DUMMYFUNCTION("""COMPUTED_VALUE"""),"pck")</f>
        <v>pck</v>
      </c>
      <c r="C9949" s="2" t="str">
        <f ca="1">IFERROR(__xludf.DUMMYFUNCTION("""COMPUTED_VALUE"""),"Pickvibe")</f>
        <v>Pickvibe</v>
      </c>
    </row>
    <row r="9950" spans="1:3" x14ac:dyDescent="0.25">
      <c r="A9950" s="2" t="str">
        <f ca="1">IFERROR(__xludf.DUMMYFUNCTION("""COMPUTED_VALUE"""),"pico-staked-sol")</f>
        <v>pico-staked-sol</v>
      </c>
      <c r="B9950" s="2" t="str">
        <f ca="1">IFERROR(__xludf.DUMMYFUNCTION("""COMPUTED_VALUE"""),"picosol")</f>
        <v>picosol</v>
      </c>
      <c r="C9950" s="2" t="str">
        <f ca="1">IFERROR(__xludf.DUMMYFUNCTION("""COMPUTED_VALUE"""),"Pico Staked SOL")</f>
        <v>Pico Staked SOL</v>
      </c>
    </row>
    <row r="9951" spans="1:3" x14ac:dyDescent="0.25">
      <c r="A9951" s="2" t="str">
        <f ca="1">IFERROR(__xludf.DUMMYFUNCTION("""COMPUTED_VALUE"""),"pigcatsol")</f>
        <v>pigcatsol</v>
      </c>
      <c r="B9951" s="2" t="str">
        <f ca="1">IFERROR(__xludf.DUMMYFUNCTION("""COMPUTED_VALUE"""),"pc")</f>
        <v>pc</v>
      </c>
      <c r="C9951" s="2" t="str">
        <f ca="1">IFERROR(__xludf.DUMMYFUNCTION("""COMPUTED_VALUE"""),"PigCat")</f>
        <v>PigCat</v>
      </c>
    </row>
    <row r="9952" spans="1:3" x14ac:dyDescent="0.25">
      <c r="A9952" s="2" t="str">
        <f ca="1">IFERROR(__xludf.DUMMYFUNCTION("""COMPUTED_VALUE"""),"pigcoin-2")</f>
        <v>pigcoin-2</v>
      </c>
      <c r="B9952" s="2" t="str">
        <f ca="1">IFERROR(__xludf.DUMMYFUNCTION("""COMPUTED_VALUE"""),"pig")</f>
        <v>pig</v>
      </c>
      <c r="C9952" s="2" t="str">
        <f ca="1">IFERROR(__xludf.DUMMYFUNCTION("""COMPUTED_VALUE"""),"Pigcoin")</f>
        <v>Pigcoin</v>
      </c>
    </row>
    <row r="9953" spans="1:3" x14ac:dyDescent="0.25">
      <c r="A9953" s="2" t="str">
        <f ca="1">IFERROR(__xludf.DUMMYFUNCTION("""COMPUTED_VALUE"""),"pigcoinhero")</f>
        <v>pigcoinhero</v>
      </c>
      <c r="B9953" s="2" t="str">
        <f ca="1">IFERROR(__xludf.DUMMYFUNCTION("""COMPUTED_VALUE"""),"pch")</f>
        <v>pch</v>
      </c>
      <c r="C9953" s="2" t="str">
        <f ca="1">IFERROR(__xludf.DUMMYFUNCTION("""COMPUTED_VALUE"""),"PigCoinHero")</f>
        <v>PigCoinHero</v>
      </c>
    </row>
    <row r="9954" spans="1:3" x14ac:dyDescent="0.25">
      <c r="A9954" s="2" t="str">
        <f ca="1">IFERROR(__xludf.DUMMYFUNCTION("""COMPUTED_VALUE"""),"pigeoncoin")</f>
        <v>pigeoncoin</v>
      </c>
      <c r="B9954" s="2" t="str">
        <f ca="1">IFERROR(__xludf.DUMMYFUNCTION("""COMPUTED_VALUE"""),"pgn")</f>
        <v>pgn</v>
      </c>
      <c r="C9954" s="2" t="str">
        <f ca="1">IFERROR(__xludf.DUMMYFUNCTION("""COMPUTED_VALUE"""),"Pigeoncoin")</f>
        <v>Pigeoncoin</v>
      </c>
    </row>
    <row r="9955" spans="1:3" x14ac:dyDescent="0.25">
      <c r="A9955" s="2" t="str">
        <f ca="1">IFERROR(__xludf.DUMMYFUNCTION("""COMPUTED_VALUE"""),"pigeon-in-yellow-boots")</f>
        <v>pigeon-in-yellow-boots</v>
      </c>
      <c r="B9955" s="2" t="str">
        <f ca="1">IFERROR(__xludf.DUMMYFUNCTION("""COMPUTED_VALUE"""),"pigeon")</f>
        <v>pigeon</v>
      </c>
      <c r="C9955" s="2" t="str">
        <f ca="1">IFERROR(__xludf.DUMMYFUNCTION("""COMPUTED_VALUE"""),"Pigeon In Yellow Boots")</f>
        <v>Pigeon In Yellow Boots</v>
      </c>
    </row>
    <row r="9956" spans="1:3" x14ac:dyDescent="0.25">
      <c r="A9956" s="2" t="str">
        <f ca="1">IFERROR(__xludf.DUMMYFUNCTION("""COMPUTED_VALUE"""),"pigeon-park")</f>
        <v>pigeon-park</v>
      </c>
      <c r="B9956" s="2" t="str">
        <f ca="1">IFERROR(__xludf.DUMMYFUNCTION("""COMPUTED_VALUE"""),"pgenz")</f>
        <v>pgenz</v>
      </c>
      <c r="C9956" s="2" t="str">
        <f ca="1">IFERROR(__xludf.DUMMYFUNCTION("""COMPUTED_VALUE"""),"Pigeon Park")</f>
        <v>Pigeon Park</v>
      </c>
    </row>
    <row r="9957" spans="1:3" x14ac:dyDescent="0.25">
      <c r="A9957" s="2" t="str">
        <f ca="1">IFERROR(__xludf.DUMMYFUNCTION("""COMPUTED_VALUE"""),"pig-finance")</f>
        <v>pig-finance</v>
      </c>
      <c r="B9957" s="2" t="str">
        <f ca="1">IFERROR(__xludf.DUMMYFUNCTION("""COMPUTED_VALUE"""),"pig")</f>
        <v>pig</v>
      </c>
      <c r="C9957" s="2" t="str">
        <f ca="1">IFERROR(__xludf.DUMMYFUNCTION("""COMPUTED_VALUE"""),"Pig Finance")</f>
        <v>Pig Finance</v>
      </c>
    </row>
    <row r="9958" spans="1:3" x14ac:dyDescent="0.25">
      <c r="A9958" s="2" t="str">
        <f ca="1">IFERROR(__xludf.DUMMYFUNCTION("""COMPUTED_VALUE"""),"pigga")</f>
        <v>pigga</v>
      </c>
      <c r="B9958" s="2" t="str">
        <f ca="1">IFERROR(__xludf.DUMMYFUNCTION("""COMPUTED_VALUE"""),"pigga")</f>
        <v>pigga</v>
      </c>
      <c r="C9958" s="2" t="str">
        <f ca="1">IFERROR(__xludf.DUMMYFUNCTION("""COMPUTED_VALUE"""),"Pigga")</f>
        <v>Pigga</v>
      </c>
    </row>
    <row r="9959" spans="1:3" x14ac:dyDescent="0.25">
      <c r="A9959" s="2" t="str">
        <f ca="1">IFERROR(__xludf.DUMMYFUNCTION("""COMPUTED_VALUE"""),"pigged-by-piggy")</f>
        <v>pigged-by-piggy</v>
      </c>
      <c r="B9959" s="2" t="str">
        <f ca="1">IFERROR(__xludf.DUMMYFUNCTION("""COMPUTED_VALUE"""),"$piggy")</f>
        <v>$piggy</v>
      </c>
      <c r="C9959" s="2" t="str">
        <f ca="1">IFERROR(__xludf.DUMMYFUNCTION("""COMPUTED_VALUE"""),"PIGGED•BY•PIGGY")</f>
        <v>PIGGED•BY•PIGGY</v>
      </c>
    </row>
    <row r="9960" spans="1:3" x14ac:dyDescent="0.25">
      <c r="A9960" s="2" t="str">
        <f ca="1">IFERROR(__xludf.DUMMYFUNCTION("""COMPUTED_VALUE"""),"pikaboss")</f>
        <v>pikaboss</v>
      </c>
      <c r="B9960" s="2" t="str">
        <f ca="1">IFERROR(__xludf.DUMMYFUNCTION("""COMPUTED_VALUE"""),"pika")</f>
        <v>pika</v>
      </c>
      <c r="C9960" s="2" t="str">
        <f ca="1">IFERROR(__xludf.DUMMYFUNCTION("""COMPUTED_VALUE"""),"Pikaboss")</f>
        <v>Pikaboss</v>
      </c>
    </row>
    <row r="9961" spans="1:3" x14ac:dyDescent="0.25">
      <c r="A9961" s="2" t="str">
        <f ca="1">IFERROR(__xludf.DUMMYFUNCTION("""COMPUTED_VALUE"""),"pikachu")</f>
        <v>pikachu</v>
      </c>
      <c r="B9961" s="2" t="str">
        <f ca="1">IFERROR(__xludf.DUMMYFUNCTION("""COMPUTED_VALUE"""),"pika")</f>
        <v>pika</v>
      </c>
      <c r="C9961" s="2" t="str">
        <f ca="1">IFERROR(__xludf.DUMMYFUNCTION("""COMPUTED_VALUE"""),"Pika")</f>
        <v>Pika</v>
      </c>
    </row>
    <row r="9962" spans="1:3" x14ac:dyDescent="0.25">
      <c r="A9962" s="2" t="str">
        <f ca="1">IFERROR(__xludf.DUMMYFUNCTION("""COMPUTED_VALUE"""),"pikamoon")</f>
        <v>pikamoon</v>
      </c>
      <c r="B9962" s="2" t="str">
        <f ca="1">IFERROR(__xludf.DUMMYFUNCTION("""COMPUTED_VALUE"""),"pika")</f>
        <v>pika</v>
      </c>
      <c r="C9962" s="2" t="str">
        <f ca="1">IFERROR(__xludf.DUMMYFUNCTION("""COMPUTED_VALUE"""),"Pikamoon")</f>
        <v>Pikamoon</v>
      </c>
    </row>
    <row r="9963" spans="1:3" x14ac:dyDescent="0.25">
      <c r="A9963" s="2" t="str">
        <f ca="1">IFERROR(__xludf.DUMMYFUNCTION("""COMPUTED_VALUE"""),"pika-protocol")</f>
        <v>pika-protocol</v>
      </c>
      <c r="B9963" s="2" t="str">
        <f ca="1">IFERROR(__xludf.DUMMYFUNCTION("""COMPUTED_VALUE"""),"pika")</f>
        <v>pika</v>
      </c>
      <c r="C9963" s="2" t="str">
        <f ca="1">IFERROR(__xludf.DUMMYFUNCTION("""COMPUTED_VALUE"""),"Pika Protocol")</f>
        <v>Pika Protocol</v>
      </c>
    </row>
    <row r="9964" spans="1:3" x14ac:dyDescent="0.25">
      <c r="A9964" s="2" t="str">
        <f ca="1">IFERROR(__xludf.DUMMYFUNCTION("""COMPUTED_VALUE"""),"pika-protocol-2")</f>
        <v>pika-protocol-2</v>
      </c>
      <c r="B9964" s="2" t="str">
        <f ca="1">IFERROR(__xludf.DUMMYFUNCTION("""COMPUTED_VALUE"""),"pika")</f>
        <v>pika</v>
      </c>
      <c r="C9964" s="2" t="str">
        <f ca="1">IFERROR(__xludf.DUMMYFUNCTION("""COMPUTED_VALUE"""),"Pika Protocol")</f>
        <v>Pika Protocol</v>
      </c>
    </row>
    <row r="9965" spans="1:3" x14ac:dyDescent="0.25">
      <c r="A9965" s="2" t="str">
        <f ca="1">IFERROR(__xludf.DUMMYFUNCTION("""COMPUTED_VALUE"""),"pikaster")</f>
        <v>pikaster</v>
      </c>
      <c r="B9965" s="2" t="str">
        <f ca="1">IFERROR(__xludf.DUMMYFUNCTION("""COMPUTED_VALUE"""),"mls")</f>
        <v>mls</v>
      </c>
      <c r="C9965" s="2" t="str">
        <f ca="1">IFERROR(__xludf.DUMMYFUNCTION("""COMPUTED_VALUE"""),"Metaland Shares")</f>
        <v>Metaland Shares</v>
      </c>
    </row>
    <row r="9966" spans="1:3" x14ac:dyDescent="0.25">
      <c r="A9966" s="2" t="str">
        <f ca="1">IFERROR(__xludf.DUMMYFUNCTION("""COMPUTED_VALUE"""),"pill")</f>
        <v>pill</v>
      </c>
      <c r="B9966" s="2" t="str">
        <f ca="1">IFERROR(__xludf.DUMMYFUNCTION("""COMPUTED_VALUE"""),"$pill")</f>
        <v>$pill</v>
      </c>
      <c r="C9966" s="2" t="str">
        <f ca="1">IFERROR(__xludf.DUMMYFUNCTION("""COMPUTED_VALUE"""),"Pill")</f>
        <v>Pill</v>
      </c>
    </row>
    <row r="9967" spans="1:3" x14ac:dyDescent="0.25">
      <c r="A9967" s="2" t="str">
        <f ca="1">IFERROR(__xludf.DUMMYFUNCTION("""COMPUTED_VALUE"""),"pillar")</f>
        <v>pillar</v>
      </c>
      <c r="B9967" s="2" t="str">
        <f ca="1">IFERROR(__xludf.DUMMYFUNCTION("""COMPUTED_VALUE"""),"plr")</f>
        <v>plr</v>
      </c>
      <c r="C9967" s="2" t="str">
        <f ca="1">IFERROR(__xludf.DUMMYFUNCTION("""COMPUTED_VALUE"""),"Pillar")</f>
        <v>Pillar</v>
      </c>
    </row>
    <row r="9968" spans="1:3" x14ac:dyDescent="0.25">
      <c r="A9968" s="2" t="str">
        <f ca="1">IFERROR(__xludf.DUMMYFUNCTION("""COMPUTED_VALUE"""),"pilotcoin")</f>
        <v>pilotcoin</v>
      </c>
      <c r="B9968" s="2" t="str">
        <f ca="1">IFERROR(__xludf.DUMMYFUNCTION("""COMPUTED_VALUE"""),"ptc")</f>
        <v>ptc</v>
      </c>
      <c r="C9968" s="2" t="str">
        <f ca="1">IFERROR(__xludf.DUMMYFUNCTION("""COMPUTED_VALUE"""),"PILOTCOIN")</f>
        <v>PILOTCOIN</v>
      </c>
    </row>
    <row r="9969" spans="1:3" x14ac:dyDescent="0.25">
      <c r="A9969" s="2" t="str">
        <f ca="1">IFERROR(__xludf.DUMMYFUNCTION("""COMPUTED_VALUE"""),"pine")</f>
        <v>pine</v>
      </c>
      <c r="B9969" s="2" t="str">
        <f ca="1">IFERROR(__xludf.DUMMYFUNCTION("""COMPUTED_VALUE"""),"pine")</f>
        <v>pine</v>
      </c>
      <c r="C9969" s="2" t="str">
        <f ca="1">IFERROR(__xludf.DUMMYFUNCTION("""COMPUTED_VALUE"""),"Pine")</f>
        <v>Pine</v>
      </c>
    </row>
    <row r="9970" spans="1:3" x14ac:dyDescent="0.25">
      <c r="A9970" s="2" t="str">
        <f ca="1">IFERROR(__xludf.DUMMYFUNCTION("""COMPUTED_VALUE"""),"pineapple-cat")</f>
        <v>pineapple-cat</v>
      </c>
      <c r="B9970" s="2" t="str">
        <f ca="1">IFERROR(__xludf.DUMMYFUNCTION("""COMPUTED_VALUE"""),"pcat")</f>
        <v>pcat</v>
      </c>
      <c r="C9970" s="2" t="str">
        <f ca="1">IFERROR(__xludf.DUMMYFUNCTION("""COMPUTED_VALUE"""),"Pineapple Cat")</f>
        <v>Pineapple Cat</v>
      </c>
    </row>
    <row r="9971" spans="1:3" x14ac:dyDescent="0.25">
      <c r="A9971" s="2" t="str">
        <f ca="1">IFERROR(__xludf.DUMMYFUNCTION("""COMPUTED_VALUE"""),"pineapple-owl")</f>
        <v>pineapple-owl</v>
      </c>
      <c r="B9971" s="2" t="str">
        <f ca="1">IFERROR(__xludf.DUMMYFUNCTION("""COMPUTED_VALUE"""),"pineowl")</f>
        <v>pineowl</v>
      </c>
      <c r="C9971" s="2" t="str">
        <f ca="1">IFERROR(__xludf.DUMMYFUNCTION("""COMPUTED_VALUE"""),"Pineapple Owl")</f>
        <v>Pineapple Owl</v>
      </c>
    </row>
    <row r="9972" spans="1:3" x14ac:dyDescent="0.25">
      <c r="A9972" s="2" t="str">
        <f ca="1">IFERROR(__xludf.DUMMYFUNCTION("""COMPUTED_VALUE"""),"pi-network-iou")</f>
        <v>pi-network-iou</v>
      </c>
      <c r="B9972" s="2" t="str">
        <f ca="1">IFERROR(__xludf.DUMMYFUNCTION("""COMPUTED_VALUE"""),"pi")</f>
        <v>pi</v>
      </c>
      <c r="C9972" s="2" t="str">
        <f ca="1">IFERROR(__xludf.DUMMYFUNCTION("""COMPUTED_VALUE"""),"Pi Network")</f>
        <v>Pi Network</v>
      </c>
    </row>
    <row r="9973" spans="1:3" x14ac:dyDescent="0.25">
      <c r="A9973" s="2" t="str">
        <f ca="1">IFERROR(__xludf.DUMMYFUNCTION("""COMPUTED_VALUE"""),"pineye")</f>
        <v>pineye</v>
      </c>
      <c r="B9973" s="2" t="str">
        <f ca="1">IFERROR(__xludf.DUMMYFUNCTION("""COMPUTED_VALUE"""),"pineye")</f>
        <v>pineye</v>
      </c>
      <c r="C9973" s="2" t="str">
        <f ca="1">IFERROR(__xludf.DUMMYFUNCTION("""COMPUTED_VALUE"""),"PinEye")</f>
        <v>PinEye</v>
      </c>
    </row>
    <row r="9974" spans="1:3" x14ac:dyDescent="0.25">
      <c r="A9974" s="2" t="str">
        <f ca="1">IFERROR(__xludf.DUMMYFUNCTION("""COMPUTED_VALUE"""),"ping-dog")</f>
        <v>ping-dog</v>
      </c>
      <c r="B9974" s="2" t="str">
        <f ca="1">IFERROR(__xludf.DUMMYFUNCTION("""COMPUTED_VALUE"""),"ping")</f>
        <v>ping</v>
      </c>
      <c r="C9974" s="2" t="str">
        <f ca="1">IFERROR(__xludf.DUMMYFUNCTION("""COMPUTED_VALUE"""),"Ping Dog")</f>
        <v>Ping Dog</v>
      </c>
    </row>
    <row r="9975" spans="1:3" x14ac:dyDescent="0.25">
      <c r="A9975" s="2" t="str">
        <f ca="1">IFERROR(__xludf.DUMMYFUNCTION("""COMPUTED_VALUE"""),"pingu-exchange")</f>
        <v>pingu-exchange</v>
      </c>
      <c r="B9975" s="2" t="str">
        <f ca="1">IFERROR(__xludf.DUMMYFUNCTION("""COMPUTED_VALUE"""),"pingu")</f>
        <v>pingu</v>
      </c>
      <c r="C9975" s="2" t="str">
        <f ca="1">IFERROR(__xludf.DUMMYFUNCTION("""COMPUTED_VALUE"""),"Pingu Exchange")</f>
        <v>Pingu Exchange</v>
      </c>
    </row>
    <row r="9976" spans="1:3" x14ac:dyDescent="0.25">
      <c r="A9976" s="2" t="str">
        <f ca="1">IFERROR(__xludf.DUMMYFUNCTION("""COMPUTED_VALUE"""),"pingu-on-sol")</f>
        <v>pingu-on-sol</v>
      </c>
      <c r="B9976" s="2" t="str">
        <f ca="1">IFERROR(__xludf.DUMMYFUNCTION("""COMPUTED_VALUE"""),"pingu")</f>
        <v>pingu</v>
      </c>
      <c r="C9976" s="2" t="str">
        <f ca="1">IFERROR(__xludf.DUMMYFUNCTION("""COMPUTED_VALUE"""),"Pingu on SOL")</f>
        <v>Pingu on SOL</v>
      </c>
    </row>
    <row r="9977" spans="1:3" x14ac:dyDescent="0.25">
      <c r="A9977" s="2" t="str">
        <f ca="1">IFERROR(__xludf.DUMMYFUNCTION("""COMPUTED_VALUE"""),"pinjam-kava")</f>
        <v>pinjam-kava</v>
      </c>
      <c r="B9977" s="2" t="str">
        <f ca="1">IFERROR(__xludf.DUMMYFUNCTION("""COMPUTED_VALUE"""),"pinkav")</f>
        <v>pinkav</v>
      </c>
      <c r="C9977" s="2" t="str">
        <f ca="1">IFERROR(__xludf.DUMMYFUNCTION("""COMPUTED_VALUE"""),"Pinjam.Kava")</f>
        <v>Pinjam.Kava</v>
      </c>
    </row>
    <row r="9978" spans="1:3" x14ac:dyDescent="0.25">
      <c r="A9978" s="2" t="str">
        <f ca="1">IFERROR(__xludf.DUMMYFUNCTION("""COMPUTED_VALUE"""),"pink")</f>
        <v>pink</v>
      </c>
      <c r="B9978" s="2" t="str">
        <f ca="1">IFERROR(__xludf.DUMMYFUNCTION("""COMPUTED_VALUE"""),"pink")</f>
        <v>pink</v>
      </c>
      <c r="C9978" s="2" t="str">
        <f ca="1">IFERROR(__xludf.DUMMYFUNCTION("""COMPUTED_VALUE"""),"Pink")</f>
        <v>Pink</v>
      </c>
    </row>
    <row r="9979" spans="1:3" x14ac:dyDescent="0.25">
      <c r="A9979" s="2" t="str">
        <f ca="1">IFERROR(__xludf.DUMMYFUNCTION("""COMPUTED_VALUE"""),"pink-elements")</f>
        <v>pink-elements</v>
      </c>
      <c r="B9979" s="2" t="str">
        <f ca="1">IFERROR(__xludf.DUMMYFUNCTION("""COMPUTED_VALUE"""),"pink")</f>
        <v>pink</v>
      </c>
      <c r="C9979" s="2" t="str">
        <f ca="1">IFERROR(__xludf.DUMMYFUNCTION("""COMPUTED_VALUE"""),"Pink Elements")</f>
        <v>Pink Elements</v>
      </c>
    </row>
    <row r="9980" spans="1:3" x14ac:dyDescent="0.25">
      <c r="A9980" s="2" t="str">
        <f ca="1">IFERROR(__xludf.DUMMYFUNCTION("""COMPUTED_VALUE"""),"pink-hood-froglicker")</f>
        <v>pink-hood-froglicker</v>
      </c>
      <c r="B9980" s="2" t="str">
        <f ca="1">IFERROR(__xludf.DUMMYFUNCTION("""COMPUTED_VALUE"""),"froglic")</f>
        <v>froglic</v>
      </c>
      <c r="C9980" s="2" t="str">
        <f ca="1">IFERROR(__xludf.DUMMYFUNCTION("""COMPUTED_VALUE"""),"Pink Hood Froglicker")</f>
        <v>Pink Hood Froglicker</v>
      </c>
    </row>
    <row r="9981" spans="1:3" x14ac:dyDescent="0.25">
      <c r="A9981" s="2" t="str">
        <f ca="1">IFERROR(__xludf.DUMMYFUNCTION("""COMPUTED_VALUE"""),"pinkmoon")</f>
        <v>pinkmoon</v>
      </c>
      <c r="B9981" s="2" t="str">
        <f ca="1">IFERROR(__xludf.DUMMYFUNCTION("""COMPUTED_VALUE"""),"pinkm")</f>
        <v>pinkm</v>
      </c>
      <c r="C9981" s="2" t="str">
        <f ca="1">IFERROR(__xludf.DUMMYFUNCTION("""COMPUTED_VALUE"""),"PinkMoon")</f>
        <v>PinkMoon</v>
      </c>
    </row>
    <row r="9982" spans="1:3" x14ac:dyDescent="0.25">
      <c r="A9982" s="2" t="str">
        <f ca="1">IFERROR(__xludf.DUMMYFUNCTION("""COMPUTED_VALUE"""),"pinkninja")</f>
        <v>pinkninja</v>
      </c>
      <c r="B9982" s="2" t="str">
        <f ca="1">IFERROR(__xludf.DUMMYFUNCTION("""COMPUTED_VALUE"""),"pinkninja")</f>
        <v>pinkninja</v>
      </c>
      <c r="C9982" s="2" t="str">
        <f ca="1">IFERROR(__xludf.DUMMYFUNCTION("""COMPUTED_VALUE"""),"PinkNinja")</f>
        <v>PinkNinja</v>
      </c>
    </row>
    <row r="9983" spans="1:3" x14ac:dyDescent="0.25">
      <c r="A9983" s="2" t="str">
        <f ca="1">IFERROR(__xludf.DUMMYFUNCTION("""COMPUTED_VALUE"""),"pinksale")</f>
        <v>pinksale</v>
      </c>
      <c r="B9983" s="2" t="str">
        <f ca="1">IFERROR(__xludf.DUMMYFUNCTION("""COMPUTED_VALUE"""),"pinksale")</f>
        <v>pinksale</v>
      </c>
      <c r="C9983" s="2" t="str">
        <f ca="1">IFERROR(__xludf.DUMMYFUNCTION("""COMPUTED_VALUE"""),"PinkSale")</f>
        <v>PinkSale</v>
      </c>
    </row>
    <row r="9984" spans="1:3" x14ac:dyDescent="0.25">
      <c r="A9984" s="2" t="str">
        <f ca="1">IFERROR(__xludf.DUMMYFUNCTION("""COMPUTED_VALUE"""),"pinky-the-pineapple")</f>
        <v>pinky-the-pineapple</v>
      </c>
      <c r="B9984" s="2" t="str">
        <f ca="1">IFERROR(__xludf.DUMMYFUNCTION("""COMPUTED_VALUE"""),"pinky")</f>
        <v>pinky</v>
      </c>
      <c r="C9984" s="2" t="str">
        <f ca="1">IFERROR(__xludf.DUMMYFUNCTION("""COMPUTED_VALUE"""),"Pinky the Pineapple")</f>
        <v>Pinky the Pineapple</v>
      </c>
    </row>
    <row r="9985" spans="1:3" x14ac:dyDescent="0.25">
      <c r="A9985" s="2" t="str">
        <f ca="1">IFERROR(__xludf.DUMMYFUNCTION("""COMPUTED_VALUE"""),"pinky-the-snail")</f>
        <v>pinky-the-snail</v>
      </c>
      <c r="B9985" s="2" t="str">
        <f ca="1">IFERROR(__xludf.DUMMYFUNCTION("""COMPUTED_VALUE"""),"snail")</f>
        <v>snail</v>
      </c>
      <c r="C9985" s="2" t="str">
        <f ca="1">IFERROR(__xludf.DUMMYFUNCTION("""COMPUTED_VALUE"""),"Pinky The Snail")</f>
        <v>Pinky The Snail</v>
      </c>
    </row>
    <row r="9986" spans="1:3" x14ac:dyDescent="0.25">
      <c r="A9986" s="2" t="str">
        <f ca="1">IFERROR(__xludf.DUMMYFUNCTION("""COMPUTED_VALUE"""),"pino")</f>
        <v>pino</v>
      </c>
      <c r="B9986" s="2" t="str">
        <f ca="1">IFERROR(__xludf.DUMMYFUNCTION("""COMPUTED_VALUE"""),"pino")</f>
        <v>pino</v>
      </c>
      <c r="C9986" s="2" t="str">
        <f ca="1">IFERROR(__xludf.DUMMYFUNCTION("""COMPUTED_VALUE"""),"PINO")</f>
        <v>PINO</v>
      </c>
    </row>
    <row r="9987" spans="1:3" x14ac:dyDescent="0.25">
      <c r="A9987" s="2" t="str">
        <f ca="1">IFERROR(__xludf.DUMMYFUNCTION("""COMPUTED_VALUE"""),"pintu-token")</f>
        <v>pintu-token</v>
      </c>
      <c r="B9987" s="2" t="str">
        <f ca="1">IFERROR(__xludf.DUMMYFUNCTION("""COMPUTED_VALUE"""),"ptu")</f>
        <v>ptu</v>
      </c>
      <c r="C9987" s="2" t="str">
        <f ca="1">IFERROR(__xludf.DUMMYFUNCTION("""COMPUTED_VALUE"""),"Pintu")</f>
        <v>Pintu</v>
      </c>
    </row>
    <row r="9988" spans="1:3" x14ac:dyDescent="0.25">
      <c r="A9988" s="2" t="str">
        <f ca="1">IFERROR(__xludf.DUMMYFUNCTION("""COMPUTED_VALUE"""),"pion")</f>
        <v>pion</v>
      </c>
      <c r="B9988" s="2" t="str">
        <f ca="1">IFERROR(__xludf.DUMMYFUNCTION("""COMPUTED_VALUE"""),"pion")</f>
        <v>pion</v>
      </c>
      <c r="C9988" s="2" t="str">
        <f ca="1">IFERROR(__xludf.DUMMYFUNCTION("""COMPUTED_VALUE"""),"Pion")</f>
        <v>Pion</v>
      </c>
    </row>
    <row r="9989" spans="1:3" x14ac:dyDescent="0.25">
      <c r="A9989" s="2" t="str">
        <f ca="1">IFERROR(__xludf.DUMMYFUNCTION("""COMPUTED_VALUE"""),"pip")</f>
        <v>pip</v>
      </c>
      <c r="B9989" s="2" t="str">
        <f ca="1">IFERROR(__xludf.DUMMYFUNCTION("""COMPUTED_VALUE"""),"pip")</f>
        <v>pip</v>
      </c>
      <c r="C9989" s="2" t="str">
        <f ca="1">IFERROR(__xludf.DUMMYFUNCTION("""COMPUTED_VALUE"""),"PIP")</f>
        <v>PIP</v>
      </c>
    </row>
    <row r="9990" spans="1:3" x14ac:dyDescent="0.25">
      <c r="A9990" s="2" t="str">
        <f ca="1">IFERROR(__xludf.DUMMYFUNCTION("""COMPUTED_VALUE"""),"pip-2")</f>
        <v>pip-2</v>
      </c>
      <c r="B9990" s="2" t="str">
        <f ca="1">IFERROR(__xludf.DUMMYFUNCTION("""COMPUTED_VALUE"""),"pip")</f>
        <v>pip</v>
      </c>
      <c r="C9990" s="2" t="str">
        <f ca="1">IFERROR(__xludf.DUMMYFUNCTION("""COMPUTED_VALUE"""),"PIP")</f>
        <v>PIP</v>
      </c>
    </row>
    <row r="9991" spans="1:3" x14ac:dyDescent="0.25">
      <c r="A9991" s="2" t="str">
        <f ca="1">IFERROR(__xludf.DUMMYFUNCTION("""COMPUTED_VALUE"""),"pipi")</f>
        <v>pipi</v>
      </c>
      <c r="B9991" s="2" t="str">
        <f ca="1">IFERROR(__xludf.DUMMYFUNCTION("""COMPUTED_VALUE"""),"pipi")</f>
        <v>pipi</v>
      </c>
      <c r="C9991" s="2" t="str">
        <f ca="1">IFERROR(__xludf.DUMMYFUNCTION("""COMPUTED_VALUE"""),"PIPI")</f>
        <v>PIPI</v>
      </c>
    </row>
    <row r="9992" spans="1:3" x14ac:dyDescent="0.25">
      <c r="A9992" s="2" t="str">
        <f ca="1">IFERROR(__xludf.DUMMYFUNCTION("""COMPUTED_VALUE"""),"pipi-on-eth")</f>
        <v>pipi-on-eth</v>
      </c>
      <c r="B9992" s="2" t="str">
        <f ca="1">IFERROR(__xludf.DUMMYFUNCTION("""COMPUTED_VALUE"""),"pipi")</f>
        <v>pipi</v>
      </c>
      <c r="C9992" s="2" t="str">
        <f ca="1">IFERROR(__xludf.DUMMYFUNCTION("""COMPUTED_VALUE"""),"Pipi on ETH")</f>
        <v>Pipi on ETH</v>
      </c>
    </row>
    <row r="9993" spans="1:3" x14ac:dyDescent="0.25">
      <c r="A9993" s="2" t="str">
        <f ca="1">IFERROR(__xludf.DUMMYFUNCTION("""COMPUTED_VALUE"""),"pipi-the-cat")</f>
        <v>pipi-the-cat</v>
      </c>
      <c r="B9993" s="2" t="str">
        <f ca="1">IFERROR(__xludf.DUMMYFUNCTION("""COMPUTED_VALUE"""),"pipi")</f>
        <v>pipi</v>
      </c>
      <c r="C9993" s="2" t="str">
        <f ca="1">IFERROR(__xludf.DUMMYFUNCTION("""COMPUTED_VALUE"""),"pipi the cat")</f>
        <v>pipi the cat</v>
      </c>
    </row>
    <row r="9994" spans="1:3" x14ac:dyDescent="0.25">
      <c r="A9994" s="2" t="str">
        <f ca="1">IFERROR(__xludf.DUMMYFUNCTION("""COMPUTED_VALUE"""),"pipo")</f>
        <v>pipo</v>
      </c>
      <c r="B9994" s="2" t="str">
        <f ca="1">IFERROR(__xludf.DUMMYFUNCTION("""COMPUTED_VALUE"""),"pipo")</f>
        <v>pipo</v>
      </c>
      <c r="C9994" s="2" t="str">
        <f ca="1">IFERROR(__xludf.DUMMYFUNCTION("""COMPUTED_VALUE"""),"Pipo")</f>
        <v>Pipo</v>
      </c>
    </row>
    <row r="9995" spans="1:3" x14ac:dyDescent="0.25">
      <c r="A9995" s="2" t="str">
        <f ca="1">IFERROR(__xludf.DUMMYFUNCTION("""COMPUTED_VALUE"""),"piratecash")</f>
        <v>piratecash</v>
      </c>
      <c r="B9995" s="2" t="str">
        <f ca="1">IFERROR(__xludf.DUMMYFUNCTION("""COMPUTED_VALUE"""),"pirate")</f>
        <v>pirate</v>
      </c>
      <c r="C9995" s="2" t="str">
        <f ca="1">IFERROR(__xludf.DUMMYFUNCTION("""COMPUTED_VALUE"""),"PirateCash")</f>
        <v>PirateCash</v>
      </c>
    </row>
    <row r="9996" spans="1:3" x14ac:dyDescent="0.25">
      <c r="A9996" s="2" t="str">
        <f ca="1">IFERROR(__xludf.DUMMYFUNCTION("""COMPUTED_VALUE"""),"pirate-chain")</f>
        <v>pirate-chain</v>
      </c>
      <c r="B9996" s="2" t="str">
        <f ca="1">IFERROR(__xludf.DUMMYFUNCTION("""COMPUTED_VALUE"""),"arrr")</f>
        <v>arrr</v>
      </c>
      <c r="C9996" s="2" t="str">
        <f ca="1">IFERROR(__xludf.DUMMYFUNCTION("""COMPUTED_VALUE"""),"Pirate Chain")</f>
        <v>Pirate Chain</v>
      </c>
    </row>
    <row r="9997" spans="1:3" x14ac:dyDescent="0.25">
      <c r="A9997" s="2" t="str">
        <f ca="1">IFERROR(__xludf.DUMMYFUNCTION("""COMPUTED_VALUE"""),"piratecoin")</f>
        <v>piratecoin</v>
      </c>
      <c r="B9997" s="2" t="str">
        <f ca="1">IFERROR(__xludf.DUMMYFUNCTION("""COMPUTED_VALUE"""),"piratecoin☠")</f>
        <v>piratecoin☠</v>
      </c>
      <c r="C9997" s="2" t="str">
        <f ca="1">IFERROR(__xludf.DUMMYFUNCTION("""COMPUTED_VALUE"""),"PirateCoin")</f>
        <v>PirateCoin</v>
      </c>
    </row>
    <row r="9998" spans="1:3" x14ac:dyDescent="0.25">
      <c r="A9998" s="2" t="str">
        <f ca="1">IFERROR(__xludf.DUMMYFUNCTION("""COMPUTED_VALUE"""),"pirate-dice")</f>
        <v>pirate-dice</v>
      </c>
      <c r="B9998" s="2" t="str">
        <f ca="1">IFERROR(__xludf.DUMMYFUNCTION("""COMPUTED_VALUE"""),"booty")</f>
        <v>booty</v>
      </c>
      <c r="C9998" s="2" t="str">
        <f ca="1">IFERROR(__xludf.DUMMYFUNCTION("""COMPUTED_VALUE"""),"Pirate Dice")</f>
        <v>Pirate Dice</v>
      </c>
    </row>
    <row r="9999" spans="1:3" x14ac:dyDescent="0.25">
      <c r="A9999" s="2" t="str">
        <f ca="1">IFERROR(__xludf.DUMMYFUNCTION("""COMPUTED_VALUE"""),"piratera")</f>
        <v>piratera</v>
      </c>
      <c r="B9999" s="2" t="str">
        <f ca="1">IFERROR(__xludf.DUMMYFUNCTION("""COMPUTED_VALUE"""),"pira")</f>
        <v>pira</v>
      </c>
      <c r="C9999" s="2" t="str">
        <f ca="1">IFERROR(__xludf.DUMMYFUNCTION("""COMPUTED_VALUE"""),"Piratera")</f>
        <v>Piratera</v>
      </c>
    </row>
    <row r="10000" spans="1:3" x14ac:dyDescent="0.25">
      <c r="A10000" s="2" t="str">
        <f ca="1">IFERROR(__xludf.DUMMYFUNCTION("""COMPUTED_VALUE"""),"pirate-token")</f>
        <v>pirate-token</v>
      </c>
      <c r="B10000" s="2" t="str">
        <f ca="1">IFERROR(__xludf.DUMMYFUNCTION("""COMPUTED_VALUE"""),"pirate")</f>
        <v>pirate</v>
      </c>
      <c r="C10000" s="2" t="str">
        <f ca="1">IFERROR(__xludf.DUMMYFUNCTION("""COMPUTED_VALUE"""),"Pirate Nation Token")</f>
        <v>Pirate Nation Token</v>
      </c>
    </row>
    <row r="10001" spans="1:3" x14ac:dyDescent="0.25">
      <c r="A10001" s="2" t="str">
        <f ca="1">IFERROR(__xludf.DUMMYFUNCTION("""COMPUTED_VALUE"""),"pirb")</f>
        <v>pirb</v>
      </c>
      <c r="B10001" s="2" t="str">
        <f ca="1">IFERROR(__xludf.DUMMYFUNCTION("""COMPUTED_VALUE"""),"pirb")</f>
        <v>pirb</v>
      </c>
      <c r="C10001" s="2" t="str">
        <f ca="1">IFERROR(__xludf.DUMMYFUNCTION("""COMPUTED_VALUE"""),"PIRB")</f>
        <v>PIRB</v>
      </c>
    </row>
    <row r="10002" spans="1:3" x14ac:dyDescent="0.25">
      <c r="A10002" s="2" t="str">
        <f ca="1">IFERROR(__xludf.DUMMYFUNCTION("""COMPUTED_VALUE"""),"pisscoin")</f>
        <v>pisscoin</v>
      </c>
      <c r="B10002" s="2" t="str">
        <f ca="1">IFERROR(__xludf.DUMMYFUNCTION("""COMPUTED_VALUE"""),"piss")</f>
        <v>piss</v>
      </c>
      <c r="C10002" s="2" t="str">
        <f ca="1">IFERROR(__xludf.DUMMYFUNCTION("""COMPUTED_VALUE"""),"Pisscoin")</f>
        <v>Pisscoin</v>
      </c>
    </row>
    <row r="10003" spans="1:3" x14ac:dyDescent="0.25">
      <c r="A10003" s="2" t="str">
        <f ca="1">IFERROR(__xludf.DUMMYFUNCTION("""COMPUTED_VALUE"""),"pitbull")</f>
        <v>pitbull</v>
      </c>
      <c r="B10003" s="2" t="str">
        <f ca="1">IFERROR(__xludf.DUMMYFUNCTION("""COMPUTED_VALUE"""),"pit")</f>
        <v>pit</v>
      </c>
      <c r="C10003" s="2" t="str">
        <f ca="1">IFERROR(__xludf.DUMMYFUNCTION("""COMPUTED_VALUE"""),"Pitbull")</f>
        <v>Pitbull</v>
      </c>
    </row>
    <row r="10004" spans="1:3" x14ac:dyDescent="0.25">
      <c r="A10004" s="2" t="str">
        <f ca="1">IFERROR(__xludf.DUMMYFUNCTION("""COMPUTED_VALUE"""),"pitbull-2")</f>
        <v>pitbull-2</v>
      </c>
      <c r="B10004" s="2" t="str">
        <f ca="1">IFERROR(__xludf.DUMMYFUNCTION("""COMPUTED_VALUE"""),"$bull")</f>
        <v>$bull</v>
      </c>
      <c r="C10004" s="2" t="str">
        <f ca="1">IFERROR(__xludf.DUMMYFUNCTION("""COMPUTED_VALUE"""),"Pitbull")</f>
        <v>Pitbull</v>
      </c>
    </row>
    <row r="10005" spans="1:3" x14ac:dyDescent="0.25">
      <c r="A10005" s="2" t="str">
        <f ca="1">IFERROR(__xludf.DUMMYFUNCTION("""COMPUTED_VALUE"""),"pitch-fxs")</f>
        <v>pitch-fxs</v>
      </c>
      <c r="B10005" s="2" t="str">
        <f ca="1">IFERROR(__xludf.DUMMYFUNCTION("""COMPUTED_VALUE"""),"pitchfxs")</f>
        <v>pitchfxs</v>
      </c>
      <c r="C10005" s="2" t="str">
        <f ca="1">IFERROR(__xludf.DUMMYFUNCTION("""COMPUTED_VALUE"""),"Pitch FXS")</f>
        <v>Pitch FXS</v>
      </c>
    </row>
    <row r="10006" spans="1:3" x14ac:dyDescent="0.25">
      <c r="A10006" s="2" t="str">
        <f ca="1">IFERROR(__xludf.DUMMYFUNCTION("""COMPUTED_VALUE"""),"piteas")</f>
        <v>piteas</v>
      </c>
      <c r="B10006" s="2" t="str">
        <f ca="1">IFERROR(__xludf.DUMMYFUNCTION("""COMPUTED_VALUE"""),"pts")</f>
        <v>pts</v>
      </c>
      <c r="C10006" s="2" t="str">
        <f ca="1">IFERROR(__xludf.DUMMYFUNCTION("""COMPUTED_VALUE"""),"Piteas")</f>
        <v>Piteas</v>
      </c>
    </row>
    <row r="10007" spans="1:3" x14ac:dyDescent="0.25">
      <c r="A10007" s="2" t="str">
        <f ca="1">IFERROR(__xludf.DUMMYFUNCTION("""COMPUTED_VALUE"""),"pitquidity-capital")</f>
        <v>pitquidity-capital</v>
      </c>
      <c r="B10007" s="2" t="str">
        <f ca="1">IFERROR(__xludf.DUMMYFUNCTION("""COMPUTED_VALUE"""),"pitqc")</f>
        <v>pitqc</v>
      </c>
      <c r="C10007" s="2" t="str">
        <f ca="1">IFERROR(__xludf.DUMMYFUNCTION("""COMPUTED_VALUE"""),"Pitquidity Capital")</f>
        <v>Pitquidity Capital</v>
      </c>
    </row>
    <row r="10008" spans="1:3" x14ac:dyDescent="0.25">
      <c r="A10008" s="2" t="str">
        <f ca="1">IFERROR(__xludf.DUMMYFUNCTION("""COMPUTED_VALUE"""),"pivn")</f>
        <v>pivn</v>
      </c>
      <c r="B10008" s="2" t="str">
        <f ca="1">IFERROR(__xludf.DUMMYFUNCTION("""COMPUTED_VALUE"""),"pivn")</f>
        <v>pivn</v>
      </c>
      <c r="C10008" s="2" t="str">
        <f ca="1">IFERROR(__xludf.DUMMYFUNCTION("""COMPUTED_VALUE"""),"PIVN")</f>
        <v>PIVN</v>
      </c>
    </row>
    <row r="10009" spans="1:3" x14ac:dyDescent="0.25">
      <c r="A10009" s="2" t="str">
        <f ca="1">IFERROR(__xludf.DUMMYFUNCTION("""COMPUTED_VALUE"""),"pivx")</f>
        <v>pivx</v>
      </c>
      <c r="B10009" s="2" t="str">
        <f ca="1">IFERROR(__xludf.DUMMYFUNCTION("""COMPUTED_VALUE"""),"pivx")</f>
        <v>pivx</v>
      </c>
      <c r="C10009" s="2" t="str">
        <f ca="1">IFERROR(__xludf.DUMMYFUNCTION("""COMPUTED_VALUE"""),"PIVX")</f>
        <v>PIVX</v>
      </c>
    </row>
    <row r="10010" spans="1:3" x14ac:dyDescent="0.25">
      <c r="A10010" s="2" t="str">
        <f ca="1">IFERROR(__xludf.DUMMYFUNCTION("""COMPUTED_VALUE"""),"pixel-2")</f>
        <v>pixel-2</v>
      </c>
      <c r="B10010" s="2" t="str">
        <f ca="1">IFERROR(__xludf.DUMMYFUNCTION("""COMPUTED_VALUE"""),"$pixe")</f>
        <v>$pixe</v>
      </c>
      <c r="C10010" s="2" t="str">
        <f ca="1">IFERROR(__xludf.DUMMYFUNCTION("""COMPUTED_VALUE"""),"Pixel")</f>
        <v>Pixel</v>
      </c>
    </row>
    <row r="10011" spans="1:3" x14ac:dyDescent="0.25">
      <c r="A10011" s="2" t="str">
        <f ca="1">IFERROR(__xludf.DUMMYFUNCTION("""COMPUTED_VALUE"""),"pixel-battle")</f>
        <v>pixel-battle</v>
      </c>
      <c r="B10011" s="2" t="str">
        <f ca="1">IFERROR(__xludf.DUMMYFUNCTION("""COMPUTED_VALUE"""),"pwc")</f>
        <v>pwc</v>
      </c>
      <c r="C10011" s="2" t="str">
        <f ca="1">IFERROR(__xludf.DUMMYFUNCTION("""COMPUTED_VALUE"""),"Pixel Battle")</f>
        <v>Pixel Battle</v>
      </c>
    </row>
    <row r="10012" spans="1:3" x14ac:dyDescent="0.25">
      <c r="A10012" s="2" t="str">
        <f ca="1">IFERROR(__xludf.DUMMYFUNCTION("""COMPUTED_VALUE"""),"pixelisland")</f>
        <v>pixelisland</v>
      </c>
      <c r="B10012" s="2" t="str">
        <f ca="1">IFERROR(__xludf.DUMMYFUNCTION("""COMPUTED_VALUE"""),"pixl")</f>
        <v>pixl</v>
      </c>
      <c r="C10012" s="2" t="str">
        <f ca="1">IFERROR(__xludf.DUMMYFUNCTION("""COMPUTED_VALUE"""),"Pixelisland")</f>
        <v>Pixelisland</v>
      </c>
    </row>
    <row r="10013" spans="1:3" x14ac:dyDescent="0.25">
      <c r="A10013" s="2" t="str">
        <f ca="1">IFERROR(__xludf.DUMMYFUNCTION("""COMPUTED_VALUE"""),"pixels")</f>
        <v>pixels</v>
      </c>
      <c r="B10013" s="2" t="str">
        <f ca="1">IFERROR(__xludf.DUMMYFUNCTION("""COMPUTED_VALUE"""),"pixel")</f>
        <v>pixel</v>
      </c>
      <c r="C10013" s="2" t="str">
        <f ca="1">IFERROR(__xludf.DUMMYFUNCTION("""COMPUTED_VALUE"""),"Pixels")</f>
        <v>Pixels</v>
      </c>
    </row>
    <row r="10014" spans="1:3" x14ac:dyDescent="0.25">
      <c r="A10014" s="2" t="str">
        <f ca="1">IFERROR(__xludf.DUMMYFUNCTION("""COMPUTED_VALUE"""),"pixelverse")</f>
        <v>pixelverse</v>
      </c>
      <c r="B10014" s="2" t="str">
        <f ca="1">IFERROR(__xludf.DUMMYFUNCTION("""COMPUTED_VALUE"""),"pixel")</f>
        <v>pixel</v>
      </c>
      <c r="C10014" s="2" t="str">
        <f ca="1">IFERROR(__xludf.DUMMYFUNCTION("""COMPUTED_VALUE"""),"PixelVerse")</f>
        <v>PixelVerse</v>
      </c>
    </row>
    <row r="10015" spans="1:3" x14ac:dyDescent="0.25">
      <c r="A10015" s="2" t="str">
        <f ca="1">IFERROR(__xludf.DUMMYFUNCTION("""COMPUTED_VALUE"""),"pixelverse-xyz")</f>
        <v>pixelverse-xyz</v>
      </c>
      <c r="B10015" s="2" t="str">
        <f ca="1">IFERROR(__xludf.DUMMYFUNCTION("""COMPUTED_VALUE"""),"pixfi")</f>
        <v>pixfi</v>
      </c>
      <c r="C10015" s="2" t="str">
        <f ca="1">IFERROR(__xludf.DUMMYFUNCTION("""COMPUTED_VALUE"""),"Pixelverse")</f>
        <v>Pixelverse</v>
      </c>
    </row>
    <row r="10016" spans="1:3" x14ac:dyDescent="0.25">
      <c r="A10016" s="2" t="str">
        <f ca="1">IFERROR(__xludf.DUMMYFUNCTION("""COMPUTED_VALUE"""),"pixer-eternity")</f>
        <v>pixer-eternity</v>
      </c>
      <c r="B10016" s="2" t="str">
        <f ca="1">IFERROR(__xludf.DUMMYFUNCTION("""COMPUTED_VALUE"""),"pxt")</f>
        <v>pxt</v>
      </c>
      <c r="C10016" s="2" t="str">
        <f ca="1">IFERROR(__xludf.DUMMYFUNCTION("""COMPUTED_VALUE"""),"Pixer Eternity")</f>
        <v>Pixer Eternity</v>
      </c>
    </row>
    <row r="10017" spans="1:3" x14ac:dyDescent="0.25">
      <c r="A10017" s="2" t="str">
        <f ca="1">IFERROR(__xludf.DUMMYFUNCTION("""COMPUTED_VALUE"""),"pixi")</f>
        <v>pixi</v>
      </c>
      <c r="B10017" s="2" t="str">
        <f ca="1">IFERROR(__xludf.DUMMYFUNCTION("""COMPUTED_VALUE"""),"pixi")</f>
        <v>pixi</v>
      </c>
      <c r="C10017" s="2" t="str">
        <f ca="1">IFERROR(__xludf.DUMMYFUNCTION("""COMPUTED_VALUE"""),"Pixi")</f>
        <v>Pixi</v>
      </c>
    </row>
    <row r="10018" spans="1:3" x14ac:dyDescent="0.25">
      <c r="A10018" s="2" t="str">
        <f ca="1">IFERROR(__xludf.DUMMYFUNCTION("""COMPUTED_VALUE"""),"pixie")</f>
        <v>pixie</v>
      </c>
      <c r="B10018" s="2" t="str">
        <f ca="1">IFERROR(__xludf.DUMMYFUNCTION("""COMPUTED_VALUE"""),"pix")</f>
        <v>pix</v>
      </c>
      <c r="C10018" s="2" t="str">
        <f ca="1">IFERROR(__xludf.DUMMYFUNCTION("""COMPUTED_VALUE"""),"Pixie")</f>
        <v>Pixie</v>
      </c>
    </row>
    <row r="10019" spans="1:3" x14ac:dyDescent="0.25">
      <c r="A10019" s="2" t="str">
        <f ca="1">IFERROR(__xludf.DUMMYFUNCTION("""COMPUTED_VALUE"""),"pixiz")</f>
        <v>pixiz</v>
      </c>
      <c r="B10019" s="2" t="str">
        <f ca="1">IFERROR(__xludf.DUMMYFUNCTION("""COMPUTED_VALUE"""),"pixiz")</f>
        <v>pixiz</v>
      </c>
      <c r="C10019" s="2" t="str">
        <f ca="1">IFERROR(__xludf.DUMMYFUNCTION("""COMPUTED_VALUE"""),"PIXIZ")</f>
        <v>PIXIZ</v>
      </c>
    </row>
    <row r="10020" spans="1:3" x14ac:dyDescent="0.25">
      <c r="A10020" s="2" t="str">
        <f ca="1">IFERROR(__xludf.DUMMYFUNCTION("""COMPUTED_VALUE"""),"pizabrc")</f>
        <v>pizabrc</v>
      </c>
      <c r="B10020" s="2" t="str">
        <f ca="1">IFERROR(__xludf.DUMMYFUNCTION("""COMPUTED_VALUE"""),"piza")</f>
        <v>piza</v>
      </c>
      <c r="C10020" s="2" t="str">
        <f ca="1">IFERROR(__xludf.DUMMYFUNCTION("""COMPUTED_VALUE"""),"PIZA (Ordinals)")</f>
        <v>PIZA (Ordinals)</v>
      </c>
    </row>
    <row r="10021" spans="1:3" x14ac:dyDescent="0.25">
      <c r="A10021" s="2" t="str">
        <f ca="1">IFERROR(__xludf.DUMMYFUNCTION("""COMPUTED_VALUE"""),"pizon")</f>
        <v>pizon</v>
      </c>
      <c r="B10021" s="2" t="str">
        <f ca="1">IFERROR(__xludf.DUMMYFUNCTION("""COMPUTED_VALUE"""),"pzt")</f>
        <v>pzt</v>
      </c>
      <c r="C10021" s="2" t="str">
        <f ca="1">IFERROR(__xludf.DUMMYFUNCTION("""COMPUTED_VALUE"""),"Pizon")</f>
        <v>Pizon</v>
      </c>
    </row>
    <row r="10022" spans="1:3" x14ac:dyDescent="0.25">
      <c r="A10022" s="2" t="str">
        <f ca="1">IFERROR(__xludf.DUMMYFUNCTION("""COMPUTED_VALUE"""),"pizza-brc20")</f>
        <v>pizza-brc20</v>
      </c>
      <c r="B10022" s="2" t="str">
        <f ca="1">IFERROR(__xludf.DUMMYFUNCTION("""COMPUTED_VALUE"""),"pizza")</f>
        <v>pizza</v>
      </c>
      <c r="C10022" s="2" t="str">
        <f ca="1">IFERROR(__xludf.DUMMYFUNCTION("""COMPUTED_VALUE"""),"Pizza (BRC-20)")</f>
        <v>Pizza (BRC-20)</v>
      </c>
    </row>
    <row r="10023" spans="1:3" x14ac:dyDescent="0.25">
      <c r="A10023" s="2" t="str">
        <f ca="1">IFERROR(__xludf.DUMMYFUNCTION("""COMPUTED_VALUE"""),"pizza-cat")</f>
        <v>pizza-cat</v>
      </c>
      <c r="B10023" s="2" t="str">
        <f ca="1">IFERROR(__xludf.DUMMYFUNCTION("""COMPUTED_VALUE"""),"piza")</f>
        <v>piza</v>
      </c>
      <c r="C10023" s="2" t="str">
        <f ca="1">IFERROR(__xludf.DUMMYFUNCTION("""COMPUTED_VALUE"""),"Pizza Cat")</f>
        <v>Pizza Cat</v>
      </c>
    </row>
    <row r="10024" spans="1:3" x14ac:dyDescent="0.25">
      <c r="A10024" s="2" t="str">
        <f ca="1">IFERROR(__xludf.DUMMYFUNCTION("""COMPUTED_VALUE"""),"pizza-game")</f>
        <v>pizza-game</v>
      </c>
      <c r="B10024" s="2" t="str">
        <f ca="1">IFERROR(__xludf.DUMMYFUNCTION("""COMPUTED_VALUE"""),"pizza")</f>
        <v>pizza</v>
      </c>
      <c r="C10024" s="2" t="str">
        <f ca="1">IFERROR(__xludf.DUMMYFUNCTION("""COMPUTED_VALUE"""),"Pizza Game")</f>
        <v>Pizza Game</v>
      </c>
    </row>
    <row r="10025" spans="1:3" x14ac:dyDescent="0.25">
      <c r="A10025" s="2" t="str">
        <f ca="1">IFERROR(__xludf.DUMMYFUNCTION("""COMPUTED_VALUE"""),"pizza-gram")</f>
        <v>pizza-gram</v>
      </c>
      <c r="B10025" s="2" t="str">
        <f ca="1">IFERROR(__xludf.DUMMYFUNCTION("""COMPUTED_VALUE"""),"pizza")</f>
        <v>pizza</v>
      </c>
      <c r="C10025" s="2" t="str">
        <f ca="1">IFERROR(__xludf.DUMMYFUNCTION("""COMPUTED_VALUE"""),"Pizza Gram")</f>
        <v>Pizza Gram</v>
      </c>
    </row>
    <row r="10026" spans="1:3" x14ac:dyDescent="0.25">
      <c r="A10026" s="2" t="str">
        <f ca="1">IFERROR(__xludf.DUMMYFUNCTION("""COMPUTED_VALUE"""),"pizzaverse")</f>
        <v>pizzaverse</v>
      </c>
      <c r="B10026" s="2" t="str">
        <f ca="1">IFERROR(__xludf.DUMMYFUNCTION("""COMPUTED_VALUE"""),"$pizza")</f>
        <v>$pizza</v>
      </c>
      <c r="C10026" s="2" t="str">
        <f ca="1">IFERROR(__xludf.DUMMYFUNCTION("""COMPUTED_VALUE"""),"Pizzaverse")</f>
        <v>Pizzaverse</v>
      </c>
    </row>
    <row r="10027" spans="1:3" x14ac:dyDescent="0.25">
      <c r="A10027" s="2" t="str">
        <f ca="1">IFERROR(__xludf.DUMMYFUNCTION("""COMPUTED_VALUE"""),"pkt")</f>
        <v>pkt</v>
      </c>
      <c r="B10027" s="2" t="str">
        <f ca="1">IFERROR(__xludf.DUMMYFUNCTION("""COMPUTED_VALUE"""),"pkt")</f>
        <v>pkt</v>
      </c>
      <c r="C10027" s="2" t="str">
        <f ca="1">IFERROR(__xludf.DUMMYFUNCTION("""COMPUTED_VALUE"""),"PKT")</f>
        <v>PKT</v>
      </c>
    </row>
    <row r="10028" spans="1:3" x14ac:dyDescent="0.25">
      <c r="A10028" s="2" t="str">
        <f ca="1">IFERROR(__xludf.DUMMYFUNCTION("""COMPUTED_VALUE"""),"place-war")</f>
        <v>place-war</v>
      </c>
      <c r="B10028" s="2" t="str">
        <f ca="1">IFERROR(__xludf.DUMMYFUNCTION("""COMPUTED_VALUE"""),"place")</f>
        <v>place</v>
      </c>
      <c r="C10028" s="2" t="str">
        <f ca="1">IFERROR(__xludf.DUMMYFUNCTION("""COMPUTED_VALUE"""),"PlaceWar Governance")</f>
        <v>PlaceWar Governance</v>
      </c>
    </row>
    <row r="10029" spans="1:3" x14ac:dyDescent="0.25">
      <c r="A10029" s="2" t="str">
        <f ca="1">IFERROR(__xludf.DUMMYFUNCTION("""COMPUTED_VALUE"""),"planet-finance")</f>
        <v>planet-finance</v>
      </c>
      <c r="B10029" s="2" t="str">
        <f ca="1">IFERROR(__xludf.DUMMYFUNCTION("""COMPUTED_VALUE"""),"aqua")</f>
        <v>aqua</v>
      </c>
      <c r="C10029" s="2" t="str">
        <f ca="1">IFERROR(__xludf.DUMMYFUNCTION("""COMPUTED_VALUE"""),"Planet Finance")</f>
        <v>Planet Finance</v>
      </c>
    </row>
    <row r="10030" spans="1:3" x14ac:dyDescent="0.25">
      <c r="A10030" s="2" t="str">
        <f ca="1">IFERROR(__xludf.DUMMYFUNCTION("""COMPUTED_VALUE"""),"planet-hares")</f>
        <v>planet-hares</v>
      </c>
      <c r="B10030" s="2" t="str">
        <f ca="1">IFERROR(__xludf.DUMMYFUNCTION("""COMPUTED_VALUE"""),"hac")</f>
        <v>hac</v>
      </c>
      <c r="C10030" s="2" t="str">
        <f ca="1">IFERROR(__xludf.DUMMYFUNCTION("""COMPUTED_VALUE"""),"Planet Hares")</f>
        <v>Planet Hares</v>
      </c>
    </row>
    <row r="10031" spans="1:3" x14ac:dyDescent="0.25">
      <c r="A10031" s="2" t="str">
        <f ca="1">IFERROR(__xludf.DUMMYFUNCTION("""COMPUTED_VALUE"""),"planet-mojo")</f>
        <v>planet-mojo</v>
      </c>
      <c r="B10031" s="2" t="str">
        <f ca="1">IFERROR(__xludf.DUMMYFUNCTION("""COMPUTED_VALUE"""),"mojo")</f>
        <v>mojo</v>
      </c>
      <c r="C10031" s="2" t="str">
        <f ca="1">IFERROR(__xludf.DUMMYFUNCTION("""COMPUTED_VALUE"""),"Planet Mojo")</f>
        <v>Planet Mojo</v>
      </c>
    </row>
    <row r="10032" spans="1:3" x14ac:dyDescent="0.25">
      <c r="A10032" s="2" t="str">
        <f ca="1">IFERROR(__xludf.DUMMYFUNCTION("""COMPUTED_VALUE"""),"planet-sandbox")</f>
        <v>planet-sandbox</v>
      </c>
      <c r="B10032" s="2" t="str">
        <f ca="1">IFERROR(__xludf.DUMMYFUNCTION("""COMPUTED_VALUE"""),"psb")</f>
        <v>psb</v>
      </c>
      <c r="C10032" s="2" t="str">
        <f ca="1">IFERROR(__xludf.DUMMYFUNCTION("""COMPUTED_VALUE"""),"Planet Sandbox")</f>
        <v>Planet Sandbox</v>
      </c>
    </row>
    <row r="10033" spans="1:3" x14ac:dyDescent="0.25">
      <c r="A10033" s="2" t="str">
        <f ca="1">IFERROR(__xludf.DUMMYFUNCTION("""COMPUTED_VALUE"""),"planet-token")</f>
        <v>planet-token</v>
      </c>
      <c r="B10033" s="2" t="str">
        <f ca="1">IFERROR(__xludf.DUMMYFUNCTION("""COMPUTED_VALUE"""),"planet")</f>
        <v>planet</v>
      </c>
      <c r="C10033" s="2" t="str">
        <f ca="1">IFERROR(__xludf.DUMMYFUNCTION("""COMPUTED_VALUE"""),"Planet Token")</f>
        <v>Planet Token</v>
      </c>
    </row>
    <row r="10034" spans="1:3" x14ac:dyDescent="0.25">
      <c r="A10034" s="2" t="str">
        <f ca="1">IFERROR(__xludf.DUMMYFUNCTION("""COMPUTED_VALUE"""),"planetwatch")</f>
        <v>planetwatch</v>
      </c>
      <c r="B10034" s="2" t="str">
        <f ca="1">IFERROR(__xludf.DUMMYFUNCTION("""COMPUTED_VALUE"""),"planets")</f>
        <v>planets</v>
      </c>
      <c r="C10034" s="2" t="str">
        <f ca="1">IFERROR(__xludf.DUMMYFUNCTION("""COMPUTED_VALUE"""),"PlanetWatch")</f>
        <v>PlanetWatch</v>
      </c>
    </row>
    <row r="10035" spans="1:3" x14ac:dyDescent="0.25">
      <c r="A10035" s="2" t="str">
        <f ca="1">IFERROR(__xludf.DUMMYFUNCTION("""COMPUTED_VALUE"""),"plankton")</f>
        <v>plankton</v>
      </c>
      <c r="B10035" s="2" t="str">
        <f ca="1">IFERROR(__xludf.DUMMYFUNCTION("""COMPUTED_VALUE"""),"plnk")</f>
        <v>plnk</v>
      </c>
      <c r="C10035" s="2" t="str">
        <f ca="1">IFERROR(__xludf.DUMMYFUNCTION("""COMPUTED_VALUE"""),"Plankton")</f>
        <v>Plankton</v>
      </c>
    </row>
    <row r="10036" spans="1:3" x14ac:dyDescent="0.25">
      <c r="A10036" s="2" t="str">
        <f ca="1">IFERROR(__xludf.DUMMYFUNCTION("""COMPUTED_VALUE"""),"planktos")</f>
        <v>planktos</v>
      </c>
      <c r="B10036" s="2" t="str">
        <f ca="1">IFERROR(__xludf.DUMMYFUNCTION("""COMPUTED_VALUE"""),"plank")</f>
        <v>plank</v>
      </c>
      <c r="C10036" s="2" t="str">
        <f ca="1">IFERROR(__xludf.DUMMYFUNCTION("""COMPUTED_VALUE"""),"Planktos")</f>
        <v>Planktos</v>
      </c>
    </row>
    <row r="10037" spans="1:3" x14ac:dyDescent="0.25">
      <c r="A10037" s="2" t="str">
        <f ca="1">IFERROR(__xludf.DUMMYFUNCTION("""COMPUTED_VALUE"""),"planq")</f>
        <v>planq</v>
      </c>
      <c r="B10037" s="2" t="str">
        <f ca="1">IFERROR(__xludf.DUMMYFUNCTION("""COMPUTED_VALUE"""),"plq")</f>
        <v>plq</v>
      </c>
      <c r="C10037" s="2" t="str">
        <f ca="1">IFERROR(__xludf.DUMMYFUNCTION("""COMPUTED_VALUE"""),"Planq")</f>
        <v>Planq</v>
      </c>
    </row>
    <row r="10038" spans="1:3" x14ac:dyDescent="0.25">
      <c r="A10038" s="2" t="str">
        <f ca="1">IFERROR(__xludf.DUMMYFUNCTION("""COMPUTED_VALUE"""),"plant-vs-undead-token")</f>
        <v>plant-vs-undead-token</v>
      </c>
      <c r="B10038" s="2" t="str">
        <f ca="1">IFERROR(__xludf.DUMMYFUNCTION("""COMPUTED_VALUE"""),"pvu")</f>
        <v>pvu</v>
      </c>
      <c r="C10038" s="2" t="str">
        <f ca="1">IFERROR(__xludf.DUMMYFUNCTION("""COMPUTED_VALUE"""),"Plant vs Undead")</f>
        <v>Plant vs Undead</v>
      </c>
    </row>
    <row r="10039" spans="1:3" x14ac:dyDescent="0.25">
      <c r="A10039" s="2" t="str">
        <f ca="1">IFERROR(__xludf.DUMMYFUNCTION("""COMPUTED_VALUE"""),"plasma-finance")</f>
        <v>plasma-finance</v>
      </c>
      <c r="B10039" s="2" t="str">
        <f ca="1">IFERROR(__xludf.DUMMYFUNCTION("""COMPUTED_VALUE"""),"ppay")</f>
        <v>ppay</v>
      </c>
      <c r="C10039" s="2" t="str">
        <f ca="1">IFERROR(__xludf.DUMMYFUNCTION("""COMPUTED_VALUE"""),"Plasma Finance")</f>
        <v>Plasma Finance</v>
      </c>
    </row>
    <row r="10040" spans="1:3" x14ac:dyDescent="0.25">
      <c r="A10040" s="2" t="str">
        <f ca="1">IFERROR(__xludf.DUMMYFUNCTION("""COMPUTED_VALUE"""),"plastichero")</f>
        <v>plastichero</v>
      </c>
      <c r="B10040" s="2" t="str">
        <f ca="1">IFERROR(__xludf.DUMMYFUNCTION("""COMPUTED_VALUE"""),"pth")</f>
        <v>pth</v>
      </c>
      <c r="C10040" s="2" t="str">
        <f ca="1">IFERROR(__xludf.DUMMYFUNCTION("""COMPUTED_VALUE"""),"PlasticHero")</f>
        <v>PlasticHero</v>
      </c>
    </row>
    <row r="10041" spans="1:3" x14ac:dyDescent="0.25">
      <c r="A10041" s="2" t="str">
        <f ca="1">IFERROR(__xludf.DUMMYFUNCTION("""COMPUTED_VALUE"""),"plastiks")</f>
        <v>plastiks</v>
      </c>
      <c r="B10041" s="2" t="str">
        <f ca="1">IFERROR(__xludf.DUMMYFUNCTION("""COMPUTED_VALUE"""),"plastik")</f>
        <v>plastik</v>
      </c>
      <c r="C10041" s="2" t="str">
        <f ca="1">IFERROR(__xludf.DUMMYFUNCTION("""COMPUTED_VALUE"""),"Plastiks")</f>
        <v>Plastiks</v>
      </c>
    </row>
    <row r="10042" spans="1:3" x14ac:dyDescent="0.25">
      <c r="A10042" s="2" t="str">
        <f ca="1">IFERROR(__xludf.DUMMYFUNCTION("""COMPUTED_VALUE"""),"plata-network")</f>
        <v>plata-network</v>
      </c>
      <c r="B10042" s="2" t="str">
        <f ca="1">IFERROR(__xludf.DUMMYFUNCTION("""COMPUTED_VALUE"""),"plata")</f>
        <v>plata</v>
      </c>
      <c r="C10042" s="2" t="str">
        <f ca="1">IFERROR(__xludf.DUMMYFUNCTION("""COMPUTED_VALUE"""),"Plata Network")</f>
        <v>Plata Network</v>
      </c>
    </row>
    <row r="10043" spans="1:3" x14ac:dyDescent="0.25">
      <c r="A10043" s="2" t="str">
        <f ca="1">IFERROR(__xludf.DUMMYFUNCTION("""COMPUTED_VALUE"""),"platform-of-meme-coins")</f>
        <v>platform-of-meme-coins</v>
      </c>
      <c r="B10043" s="2" t="str">
        <f ca="1">IFERROR(__xludf.DUMMYFUNCTION("""COMPUTED_VALUE"""),"payu")</f>
        <v>payu</v>
      </c>
      <c r="C10043" s="2" t="str">
        <f ca="1">IFERROR(__xludf.DUMMYFUNCTION("""COMPUTED_VALUE"""),"Platform of meme coins")</f>
        <v>Platform of meme coins</v>
      </c>
    </row>
    <row r="10044" spans="1:3" x14ac:dyDescent="0.25">
      <c r="A10044" s="2" t="str">
        <f ca="1">IFERROR(__xludf.DUMMYFUNCTION("""COMPUTED_VALUE"""),"platincoin")</f>
        <v>platincoin</v>
      </c>
      <c r="B10044" s="2" t="str">
        <f ca="1">IFERROR(__xludf.DUMMYFUNCTION("""COMPUTED_VALUE"""),"plc")</f>
        <v>plc</v>
      </c>
      <c r="C10044" s="2" t="str">
        <f ca="1">IFERROR(__xludf.DUMMYFUNCTION("""COMPUTED_VALUE"""),"PlatinCoin")</f>
        <v>PlatinCoin</v>
      </c>
    </row>
    <row r="10045" spans="1:3" x14ac:dyDescent="0.25">
      <c r="A10045" s="2" t="str">
        <f ca="1">IFERROR(__xludf.DUMMYFUNCTION("""COMPUTED_VALUE"""),"platon-network")</f>
        <v>platon-network</v>
      </c>
      <c r="B10045" s="2" t="str">
        <f ca="1">IFERROR(__xludf.DUMMYFUNCTION("""COMPUTED_VALUE"""),"lat")</f>
        <v>lat</v>
      </c>
      <c r="C10045" s="2" t="str">
        <f ca="1">IFERROR(__xludf.DUMMYFUNCTION("""COMPUTED_VALUE"""),"PlatON Network")</f>
        <v>PlatON Network</v>
      </c>
    </row>
    <row r="10046" spans="1:3" x14ac:dyDescent="0.25">
      <c r="A10046" s="2" t="str">
        <f ca="1">IFERROR(__xludf.DUMMYFUNCTION("""COMPUTED_VALUE"""),"platypus-finance")</f>
        <v>platypus-finance</v>
      </c>
      <c r="B10046" s="2" t="str">
        <f ca="1">IFERROR(__xludf.DUMMYFUNCTION("""COMPUTED_VALUE"""),"ptp")</f>
        <v>ptp</v>
      </c>
      <c r="C10046" s="2" t="str">
        <f ca="1">IFERROR(__xludf.DUMMYFUNCTION("""COMPUTED_VALUE"""),"Platypus Finance")</f>
        <v>Platypus Finance</v>
      </c>
    </row>
    <row r="10047" spans="1:3" x14ac:dyDescent="0.25">
      <c r="A10047" s="2" t="str">
        <f ca="1">IFERROR(__xludf.DUMMYFUNCTION("""COMPUTED_VALUE"""),"playa3ull-games-2")</f>
        <v>playa3ull-games-2</v>
      </c>
      <c r="B10047" s="2" t="str">
        <f ca="1">IFERROR(__xludf.DUMMYFUNCTION("""COMPUTED_VALUE"""),"3ull")</f>
        <v>3ull</v>
      </c>
      <c r="C10047" s="2" t="str">
        <f ca="1">IFERROR(__xludf.DUMMYFUNCTION("""COMPUTED_VALUE"""),"PLAYA3ULL GAMES")</f>
        <v>PLAYA3ULL GAMES</v>
      </c>
    </row>
    <row r="10048" spans="1:3" x14ac:dyDescent="0.25">
      <c r="A10048" s="2" t="str">
        <f ca="1">IFERROR(__xludf.DUMMYFUNCTION("""COMPUTED_VALUE"""),"playable-coin")</f>
        <v>playable-coin</v>
      </c>
      <c r="B10048" s="2" t="str">
        <f ca="1">IFERROR(__xludf.DUMMYFUNCTION("""COMPUTED_VALUE"""),"pc")</f>
        <v>pc</v>
      </c>
      <c r="C10048" s="2" t="str">
        <f ca="1">IFERROR(__xludf.DUMMYFUNCTION("""COMPUTED_VALUE"""),"Playable Coin")</f>
        <v>Playable Coin</v>
      </c>
    </row>
    <row r="10049" spans="1:3" x14ac:dyDescent="0.25">
      <c r="A10049" s="2" t="str">
        <f ca="1">IFERROR(__xludf.DUMMYFUNCTION("""COMPUTED_VALUE"""),"playahh-app")</f>
        <v>playahh-app</v>
      </c>
      <c r="B10049" s="2" t="str">
        <f ca="1">IFERROR(__xludf.DUMMYFUNCTION("""COMPUTED_VALUE"""),"plah")</f>
        <v>plah</v>
      </c>
      <c r="C10049" s="2" t="str">
        <f ca="1">IFERROR(__xludf.DUMMYFUNCTION("""COMPUTED_VALUE"""),"Playahh App")</f>
        <v>Playahh App</v>
      </c>
    </row>
    <row r="10050" spans="1:3" x14ac:dyDescent="0.25">
      <c r="A10050" s="2" t="str">
        <f ca="1">IFERROR(__xludf.DUMMYFUNCTION("""COMPUTED_VALUE"""),"playbux")</f>
        <v>playbux</v>
      </c>
      <c r="B10050" s="2" t="str">
        <f ca="1">IFERROR(__xludf.DUMMYFUNCTION("""COMPUTED_VALUE"""),"pbux")</f>
        <v>pbux</v>
      </c>
      <c r="C10050" s="2" t="str">
        <f ca="1">IFERROR(__xludf.DUMMYFUNCTION("""COMPUTED_VALUE"""),"Playbux")</f>
        <v>Playbux</v>
      </c>
    </row>
    <row r="10051" spans="1:3" x14ac:dyDescent="0.25">
      <c r="A10051" s="2" t="str">
        <f ca="1">IFERROR(__xludf.DUMMYFUNCTION("""COMPUTED_VALUE"""),"playcent")</f>
        <v>playcent</v>
      </c>
      <c r="B10051" s="2" t="str">
        <f ca="1">IFERROR(__xludf.DUMMYFUNCTION("""COMPUTED_VALUE"""),"pcnt")</f>
        <v>pcnt</v>
      </c>
      <c r="C10051" s="2" t="str">
        <f ca="1">IFERROR(__xludf.DUMMYFUNCTION("""COMPUTED_VALUE"""),"Playcent")</f>
        <v>Playcent</v>
      </c>
    </row>
    <row r="10052" spans="1:3" x14ac:dyDescent="0.25">
      <c r="A10052" s="2" t="str">
        <f ca="1">IFERROR(__xludf.DUMMYFUNCTION("""COMPUTED_VALUE"""),"playdapp")</f>
        <v>playdapp</v>
      </c>
      <c r="B10052" s="2" t="str">
        <f ca="1">IFERROR(__xludf.DUMMYFUNCTION("""COMPUTED_VALUE"""),"pda")</f>
        <v>pda</v>
      </c>
      <c r="C10052" s="2" t="str">
        <f ca="1">IFERROR(__xludf.DUMMYFUNCTION("""COMPUTED_VALUE"""),"PlayDapp")</f>
        <v>PlayDapp</v>
      </c>
    </row>
    <row r="10053" spans="1:3" x14ac:dyDescent="0.25">
      <c r="A10053" s="2" t="str">
        <f ca="1">IFERROR(__xludf.DUMMYFUNCTION("""COMPUTED_VALUE"""),"playdoge")</f>
        <v>playdoge</v>
      </c>
      <c r="B10053" s="2" t="str">
        <f ca="1">IFERROR(__xludf.DUMMYFUNCTION("""COMPUTED_VALUE"""),"$play")</f>
        <v>$play</v>
      </c>
      <c r="C10053" s="2" t="str">
        <f ca="1">IFERROR(__xludf.DUMMYFUNCTION("""COMPUTED_VALUE"""),"Playdoge")</f>
        <v>Playdoge</v>
      </c>
    </row>
    <row r="10054" spans="1:3" x14ac:dyDescent="0.25">
      <c r="A10054" s="2" t="str">
        <f ca="1">IFERROR(__xludf.DUMMYFUNCTION("""COMPUTED_VALUE"""),"player-2")</f>
        <v>player-2</v>
      </c>
      <c r="B10054" s="2" t="str">
        <f ca="1">IFERROR(__xludf.DUMMYFUNCTION("""COMPUTED_VALUE"""),"deo")</f>
        <v>deo</v>
      </c>
      <c r="C10054" s="2" t="str">
        <f ca="1">IFERROR(__xludf.DUMMYFUNCTION("""COMPUTED_VALUE"""),"Player 2")</f>
        <v>Player 2</v>
      </c>
    </row>
    <row r="10055" spans="1:3" x14ac:dyDescent="0.25">
      <c r="A10055" s="2" t="str">
        <f ca="1">IFERROR(__xludf.DUMMYFUNCTION("""COMPUTED_VALUE"""),"playermon")</f>
        <v>playermon</v>
      </c>
      <c r="B10055" s="2" t="str">
        <f ca="1">IFERROR(__xludf.DUMMYFUNCTION("""COMPUTED_VALUE"""),"pym")</f>
        <v>pym</v>
      </c>
      <c r="C10055" s="2" t="str">
        <f ca="1">IFERROR(__xludf.DUMMYFUNCTION("""COMPUTED_VALUE"""),"Playermon")</f>
        <v>Playermon</v>
      </c>
    </row>
    <row r="10056" spans="1:3" x14ac:dyDescent="0.25">
      <c r="A10056" s="2" t="str">
        <f ca="1">IFERROR(__xludf.DUMMYFUNCTION("""COMPUTED_VALUE"""),"playfi")</f>
        <v>playfi</v>
      </c>
      <c r="B10056" s="2" t="str">
        <f ca="1">IFERROR(__xludf.DUMMYFUNCTION("""COMPUTED_VALUE"""),"playfi")</f>
        <v>playfi</v>
      </c>
      <c r="C10056" s="2" t="str">
        <f ca="1">IFERROR(__xludf.DUMMYFUNCTION("""COMPUTED_VALUE"""),"PlayFi")</f>
        <v>PlayFi</v>
      </c>
    </row>
    <row r="10057" spans="1:3" x14ac:dyDescent="0.25">
      <c r="A10057" s="2" t="str">
        <f ca="1">IFERROR(__xludf.DUMMYFUNCTION("""COMPUTED_VALUE"""),"playgame")</f>
        <v>playgame</v>
      </c>
      <c r="B10057" s="2" t="str">
        <f ca="1">IFERROR(__xludf.DUMMYFUNCTION("""COMPUTED_VALUE"""),"pxg")</f>
        <v>pxg</v>
      </c>
      <c r="C10057" s="2" t="str">
        <f ca="1">IFERROR(__xludf.DUMMYFUNCTION("""COMPUTED_VALUE"""),"PlayGame")</f>
        <v>PlayGame</v>
      </c>
    </row>
    <row r="10058" spans="1:3" x14ac:dyDescent="0.25">
      <c r="A10058" s="2" t="str">
        <f ca="1">IFERROR(__xludf.DUMMYFUNCTION("""COMPUTED_VALUE"""),"playground-waves-floor-index")</f>
        <v>playground-waves-floor-index</v>
      </c>
      <c r="B10058" s="2" t="str">
        <f ca="1">IFERROR(__xludf.DUMMYFUNCTION("""COMPUTED_VALUE"""),"waves")</f>
        <v>waves</v>
      </c>
      <c r="C10058" s="2" t="str">
        <f ca="1">IFERROR(__xludf.DUMMYFUNCTION("""COMPUTED_VALUE"""),"Playground Waves Floor Index")</f>
        <v>Playground Waves Floor Index</v>
      </c>
    </row>
    <row r="10059" spans="1:3" x14ac:dyDescent="0.25">
      <c r="A10059" s="2" t="str">
        <f ca="1">IFERROR(__xludf.DUMMYFUNCTION("""COMPUTED_VALUE"""),"play-kingdom")</f>
        <v>play-kingdom</v>
      </c>
      <c r="B10059" s="2" t="str">
        <f ca="1">IFERROR(__xludf.DUMMYFUNCTION("""COMPUTED_VALUE"""),"pkt")</f>
        <v>pkt</v>
      </c>
      <c r="C10059" s="2" t="str">
        <f ca="1">IFERROR(__xludf.DUMMYFUNCTION("""COMPUTED_VALUE"""),"Play Kingdom")</f>
        <v>Play Kingdom</v>
      </c>
    </row>
    <row r="10060" spans="1:3" x14ac:dyDescent="0.25">
      <c r="A10060" s="2" t="str">
        <f ca="1">IFERROR(__xludf.DUMMYFUNCTION("""COMPUTED_VALUE"""),"playnity")</f>
        <v>playnity</v>
      </c>
      <c r="B10060" s="2" t="str">
        <f ca="1">IFERROR(__xludf.DUMMYFUNCTION("""COMPUTED_VALUE"""),"ply")</f>
        <v>ply</v>
      </c>
      <c r="C10060" s="2" t="str">
        <f ca="1">IFERROR(__xludf.DUMMYFUNCTION("""COMPUTED_VALUE"""),"PlayNity")</f>
        <v>PlayNity</v>
      </c>
    </row>
    <row r="10061" spans="1:3" x14ac:dyDescent="0.25">
      <c r="A10061" s="2" t="str">
        <f ca="1">IFERROR(__xludf.DUMMYFUNCTION("""COMPUTED_VALUE"""),"playpad")</f>
        <v>playpad</v>
      </c>
      <c r="B10061" s="2" t="str">
        <f ca="1">IFERROR(__xludf.DUMMYFUNCTION("""COMPUTED_VALUE"""),"ppad")</f>
        <v>ppad</v>
      </c>
      <c r="C10061" s="2" t="str">
        <f ca="1">IFERROR(__xludf.DUMMYFUNCTION("""COMPUTED_VALUE"""),"PlayPad")</f>
        <v>PlayPad</v>
      </c>
    </row>
    <row r="10062" spans="1:3" x14ac:dyDescent="0.25">
      <c r="A10062" s="2" t="str">
        <f ca="1">IFERROR(__xludf.DUMMYFUNCTION("""COMPUTED_VALUE"""),"play-to-create")</f>
        <v>play-to-create</v>
      </c>
      <c r="B10062" s="2" t="str">
        <f ca="1">IFERROR(__xludf.DUMMYFUNCTION("""COMPUTED_VALUE"""),"drn")</f>
        <v>drn</v>
      </c>
      <c r="C10062" s="2" t="str">
        <f ca="1">IFERROR(__xludf.DUMMYFUNCTION("""COMPUTED_VALUE"""),"Doran")</f>
        <v>Doran</v>
      </c>
    </row>
    <row r="10063" spans="1:3" x14ac:dyDescent="0.25">
      <c r="A10063" s="2" t="str">
        <f ca="1">IFERROR(__xludf.DUMMYFUNCTION("""COMPUTED_VALUE"""),"play-token-2")</f>
        <v>play-token-2</v>
      </c>
      <c r="B10063" s="2" t="str">
        <f ca="1">IFERROR(__xludf.DUMMYFUNCTION("""COMPUTED_VALUE"""),"play")</f>
        <v>play</v>
      </c>
      <c r="C10063" s="2" t="str">
        <f ca="1">IFERROR(__xludf.DUMMYFUNCTION("""COMPUTED_VALUE"""),"PLAY Token")</f>
        <v>PLAY Token</v>
      </c>
    </row>
    <row r="10064" spans="1:3" x14ac:dyDescent="0.25">
      <c r="A10064" s="2" t="str">
        <f ca="1">IFERROR(__xludf.DUMMYFUNCTION("""COMPUTED_VALUE"""),"playzap")</f>
        <v>playzap</v>
      </c>
      <c r="B10064" s="2" t="str">
        <f ca="1">IFERROR(__xludf.DUMMYFUNCTION("""COMPUTED_VALUE"""),"pzp")</f>
        <v>pzp</v>
      </c>
      <c r="C10064" s="2" t="str">
        <f ca="1">IFERROR(__xludf.DUMMYFUNCTION("""COMPUTED_VALUE"""),"PlayZap")</f>
        <v>PlayZap</v>
      </c>
    </row>
    <row r="10065" spans="1:3" x14ac:dyDescent="0.25">
      <c r="A10065" s="2" t="str">
        <f ca="1">IFERROR(__xludf.DUMMYFUNCTION("""COMPUTED_VALUE"""),"plc-ultima")</f>
        <v>plc-ultima</v>
      </c>
      <c r="B10065" s="2" t="str">
        <f ca="1">IFERROR(__xludf.DUMMYFUNCTION("""COMPUTED_VALUE"""),"plcu")</f>
        <v>plcu</v>
      </c>
      <c r="C10065" s="2" t="str">
        <f ca="1">IFERROR(__xludf.DUMMYFUNCTION("""COMPUTED_VALUE"""),"PLC Ultima")</f>
        <v>PLC Ultima</v>
      </c>
    </row>
    <row r="10066" spans="1:3" x14ac:dyDescent="0.25">
      <c r="A10066" s="2" t="str">
        <f ca="1">IFERROR(__xludf.DUMMYFUNCTION("""COMPUTED_VALUE"""),"plearn")</f>
        <v>plearn</v>
      </c>
      <c r="B10066" s="2" t="str">
        <f ca="1">IFERROR(__xludf.DUMMYFUNCTION("""COMPUTED_VALUE"""),"pln")</f>
        <v>pln</v>
      </c>
      <c r="C10066" s="2" t="str">
        <f ca="1">IFERROR(__xludf.DUMMYFUNCTION("""COMPUTED_VALUE"""),"PLEARN")</f>
        <v>PLEARN</v>
      </c>
    </row>
    <row r="10067" spans="1:3" x14ac:dyDescent="0.25">
      <c r="A10067" s="2" t="str">
        <f ca="1">IFERROR(__xludf.DUMMYFUNCTION("""COMPUTED_VALUE"""),"pleasure-coin")</f>
        <v>pleasure-coin</v>
      </c>
      <c r="B10067" s="2" t="str">
        <f ca="1">IFERROR(__xludf.DUMMYFUNCTION("""COMPUTED_VALUE"""),"nsfw")</f>
        <v>nsfw</v>
      </c>
      <c r="C10067" s="2" t="str">
        <f ca="1">IFERROR(__xludf.DUMMYFUNCTION("""COMPUTED_VALUE"""),"Pleasure Coin")</f>
        <v>Pleasure Coin</v>
      </c>
    </row>
    <row r="10068" spans="1:3" x14ac:dyDescent="0.25">
      <c r="A10068" s="2" t="str">
        <f ca="1">IFERROR(__xludf.DUMMYFUNCTION("""COMPUTED_VALUE"""),"pleb")</f>
        <v>pleb</v>
      </c>
      <c r="B10068" s="2" t="str">
        <f ca="1">IFERROR(__xludf.DUMMYFUNCTION("""COMPUTED_VALUE"""),"pleb")</f>
        <v>pleb</v>
      </c>
      <c r="C10068" s="2" t="str">
        <f ca="1">IFERROR(__xludf.DUMMYFUNCTION("""COMPUTED_VALUE"""),"Pleb")</f>
        <v>Pleb</v>
      </c>
    </row>
    <row r="10069" spans="1:3" x14ac:dyDescent="0.25">
      <c r="A10069" s="2" t="str">
        <f ca="1">IFERROR(__xludf.DUMMYFUNCTION("""COMPUTED_VALUE"""),"plebbit")</f>
        <v>plebbit</v>
      </c>
      <c r="B10069" s="2" t="str">
        <f ca="1">IFERROR(__xludf.DUMMYFUNCTION("""COMPUTED_VALUE"""),"pleb")</f>
        <v>pleb</v>
      </c>
      <c r="C10069" s="2" t="str">
        <f ca="1">IFERROR(__xludf.DUMMYFUNCTION("""COMPUTED_VALUE"""),"Plebbit")</f>
        <v>Plebbit</v>
      </c>
    </row>
    <row r="10070" spans="1:3" x14ac:dyDescent="0.25">
      <c r="A10070" s="2" t="str">
        <f ca="1">IFERROR(__xludf.DUMMYFUNCTION("""COMPUTED_VALUE"""),"plebdreke")</f>
        <v>plebdreke</v>
      </c>
      <c r="B10070" s="2" t="str">
        <f ca="1">IFERROR(__xludf.DUMMYFUNCTION("""COMPUTED_VALUE"""),"bling")</f>
        <v>bling</v>
      </c>
      <c r="C10070" s="2" t="str">
        <f ca="1">IFERROR(__xludf.DUMMYFUNCTION("""COMPUTED_VALUE"""),"PlebDreke")</f>
        <v>PlebDreke</v>
      </c>
    </row>
    <row r="10071" spans="1:3" x14ac:dyDescent="0.25">
      <c r="A10071" s="2" t="str">
        <f ca="1">IFERROR(__xludf.DUMMYFUNCTION("""COMPUTED_VALUE"""),"pleb-token")</f>
        <v>pleb-token</v>
      </c>
      <c r="B10071" s="2" t="str">
        <f ca="1">IFERROR(__xludf.DUMMYFUNCTION("""COMPUTED_VALUE"""),"pleb")</f>
        <v>pleb</v>
      </c>
      <c r="C10071" s="2" t="str">
        <f ca="1">IFERROR(__xludf.DUMMYFUNCTION("""COMPUTED_VALUE"""),"PLEB Token")</f>
        <v>PLEB Token</v>
      </c>
    </row>
    <row r="10072" spans="1:3" x14ac:dyDescent="0.25">
      <c r="A10072" s="2" t="str">
        <f ca="1">IFERROR(__xludf.DUMMYFUNCTION("""COMPUTED_VALUE"""),"plebz")</f>
        <v>plebz</v>
      </c>
      <c r="B10072" s="2" t="str">
        <f ca="1">IFERROR(__xludf.DUMMYFUNCTION("""COMPUTED_VALUE"""),"pleb")</f>
        <v>pleb</v>
      </c>
      <c r="C10072" s="2" t="str">
        <f ca="1">IFERROR(__xludf.DUMMYFUNCTION("""COMPUTED_VALUE"""),"Plebz")</f>
        <v>Plebz</v>
      </c>
    </row>
    <row r="10073" spans="1:3" x14ac:dyDescent="0.25">
      <c r="A10073" s="2" t="str">
        <f ca="1">IFERROR(__xludf.DUMMYFUNCTION("""COMPUTED_VALUE"""),"plenty-dao")</f>
        <v>plenty-dao</v>
      </c>
      <c r="B10073" s="2" t="str">
        <f ca="1">IFERROR(__xludf.DUMMYFUNCTION("""COMPUTED_VALUE"""),"plenty")</f>
        <v>plenty</v>
      </c>
      <c r="C10073" s="2" t="str">
        <f ca="1">IFERROR(__xludf.DUMMYFUNCTION("""COMPUTED_VALUE"""),"Plenty DeFi")</f>
        <v>Plenty DeFi</v>
      </c>
    </row>
    <row r="10074" spans="1:3" x14ac:dyDescent="0.25">
      <c r="A10074" s="2" t="str">
        <f ca="1">IFERROR(__xludf.DUMMYFUNCTION("""COMPUTED_VALUE"""),"plenty-ply")</f>
        <v>plenty-ply</v>
      </c>
      <c r="B10074" s="2" t="str">
        <f ca="1">IFERROR(__xludf.DUMMYFUNCTION("""COMPUTED_VALUE"""),"ply")</f>
        <v>ply</v>
      </c>
      <c r="C10074" s="2" t="str">
        <f ca="1">IFERROR(__xludf.DUMMYFUNCTION("""COMPUTED_VALUE"""),"Plenty PLY")</f>
        <v>Plenty PLY</v>
      </c>
    </row>
    <row r="10075" spans="1:3" x14ac:dyDescent="0.25">
      <c r="A10075" s="2" t="str">
        <f ca="1">IFERROR(__xludf.DUMMYFUNCTION("""COMPUTED_VALUE"""),"plex")</f>
        <v>plex</v>
      </c>
      <c r="B10075" s="2" t="str">
        <f ca="1">IFERROR(__xludf.DUMMYFUNCTION("""COMPUTED_VALUE"""),"plex")</f>
        <v>plex</v>
      </c>
      <c r="C10075" s="2" t="str">
        <f ca="1">IFERROR(__xludf.DUMMYFUNCTION("""COMPUTED_VALUE"""),"PLEX")</f>
        <v>PLEX</v>
      </c>
    </row>
    <row r="10076" spans="1:3" x14ac:dyDescent="0.25">
      <c r="A10076" s="2" t="str">
        <f ca="1">IFERROR(__xludf.DUMMYFUNCTION("""COMPUTED_VALUE"""),"plexus-app")</f>
        <v>plexus-app</v>
      </c>
      <c r="B10076" s="2" t="str">
        <f ca="1">IFERROR(__xludf.DUMMYFUNCTION("""COMPUTED_VALUE"""),"plx")</f>
        <v>plx</v>
      </c>
      <c r="C10076" s="2" t="str">
        <f ca="1">IFERROR(__xludf.DUMMYFUNCTION("""COMPUTED_VALUE"""),"PLEXUS")</f>
        <v>PLEXUS</v>
      </c>
    </row>
    <row r="10077" spans="1:3" x14ac:dyDescent="0.25">
      <c r="A10077" s="2" t="str">
        <f ca="1">IFERROR(__xludf.DUMMYFUNCTION("""COMPUTED_VALUE"""),"plgnet")</f>
        <v>plgnet</v>
      </c>
      <c r="B10077" s="2" t="str">
        <f ca="1">IFERROR(__xludf.DUMMYFUNCTION("""COMPUTED_VALUE"""),"plug")</f>
        <v>plug</v>
      </c>
      <c r="C10077" s="2" t="str">
        <f ca="1">IFERROR(__xludf.DUMMYFUNCTION("""COMPUTED_VALUE"""),"PL^Gnet")</f>
        <v>PL^Gnet</v>
      </c>
    </row>
    <row r="10078" spans="1:3" x14ac:dyDescent="0.25">
      <c r="A10078" s="2" t="str">
        <f ca="1">IFERROR(__xludf.DUMMYFUNCTION("""COMPUTED_VALUE"""),"plink-cat")</f>
        <v>plink-cat</v>
      </c>
      <c r="B10078" s="2" t="str">
        <f ca="1">IFERROR(__xludf.DUMMYFUNCTION("""COMPUTED_VALUE"""),"plink")</f>
        <v>plink</v>
      </c>
      <c r="C10078" s="2" t="str">
        <f ca="1">IFERROR(__xludf.DUMMYFUNCTION("""COMPUTED_VALUE"""),"Plink Cat")</f>
        <v>Plink Cat</v>
      </c>
    </row>
    <row r="10079" spans="1:3" x14ac:dyDescent="0.25">
      <c r="A10079" s="2" t="str">
        <f ca="1">IFERROR(__xludf.DUMMYFUNCTION("""COMPUTED_VALUE"""),"plotx")</f>
        <v>plotx</v>
      </c>
      <c r="B10079" s="2" t="str">
        <f ca="1">IFERROR(__xludf.DUMMYFUNCTION("""COMPUTED_VALUE"""),"plot")</f>
        <v>plot</v>
      </c>
      <c r="C10079" s="2" t="str">
        <f ca="1">IFERROR(__xludf.DUMMYFUNCTION("""COMPUTED_VALUE"""),"PlotX")</f>
        <v>PlotX</v>
      </c>
    </row>
    <row r="10080" spans="1:3" x14ac:dyDescent="0.25">
      <c r="A10080" s="2" t="str">
        <f ca="1">IFERROR(__xludf.DUMMYFUNCTION("""COMPUTED_VALUE"""),"plsjones")</f>
        <v>plsjones</v>
      </c>
      <c r="B10080" s="2" t="str">
        <f ca="1">IFERROR(__xludf.DUMMYFUNCTION("""COMPUTED_VALUE"""),"plsjones")</f>
        <v>plsjones</v>
      </c>
      <c r="C10080" s="2" t="str">
        <f ca="1">IFERROR(__xludf.DUMMYFUNCTION("""COMPUTED_VALUE"""),"plsJONES")</f>
        <v>plsJONES</v>
      </c>
    </row>
    <row r="10081" spans="1:3" x14ac:dyDescent="0.25">
      <c r="A10081" s="2" t="str">
        <f ca="1">IFERROR(__xludf.DUMMYFUNCTION("""COMPUTED_VALUE"""),"plugin")</f>
        <v>plugin</v>
      </c>
      <c r="B10081" s="2" t="str">
        <f ca="1">IFERROR(__xludf.DUMMYFUNCTION("""COMPUTED_VALUE"""),"pli")</f>
        <v>pli</v>
      </c>
      <c r="C10081" s="2" t="str">
        <f ca="1">IFERROR(__xludf.DUMMYFUNCTION("""COMPUTED_VALUE"""),"Plugin")</f>
        <v>Plugin</v>
      </c>
    </row>
    <row r="10082" spans="1:3" x14ac:dyDescent="0.25">
      <c r="A10082" s="2" t="str">
        <f ca="1">IFERROR(__xludf.DUMMYFUNCTION("""COMPUTED_VALUE"""),"plumpy-dragons")</f>
        <v>plumpy-dragons</v>
      </c>
      <c r="B10082" s="2" t="str">
        <f ca="1">IFERROR(__xludf.DUMMYFUNCTION("""COMPUTED_VALUE"""),"loong")</f>
        <v>loong</v>
      </c>
      <c r="C10082" s="2" t="str">
        <f ca="1">IFERROR(__xludf.DUMMYFUNCTION("""COMPUTED_VALUE"""),"PLUMPY DRAGONS")</f>
        <v>PLUMPY DRAGONS</v>
      </c>
    </row>
    <row r="10083" spans="1:3" x14ac:dyDescent="0.25">
      <c r="A10083" s="2" t="str">
        <f ca="1">IFERROR(__xludf.DUMMYFUNCTION("""COMPUTED_VALUE"""),"plums")</f>
        <v>plums</v>
      </c>
      <c r="B10083" s="2" t="str">
        <f ca="1">IFERROR(__xludf.DUMMYFUNCTION("""COMPUTED_VALUE"""),"plums")</f>
        <v>plums</v>
      </c>
      <c r="C10083" s="2" t="str">
        <f ca="1">IFERROR(__xludf.DUMMYFUNCTION("""COMPUTED_VALUE"""),"PLUMS")</f>
        <v>PLUMS</v>
      </c>
    </row>
    <row r="10084" spans="1:3" x14ac:dyDescent="0.25">
      <c r="A10084" s="2" t="str">
        <f ca="1">IFERROR(__xludf.DUMMYFUNCTION("""COMPUTED_VALUE"""),"plus-bet")</f>
        <v>plus-bet</v>
      </c>
      <c r="B10084" s="2" t="str">
        <f ca="1">IFERROR(__xludf.DUMMYFUNCTION("""COMPUTED_VALUE"""),"plus")</f>
        <v>plus</v>
      </c>
      <c r="C10084" s="2" t="str">
        <f ca="1">IFERROR(__xludf.DUMMYFUNCTION("""COMPUTED_VALUE"""),"Plus.Bet")</f>
        <v>Plus.Bet</v>
      </c>
    </row>
    <row r="10085" spans="1:3" x14ac:dyDescent="0.25">
      <c r="A10085" s="2" t="str">
        <f ca="1">IFERROR(__xludf.DUMMYFUNCTION("""COMPUTED_VALUE"""),"pluton")</f>
        <v>pluton</v>
      </c>
      <c r="B10085" s="2" t="str">
        <f ca="1">IFERROR(__xludf.DUMMYFUNCTION("""COMPUTED_VALUE"""),"plu")</f>
        <v>plu</v>
      </c>
      <c r="C10085" s="2" t="str">
        <f ca="1">IFERROR(__xludf.DUMMYFUNCTION("""COMPUTED_VALUE"""),"Pluton")</f>
        <v>Pluton</v>
      </c>
    </row>
    <row r="10086" spans="1:3" x14ac:dyDescent="0.25">
      <c r="A10086" s="2" t="str">
        <f ca="1">IFERROR(__xludf.DUMMYFUNCTION("""COMPUTED_VALUE"""),"plutonian-dao")</f>
        <v>plutonian-dao</v>
      </c>
      <c r="B10086" s="2" t="str">
        <f ca="1">IFERROR(__xludf.DUMMYFUNCTION("""COMPUTED_VALUE"""),"pld")</f>
        <v>pld</v>
      </c>
      <c r="C10086" s="2" t="str">
        <f ca="1">IFERROR(__xludf.DUMMYFUNCTION("""COMPUTED_VALUE"""),"Plutonian DAO")</f>
        <v>Plutonian DAO</v>
      </c>
    </row>
    <row r="10087" spans="1:3" x14ac:dyDescent="0.25">
      <c r="A10087" s="2" t="str">
        <f ca="1">IFERROR(__xludf.DUMMYFUNCTION("""COMPUTED_VALUE"""),"plutus-arb")</f>
        <v>plutus-arb</v>
      </c>
      <c r="B10087" s="2" t="str">
        <f ca="1">IFERROR(__xludf.DUMMYFUNCTION("""COMPUTED_VALUE"""),"plsarb")</f>
        <v>plsarb</v>
      </c>
      <c r="C10087" s="2" t="str">
        <f ca="1">IFERROR(__xludf.DUMMYFUNCTION("""COMPUTED_VALUE"""),"Plutus ARB")</f>
        <v>Plutus ARB</v>
      </c>
    </row>
    <row r="10088" spans="1:3" x14ac:dyDescent="0.25">
      <c r="A10088" s="2" t="str">
        <f ca="1">IFERROR(__xludf.DUMMYFUNCTION("""COMPUTED_VALUE"""),"plutusdao")</f>
        <v>plutusdao</v>
      </c>
      <c r="B10088" s="2" t="str">
        <f ca="1">IFERROR(__xludf.DUMMYFUNCTION("""COMPUTED_VALUE"""),"pls")</f>
        <v>pls</v>
      </c>
      <c r="C10088" s="2" t="str">
        <f ca="1">IFERROR(__xludf.DUMMYFUNCTION("""COMPUTED_VALUE"""),"PlutusDAO")</f>
        <v>PlutusDAO</v>
      </c>
    </row>
    <row r="10089" spans="1:3" x14ac:dyDescent="0.25">
      <c r="A10089" s="2" t="str">
        <f ca="1">IFERROR(__xludf.DUMMYFUNCTION("""COMPUTED_VALUE"""),"plutus-dpx")</f>
        <v>plutus-dpx</v>
      </c>
      <c r="B10089" s="2" t="str">
        <f ca="1">IFERROR(__xludf.DUMMYFUNCTION("""COMPUTED_VALUE"""),"plsdpx")</f>
        <v>plsdpx</v>
      </c>
      <c r="C10089" s="2" t="str">
        <f ca="1">IFERROR(__xludf.DUMMYFUNCTION("""COMPUTED_VALUE"""),"Plutus DPX")</f>
        <v>Plutus DPX</v>
      </c>
    </row>
    <row r="10090" spans="1:3" x14ac:dyDescent="0.25">
      <c r="A10090" s="2" t="str">
        <f ca="1">IFERROR(__xludf.DUMMYFUNCTION("""COMPUTED_VALUE"""),"plutus-rdnt")</f>
        <v>plutus-rdnt</v>
      </c>
      <c r="B10090" s="2" t="str">
        <f ca="1">IFERROR(__xludf.DUMMYFUNCTION("""COMPUTED_VALUE"""),"plsrdnt")</f>
        <v>plsrdnt</v>
      </c>
      <c r="C10090" s="2" t="str">
        <f ca="1">IFERROR(__xludf.DUMMYFUNCTION("""COMPUTED_VALUE"""),"Plutus RDNT")</f>
        <v>Plutus RDNT</v>
      </c>
    </row>
    <row r="10091" spans="1:3" x14ac:dyDescent="0.25">
      <c r="A10091" s="2" t="str">
        <f ca="1">IFERROR(__xludf.DUMMYFUNCTION("""COMPUTED_VALUE"""),"plvglp")</f>
        <v>plvglp</v>
      </c>
      <c r="B10091" s="2" t="str">
        <f ca="1">IFERROR(__xludf.DUMMYFUNCTION("""COMPUTED_VALUE"""),"plvglp")</f>
        <v>plvglp</v>
      </c>
      <c r="C10091" s="2" t="str">
        <f ca="1">IFERROR(__xludf.DUMMYFUNCTION("""COMPUTED_VALUE"""),"plvGLP")</f>
        <v>plvGLP</v>
      </c>
    </row>
    <row r="10092" spans="1:3" x14ac:dyDescent="0.25">
      <c r="A10092" s="2" t="str">
        <f ca="1">IFERROR(__xludf.DUMMYFUNCTION("""COMPUTED_VALUE"""),"plxyer")</f>
        <v>plxyer</v>
      </c>
      <c r="B10092" s="2" t="str">
        <f ca="1">IFERROR(__xludf.DUMMYFUNCTION("""COMPUTED_VALUE"""),"plxy")</f>
        <v>plxy</v>
      </c>
      <c r="C10092" s="2" t="str">
        <f ca="1">IFERROR(__xludf.DUMMYFUNCTION("""COMPUTED_VALUE"""),"Plxyer")</f>
        <v>Plxyer</v>
      </c>
    </row>
    <row r="10093" spans="1:3" x14ac:dyDescent="0.25">
      <c r="A10093" s="2" t="str">
        <f ca="1">IFERROR(__xludf.DUMMYFUNCTION("""COMPUTED_VALUE"""),"plyr-l1")</f>
        <v>plyr-l1</v>
      </c>
      <c r="B10093" s="2" t="str">
        <f ca="1">IFERROR(__xludf.DUMMYFUNCTION("""COMPUTED_VALUE"""),"plyr")</f>
        <v>plyr</v>
      </c>
      <c r="C10093" s="2" t="str">
        <f ca="1">IFERROR(__xludf.DUMMYFUNCTION("""COMPUTED_VALUE"""),"PLYR L1")</f>
        <v>PLYR L1</v>
      </c>
    </row>
    <row r="10094" spans="1:3" x14ac:dyDescent="0.25">
      <c r="A10094" s="2" t="str">
        <f ca="1">IFERROR(__xludf.DUMMYFUNCTION("""COMPUTED_VALUE"""),"pmg-coin")</f>
        <v>pmg-coin</v>
      </c>
      <c r="B10094" s="2" t="str">
        <f ca="1">IFERROR(__xludf.DUMMYFUNCTION("""COMPUTED_VALUE"""),"pmg")</f>
        <v>pmg</v>
      </c>
      <c r="C10094" s="2" t="str">
        <f ca="1">IFERROR(__xludf.DUMMYFUNCTION("""COMPUTED_VALUE"""),"PMG Coin")</f>
        <v>PMG Coin</v>
      </c>
    </row>
    <row r="10095" spans="1:3" x14ac:dyDescent="0.25">
      <c r="A10095" s="2" t="str">
        <f ca="1">IFERROR(__xludf.DUMMYFUNCTION("""COMPUTED_VALUE"""),"pnear")</f>
        <v>pnear</v>
      </c>
      <c r="B10095" s="2" t="str">
        <f ca="1">IFERROR(__xludf.DUMMYFUNCTION("""COMPUTED_VALUE"""),"pnear")</f>
        <v>pnear</v>
      </c>
      <c r="C10095" s="2" t="str">
        <f ca="1">IFERROR(__xludf.DUMMYFUNCTION("""COMPUTED_VALUE"""),"pNEAR")</f>
        <v>pNEAR</v>
      </c>
    </row>
    <row r="10096" spans="1:3" x14ac:dyDescent="0.25">
      <c r="A10096" s="2" t="str">
        <f ca="1">IFERROR(__xludf.DUMMYFUNCTION("""COMPUTED_VALUE"""),"pnetwork")</f>
        <v>pnetwork</v>
      </c>
      <c r="B10096" s="2" t="str">
        <f ca="1">IFERROR(__xludf.DUMMYFUNCTION("""COMPUTED_VALUE"""),"pnt")</f>
        <v>pnt</v>
      </c>
      <c r="C10096" s="2" t="str">
        <f ca="1">IFERROR(__xludf.DUMMYFUNCTION("""COMPUTED_VALUE"""),"pNetwork")</f>
        <v>pNetwork</v>
      </c>
    </row>
    <row r="10097" spans="1:3" x14ac:dyDescent="0.25">
      <c r="A10097" s="2" t="str">
        <f ca="1">IFERROR(__xludf.DUMMYFUNCTION("""COMPUTED_VALUE"""),"pnut")</f>
        <v>pnut</v>
      </c>
      <c r="B10097" s="2" t="str">
        <f ca="1">IFERROR(__xludf.DUMMYFUNCTION("""COMPUTED_VALUE"""),"pnut")</f>
        <v>pnut</v>
      </c>
      <c r="C10097" s="2" t="str">
        <f ca="1">IFERROR(__xludf.DUMMYFUNCTION("""COMPUTED_VALUE"""),"Pnut")</f>
        <v>Pnut</v>
      </c>
    </row>
    <row r="10098" spans="1:3" x14ac:dyDescent="0.25">
      <c r="A10098" s="2" t="str">
        <f ca="1">IFERROR(__xludf.DUMMYFUNCTION("""COMPUTED_VALUE"""),"pnwr-token")</f>
        <v>pnwr-token</v>
      </c>
      <c r="B10098" s="2" t="str">
        <f ca="1">IFERROR(__xludf.DUMMYFUNCTION("""COMPUTED_VALUE"""),"pnwr")</f>
        <v>pnwr</v>
      </c>
      <c r="C10098" s="2" t="str">
        <f ca="1">IFERROR(__xludf.DUMMYFUNCTION("""COMPUTED_VALUE"""),"PNWR Token")</f>
        <v>PNWR Token</v>
      </c>
    </row>
    <row r="10099" spans="1:3" x14ac:dyDescent="0.25">
      <c r="A10099" s="2" t="str">
        <f ca="1">IFERROR(__xludf.DUMMYFUNCTION("""COMPUTED_VALUE"""),"poc-blockchain")</f>
        <v>poc-blockchain</v>
      </c>
      <c r="B10099" s="2" t="str">
        <f ca="1">IFERROR(__xludf.DUMMYFUNCTION("""COMPUTED_VALUE"""),"poc")</f>
        <v>poc</v>
      </c>
      <c r="C10099" s="2" t="str">
        <f ca="1">IFERROR(__xludf.DUMMYFUNCTION("""COMPUTED_VALUE"""),"POC Blockchain")</f>
        <v>POC Blockchain</v>
      </c>
    </row>
    <row r="10100" spans="1:3" x14ac:dyDescent="0.25">
      <c r="A10100" s="2" t="str">
        <f ca="1">IFERROR(__xludf.DUMMYFUNCTION("""COMPUTED_VALUE"""),"pochita")</f>
        <v>pochita</v>
      </c>
      <c r="B10100" s="2" t="str">
        <f ca="1">IFERROR(__xludf.DUMMYFUNCTION("""COMPUTED_VALUE"""),"pochita")</f>
        <v>pochita</v>
      </c>
      <c r="C10100" s="2" t="str">
        <f ca="1">IFERROR(__xludf.DUMMYFUNCTION("""COMPUTED_VALUE"""),"Pochita")</f>
        <v>Pochita</v>
      </c>
    </row>
    <row r="10101" spans="1:3" x14ac:dyDescent="0.25">
      <c r="A10101" s="2" t="str">
        <f ca="1">IFERROR(__xludf.DUMMYFUNCTION("""COMPUTED_VALUE"""),"pochita-on-ethereum")</f>
        <v>pochita-on-ethereum</v>
      </c>
      <c r="B10101" s="2" t="str">
        <f ca="1">IFERROR(__xludf.DUMMYFUNCTION("""COMPUTED_VALUE"""),"pochita")</f>
        <v>pochita</v>
      </c>
      <c r="C10101" s="2" t="str">
        <f ca="1">IFERROR(__xludf.DUMMYFUNCTION("""COMPUTED_VALUE"""),"Pochita on Ethereum")</f>
        <v>Pochita on Ethereum</v>
      </c>
    </row>
    <row r="10102" spans="1:3" x14ac:dyDescent="0.25">
      <c r="A10102" s="2" t="str">
        <f ca="1">IFERROR(__xludf.DUMMYFUNCTION("""COMPUTED_VALUE"""),"pocketcoin")</f>
        <v>pocketcoin</v>
      </c>
      <c r="B10102" s="2" t="str">
        <f ca="1">IFERROR(__xludf.DUMMYFUNCTION("""COMPUTED_VALUE"""),"pkoin")</f>
        <v>pkoin</v>
      </c>
      <c r="C10102" s="2" t="str">
        <f ca="1">IFERROR(__xludf.DUMMYFUNCTION("""COMPUTED_VALUE"""),"Pocketcoin")</f>
        <v>Pocketcoin</v>
      </c>
    </row>
    <row r="10103" spans="1:3" x14ac:dyDescent="0.25">
      <c r="A10103" s="2" t="str">
        <f ca="1">IFERROR(__xludf.DUMMYFUNCTION("""COMPUTED_VALUE"""),"pocket-network")</f>
        <v>pocket-network</v>
      </c>
      <c r="B10103" s="2" t="str">
        <f ca="1">IFERROR(__xludf.DUMMYFUNCTION("""COMPUTED_VALUE"""),"pokt")</f>
        <v>pokt</v>
      </c>
      <c r="C10103" s="2" t="str">
        <f ca="1">IFERROR(__xludf.DUMMYFUNCTION("""COMPUTED_VALUE"""),"Pocket Network")</f>
        <v>Pocket Network</v>
      </c>
    </row>
    <row r="10104" spans="1:3" x14ac:dyDescent="0.25">
      <c r="A10104" s="2" t="str">
        <f ca="1">IFERROR(__xludf.DUMMYFUNCTION("""COMPUTED_VALUE"""),"pocket-watcher-bot")</f>
        <v>pocket-watcher-bot</v>
      </c>
      <c r="B10104" s="2" t="str">
        <f ca="1">IFERROR(__xludf.DUMMYFUNCTION("""COMPUTED_VALUE"""),"pocket")</f>
        <v>pocket</v>
      </c>
      <c r="C10104" s="2" t="str">
        <f ca="1">IFERROR(__xludf.DUMMYFUNCTION("""COMPUTED_VALUE"""),"Pocket Watcher Bot")</f>
        <v>Pocket Watcher Bot</v>
      </c>
    </row>
    <row r="10105" spans="1:3" x14ac:dyDescent="0.25">
      <c r="A10105" s="2" t="str">
        <f ca="1">IFERROR(__xludf.DUMMYFUNCTION("""COMPUTED_VALUE"""),"pocoland")</f>
        <v>pocoland</v>
      </c>
      <c r="B10105" s="2" t="str">
        <f ca="1">IFERROR(__xludf.DUMMYFUNCTION("""COMPUTED_VALUE"""),"poco")</f>
        <v>poco</v>
      </c>
      <c r="C10105" s="2" t="str">
        <f ca="1">IFERROR(__xludf.DUMMYFUNCTION("""COMPUTED_VALUE"""),"Pocoland")</f>
        <v>Pocoland</v>
      </c>
    </row>
    <row r="10106" spans="1:3" x14ac:dyDescent="0.25">
      <c r="A10106" s="2" t="str">
        <f ca="1">IFERROR(__xludf.DUMMYFUNCTION("""COMPUTED_VALUE"""),"podfast")</f>
        <v>podfast</v>
      </c>
      <c r="B10106" s="2" t="str">
        <f ca="1">IFERROR(__xludf.DUMMYFUNCTION("""COMPUTED_VALUE"""),"boost")</f>
        <v>boost</v>
      </c>
      <c r="C10106" s="2" t="str">
        <f ca="1">IFERROR(__xludf.DUMMYFUNCTION("""COMPUTED_VALUE"""),"BitBoost")</f>
        <v>BitBoost</v>
      </c>
    </row>
    <row r="10107" spans="1:3" x14ac:dyDescent="0.25">
      <c r="A10107" s="2" t="str">
        <f ca="1">IFERROR(__xludf.DUMMYFUNCTION("""COMPUTED_VALUE"""),"pod-finance")</f>
        <v>pod-finance</v>
      </c>
      <c r="B10107" s="2" t="str">
        <f ca="1">IFERROR(__xludf.DUMMYFUNCTION("""COMPUTED_VALUE"""),"pod")</f>
        <v>pod</v>
      </c>
      <c r="C10107" s="2" t="str">
        <f ca="1">IFERROR(__xludf.DUMMYFUNCTION("""COMPUTED_VALUE"""),"Pod Finance")</f>
        <v>Pod Finance</v>
      </c>
    </row>
    <row r="10108" spans="1:3" x14ac:dyDescent="0.25">
      <c r="A10108" s="2" t="str">
        <f ca="1">IFERROR(__xludf.DUMMYFUNCTION("""COMPUTED_VALUE"""),"pogai")</f>
        <v>pogai</v>
      </c>
      <c r="B10108" s="2" t="str">
        <f ca="1">IFERROR(__xludf.DUMMYFUNCTION("""COMPUTED_VALUE"""),"pogai")</f>
        <v>pogai</v>
      </c>
      <c r="C10108" s="2" t="str">
        <f ca="1">IFERROR(__xludf.DUMMYFUNCTION("""COMPUTED_VALUE"""),"POGAI")</f>
        <v>POGAI</v>
      </c>
    </row>
    <row r="10109" spans="1:3" x14ac:dyDescent="0.25">
      <c r="A10109" s="2" t="str">
        <f ca="1">IFERROR(__xludf.DUMMYFUNCTION("""COMPUTED_VALUE"""),"pogai-sol")</f>
        <v>pogai-sol</v>
      </c>
      <c r="B10109" s="2" t="str">
        <f ca="1">IFERROR(__xludf.DUMMYFUNCTION("""COMPUTED_VALUE"""),"pogai")</f>
        <v>pogai</v>
      </c>
      <c r="C10109" s="2" t="str">
        <f ca="1">IFERROR(__xludf.DUMMYFUNCTION("""COMPUTED_VALUE"""),"POGAI (SOL)")</f>
        <v>POGAI (SOL)</v>
      </c>
    </row>
    <row r="10110" spans="1:3" x14ac:dyDescent="0.25">
      <c r="A10110" s="2" t="str">
        <f ca="1">IFERROR(__xludf.DUMMYFUNCTION("""COMPUTED_VALUE"""),"pog-digital")</f>
        <v>pog-digital</v>
      </c>
      <c r="B10110" s="2" t="str">
        <f ca="1">IFERROR(__xludf.DUMMYFUNCTION("""COMPUTED_VALUE"""),"pogs")</f>
        <v>pogs</v>
      </c>
      <c r="C10110" s="2" t="str">
        <f ca="1">IFERROR(__xludf.DUMMYFUNCTION("""COMPUTED_VALUE"""),"Pog Digital")</f>
        <v>Pog Digital</v>
      </c>
    </row>
    <row r="10111" spans="1:3" x14ac:dyDescent="0.25">
      <c r="A10111" s="2" t="str">
        <f ca="1">IFERROR(__xludf.DUMMYFUNCTION("""COMPUTED_VALUE"""),"pointpay-2")</f>
        <v>pointpay-2</v>
      </c>
      <c r="B10111" s="2" t="str">
        <f ca="1">IFERROR(__xludf.DUMMYFUNCTION("""COMPUTED_VALUE"""),"pxp")</f>
        <v>pxp</v>
      </c>
      <c r="C10111" s="2" t="str">
        <f ca="1">IFERROR(__xludf.DUMMYFUNCTION("""COMPUTED_VALUE"""),"PointPay")</f>
        <v>PointPay</v>
      </c>
    </row>
    <row r="10112" spans="1:3" x14ac:dyDescent="0.25">
      <c r="A10112" s="2" t="str">
        <f ca="1">IFERROR(__xludf.DUMMYFUNCTION("""COMPUTED_VALUE"""),"points")</f>
        <v>points</v>
      </c>
      <c r="B10112" s="2" t="str">
        <f ca="1">IFERROR(__xludf.DUMMYFUNCTION("""COMPUTED_VALUE"""),"points")</f>
        <v>points</v>
      </c>
      <c r="C10112" s="2" t="str">
        <f ca="1">IFERROR(__xludf.DUMMYFUNCTION("""COMPUTED_VALUE"""),"Points")</f>
        <v>Points</v>
      </c>
    </row>
    <row r="10113" spans="1:3" x14ac:dyDescent="0.25">
      <c r="A10113" s="2" t="str">
        <f ca="1">IFERROR(__xludf.DUMMYFUNCTION("""COMPUTED_VALUE"""),"points-2")</f>
        <v>points-2</v>
      </c>
      <c r="B10113" s="2" t="str">
        <f ca="1">IFERROR(__xludf.DUMMYFUNCTION("""COMPUTED_VALUE"""),"points")</f>
        <v>points</v>
      </c>
      <c r="C10113" s="2" t="str">
        <f ca="1">IFERROR(__xludf.DUMMYFUNCTION("""COMPUTED_VALUE"""),"POINTS")</f>
        <v>POINTS</v>
      </c>
    </row>
    <row r="10114" spans="1:3" x14ac:dyDescent="0.25">
      <c r="A10114" s="2" t="str">
        <f ca="1">IFERROR(__xludf.DUMMYFUNCTION("""COMPUTED_VALUE"""),"points-on-solana")</f>
        <v>points-on-solana</v>
      </c>
      <c r="B10114" s="2" t="str">
        <f ca="1">IFERROR(__xludf.DUMMYFUNCTION("""COMPUTED_VALUE"""),"points")</f>
        <v>points</v>
      </c>
      <c r="C10114" s="2" t="str">
        <f ca="1">IFERROR(__xludf.DUMMYFUNCTION("""COMPUTED_VALUE"""),"Points on Solana")</f>
        <v>Points on Solana</v>
      </c>
    </row>
    <row r="10115" spans="1:3" x14ac:dyDescent="0.25">
      <c r="A10115" s="2" t="str">
        <f ca="1">IFERROR(__xludf.DUMMYFUNCTION("""COMPUTED_VALUE"""),"poison-finance")</f>
        <v>poison-finance</v>
      </c>
      <c r="B10115" s="2" t="str">
        <f ca="1">IFERROR(__xludf.DUMMYFUNCTION("""COMPUTED_VALUE"""),"poi$on")</f>
        <v>poi$on</v>
      </c>
      <c r="C10115" s="2" t="str">
        <f ca="1">IFERROR(__xludf.DUMMYFUNCTION("""COMPUTED_VALUE"""),"Poison Finance")</f>
        <v>Poison Finance</v>
      </c>
    </row>
    <row r="10116" spans="1:3" x14ac:dyDescent="0.25">
      <c r="A10116" s="2" t="str">
        <f ca="1">IFERROR(__xludf.DUMMYFUNCTION("""COMPUTED_VALUE"""),"pojak")</f>
        <v>pojak</v>
      </c>
      <c r="B10116" s="2" t="str">
        <f ca="1">IFERROR(__xludf.DUMMYFUNCTION("""COMPUTED_VALUE"""),"pj")</f>
        <v>pj</v>
      </c>
      <c r="C10116" s="2" t="str">
        <f ca="1">IFERROR(__xludf.DUMMYFUNCTION("""COMPUTED_VALUE"""),"Pojak")</f>
        <v>Pojak</v>
      </c>
    </row>
    <row r="10117" spans="1:3" x14ac:dyDescent="0.25">
      <c r="A10117" s="2" t="str">
        <f ca="1">IFERROR(__xludf.DUMMYFUNCTION("""COMPUTED_VALUE"""),"pokedx")</f>
        <v>pokedx</v>
      </c>
      <c r="B10117" s="2" t="str">
        <f ca="1">IFERROR(__xludf.DUMMYFUNCTION("""COMPUTED_VALUE"""),"pdx")</f>
        <v>pdx</v>
      </c>
      <c r="C10117" s="2" t="str">
        <f ca="1">IFERROR(__xludf.DUMMYFUNCTION("""COMPUTED_VALUE"""),"PokeDX")</f>
        <v>PokeDX</v>
      </c>
    </row>
    <row r="10118" spans="1:3" x14ac:dyDescent="0.25">
      <c r="A10118" s="2" t="str">
        <f ca="1">IFERROR(__xludf.DUMMYFUNCTION("""COMPUTED_VALUE"""),"pokegrok")</f>
        <v>pokegrok</v>
      </c>
      <c r="B10118" s="2" t="str">
        <f ca="1">IFERROR(__xludf.DUMMYFUNCTION("""COMPUTED_VALUE"""),"pokegrok")</f>
        <v>pokegrok</v>
      </c>
      <c r="C10118" s="2" t="str">
        <f ca="1">IFERROR(__xludf.DUMMYFUNCTION("""COMPUTED_VALUE"""),"PokeGROK")</f>
        <v>PokeGROK</v>
      </c>
    </row>
    <row r="10119" spans="1:3" x14ac:dyDescent="0.25">
      <c r="A10119" s="2" t="str">
        <f ca="1">IFERROR(__xludf.DUMMYFUNCTION("""COMPUTED_VALUE"""),"poken")</f>
        <v>poken</v>
      </c>
      <c r="B10119" s="2" t="str">
        <f ca="1">IFERROR(__xludf.DUMMYFUNCTION("""COMPUTED_VALUE"""),"pkn")</f>
        <v>pkn</v>
      </c>
      <c r="C10119" s="2" t="str">
        <f ca="1">IFERROR(__xludf.DUMMYFUNCTION("""COMPUTED_VALUE"""),"Poken")</f>
        <v>Poken</v>
      </c>
    </row>
    <row r="10120" spans="1:3" x14ac:dyDescent="0.25">
      <c r="A10120" s="2" t="str">
        <f ca="1">IFERROR(__xludf.DUMMYFUNCTION("""COMPUTED_VALUE"""),"pokerfi")</f>
        <v>pokerfi</v>
      </c>
      <c r="B10120" s="2" t="str">
        <f ca="1">IFERROR(__xludf.DUMMYFUNCTION("""COMPUTED_VALUE"""),"pokerfi")</f>
        <v>pokerfi</v>
      </c>
      <c r="C10120" s="2" t="str">
        <f ca="1">IFERROR(__xludf.DUMMYFUNCTION("""COMPUTED_VALUE"""),"PokerFi")</f>
        <v>PokerFi</v>
      </c>
    </row>
    <row r="10121" spans="1:3" x14ac:dyDescent="0.25">
      <c r="A10121" s="2" t="str">
        <f ca="1">IFERROR(__xludf.DUMMYFUNCTION("""COMPUTED_VALUE"""),"pokkycat")</f>
        <v>pokkycat</v>
      </c>
      <c r="B10121" s="2" t="str">
        <f ca="1">IFERROR(__xludf.DUMMYFUNCTION("""COMPUTED_VALUE"""),"pokky")</f>
        <v>pokky</v>
      </c>
      <c r="C10121" s="2" t="str">
        <f ca="1">IFERROR(__xludf.DUMMYFUNCTION("""COMPUTED_VALUE"""),"PokkyCat")</f>
        <v>PokkyCat</v>
      </c>
    </row>
    <row r="10122" spans="1:3" x14ac:dyDescent="0.25">
      <c r="A10122" s="2" t="str">
        <f ca="1">IFERROR(__xludf.DUMMYFUNCTION("""COMPUTED_VALUE"""),"poko")</f>
        <v>poko</v>
      </c>
      <c r="B10122" s="2" t="str">
        <f ca="1">IFERROR(__xludf.DUMMYFUNCTION("""COMPUTED_VALUE"""),"poko")</f>
        <v>poko</v>
      </c>
      <c r="C10122" s="2" t="str">
        <f ca="1">IFERROR(__xludf.DUMMYFUNCTION("""COMPUTED_VALUE"""),"POKO")</f>
        <v>POKO</v>
      </c>
    </row>
    <row r="10123" spans="1:3" x14ac:dyDescent="0.25">
      <c r="A10123" s="2" t="str">
        <f ca="1">IFERROR(__xludf.DUMMYFUNCTION("""COMPUTED_VALUE"""),"pokpok-golden-egg")</f>
        <v>pokpok-golden-egg</v>
      </c>
      <c r="B10123" s="2" t="str">
        <f ca="1">IFERROR(__xludf.DUMMYFUNCTION("""COMPUTED_VALUE"""),"pegg")</f>
        <v>pegg</v>
      </c>
      <c r="C10123" s="2" t="str">
        <f ca="1">IFERROR(__xludf.DUMMYFUNCTION("""COMPUTED_VALUE"""),"PokPok Golden Egg")</f>
        <v>PokPok Golden Egg</v>
      </c>
    </row>
    <row r="10124" spans="1:3" x14ac:dyDescent="0.25">
      <c r="A10124" s="2" t="str">
        <f ca="1">IFERROR(__xludf.DUMMYFUNCTION("""COMPUTED_VALUE"""),"pola")</f>
        <v>pola</v>
      </c>
      <c r="B10124" s="2" t="str">
        <f ca="1">IFERROR(__xludf.DUMMYFUNCTION("""COMPUTED_VALUE"""),"pola")</f>
        <v>pola</v>
      </c>
      <c r="C10124" s="2" t="str">
        <f ca="1">IFERROR(__xludf.DUMMYFUNCTION("""COMPUTED_VALUE"""),"Pola On Base")</f>
        <v>Pola On Base</v>
      </c>
    </row>
    <row r="10125" spans="1:3" x14ac:dyDescent="0.25">
      <c r="A10125" s="2" t="str">
        <f ca="1">IFERROR(__xludf.DUMMYFUNCTION("""COMPUTED_VALUE"""),"polaris-share")</f>
        <v>polaris-share</v>
      </c>
      <c r="B10125" s="2" t="str">
        <f ca="1">IFERROR(__xludf.DUMMYFUNCTION("""COMPUTED_VALUE"""),"pola")</f>
        <v>pola</v>
      </c>
      <c r="C10125" s="2" t="str">
        <f ca="1">IFERROR(__xludf.DUMMYFUNCTION("""COMPUTED_VALUE"""),"Polaris Share")</f>
        <v>Polaris Share</v>
      </c>
    </row>
    <row r="10126" spans="1:3" x14ac:dyDescent="0.25">
      <c r="A10126" s="2" t="str">
        <f ca="1">IFERROR(__xludf.DUMMYFUNCTION("""COMPUTED_VALUE"""),"polar-shares")</f>
        <v>polar-shares</v>
      </c>
      <c r="B10126" s="2" t="str">
        <f ca="1">IFERROR(__xludf.DUMMYFUNCTION("""COMPUTED_VALUE"""),"spolar")</f>
        <v>spolar</v>
      </c>
      <c r="C10126" s="2" t="str">
        <f ca="1">IFERROR(__xludf.DUMMYFUNCTION("""COMPUTED_VALUE"""),"Polar Shares")</f>
        <v>Polar Shares</v>
      </c>
    </row>
    <row r="10127" spans="1:3" x14ac:dyDescent="0.25">
      <c r="A10127" s="2" t="str">
        <f ca="1">IFERROR(__xludf.DUMMYFUNCTION("""COMPUTED_VALUE"""),"poldo")</f>
        <v>poldo</v>
      </c>
      <c r="B10127" s="2" t="str">
        <f ca="1">IFERROR(__xludf.DUMMYFUNCTION("""COMPUTED_VALUE"""),"poldo")</f>
        <v>poldo</v>
      </c>
      <c r="C10127" s="2" t="str">
        <f ca="1">IFERROR(__xludf.DUMMYFUNCTION("""COMPUTED_VALUE"""),"Poldo")</f>
        <v>Poldo</v>
      </c>
    </row>
    <row r="10128" spans="1:3" x14ac:dyDescent="0.25">
      <c r="A10128" s="2" t="str">
        <f ca="1">IFERROR(__xludf.DUMMYFUNCTION("""COMPUTED_VALUE"""),"polimec")</f>
        <v>polimec</v>
      </c>
      <c r="B10128" s="2" t="str">
        <f ca="1">IFERROR(__xludf.DUMMYFUNCTION("""COMPUTED_VALUE"""),"plmc")</f>
        <v>plmc</v>
      </c>
      <c r="C10128" s="2" t="str">
        <f ca="1">IFERROR(__xludf.DUMMYFUNCTION("""COMPUTED_VALUE"""),"Polimec")</f>
        <v>Polimec</v>
      </c>
    </row>
    <row r="10129" spans="1:3" x14ac:dyDescent="0.25">
      <c r="A10129" s="2" t="str">
        <f ca="1">IFERROR(__xludf.DUMMYFUNCTION("""COMPUTED_VALUE"""),"polinate")</f>
        <v>polinate</v>
      </c>
      <c r="B10129" s="2" t="str">
        <f ca="1">IFERROR(__xludf.DUMMYFUNCTION("""COMPUTED_VALUE"""),"poli")</f>
        <v>poli</v>
      </c>
      <c r="C10129" s="2" t="str">
        <f ca="1">IFERROR(__xludf.DUMMYFUNCTION("""COMPUTED_VALUE"""),"Polinate")</f>
        <v>Polinate</v>
      </c>
    </row>
    <row r="10130" spans="1:3" x14ac:dyDescent="0.25">
      <c r="A10130" s="2" t="str">
        <f ca="1">IFERROR(__xludf.DUMMYFUNCTION("""COMPUTED_VALUE"""),"polis")</f>
        <v>polis</v>
      </c>
      <c r="B10130" s="2" t="str">
        <f ca="1">IFERROR(__xludf.DUMMYFUNCTION("""COMPUTED_VALUE"""),"polis")</f>
        <v>polis</v>
      </c>
      <c r="C10130" s="2" t="str">
        <f ca="1">IFERROR(__xludf.DUMMYFUNCTION("""COMPUTED_VALUE"""),"Polis")</f>
        <v>Polis</v>
      </c>
    </row>
    <row r="10131" spans="1:3" x14ac:dyDescent="0.25">
      <c r="A10131" s="2" t="str">
        <f ca="1">IFERROR(__xludf.DUMMYFUNCTION("""COMPUTED_VALUE"""),"polite-cat")</f>
        <v>polite-cat</v>
      </c>
      <c r="B10131" s="2" t="str">
        <f ca="1">IFERROR(__xludf.DUMMYFUNCTION("""COMPUTED_VALUE"""),"pocat")</f>
        <v>pocat</v>
      </c>
      <c r="C10131" s="2" t="str">
        <f ca="1">IFERROR(__xludf.DUMMYFUNCTION("""COMPUTED_VALUE"""),"Polite Cat")</f>
        <v>Polite Cat</v>
      </c>
    </row>
    <row r="10132" spans="1:3" x14ac:dyDescent="0.25">
      <c r="A10132" s="2" t="str">
        <f ca="1">IFERROR(__xludf.DUMMYFUNCTION("""COMPUTED_VALUE"""),"polkabridge")</f>
        <v>polkabridge</v>
      </c>
      <c r="B10132" s="2" t="str">
        <f ca="1">IFERROR(__xludf.DUMMYFUNCTION("""COMPUTED_VALUE"""),"pbr")</f>
        <v>pbr</v>
      </c>
      <c r="C10132" s="2" t="str">
        <f ca="1">IFERROR(__xludf.DUMMYFUNCTION("""COMPUTED_VALUE"""),"PolkaBridge")</f>
        <v>PolkaBridge</v>
      </c>
    </row>
    <row r="10133" spans="1:3" x14ac:dyDescent="0.25">
      <c r="A10133" s="2" t="str">
        <f ca="1">IFERROR(__xludf.DUMMYFUNCTION("""COMPUTED_VALUE"""),"polka-city")</f>
        <v>polka-city</v>
      </c>
      <c r="B10133" s="2" t="str">
        <f ca="1">IFERROR(__xludf.DUMMYFUNCTION("""COMPUTED_VALUE"""),"polc")</f>
        <v>polc</v>
      </c>
      <c r="C10133" s="2" t="str">
        <f ca="1">IFERROR(__xludf.DUMMYFUNCTION("""COMPUTED_VALUE"""),"Polkacity")</f>
        <v>Polkacity</v>
      </c>
    </row>
    <row r="10134" spans="1:3" x14ac:dyDescent="0.25">
      <c r="A10134" s="2" t="str">
        <f ca="1">IFERROR(__xludf.DUMMYFUNCTION("""COMPUTED_VALUE"""),"polkadex")</f>
        <v>polkadex</v>
      </c>
      <c r="B10134" s="2" t="str">
        <f ca="1">IFERROR(__xludf.DUMMYFUNCTION("""COMPUTED_VALUE"""),"pdex")</f>
        <v>pdex</v>
      </c>
      <c r="C10134" s="2" t="str">
        <f ca="1">IFERROR(__xludf.DUMMYFUNCTION("""COMPUTED_VALUE"""),"Polkadex")</f>
        <v>Polkadex</v>
      </c>
    </row>
    <row r="10135" spans="1:3" x14ac:dyDescent="0.25">
      <c r="A10135" s="2" t="str">
        <f ca="1">IFERROR(__xludf.DUMMYFUNCTION("""COMPUTED_VALUE"""),"polkadot")</f>
        <v>polkadot</v>
      </c>
      <c r="B10135" s="2" t="str">
        <f ca="1">IFERROR(__xludf.DUMMYFUNCTION("""COMPUTED_VALUE"""),"dot")</f>
        <v>dot</v>
      </c>
      <c r="C10135" s="2" t="str">
        <f ca="1">IFERROR(__xludf.DUMMYFUNCTION("""COMPUTED_VALUE"""),"Polkadot")</f>
        <v>Polkadot</v>
      </c>
    </row>
    <row r="10136" spans="1:3" x14ac:dyDescent="0.25">
      <c r="A10136" s="2" t="str">
        <f ca="1">IFERROR(__xludf.DUMMYFUNCTION("""COMPUTED_VALUE"""),"polkafoundry")</f>
        <v>polkafoundry</v>
      </c>
      <c r="B10136" s="2" t="str">
        <f ca="1">IFERROR(__xludf.DUMMYFUNCTION("""COMPUTED_VALUE"""),"pkf")</f>
        <v>pkf</v>
      </c>
      <c r="C10136" s="2" t="str">
        <f ca="1">IFERROR(__xludf.DUMMYFUNCTION("""COMPUTED_VALUE"""),"Red Kite")</f>
        <v>Red Kite</v>
      </c>
    </row>
    <row r="10137" spans="1:3" x14ac:dyDescent="0.25">
      <c r="A10137" s="2" t="str">
        <f ca="1">IFERROR(__xludf.DUMMYFUNCTION("""COMPUTED_VALUE"""),"polkagold")</f>
        <v>polkagold</v>
      </c>
      <c r="B10137" s="2" t="str">
        <f ca="1">IFERROR(__xludf.DUMMYFUNCTION("""COMPUTED_VALUE"""),"pgold")</f>
        <v>pgold</v>
      </c>
      <c r="C10137" s="2" t="str">
        <f ca="1">IFERROR(__xludf.DUMMYFUNCTION("""COMPUTED_VALUE"""),"Polkagold")</f>
        <v>Polkagold</v>
      </c>
    </row>
    <row r="10138" spans="1:3" x14ac:dyDescent="0.25">
      <c r="A10138" s="2" t="str">
        <f ca="1">IFERROR(__xludf.DUMMYFUNCTION("""COMPUTED_VALUE"""),"polkamarkets")</f>
        <v>polkamarkets</v>
      </c>
      <c r="B10138" s="2" t="str">
        <f ca="1">IFERROR(__xludf.DUMMYFUNCTION("""COMPUTED_VALUE"""),"polk")</f>
        <v>polk</v>
      </c>
      <c r="C10138" s="2" t="str">
        <f ca="1">IFERROR(__xludf.DUMMYFUNCTION("""COMPUTED_VALUE"""),"Polkamarkets")</f>
        <v>Polkamarkets</v>
      </c>
    </row>
    <row r="10139" spans="1:3" x14ac:dyDescent="0.25">
      <c r="A10139" s="2" t="str">
        <f ca="1">IFERROR(__xludf.DUMMYFUNCTION("""COMPUTED_VALUE"""),"polkapet-world")</f>
        <v>polkapet-world</v>
      </c>
      <c r="B10139" s="2" t="str">
        <f ca="1">IFERROR(__xludf.DUMMYFUNCTION("""COMPUTED_VALUE"""),"pets")</f>
        <v>pets</v>
      </c>
      <c r="C10139" s="2" t="str">
        <f ca="1">IFERROR(__xludf.DUMMYFUNCTION("""COMPUTED_VALUE"""),"PolkaPet World")</f>
        <v>PolkaPet World</v>
      </c>
    </row>
    <row r="10140" spans="1:3" x14ac:dyDescent="0.25">
      <c r="A10140" s="2" t="str">
        <f ca="1">IFERROR(__xludf.DUMMYFUNCTION("""COMPUTED_VALUE"""),"polkarare")</f>
        <v>polkarare</v>
      </c>
      <c r="B10140" s="2" t="str">
        <f ca="1">IFERROR(__xludf.DUMMYFUNCTION("""COMPUTED_VALUE"""),"prare")</f>
        <v>prare</v>
      </c>
      <c r="C10140" s="2" t="str">
        <f ca="1">IFERROR(__xludf.DUMMYFUNCTION("""COMPUTED_VALUE"""),"Polkarare")</f>
        <v>Polkarare</v>
      </c>
    </row>
    <row r="10141" spans="1:3" x14ac:dyDescent="0.25">
      <c r="A10141" s="2" t="str">
        <f ca="1">IFERROR(__xludf.DUMMYFUNCTION("""COMPUTED_VALUE"""),"polkastarter")</f>
        <v>polkastarter</v>
      </c>
      <c r="B10141" s="2" t="str">
        <f ca="1">IFERROR(__xludf.DUMMYFUNCTION("""COMPUTED_VALUE"""),"pols")</f>
        <v>pols</v>
      </c>
      <c r="C10141" s="2" t="str">
        <f ca="1">IFERROR(__xludf.DUMMYFUNCTION("""COMPUTED_VALUE"""),"Polkastarter")</f>
        <v>Polkastarter</v>
      </c>
    </row>
    <row r="10142" spans="1:3" x14ac:dyDescent="0.25">
      <c r="A10142" s="2" t="str">
        <f ca="1">IFERROR(__xludf.DUMMYFUNCTION("""COMPUTED_VALUE"""),"polkaswap")</f>
        <v>polkaswap</v>
      </c>
      <c r="B10142" s="2" t="str">
        <f ca="1">IFERROR(__xludf.DUMMYFUNCTION("""COMPUTED_VALUE"""),"pswap")</f>
        <v>pswap</v>
      </c>
      <c r="C10142" s="2" t="str">
        <f ca="1">IFERROR(__xludf.DUMMYFUNCTION("""COMPUTED_VALUE"""),"Polkaswap")</f>
        <v>Polkaswap</v>
      </c>
    </row>
    <row r="10143" spans="1:3" x14ac:dyDescent="0.25">
      <c r="A10143" s="2" t="str">
        <f ca="1">IFERROR(__xludf.DUMMYFUNCTION("""COMPUTED_VALUE"""),"polkawar")</f>
        <v>polkawar</v>
      </c>
      <c r="B10143" s="2" t="str">
        <f ca="1">IFERROR(__xludf.DUMMYFUNCTION("""COMPUTED_VALUE"""),"pwar")</f>
        <v>pwar</v>
      </c>
      <c r="C10143" s="2" t="str">
        <f ca="1">IFERROR(__xludf.DUMMYFUNCTION("""COMPUTED_VALUE"""),"PolkaWar")</f>
        <v>PolkaWar</v>
      </c>
    </row>
    <row r="10144" spans="1:3" x14ac:dyDescent="0.25">
      <c r="A10144" s="2" t="str">
        <f ca="1">IFERROR(__xludf.DUMMYFUNCTION("""COMPUTED_VALUE"""),"polker")</f>
        <v>polker</v>
      </c>
      <c r="B10144" s="2" t="str">
        <f ca="1">IFERROR(__xludf.DUMMYFUNCTION("""COMPUTED_VALUE"""),"pkr")</f>
        <v>pkr</v>
      </c>
      <c r="C10144" s="2" t="str">
        <f ca="1">IFERROR(__xludf.DUMMYFUNCTION("""COMPUTED_VALUE"""),"Polker")</f>
        <v>Polker</v>
      </c>
    </row>
    <row r="10145" spans="1:3" x14ac:dyDescent="0.25">
      <c r="A10145" s="2" t="str">
        <f ca="1">IFERROR(__xludf.DUMMYFUNCTION("""COMPUTED_VALUE"""),"pollen")</f>
        <v>pollen</v>
      </c>
      <c r="B10145" s="2" t="str">
        <f ca="1">IFERROR(__xludf.DUMMYFUNCTION("""COMPUTED_VALUE"""),"pln")</f>
        <v>pln</v>
      </c>
      <c r="C10145" s="2" t="str">
        <f ca="1">IFERROR(__xludf.DUMMYFUNCTION("""COMPUTED_VALUE"""),"Pollen")</f>
        <v>Pollen</v>
      </c>
    </row>
    <row r="10146" spans="1:3" x14ac:dyDescent="0.25">
      <c r="A10146" s="2" t="str">
        <f ca="1">IFERROR(__xludf.DUMMYFUNCTION("""COMPUTED_VALUE"""),"pollux-coin")</f>
        <v>pollux-coin</v>
      </c>
      <c r="B10146" s="2" t="str">
        <f ca="1">IFERROR(__xludf.DUMMYFUNCTION("""COMPUTED_VALUE"""),"pox")</f>
        <v>pox</v>
      </c>
      <c r="C10146" s="2" t="str">
        <f ca="1">IFERROR(__xludf.DUMMYFUNCTION("""COMPUTED_VALUE"""),"Pollux Coin")</f>
        <v>Pollux Coin</v>
      </c>
    </row>
    <row r="10147" spans="1:3" x14ac:dyDescent="0.25">
      <c r="A10147" s="2" t="str">
        <f ca="1">IFERROR(__xludf.DUMMYFUNCTION("""COMPUTED_VALUE"""),"polly")</f>
        <v>polly</v>
      </c>
      <c r="B10147" s="2" t="str">
        <f ca="1">IFERROR(__xludf.DUMMYFUNCTION("""COMPUTED_VALUE"""),"polly")</f>
        <v>polly</v>
      </c>
      <c r="C10147" s="2" t="str">
        <f ca="1">IFERROR(__xludf.DUMMYFUNCTION("""COMPUTED_VALUE"""),"Polly Finance")</f>
        <v>Polly Finance</v>
      </c>
    </row>
    <row r="10148" spans="1:3" x14ac:dyDescent="0.25">
      <c r="A10148" s="2" t="str">
        <f ca="1">IFERROR(__xludf.DUMMYFUNCTION("""COMPUTED_VALUE"""),"polly-defi-nest")</f>
        <v>polly-defi-nest</v>
      </c>
      <c r="B10148" s="2" t="str">
        <f ca="1">IFERROR(__xludf.DUMMYFUNCTION("""COMPUTED_VALUE"""),"ndefi")</f>
        <v>ndefi</v>
      </c>
      <c r="C10148" s="2" t="str">
        <f ca="1">IFERROR(__xludf.DUMMYFUNCTION("""COMPUTED_VALUE"""),"Polly DeFi Nest")</f>
        <v>Polly DeFi Nest</v>
      </c>
    </row>
    <row r="10149" spans="1:3" x14ac:dyDescent="0.25">
      <c r="A10149" s="2" t="str">
        <f ca="1">IFERROR(__xludf.DUMMYFUNCTION("""COMPUTED_VALUE"""),"polter-finance")</f>
        <v>polter-finance</v>
      </c>
      <c r="B10149" s="2" t="str">
        <f ca="1">IFERROR(__xludf.DUMMYFUNCTION("""COMPUTED_VALUE"""),"polter")</f>
        <v>polter</v>
      </c>
      <c r="C10149" s="2" t="str">
        <f ca="1">IFERROR(__xludf.DUMMYFUNCTION("""COMPUTED_VALUE"""),"Polter.finance")</f>
        <v>Polter.finance</v>
      </c>
    </row>
    <row r="10150" spans="1:3" x14ac:dyDescent="0.25">
      <c r="A10150" s="2" t="str">
        <f ca="1">IFERROR(__xludf.DUMMYFUNCTION("""COMPUTED_VALUE"""),"polybet")</f>
        <v>polybet</v>
      </c>
      <c r="B10150" s="2" t="str">
        <f ca="1">IFERROR(__xludf.DUMMYFUNCTION("""COMPUTED_VALUE"""),"pbt")</f>
        <v>pbt</v>
      </c>
      <c r="C10150" s="2" t="str">
        <f ca="1">IFERROR(__xludf.DUMMYFUNCTION("""COMPUTED_VALUE"""),"PolyBet")</f>
        <v>PolyBet</v>
      </c>
    </row>
    <row r="10151" spans="1:3" x14ac:dyDescent="0.25">
      <c r="A10151" s="2" t="str">
        <f ca="1">IFERROR(__xludf.DUMMYFUNCTION("""COMPUTED_VALUE"""),"polycat-finance")</f>
        <v>polycat-finance</v>
      </c>
      <c r="B10151" s="2" t="str">
        <f ca="1">IFERROR(__xludf.DUMMYFUNCTION("""COMPUTED_VALUE"""),"fish")</f>
        <v>fish</v>
      </c>
      <c r="C10151" s="2" t="str">
        <f ca="1">IFERROR(__xludf.DUMMYFUNCTION("""COMPUTED_VALUE"""),"Polycat Finance")</f>
        <v>Polycat Finance</v>
      </c>
    </row>
    <row r="10152" spans="1:3" x14ac:dyDescent="0.25">
      <c r="A10152" s="2" t="str">
        <f ca="1">IFERROR(__xludf.DUMMYFUNCTION("""COMPUTED_VALUE"""),"polychain-monsters")</f>
        <v>polychain-monsters</v>
      </c>
      <c r="B10152" s="2" t="str">
        <f ca="1">IFERROR(__xludf.DUMMYFUNCTION("""COMPUTED_VALUE"""),"pmon")</f>
        <v>pmon</v>
      </c>
      <c r="C10152" s="2" t="str">
        <f ca="1">IFERROR(__xludf.DUMMYFUNCTION("""COMPUTED_VALUE"""),"Protocol Monsters")</f>
        <v>Protocol Monsters</v>
      </c>
    </row>
    <row r="10153" spans="1:3" x14ac:dyDescent="0.25">
      <c r="A10153" s="2" t="str">
        <f ca="1">IFERROR(__xludf.DUMMYFUNCTION("""COMPUTED_VALUE"""),"polycub")</f>
        <v>polycub</v>
      </c>
      <c r="B10153" s="2" t="str">
        <f ca="1">IFERROR(__xludf.DUMMYFUNCTION("""COMPUTED_VALUE"""),"polycub")</f>
        <v>polycub</v>
      </c>
      <c r="C10153" s="2" t="str">
        <f ca="1">IFERROR(__xludf.DUMMYFUNCTION("""COMPUTED_VALUE"""),"PolyCub")</f>
        <v>PolyCub</v>
      </c>
    </row>
    <row r="10154" spans="1:3" x14ac:dyDescent="0.25">
      <c r="A10154" s="2" t="str">
        <f ca="1">IFERROR(__xludf.DUMMYFUNCTION("""COMPUTED_VALUE"""),"polydoge")</f>
        <v>polydoge</v>
      </c>
      <c r="B10154" s="2" t="str">
        <f ca="1">IFERROR(__xludf.DUMMYFUNCTION("""COMPUTED_VALUE"""),"polydoge")</f>
        <v>polydoge</v>
      </c>
      <c r="C10154" s="2" t="str">
        <f ca="1">IFERROR(__xludf.DUMMYFUNCTION("""COMPUTED_VALUE"""),"PolyDoge")</f>
        <v>PolyDoge</v>
      </c>
    </row>
    <row r="10155" spans="1:3" x14ac:dyDescent="0.25">
      <c r="A10155" s="2" t="str">
        <f ca="1">IFERROR(__xludf.DUMMYFUNCTION("""COMPUTED_VALUE"""),"polygen")</f>
        <v>polygen</v>
      </c>
      <c r="B10155" s="2" t="str">
        <f ca="1">IFERROR(__xludf.DUMMYFUNCTION("""COMPUTED_VALUE"""),"pgen")</f>
        <v>pgen</v>
      </c>
      <c r="C10155" s="2" t="str">
        <f ca="1">IFERROR(__xludf.DUMMYFUNCTION("""COMPUTED_VALUE"""),"Polygen")</f>
        <v>Polygen</v>
      </c>
    </row>
    <row r="10156" spans="1:3" x14ac:dyDescent="0.25">
      <c r="A10156" s="2" t="str">
        <f ca="1">IFERROR(__xludf.DUMMYFUNCTION("""COMPUTED_VALUE"""),"polygod")</f>
        <v>polygod</v>
      </c>
      <c r="B10156" s="2" t="str">
        <f ca="1">IFERROR(__xludf.DUMMYFUNCTION("""COMPUTED_VALUE"""),"gull")</f>
        <v>gull</v>
      </c>
      <c r="C10156" s="2" t="str">
        <f ca="1">IFERROR(__xludf.DUMMYFUNCTION("""COMPUTED_VALUE"""),"PolyGod")</f>
        <v>PolyGod</v>
      </c>
    </row>
    <row r="10157" spans="1:3" x14ac:dyDescent="0.25">
      <c r="A10157" s="2" t="str">
        <f ca="1">IFERROR(__xludf.DUMMYFUNCTION("""COMPUTED_VALUE"""),"polygold")</f>
        <v>polygold</v>
      </c>
      <c r="B10157" s="2" t="str">
        <f ca="1">IFERROR(__xludf.DUMMYFUNCTION("""COMPUTED_VALUE"""),"polygold")</f>
        <v>polygold</v>
      </c>
      <c r="C10157" s="2" t="str">
        <f ca="1">IFERROR(__xludf.DUMMYFUNCTION("""COMPUTED_VALUE"""),"PolyGold")</f>
        <v>PolyGold</v>
      </c>
    </row>
    <row r="10158" spans="1:3" x14ac:dyDescent="0.25">
      <c r="A10158" s="2" t="str">
        <f ca="1">IFERROR(__xludf.DUMMYFUNCTION("""COMPUTED_VALUE"""),"polygon-bridged-usdt-polygon")</f>
        <v>polygon-bridged-usdt-polygon</v>
      </c>
      <c r="B10158" s="2" t="str">
        <f ca="1">IFERROR(__xludf.DUMMYFUNCTION("""COMPUTED_VALUE"""),"usdt")</f>
        <v>usdt</v>
      </c>
      <c r="C10158" s="2" t="str">
        <f ca="1">IFERROR(__xludf.DUMMYFUNCTION("""COMPUTED_VALUE"""),"Polygon Bridged USDT (Polygon)")</f>
        <v>Polygon Bridged USDT (Polygon)</v>
      </c>
    </row>
    <row r="10159" spans="1:3" x14ac:dyDescent="0.25">
      <c r="A10159" s="2" t="str">
        <f ca="1">IFERROR(__xludf.DUMMYFUNCTION("""COMPUTED_VALUE"""),"polygon-bridged-wbtc-polygon-pos")</f>
        <v>polygon-bridged-wbtc-polygon-pos</v>
      </c>
      <c r="B10159" s="2" t="str">
        <f ca="1">IFERROR(__xludf.DUMMYFUNCTION("""COMPUTED_VALUE"""),"wbtc")</f>
        <v>wbtc</v>
      </c>
      <c r="C10159" s="2" t="str">
        <f ca="1">IFERROR(__xludf.DUMMYFUNCTION("""COMPUTED_VALUE"""),"Polygon Bridged WBTC (Polygon POS)")</f>
        <v>Polygon Bridged WBTC (Polygon POS)</v>
      </c>
    </row>
    <row r="10160" spans="1:3" x14ac:dyDescent="0.25">
      <c r="A10160" s="2" t="str">
        <f ca="1">IFERROR(__xludf.DUMMYFUNCTION("""COMPUTED_VALUE"""),"polygon-ecosystem-token")</f>
        <v>polygon-ecosystem-token</v>
      </c>
      <c r="B10160" s="2" t="str">
        <f ca="1">IFERROR(__xludf.DUMMYFUNCTION("""COMPUTED_VALUE"""),"pol")</f>
        <v>pol</v>
      </c>
      <c r="C10160" s="2" t="str">
        <f ca="1">IFERROR(__xludf.DUMMYFUNCTION("""COMPUTED_VALUE"""),"POL (ex-MATIC)")</f>
        <v>POL (ex-MATIC)</v>
      </c>
    </row>
    <row r="10161" spans="1:3" x14ac:dyDescent="0.25">
      <c r="A10161" s="2" t="str">
        <f ca="1">IFERROR(__xludf.DUMMYFUNCTION("""COMPUTED_VALUE"""),"polygonfarm-finance")</f>
        <v>polygonfarm-finance</v>
      </c>
      <c r="B10161" s="2" t="str">
        <f ca="1">IFERROR(__xludf.DUMMYFUNCTION("""COMPUTED_VALUE"""),"spade")</f>
        <v>spade</v>
      </c>
      <c r="C10161" s="2" t="str">
        <f ca="1">IFERROR(__xludf.DUMMYFUNCTION("""COMPUTED_VALUE"""),"PolygonFarm Finance")</f>
        <v>PolygonFarm Finance</v>
      </c>
    </row>
    <row r="10162" spans="1:3" x14ac:dyDescent="0.25">
      <c r="A10162" s="2" t="str">
        <f ca="1">IFERROR(__xludf.DUMMYFUNCTION("""COMPUTED_VALUE"""),"polygon-hermez-bridged-dai-x-layer")</f>
        <v>polygon-hermez-bridged-dai-x-layer</v>
      </c>
      <c r="B10162" s="2" t="str">
        <f ca="1">IFERROR(__xludf.DUMMYFUNCTION("""COMPUTED_VALUE"""),"dai")</f>
        <v>dai</v>
      </c>
      <c r="C10162" s="2" t="str">
        <f ca="1">IFERROR(__xludf.DUMMYFUNCTION("""COMPUTED_VALUE"""),"x Layer Bridged DAI (x Layer)")</f>
        <v>x Layer Bridged DAI (x Layer)</v>
      </c>
    </row>
    <row r="10163" spans="1:3" x14ac:dyDescent="0.25">
      <c r="A10163" s="2" t="str">
        <f ca="1">IFERROR(__xludf.DUMMYFUNCTION("""COMPUTED_VALUE"""),"polygon-hermez-bridged-usdc-polygon-zkevm")</f>
        <v>polygon-hermez-bridged-usdc-polygon-zkevm</v>
      </c>
      <c r="B10163" s="2" t="str">
        <f ca="1">IFERROR(__xludf.DUMMYFUNCTION("""COMPUTED_VALUE"""),"usdc")</f>
        <v>usdc</v>
      </c>
      <c r="C10163" s="2" t="str">
        <f ca="1">IFERROR(__xludf.DUMMYFUNCTION("""COMPUTED_VALUE"""),"Polygon Hermez Bridged USDC (Polygon zkEVM)")</f>
        <v>Polygon Hermez Bridged USDC (Polygon zkEVM)</v>
      </c>
    </row>
    <row r="10164" spans="1:3" x14ac:dyDescent="0.25">
      <c r="A10164" s="2" t="str">
        <f ca="1">IFERROR(__xludf.DUMMYFUNCTION("""COMPUTED_VALUE"""),"polygon-hermez-bridged-usdc-x-layer")</f>
        <v>polygon-hermez-bridged-usdc-x-layer</v>
      </c>
      <c r="B10164" s="2" t="str">
        <f ca="1">IFERROR(__xludf.DUMMYFUNCTION("""COMPUTED_VALUE"""),"usdc")</f>
        <v>usdc</v>
      </c>
      <c r="C10164" s="2" t="str">
        <f ca="1">IFERROR(__xludf.DUMMYFUNCTION("""COMPUTED_VALUE"""),"Polygon Hermez Bridged USDC (x Layer)")</f>
        <v>Polygon Hermez Bridged USDC (x Layer)</v>
      </c>
    </row>
    <row r="10165" spans="1:3" x14ac:dyDescent="0.25">
      <c r="A10165" s="2" t="str">
        <f ca="1">IFERROR(__xludf.DUMMYFUNCTION("""COMPUTED_VALUE"""),"polygon-hermez-bridged-usdt-polygon-zkevm")</f>
        <v>polygon-hermez-bridged-usdt-polygon-zkevm</v>
      </c>
      <c r="B10165" s="2" t="str">
        <f ca="1">IFERROR(__xludf.DUMMYFUNCTION("""COMPUTED_VALUE"""),"usdt")</f>
        <v>usdt</v>
      </c>
      <c r="C10165" s="2" t="str">
        <f ca="1">IFERROR(__xludf.DUMMYFUNCTION("""COMPUTED_VALUE"""),"Polygon Hermez Bridged USDT (Polygon zkEVM)")</f>
        <v>Polygon Hermez Bridged USDT (Polygon zkEVM)</v>
      </c>
    </row>
    <row r="10166" spans="1:3" x14ac:dyDescent="0.25">
      <c r="A10166" s="2" t="str">
        <f ca="1">IFERROR(__xludf.DUMMYFUNCTION("""COMPUTED_VALUE"""),"polygon-hermez-bridged-usdt-x-layer")</f>
        <v>polygon-hermez-bridged-usdt-x-layer</v>
      </c>
      <c r="B10166" s="2" t="str">
        <f ca="1">IFERROR(__xludf.DUMMYFUNCTION("""COMPUTED_VALUE"""),"usdt")</f>
        <v>usdt</v>
      </c>
      <c r="C10166" s="2" t="str">
        <f ca="1">IFERROR(__xludf.DUMMYFUNCTION("""COMPUTED_VALUE"""),"Polygon Hermez Bridged USDT (x Layer)")</f>
        <v>Polygon Hermez Bridged USDT (x Layer)</v>
      </c>
    </row>
    <row r="10167" spans="1:3" x14ac:dyDescent="0.25">
      <c r="A10167" s="2" t="str">
        <f ca="1">IFERROR(__xludf.DUMMYFUNCTION("""COMPUTED_VALUE"""),"polygon-hermez-bridged-wbtc-x-layer")</f>
        <v>polygon-hermez-bridged-wbtc-x-layer</v>
      </c>
      <c r="B10167" s="2" t="str">
        <f ca="1">IFERROR(__xludf.DUMMYFUNCTION("""COMPUTED_VALUE"""),"wbtc")</f>
        <v>wbtc</v>
      </c>
      <c r="C10167" s="2" t="str">
        <f ca="1">IFERROR(__xludf.DUMMYFUNCTION("""COMPUTED_VALUE"""),"x Layer Bridged WBTC (x Layer)")</f>
        <v>x Layer Bridged WBTC (x Layer)</v>
      </c>
    </row>
    <row r="10168" spans="1:3" x14ac:dyDescent="0.25">
      <c r="A10168" s="2" t="str">
        <f ca="1">IFERROR(__xludf.DUMMYFUNCTION("""COMPUTED_VALUE"""),"polygon-hermez-bridged-weth-polygon-zkevm")</f>
        <v>polygon-hermez-bridged-weth-polygon-zkevm</v>
      </c>
      <c r="B10168" s="2" t="str">
        <f ca="1">IFERROR(__xludf.DUMMYFUNCTION("""COMPUTED_VALUE"""),"weth")</f>
        <v>weth</v>
      </c>
      <c r="C10168" s="2" t="str">
        <f ca="1">IFERROR(__xludf.DUMMYFUNCTION("""COMPUTED_VALUE"""),"Polygon Hermez Bridged WETH (Polygon zkEVM)")</f>
        <v>Polygon Hermez Bridged WETH (Polygon zkEVM)</v>
      </c>
    </row>
    <row r="10169" spans="1:3" x14ac:dyDescent="0.25">
      <c r="A10169" s="2" t="str">
        <f ca="1">IFERROR(__xludf.DUMMYFUNCTION("""COMPUTED_VALUE"""),"polygon-pos-bridged-dai-polygon-pos")</f>
        <v>polygon-pos-bridged-dai-polygon-pos</v>
      </c>
      <c r="B10169" s="2" t="str">
        <f ca="1">IFERROR(__xludf.DUMMYFUNCTION("""COMPUTED_VALUE"""),"dai")</f>
        <v>dai</v>
      </c>
      <c r="C10169" s="2" t="str">
        <f ca="1">IFERROR(__xludf.DUMMYFUNCTION("""COMPUTED_VALUE"""),"Polygon PoS Bridged DAI (Polygon POS)")</f>
        <v>Polygon PoS Bridged DAI (Polygon POS)</v>
      </c>
    </row>
    <row r="10170" spans="1:3" x14ac:dyDescent="0.25">
      <c r="A10170" s="2" t="str">
        <f ca="1">IFERROR(__xludf.DUMMYFUNCTION("""COMPUTED_VALUE"""),"polygon-pos-bridged-weth-polygon-pos")</f>
        <v>polygon-pos-bridged-weth-polygon-pos</v>
      </c>
      <c r="B10170" s="2" t="str">
        <f ca="1">IFERROR(__xludf.DUMMYFUNCTION("""COMPUTED_VALUE"""),"weth")</f>
        <v>weth</v>
      </c>
      <c r="C10170" s="2" t="str">
        <f ca="1">IFERROR(__xludf.DUMMYFUNCTION("""COMPUTED_VALUE"""),"Polygon PoS Bridged WETH (Polygon POS)")</f>
        <v>Polygon PoS Bridged WETH (Polygon POS)</v>
      </c>
    </row>
    <row r="10171" spans="1:3" x14ac:dyDescent="0.25">
      <c r="A10171" s="2" t="str">
        <f ca="1">IFERROR(__xludf.DUMMYFUNCTION("""COMPUTED_VALUE"""),"polygon-zkevm-bridged-dai-polygon-zkevm")</f>
        <v>polygon-zkevm-bridged-dai-polygon-zkevm</v>
      </c>
      <c r="B10171" s="2" t="str">
        <f ca="1">IFERROR(__xludf.DUMMYFUNCTION("""COMPUTED_VALUE"""),"dai")</f>
        <v>dai</v>
      </c>
      <c r="C10171" s="2" t="str">
        <f ca="1">IFERROR(__xludf.DUMMYFUNCTION("""COMPUTED_VALUE"""),"Polygon zkEVM Bridged DAI (Polygon zkEVM)")</f>
        <v>Polygon zkEVM Bridged DAI (Polygon zkEVM)</v>
      </c>
    </row>
    <row r="10172" spans="1:3" x14ac:dyDescent="0.25">
      <c r="A10172" s="2" t="str">
        <f ca="1">IFERROR(__xludf.DUMMYFUNCTION("""COMPUTED_VALUE"""),"polygon-zkevm-bridged-wbtc-polygon-zkevm")</f>
        <v>polygon-zkevm-bridged-wbtc-polygon-zkevm</v>
      </c>
      <c r="B10172" s="2" t="str">
        <f ca="1">IFERROR(__xludf.DUMMYFUNCTION("""COMPUTED_VALUE"""),"wbtc")</f>
        <v>wbtc</v>
      </c>
      <c r="C10172" s="2" t="str">
        <f ca="1">IFERROR(__xludf.DUMMYFUNCTION("""COMPUTED_VALUE"""),"Polygon zkEVM Bridged WBTC (Polygon zkEVM)")</f>
        <v>Polygon zkEVM Bridged WBTC (Polygon zkEVM)</v>
      </c>
    </row>
    <row r="10173" spans="1:3" x14ac:dyDescent="0.25">
      <c r="A10173" s="2" t="str">
        <f ca="1">IFERROR(__xludf.DUMMYFUNCTION("""COMPUTED_VALUE"""),"polyhedra-network")</f>
        <v>polyhedra-network</v>
      </c>
      <c r="B10173" s="2" t="str">
        <f ca="1">IFERROR(__xludf.DUMMYFUNCTION("""COMPUTED_VALUE"""),"zkj")</f>
        <v>zkj</v>
      </c>
      <c r="C10173" s="2" t="str">
        <f ca="1">IFERROR(__xludf.DUMMYFUNCTION("""COMPUTED_VALUE"""),"Polyhedra Network")</f>
        <v>Polyhedra Network</v>
      </c>
    </row>
    <row r="10174" spans="1:3" x14ac:dyDescent="0.25">
      <c r="A10174" s="2" t="str">
        <f ca="1">IFERROR(__xludf.DUMMYFUNCTION("""COMPUTED_VALUE"""),"polylastic")</f>
        <v>polylastic</v>
      </c>
      <c r="B10174" s="2" t="str">
        <f ca="1">IFERROR(__xludf.DUMMYFUNCTION("""COMPUTED_VALUE"""),"polx")</f>
        <v>polx</v>
      </c>
      <c r="C10174" s="2" t="str">
        <f ca="1">IFERROR(__xludf.DUMMYFUNCTION("""COMPUTED_VALUE"""),"Polylastic")</f>
        <v>Polylastic</v>
      </c>
    </row>
    <row r="10175" spans="1:3" x14ac:dyDescent="0.25">
      <c r="A10175" s="2" t="str">
        <f ca="1">IFERROR(__xludf.DUMMYFUNCTION("""COMPUTED_VALUE"""),"polymath")</f>
        <v>polymath</v>
      </c>
      <c r="B10175" s="2" t="str">
        <f ca="1">IFERROR(__xludf.DUMMYFUNCTION("""COMPUTED_VALUE"""),"poly")</f>
        <v>poly</v>
      </c>
      <c r="C10175" s="2" t="str">
        <f ca="1">IFERROR(__xludf.DUMMYFUNCTION("""COMPUTED_VALUE"""),"Polymath")</f>
        <v>Polymath</v>
      </c>
    </row>
    <row r="10176" spans="1:3" x14ac:dyDescent="0.25">
      <c r="A10176" s="2" t="str">
        <f ca="1">IFERROR(__xludf.DUMMYFUNCTION("""COMPUTED_VALUE"""),"polymesh")</f>
        <v>polymesh</v>
      </c>
      <c r="B10176" s="2" t="str">
        <f ca="1">IFERROR(__xludf.DUMMYFUNCTION("""COMPUTED_VALUE"""),"polyx")</f>
        <v>polyx</v>
      </c>
      <c r="C10176" s="2" t="str">
        <f ca="1">IFERROR(__xludf.DUMMYFUNCTION("""COMPUTED_VALUE"""),"Polymesh")</f>
        <v>Polymesh</v>
      </c>
    </row>
    <row r="10177" spans="1:3" x14ac:dyDescent="0.25">
      <c r="A10177" s="2" t="str">
        <f ca="1">IFERROR(__xludf.DUMMYFUNCTION("""COMPUTED_VALUE"""),"polypad")</f>
        <v>polypad</v>
      </c>
      <c r="B10177" s="2" t="str">
        <f ca="1">IFERROR(__xludf.DUMMYFUNCTION("""COMPUTED_VALUE"""),"polypad")</f>
        <v>polypad</v>
      </c>
      <c r="C10177" s="2" t="str">
        <f ca="1">IFERROR(__xludf.DUMMYFUNCTION("""COMPUTED_VALUE"""),"PolyPad")</f>
        <v>PolyPad</v>
      </c>
    </row>
    <row r="10178" spans="1:3" x14ac:dyDescent="0.25">
      <c r="A10178" s="2" t="str">
        <f ca="1">IFERROR(__xludf.DUMMYFUNCTION("""COMPUTED_VALUE"""),"poly-peg-mdex")</f>
        <v>poly-peg-mdex</v>
      </c>
      <c r="B10178" s="2" t="str">
        <f ca="1">IFERROR(__xludf.DUMMYFUNCTION("""COMPUTED_VALUE"""),"hmdx")</f>
        <v>hmdx</v>
      </c>
      <c r="C10178" s="2" t="str">
        <f ca="1">IFERROR(__xludf.DUMMYFUNCTION("""COMPUTED_VALUE"""),"Poly-Peg Mdex")</f>
        <v>Poly-Peg Mdex</v>
      </c>
    </row>
    <row r="10179" spans="1:3" x14ac:dyDescent="0.25">
      <c r="A10179" s="2" t="str">
        <f ca="1">IFERROR(__xludf.DUMMYFUNCTION("""COMPUTED_VALUE"""),"polypup")</f>
        <v>polypup</v>
      </c>
      <c r="B10179" s="2" t="str">
        <f ca="1">IFERROR(__xludf.DUMMYFUNCTION("""COMPUTED_VALUE"""),"pup")</f>
        <v>pup</v>
      </c>
      <c r="C10179" s="2" t="str">
        <f ca="1">IFERROR(__xludf.DUMMYFUNCTION("""COMPUTED_VALUE"""),"PolyPup")</f>
        <v>PolyPup</v>
      </c>
    </row>
    <row r="10180" spans="1:3" x14ac:dyDescent="0.25">
      <c r="A10180" s="2" t="str">
        <f ca="1">IFERROR(__xludf.DUMMYFUNCTION("""COMPUTED_VALUE"""),"polyshield")</f>
        <v>polyshield</v>
      </c>
      <c r="B10180" s="2" t="str">
        <f ca="1">IFERROR(__xludf.DUMMYFUNCTION("""COMPUTED_VALUE"""),"shi3ld")</f>
        <v>shi3ld</v>
      </c>
      <c r="C10180" s="2" t="str">
        <f ca="1">IFERROR(__xludf.DUMMYFUNCTION("""COMPUTED_VALUE"""),"PolyShield")</f>
        <v>PolyShield</v>
      </c>
    </row>
    <row r="10181" spans="1:3" x14ac:dyDescent="0.25">
      <c r="A10181" s="2" t="str">
        <f ca="1">IFERROR(__xludf.DUMMYFUNCTION("""COMPUTED_VALUE"""),"polyswarm")</f>
        <v>polyswarm</v>
      </c>
      <c r="B10181" s="2" t="str">
        <f ca="1">IFERROR(__xludf.DUMMYFUNCTION("""COMPUTED_VALUE"""),"nct")</f>
        <v>nct</v>
      </c>
      <c r="C10181" s="2" t="str">
        <f ca="1">IFERROR(__xludf.DUMMYFUNCTION("""COMPUTED_VALUE"""),"PolySwarm")</f>
        <v>PolySwarm</v>
      </c>
    </row>
    <row r="10182" spans="1:3" x14ac:dyDescent="0.25">
      <c r="A10182" s="2" t="str">
        <f ca="1">IFERROR(__xludf.DUMMYFUNCTION("""COMPUTED_VALUE"""),"polytech")</f>
        <v>polytech</v>
      </c>
      <c r="B10182" s="2" t="str">
        <f ca="1">IFERROR(__xludf.DUMMYFUNCTION("""COMPUTED_VALUE"""),"ptce")</f>
        <v>ptce</v>
      </c>
      <c r="C10182" s="2" t="str">
        <f ca="1">IFERROR(__xludf.DUMMYFUNCTION("""COMPUTED_VALUE"""),"PolyTech")</f>
        <v>PolyTech</v>
      </c>
    </row>
    <row r="10183" spans="1:3" x14ac:dyDescent="0.25">
      <c r="A10183" s="2" t="str">
        <f ca="1">IFERROR(__xludf.DUMMYFUNCTION("""COMPUTED_VALUE"""),"polytrade")</f>
        <v>polytrade</v>
      </c>
      <c r="B10183" s="2" t="str">
        <f ca="1">IFERROR(__xludf.DUMMYFUNCTION("""COMPUTED_VALUE"""),"trade")</f>
        <v>trade</v>
      </c>
      <c r="C10183" s="2" t="str">
        <f ca="1">IFERROR(__xludf.DUMMYFUNCTION("""COMPUTED_VALUE"""),"Polytrade")</f>
        <v>Polytrade</v>
      </c>
    </row>
    <row r="10184" spans="1:3" x14ac:dyDescent="0.25">
      <c r="A10184" s="2" t="str">
        <f ca="1">IFERROR(__xludf.DUMMYFUNCTION("""COMPUTED_VALUE"""),"polywhale")</f>
        <v>polywhale</v>
      </c>
      <c r="B10184" s="2" t="str">
        <f ca="1">IFERROR(__xludf.DUMMYFUNCTION("""COMPUTED_VALUE"""),"krill")</f>
        <v>krill</v>
      </c>
      <c r="C10184" s="2" t="str">
        <f ca="1">IFERROR(__xludf.DUMMYFUNCTION("""COMPUTED_VALUE"""),"Polywhale")</f>
        <v>Polywhale</v>
      </c>
    </row>
    <row r="10185" spans="1:3" x14ac:dyDescent="0.25">
      <c r="A10185" s="2" t="str">
        <f ca="1">IFERROR(__xludf.DUMMYFUNCTION("""COMPUTED_VALUE"""),"polyyeld-token")</f>
        <v>polyyeld-token</v>
      </c>
      <c r="B10185" s="2" t="str">
        <f ca="1">IFERROR(__xludf.DUMMYFUNCTION("""COMPUTED_VALUE"""),"yeld")</f>
        <v>yeld</v>
      </c>
      <c r="C10185" s="2" t="str">
        <f ca="1">IFERROR(__xludf.DUMMYFUNCTION("""COMPUTED_VALUE"""),"PolyYeld")</f>
        <v>PolyYeld</v>
      </c>
    </row>
    <row r="10186" spans="1:3" x14ac:dyDescent="0.25">
      <c r="A10186" s="2" t="str">
        <f ca="1">IFERROR(__xludf.DUMMYFUNCTION("""COMPUTED_VALUE"""),"polyyield-token")</f>
        <v>polyyield-token</v>
      </c>
      <c r="B10186" s="2" t="str">
        <f ca="1">IFERROR(__xludf.DUMMYFUNCTION("""COMPUTED_VALUE"""),"yield")</f>
        <v>yield</v>
      </c>
      <c r="C10186" s="2" t="str">
        <f ca="1">IFERROR(__xludf.DUMMYFUNCTION("""COMPUTED_VALUE"""),"PolyYield")</f>
        <v>PolyYield</v>
      </c>
    </row>
    <row r="10187" spans="1:3" x14ac:dyDescent="0.25">
      <c r="A10187" s="2" t="str">
        <f ca="1">IFERROR(__xludf.DUMMYFUNCTION("""COMPUTED_VALUE"""),"pomcoin")</f>
        <v>pomcoin</v>
      </c>
      <c r="B10187" s="2" t="str">
        <f ca="1">IFERROR(__xludf.DUMMYFUNCTION("""COMPUTED_VALUE"""),"pom")</f>
        <v>pom</v>
      </c>
      <c r="C10187" s="2" t="str">
        <f ca="1">IFERROR(__xludf.DUMMYFUNCTION("""COMPUTED_VALUE"""),"Pomcoin")</f>
        <v>Pomcoin</v>
      </c>
    </row>
    <row r="10188" spans="1:3" x14ac:dyDescent="0.25">
      <c r="A10188" s="2" t="str">
        <f ca="1">IFERROR(__xludf.DUMMYFUNCTION("""COMPUTED_VALUE"""),"pomeranian-boo")</f>
        <v>pomeranian-boo</v>
      </c>
      <c r="B10188" s="2" t="str">
        <f ca="1">IFERROR(__xludf.DUMMYFUNCTION("""COMPUTED_VALUE"""),"pomboo")</f>
        <v>pomboo</v>
      </c>
      <c r="C10188" s="2" t="str">
        <f ca="1">IFERROR(__xludf.DUMMYFUNCTION("""COMPUTED_VALUE"""),"Pomeranian Boo")</f>
        <v>Pomeranian Boo</v>
      </c>
    </row>
    <row r="10189" spans="1:3" x14ac:dyDescent="0.25">
      <c r="A10189" s="2" t="str">
        <f ca="1">IFERROR(__xludf.DUMMYFUNCTION("""COMPUTED_VALUE"""),"pomerium-community-meme-t")</f>
        <v>pomerium-community-meme-t</v>
      </c>
      <c r="B10189" s="2" t="str">
        <f ca="1">IFERROR(__xludf.DUMMYFUNCTION("""COMPUTED_VALUE"""),"pme")</f>
        <v>pme</v>
      </c>
      <c r="C10189" s="2" t="str">
        <f ca="1">IFERROR(__xludf.DUMMYFUNCTION("""COMPUTED_VALUE"""),"Pomerium Community Meme Token")</f>
        <v>Pomerium Community Meme Token</v>
      </c>
    </row>
    <row r="10190" spans="1:3" x14ac:dyDescent="0.25">
      <c r="A10190" s="2" t="str">
        <f ca="1">IFERROR(__xludf.DUMMYFUNCTION("""COMPUTED_VALUE"""),"pomerium-ecosystem")</f>
        <v>pomerium-ecosystem</v>
      </c>
      <c r="B10190" s="2" t="str">
        <f ca="1">IFERROR(__xludf.DUMMYFUNCTION("""COMPUTED_VALUE"""),"pmg")</f>
        <v>pmg</v>
      </c>
      <c r="C10190" s="2" t="str">
        <f ca="1">IFERROR(__xludf.DUMMYFUNCTION("""COMPUTED_VALUE"""),"Pomerium Ecosystem Token")</f>
        <v>Pomerium Ecosystem Token</v>
      </c>
    </row>
    <row r="10191" spans="1:3" x14ac:dyDescent="0.25">
      <c r="A10191" s="2" t="str">
        <f ca="1">IFERROR(__xludf.DUMMYFUNCTION("""COMPUTED_VALUE"""),"ponchiqs")</f>
        <v>ponchiqs</v>
      </c>
      <c r="B10191" s="2" t="str">
        <f ca="1">IFERROR(__xludf.DUMMYFUNCTION("""COMPUTED_VALUE"""),"ponch")</f>
        <v>ponch</v>
      </c>
      <c r="C10191" s="2" t="str">
        <f ca="1">IFERROR(__xludf.DUMMYFUNCTION("""COMPUTED_VALUE"""),"Ponchiqs")</f>
        <v>Ponchiqs</v>
      </c>
    </row>
    <row r="10192" spans="1:3" x14ac:dyDescent="0.25">
      <c r="A10192" s="2" t="str">
        <f ca="1">IFERROR(__xludf.DUMMYFUNCTION("""COMPUTED_VALUE"""),"poncho")</f>
        <v>poncho</v>
      </c>
      <c r="B10192" s="2" t="str">
        <f ca="1">IFERROR(__xludf.DUMMYFUNCTION("""COMPUTED_VALUE"""),"poncho")</f>
        <v>poncho</v>
      </c>
      <c r="C10192" s="2" t="str">
        <f ca="1">IFERROR(__xludf.DUMMYFUNCTION("""COMPUTED_VALUE"""),"Poncho")</f>
        <v>Poncho</v>
      </c>
    </row>
    <row r="10193" spans="1:3" x14ac:dyDescent="0.25">
      <c r="A10193" s="2" t="str">
        <f ca="1">IFERROR(__xludf.DUMMYFUNCTION("""COMPUTED_VALUE"""),"pond-coin")</f>
        <v>pond-coin</v>
      </c>
      <c r="B10193" s="2" t="str">
        <f ca="1">IFERROR(__xludf.DUMMYFUNCTION("""COMPUTED_VALUE"""),"pndc")</f>
        <v>pndc</v>
      </c>
      <c r="C10193" s="2" t="str">
        <f ca="1">IFERROR(__xludf.DUMMYFUNCTION("""COMPUTED_VALUE"""),"PondCoin")</f>
        <v>PondCoin</v>
      </c>
    </row>
    <row r="10194" spans="1:3" x14ac:dyDescent="0.25">
      <c r="A10194" s="2" t="str">
        <f ca="1">IFERROR(__xludf.DUMMYFUNCTION("""COMPUTED_VALUE"""),"ponder-one")</f>
        <v>ponder-one</v>
      </c>
      <c r="B10194" s="2" t="str">
        <f ca="1">IFERROR(__xludf.DUMMYFUNCTION("""COMPUTED_VALUE"""),"pndr")</f>
        <v>pndr</v>
      </c>
      <c r="C10194" s="2" t="str">
        <f ca="1">IFERROR(__xludf.DUMMYFUNCTION("""COMPUTED_VALUE"""),"Ponder One")</f>
        <v>Ponder One</v>
      </c>
    </row>
    <row r="10195" spans="1:3" x14ac:dyDescent="0.25">
      <c r="A10195" s="2" t="str">
        <f ca="1">IFERROR(__xludf.DUMMYFUNCTION("""COMPUTED_VALUE"""),"pong-heroes")</f>
        <v>pong-heroes</v>
      </c>
      <c r="B10195" s="2" t="str">
        <f ca="1">IFERROR(__xludf.DUMMYFUNCTION("""COMPUTED_VALUE"""),"pong")</f>
        <v>pong</v>
      </c>
      <c r="C10195" s="2" t="str">
        <f ca="1">IFERROR(__xludf.DUMMYFUNCTION("""COMPUTED_VALUE"""),"Pong Heroes")</f>
        <v>Pong Heroes</v>
      </c>
    </row>
    <row r="10196" spans="1:3" x14ac:dyDescent="0.25">
      <c r="A10196" s="2" t="str">
        <f ca="1">IFERROR(__xludf.DUMMYFUNCTION("""COMPUTED_VALUE"""),"pongo")</f>
        <v>pongo</v>
      </c>
      <c r="B10196" s="2" t="str">
        <f ca="1">IFERROR(__xludf.DUMMYFUNCTION("""COMPUTED_VALUE"""),"pongo")</f>
        <v>pongo</v>
      </c>
      <c r="C10196" s="2" t="str">
        <f ca="1">IFERROR(__xludf.DUMMYFUNCTION("""COMPUTED_VALUE"""),"Pongo")</f>
        <v>Pongo</v>
      </c>
    </row>
    <row r="10197" spans="1:3" x14ac:dyDescent="0.25">
      <c r="A10197" s="2" t="str">
        <f ca="1">IFERROR(__xludf.DUMMYFUNCTION("""COMPUTED_VALUE"""),"ponk")</f>
        <v>ponk</v>
      </c>
      <c r="B10197" s="2" t="str">
        <f ca="1">IFERROR(__xludf.DUMMYFUNCTION("""COMPUTED_VALUE"""),"ponk")</f>
        <v>ponk</v>
      </c>
      <c r="C10197" s="2" t="str">
        <f ca="1">IFERROR(__xludf.DUMMYFUNCTION("""COMPUTED_VALUE"""),"Ponk")</f>
        <v>Ponk</v>
      </c>
    </row>
    <row r="10198" spans="1:3" x14ac:dyDescent="0.25">
      <c r="A10198" s="2" t="str">
        <f ca="1">IFERROR(__xludf.DUMMYFUNCTION("""COMPUTED_VALUE"""),"ponk-2")</f>
        <v>ponk-2</v>
      </c>
      <c r="B10198" s="2" t="str">
        <f ca="1">IFERROR(__xludf.DUMMYFUNCTION("""COMPUTED_VALUE"""),"ponk")</f>
        <v>ponk</v>
      </c>
      <c r="C10198" s="2" t="str">
        <f ca="1">IFERROR(__xludf.DUMMYFUNCTION("""COMPUTED_VALUE"""),"PONK")</f>
        <v>PONK</v>
      </c>
    </row>
    <row r="10199" spans="1:3" x14ac:dyDescent="0.25">
      <c r="A10199" s="2" t="str">
        <f ca="1">IFERROR(__xludf.DUMMYFUNCTION("""COMPUTED_VALUE"""),"ponke")</f>
        <v>ponke</v>
      </c>
      <c r="B10199" s="2" t="str">
        <f ca="1">IFERROR(__xludf.DUMMYFUNCTION("""COMPUTED_VALUE"""),"ponke")</f>
        <v>ponke</v>
      </c>
      <c r="C10199" s="2" t="str">
        <f ca="1">IFERROR(__xludf.DUMMYFUNCTION("""COMPUTED_VALUE"""),"PONKE")</f>
        <v>PONKE</v>
      </c>
    </row>
    <row r="10200" spans="1:3" x14ac:dyDescent="0.25">
      <c r="A10200" s="2" t="str">
        <f ca="1">IFERROR(__xludf.DUMMYFUNCTION("""COMPUTED_VALUE"""),"ponkefork")</f>
        <v>ponkefork</v>
      </c>
      <c r="B10200" s="2" t="str">
        <f ca="1">IFERROR(__xludf.DUMMYFUNCTION("""COMPUTED_VALUE"""),"porke")</f>
        <v>porke</v>
      </c>
      <c r="C10200" s="2" t="str">
        <f ca="1">IFERROR(__xludf.DUMMYFUNCTION("""COMPUTED_VALUE"""),"PonkeFork")</f>
        <v>PonkeFork</v>
      </c>
    </row>
    <row r="10201" spans="1:3" x14ac:dyDescent="0.25">
      <c r="A10201" s="2" t="str">
        <f ca="1">IFERROR(__xludf.DUMMYFUNCTION("""COMPUTED_VALUE"""),"ponkei-the-chinese-ponke")</f>
        <v>ponkei-the-chinese-ponke</v>
      </c>
      <c r="B10201" s="2" t="str">
        <f ca="1">IFERROR(__xludf.DUMMYFUNCTION("""COMPUTED_VALUE"""),"ponkei")</f>
        <v>ponkei</v>
      </c>
      <c r="C10201" s="2" t="str">
        <f ca="1">IFERROR(__xludf.DUMMYFUNCTION("""COMPUTED_VALUE"""),"Ponkei - The Chinese Ponke")</f>
        <v>Ponkei - The Chinese Ponke</v>
      </c>
    </row>
    <row r="10202" spans="1:3" x14ac:dyDescent="0.25">
      <c r="A10202" s="2" t="str">
        <f ca="1">IFERROR(__xludf.DUMMYFUNCTION("""COMPUTED_VALUE"""),"ponke-ton")</f>
        <v>ponke-ton</v>
      </c>
      <c r="B10202" s="2" t="str">
        <f ca="1">IFERROR(__xludf.DUMMYFUNCTION("""COMPUTED_VALUE"""),"ponke")</f>
        <v>ponke</v>
      </c>
      <c r="C10202" s="2" t="str">
        <f ca="1">IFERROR(__xludf.DUMMYFUNCTION("""COMPUTED_VALUE"""),"Ponke TON")</f>
        <v>Ponke TON</v>
      </c>
    </row>
    <row r="10203" spans="1:3" x14ac:dyDescent="0.25">
      <c r="A10203" s="2" t="str">
        <f ca="1">IFERROR(__xludf.DUMMYFUNCTION("""COMPUTED_VALUE"""),"pontem-liquidswap")</f>
        <v>pontem-liquidswap</v>
      </c>
      <c r="B10203" s="2" t="str">
        <f ca="1">IFERROR(__xludf.DUMMYFUNCTION("""COMPUTED_VALUE"""),"lsd")</f>
        <v>lsd</v>
      </c>
      <c r="C10203" s="2" t="str">
        <f ca="1">IFERROR(__xludf.DUMMYFUNCTION("""COMPUTED_VALUE"""),"Pontem Liquidswap")</f>
        <v>Pontem Liquidswap</v>
      </c>
    </row>
    <row r="10204" spans="1:3" x14ac:dyDescent="0.25">
      <c r="A10204" s="2" t="str">
        <f ca="1">IFERROR(__xludf.DUMMYFUNCTION("""COMPUTED_VALUE"""),"pontoon")</f>
        <v>pontoon</v>
      </c>
      <c r="B10204" s="2" t="str">
        <f ca="1">IFERROR(__xludf.DUMMYFUNCTION("""COMPUTED_VALUE"""),"toon")</f>
        <v>toon</v>
      </c>
      <c r="C10204" s="2" t="str">
        <f ca="1">IFERROR(__xludf.DUMMYFUNCTION("""COMPUTED_VALUE"""),"Pontoon")</f>
        <v>Pontoon</v>
      </c>
    </row>
    <row r="10205" spans="1:3" x14ac:dyDescent="0.25">
      <c r="A10205" s="2" t="str">
        <f ca="1">IFERROR(__xludf.DUMMYFUNCTION("""COMPUTED_VALUE"""),"ponyhawk")</f>
        <v>ponyhawk</v>
      </c>
      <c r="B10205" s="2" t="str">
        <f ca="1">IFERROR(__xludf.DUMMYFUNCTION("""COMPUTED_VALUE"""),"skate")</f>
        <v>skate</v>
      </c>
      <c r="C10205" s="2" t="str">
        <f ca="1">IFERROR(__xludf.DUMMYFUNCTION("""COMPUTED_VALUE"""),"PONYHAWK")</f>
        <v>PONYHAWK</v>
      </c>
    </row>
    <row r="10206" spans="1:3" x14ac:dyDescent="0.25">
      <c r="A10206" s="2" t="str">
        <f ca="1">IFERROR(__xludf.DUMMYFUNCTION("""COMPUTED_VALUE"""),"ponzi")</f>
        <v>ponzi</v>
      </c>
      <c r="B10206" s="2" t="str">
        <f ca="1">IFERROR(__xludf.DUMMYFUNCTION("""COMPUTED_VALUE"""),"ponzi")</f>
        <v>ponzi</v>
      </c>
      <c r="C10206" s="2" t="str">
        <f ca="1">IFERROR(__xludf.DUMMYFUNCTION("""COMPUTED_VALUE"""),"Ponzi")</f>
        <v>Ponzi</v>
      </c>
    </row>
    <row r="10207" spans="1:3" x14ac:dyDescent="0.25">
      <c r="A10207" s="2" t="str">
        <f ca="1">IFERROR(__xludf.DUMMYFUNCTION("""COMPUTED_VALUE"""),"ponziothecat")</f>
        <v>ponziothecat</v>
      </c>
      <c r="B10207" s="2" t="str">
        <f ca="1">IFERROR(__xludf.DUMMYFUNCTION("""COMPUTED_VALUE"""),"ponzio")</f>
        <v>ponzio</v>
      </c>
      <c r="C10207" s="2" t="str">
        <f ca="1">IFERROR(__xludf.DUMMYFUNCTION("""COMPUTED_VALUE"""),"PonzioTheCat")</f>
        <v>PonzioTheCat</v>
      </c>
    </row>
    <row r="10208" spans="1:3" x14ac:dyDescent="0.25">
      <c r="A10208" s="2" t="str">
        <f ca="1">IFERROR(__xludf.DUMMYFUNCTION("""COMPUTED_VALUE"""),"ponzy")</f>
        <v>ponzy</v>
      </c>
      <c r="B10208" s="2" t="str">
        <f ca="1">IFERROR(__xludf.DUMMYFUNCTION("""COMPUTED_VALUE"""),"ponzy")</f>
        <v>ponzy</v>
      </c>
      <c r="C10208" s="2" t="str">
        <f ca="1">IFERROR(__xludf.DUMMYFUNCTION("""COMPUTED_VALUE"""),"Ponzy")</f>
        <v>Ponzy</v>
      </c>
    </row>
    <row r="10209" spans="1:3" x14ac:dyDescent="0.25">
      <c r="A10209" s="2" t="str">
        <f ca="1">IFERROR(__xludf.DUMMYFUNCTION("""COMPUTED_VALUE"""),"pooch")</f>
        <v>pooch</v>
      </c>
      <c r="B10209" s="2" t="str">
        <f ca="1">IFERROR(__xludf.DUMMYFUNCTION("""COMPUTED_VALUE"""),"pooch")</f>
        <v>pooch</v>
      </c>
      <c r="C10209" s="2" t="str">
        <f ca="1">IFERROR(__xludf.DUMMYFUNCTION("""COMPUTED_VALUE"""),"Pooch")</f>
        <v>Pooch</v>
      </c>
    </row>
    <row r="10210" spans="1:3" x14ac:dyDescent="0.25">
      <c r="A10210" s="2" t="str">
        <f ca="1">IFERROR(__xludf.DUMMYFUNCTION("""COMPUTED_VALUE"""),"poocoin")</f>
        <v>poocoin</v>
      </c>
      <c r="B10210" s="2" t="str">
        <f ca="1">IFERROR(__xludf.DUMMYFUNCTION("""COMPUTED_VALUE"""),"poocoin")</f>
        <v>poocoin</v>
      </c>
      <c r="C10210" s="2" t="str">
        <f ca="1">IFERROR(__xludf.DUMMYFUNCTION("""COMPUTED_VALUE"""),"PooCoin")</f>
        <v>PooCoin</v>
      </c>
    </row>
    <row r="10211" spans="1:3" x14ac:dyDescent="0.25">
      <c r="A10211" s="2" t="str">
        <f ca="1">IFERROR(__xludf.DUMMYFUNCTION("""COMPUTED_VALUE"""),"poodlana")</f>
        <v>poodlana</v>
      </c>
      <c r="B10211" s="2" t="str">
        <f ca="1">IFERROR(__xludf.DUMMYFUNCTION("""COMPUTED_VALUE"""),"poodl")</f>
        <v>poodl</v>
      </c>
      <c r="C10211" s="2" t="str">
        <f ca="1">IFERROR(__xludf.DUMMYFUNCTION("""COMPUTED_VALUE"""),"Poodlana")</f>
        <v>Poodlana</v>
      </c>
    </row>
    <row r="10212" spans="1:3" x14ac:dyDescent="0.25">
      <c r="A10212" s="2" t="str">
        <f ca="1">IFERROR(__xludf.DUMMYFUNCTION("""COMPUTED_VALUE"""),"poodle")</f>
        <v>poodle</v>
      </c>
      <c r="B10212" s="2" t="str">
        <f ca="1">IFERROR(__xludf.DUMMYFUNCTION("""COMPUTED_VALUE"""),"poodl")</f>
        <v>poodl</v>
      </c>
      <c r="C10212" s="2" t="str">
        <f ca="1">IFERROR(__xludf.DUMMYFUNCTION("""COMPUTED_VALUE"""),"Poodl")</f>
        <v>Poodl</v>
      </c>
    </row>
    <row r="10213" spans="1:3" x14ac:dyDescent="0.25">
      <c r="A10213" s="2" t="str">
        <f ca="1">IFERROR(__xludf.DUMMYFUNCTION("""COMPUTED_VALUE"""),"poodlecoin")</f>
        <v>poodlecoin</v>
      </c>
      <c r="B10213" s="2" t="str">
        <f ca="1">IFERROR(__xludf.DUMMYFUNCTION("""COMPUTED_VALUE"""),"poodle")</f>
        <v>poodle</v>
      </c>
      <c r="C10213" s="2" t="str">
        <f ca="1">IFERROR(__xludf.DUMMYFUNCTION("""COMPUTED_VALUE"""),"Poodlecoin")</f>
        <v>Poodlecoin</v>
      </c>
    </row>
    <row r="10214" spans="1:3" x14ac:dyDescent="0.25">
      <c r="A10214" s="2" t="str">
        <f ca="1">IFERROR(__xludf.DUMMYFUNCTION("""COMPUTED_VALUE"""),"poodl-inu")</f>
        <v>poodl-inu</v>
      </c>
      <c r="B10214" s="2" t="str">
        <f ca="1">IFERROR(__xludf.DUMMYFUNCTION("""COMPUTED_VALUE"""),"poodl")</f>
        <v>poodl</v>
      </c>
      <c r="C10214" s="2" t="str">
        <f ca="1">IFERROR(__xludf.DUMMYFUNCTION("""COMPUTED_VALUE"""),"Poodl Inu")</f>
        <v>Poodl Inu</v>
      </c>
    </row>
    <row r="10215" spans="1:3" x14ac:dyDescent="0.25">
      <c r="A10215" s="2" t="str">
        <f ca="1">IFERROR(__xludf.DUMMYFUNCTION("""COMPUTED_VALUE"""),"poo-doge")</f>
        <v>poo-doge</v>
      </c>
      <c r="B10215" s="2" t="str">
        <f ca="1">IFERROR(__xludf.DUMMYFUNCTION("""COMPUTED_VALUE"""),"poo doge")</f>
        <v>poo doge</v>
      </c>
      <c r="C10215" s="2" t="str">
        <f ca="1">IFERROR(__xludf.DUMMYFUNCTION("""COMPUTED_VALUE"""),"Poo Doge")</f>
        <v>Poo Doge</v>
      </c>
    </row>
    <row r="10216" spans="1:3" x14ac:dyDescent="0.25">
      <c r="A10216" s="2" t="str">
        <f ca="1">IFERROR(__xludf.DUMMYFUNCTION("""COMPUTED_VALUE"""),"poofai")</f>
        <v>poofai</v>
      </c>
      <c r="B10216" s="2" t="str">
        <f ca="1">IFERROR(__xludf.DUMMYFUNCTION("""COMPUTED_VALUE"""),"poof")</f>
        <v>poof</v>
      </c>
      <c r="C10216" s="2" t="str">
        <f ca="1">IFERROR(__xludf.DUMMYFUNCTION("""COMPUTED_VALUE"""),"PoofAI")</f>
        <v>PoofAI</v>
      </c>
    </row>
    <row r="10217" spans="1:3" x14ac:dyDescent="0.25">
      <c r="A10217" s="2" t="str">
        <f ca="1">IFERROR(__xludf.DUMMYFUNCTION("""COMPUTED_VALUE"""),"pooh")</f>
        <v>pooh</v>
      </c>
      <c r="B10217" s="2" t="str">
        <f ca="1">IFERROR(__xludf.DUMMYFUNCTION("""COMPUTED_VALUE"""),"pooh")</f>
        <v>pooh</v>
      </c>
      <c r="C10217" s="2" t="str">
        <f ca="1">IFERROR(__xludf.DUMMYFUNCTION("""COMPUTED_VALUE"""),"POOH")</f>
        <v>POOH</v>
      </c>
    </row>
    <row r="10218" spans="1:3" x14ac:dyDescent="0.25">
      <c r="A10218" s="2" t="str">
        <f ca="1">IFERROR(__xludf.DUMMYFUNCTION("""COMPUTED_VALUE"""),"pooku")</f>
        <v>pooku</v>
      </c>
      <c r="B10218" s="2" t="str">
        <f ca="1">IFERROR(__xludf.DUMMYFUNCTION("""COMPUTED_VALUE"""),"$pooku")</f>
        <v>$pooku</v>
      </c>
      <c r="C10218" s="2" t="str">
        <f ca="1">IFERROR(__xludf.DUMMYFUNCTION("""COMPUTED_VALUE"""),"Pooku")</f>
        <v>Pooku</v>
      </c>
    </row>
    <row r="10219" spans="1:3" x14ac:dyDescent="0.25">
      <c r="A10219" s="2" t="str">
        <f ca="1">IFERROR(__xludf.DUMMYFUNCTION("""COMPUTED_VALUE"""),"poollotto-finance")</f>
        <v>poollotto-finance</v>
      </c>
      <c r="B10219" s="2" t="str">
        <f ca="1">IFERROR(__xludf.DUMMYFUNCTION("""COMPUTED_VALUE"""),"plt")</f>
        <v>plt</v>
      </c>
      <c r="C10219" s="2" t="str">
        <f ca="1">IFERROR(__xludf.DUMMYFUNCTION("""COMPUTED_VALUE"""),"Poollotto.finance")</f>
        <v>Poollotto.finance</v>
      </c>
    </row>
    <row r="10220" spans="1:3" x14ac:dyDescent="0.25">
      <c r="A10220" s="2" t="str">
        <f ca="1">IFERROR(__xludf.DUMMYFUNCTION("""COMPUTED_VALUE"""),"poolshark")</f>
        <v>poolshark</v>
      </c>
      <c r="B10220" s="2" t="str">
        <f ca="1">IFERROR(__xludf.DUMMYFUNCTION("""COMPUTED_VALUE"""),"fin")</f>
        <v>fin</v>
      </c>
      <c r="C10220" s="2" t="str">
        <f ca="1">IFERROR(__xludf.DUMMYFUNCTION("""COMPUTED_VALUE"""),"Poolshark")</f>
        <v>Poolshark</v>
      </c>
    </row>
    <row r="10221" spans="1:3" x14ac:dyDescent="0.25">
      <c r="A10221" s="2" t="str">
        <f ca="1">IFERROR(__xludf.DUMMYFUNCTION("""COMPUTED_VALUE"""),"pooltogether")</f>
        <v>pooltogether</v>
      </c>
      <c r="B10221" s="2" t="str">
        <f ca="1">IFERROR(__xludf.DUMMYFUNCTION("""COMPUTED_VALUE"""),"pool")</f>
        <v>pool</v>
      </c>
      <c r="C10221" s="2" t="str">
        <f ca="1">IFERROR(__xludf.DUMMYFUNCTION("""COMPUTED_VALUE"""),"PoolTogether")</f>
        <v>PoolTogether</v>
      </c>
    </row>
    <row r="10222" spans="1:3" x14ac:dyDescent="0.25">
      <c r="A10222" s="2" t="str">
        <f ca="1">IFERROR(__xludf.DUMMYFUNCTION("""COMPUTED_VALUE"""),"pooltogether-prize-usdc")</f>
        <v>pooltogether-prize-usdc</v>
      </c>
      <c r="B10222" s="2" t="str">
        <f ca="1">IFERROR(__xludf.DUMMYFUNCTION("""COMPUTED_VALUE"""),"pusdc.e")</f>
        <v>pusdc.e</v>
      </c>
      <c r="C10222" s="2" t="str">
        <f ca="1">IFERROR(__xludf.DUMMYFUNCTION("""COMPUTED_VALUE"""),"PoolTogether Prize USD Coin")</f>
        <v>PoolTogether Prize USD Coin</v>
      </c>
    </row>
    <row r="10223" spans="1:3" x14ac:dyDescent="0.25">
      <c r="A10223" s="2" t="str">
        <f ca="1">IFERROR(__xludf.DUMMYFUNCTION("""COMPUTED_VALUE"""),"pooltogether-prize-weth-aave")</f>
        <v>pooltogether-prize-weth-aave</v>
      </c>
      <c r="B10223" s="2" t="str">
        <f ca="1">IFERROR(__xludf.DUMMYFUNCTION("""COMPUTED_VALUE"""),"pweth")</f>
        <v>pweth</v>
      </c>
      <c r="C10223" s="2" t="str">
        <f ca="1">IFERROR(__xludf.DUMMYFUNCTION("""COMPUTED_VALUE"""),"PoolTogether Prize WETH - Aave")</f>
        <v>PoolTogether Prize WETH - Aave</v>
      </c>
    </row>
    <row r="10224" spans="1:3" x14ac:dyDescent="0.25">
      <c r="A10224" s="2" t="str">
        <f ca="1">IFERROR(__xludf.DUMMYFUNCTION("""COMPUTED_VALUE"""),"poolup")</f>
        <v>poolup</v>
      </c>
      <c r="B10224" s="2" t="str">
        <f ca="1">IFERROR(__xludf.DUMMYFUNCTION("""COMPUTED_VALUE"""),"plup")</f>
        <v>plup</v>
      </c>
      <c r="C10224" s="2" t="str">
        <f ca="1">IFERROR(__xludf.DUMMYFUNCTION("""COMPUTED_VALUE"""),"PoolUp")</f>
        <v>PoolUp</v>
      </c>
    </row>
    <row r="10225" spans="1:3" x14ac:dyDescent="0.25">
      <c r="A10225" s="2" t="str">
        <f ca="1">IFERROR(__xludf.DUMMYFUNCTION("""COMPUTED_VALUE"""),"poolz-finance")</f>
        <v>poolz-finance</v>
      </c>
      <c r="B10225" s="2" t="str">
        <f ca="1">IFERROR(__xludf.DUMMYFUNCTION("""COMPUTED_VALUE"""),"poolz")</f>
        <v>poolz</v>
      </c>
      <c r="C10225" s="2" t="str">
        <f ca="1">IFERROR(__xludf.DUMMYFUNCTION("""COMPUTED_VALUE"""),"Poolz Finance [OLD]")</f>
        <v>Poolz Finance [OLD]</v>
      </c>
    </row>
    <row r="10226" spans="1:3" x14ac:dyDescent="0.25">
      <c r="A10226" s="2" t="str">
        <f ca="1">IFERROR(__xludf.DUMMYFUNCTION("""COMPUTED_VALUE"""),"poolz-finance-2")</f>
        <v>poolz-finance-2</v>
      </c>
      <c r="B10226" s="2" t="str">
        <f ca="1">IFERROR(__xludf.DUMMYFUNCTION("""COMPUTED_VALUE"""),"poolx")</f>
        <v>poolx</v>
      </c>
      <c r="C10226" s="2" t="str">
        <f ca="1">IFERROR(__xludf.DUMMYFUNCTION("""COMPUTED_VALUE"""),"Poolz Finance")</f>
        <v>Poolz Finance</v>
      </c>
    </row>
    <row r="10227" spans="1:3" x14ac:dyDescent="0.25">
      <c r="A10227" s="2" t="str">
        <f ca="1">IFERROR(__xludf.DUMMYFUNCTION("""COMPUTED_VALUE"""),"poon-coin")</f>
        <v>poon-coin</v>
      </c>
      <c r="B10227" s="2" t="str">
        <f ca="1">IFERROR(__xludf.DUMMYFUNCTION("""COMPUTED_VALUE"""),"$poon")</f>
        <v>$poon</v>
      </c>
      <c r="C10227" s="2" t="str">
        <f ca="1">IFERROR(__xludf.DUMMYFUNCTION("""COMPUTED_VALUE"""),"POON Coin")</f>
        <v>POON Coin</v>
      </c>
    </row>
    <row r="10228" spans="1:3" x14ac:dyDescent="0.25">
      <c r="A10228" s="2" t="str">
        <f ca="1">IFERROR(__xludf.DUMMYFUNCTION("""COMPUTED_VALUE"""),"poopcoin-poop")</f>
        <v>poopcoin-poop</v>
      </c>
      <c r="B10228" s="2" t="str">
        <f ca="1">IFERROR(__xludf.DUMMYFUNCTION("""COMPUTED_VALUE"""),"poop")</f>
        <v>poop</v>
      </c>
      <c r="C10228" s="2" t="str">
        <f ca="1">IFERROR(__xludf.DUMMYFUNCTION("""COMPUTED_VALUE"""),"Poopcoin")</f>
        <v>Poopcoin</v>
      </c>
    </row>
    <row r="10229" spans="1:3" x14ac:dyDescent="0.25">
      <c r="A10229" s="2" t="str">
        <f ca="1">IFERROR(__xludf.DUMMYFUNCTION("""COMPUTED_VALUE"""),"pooti-relaunch")</f>
        <v>pooti-relaunch</v>
      </c>
      <c r="B10229" s="2" t="str">
        <f ca="1">IFERROR(__xludf.DUMMYFUNCTION("""COMPUTED_VALUE"""),"pooti")</f>
        <v>pooti</v>
      </c>
      <c r="C10229" s="2" t="str">
        <f ca="1">IFERROR(__xludf.DUMMYFUNCTION("""COMPUTED_VALUE"""),"POOTI (RELAUNCH)")</f>
        <v>POOTI (RELAUNCH)</v>
      </c>
    </row>
    <row r="10230" spans="1:3" x14ac:dyDescent="0.25">
      <c r="A10230" s="2" t="str">
        <f ca="1">IFERROR(__xludf.DUMMYFUNCTION("""COMPUTED_VALUE"""),"popcat")</f>
        <v>popcat</v>
      </c>
      <c r="B10230" s="2" t="str">
        <f ca="1">IFERROR(__xludf.DUMMYFUNCTION("""COMPUTED_VALUE"""),"popcat")</f>
        <v>popcat</v>
      </c>
      <c r="C10230" s="2" t="str">
        <f ca="1">IFERROR(__xludf.DUMMYFUNCTION("""COMPUTED_VALUE"""),"Popcat")</f>
        <v>Popcat</v>
      </c>
    </row>
    <row r="10231" spans="1:3" x14ac:dyDescent="0.25">
      <c r="A10231" s="2" t="str">
        <f ca="1">IFERROR(__xludf.DUMMYFUNCTION("""COMPUTED_VALUE"""),"pop-chest-token")</f>
        <v>pop-chest-token</v>
      </c>
      <c r="B10231" s="2" t="str">
        <f ca="1">IFERROR(__xludf.DUMMYFUNCTION("""COMPUTED_VALUE"""),"pop")</f>
        <v>pop</v>
      </c>
      <c r="C10231" s="2" t="str">
        <f ca="1">IFERROR(__xludf.DUMMYFUNCTION("""COMPUTED_VALUE"""),"POP Network")</f>
        <v>POP Network</v>
      </c>
    </row>
    <row r="10232" spans="1:3" x14ac:dyDescent="0.25">
      <c r="A10232" s="2" t="str">
        <f ca="1">IFERROR(__xludf.DUMMYFUNCTION("""COMPUTED_VALUE"""),"popcoin")</f>
        <v>popcoin</v>
      </c>
      <c r="B10232" s="2" t="str">
        <f ca="1">IFERROR(__xludf.DUMMYFUNCTION("""COMPUTED_VALUE"""),"pop")</f>
        <v>pop</v>
      </c>
      <c r="C10232" s="2" t="str">
        <f ca="1">IFERROR(__xludf.DUMMYFUNCTION("""COMPUTED_VALUE"""),"Popcoin")</f>
        <v>Popcoin</v>
      </c>
    </row>
    <row r="10233" spans="1:3" x14ac:dyDescent="0.25">
      <c r="A10233" s="2" t="str">
        <f ca="1">IFERROR(__xludf.DUMMYFUNCTION("""COMPUTED_VALUE"""),"popcorn")</f>
        <v>popcorn</v>
      </c>
      <c r="B10233" s="2" t="str">
        <f ca="1">IFERROR(__xludf.DUMMYFUNCTION("""COMPUTED_VALUE"""),"pop")</f>
        <v>pop</v>
      </c>
      <c r="C10233" s="2" t="str">
        <f ca="1">IFERROR(__xludf.DUMMYFUNCTION("""COMPUTED_VALUE"""),"Popcorn")</f>
        <v>Popcorn</v>
      </c>
    </row>
    <row r="10234" spans="1:3" x14ac:dyDescent="0.25">
      <c r="A10234" s="2" t="str">
        <f ca="1">IFERROR(__xludf.DUMMYFUNCTION("""COMPUTED_VALUE"""),"popcorn-meme")</f>
        <v>popcorn-meme</v>
      </c>
      <c r="B10234" s="2" t="str">
        <f ca="1">IFERROR(__xludf.DUMMYFUNCTION("""COMPUTED_VALUE"""),"pcorn")</f>
        <v>pcorn</v>
      </c>
      <c r="C10234" s="2" t="str">
        <f ca="1">IFERROR(__xludf.DUMMYFUNCTION("""COMPUTED_VALUE"""),"Popcorn")</f>
        <v>Popcorn</v>
      </c>
    </row>
    <row r="10235" spans="1:3" x14ac:dyDescent="0.25">
      <c r="A10235" s="2" t="str">
        <f ca="1">IFERROR(__xludf.DUMMYFUNCTION("""COMPUTED_VALUE"""),"popdog")</f>
        <v>popdog</v>
      </c>
      <c r="B10235" s="2" t="str">
        <f ca="1">IFERROR(__xludf.DUMMYFUNCTION("""COMPUTED_VALUE"""),"popdog")</f>
        <v>popdog</v>
      </c>
      <c r="C10235" s="2" t="str">
        <f ca="1">IFERROR(__xludf.DUMMYFUNCTION("""COMPUTED_VALUE"""),"POPDOG")</f>
        <v>POPDOG</v>
      </c>
    </row>
    <row r="10236" spans="1:3" x14ac:dyDescent="0.25">
      <c r="A10236" s="2" t="str">
        <f ca="1">IFERROR(__xludf.DUMMYFUNCTION("""COMPUTED_VALUE"""),"popdog-2")</f>
        <v>popdog-2</v>
      </c>
      <c r="B10236" s="2" t="str">
        <f ca="1">IFERROR(__xludf.DUMMYFUNCTION("""COMPUTED_VALUE"""),"popdog")</f>
        <v>popdog</v>
      </c>
      <c r="C10236" s="2" t="str">
        <f ca="1">IFERROR(__xludf.DUMMYFUNCTION("""COMPUTED_VALUE"""),"POPDOG")</f>
        <v>POPDOG</v>
      </c>
    </row>
    <row r="10237" spans="1:3" x14ac:dyDescent="0.25">
      <c r="A10237" s="2" t="str">
        <f ca="1">IFERROR(__xludf.DUMMYFUNCTION("""COMPUTED_VALUE"""),"popecoin")</f>
        <v>popecoin</v>
      </c>
      <c r="B10237" s="2" t="str">
        <f ca="1">IFERROR(__xludf.DUMMYFUNCTION("""COMPUTED_VALUE"""),"pope")</f>
        <v>pope</v>
      </c>
      <c r="C10237" s="2" t="str">
        <f ca="1">IFERROR(__xludf.DUMMYFUNCTION("""COMPUTED_VALUE"""),"PopeCoin")</f>
        <v>PopeCoin</v>
      </c>
    </row>
    <row r="10238" spans="1:3" x14ac:dyDescent="0.25">
      <c r="A10238" s="2" t="str">
        <f ca="1">IFERROR(__xludf.DUMMYFUNCTION("""COMPUTED_VALUE"""),"popfish")</f>
        <v>popfish</v>
      </c>
      <c r="B10238" s="2" t="str">
        <f ca="1">IFERROR(__xludf.DUMMYFUNCTION("""COMPUTED_VALUE"""),"popfish")</f>
        <v>popfish</v>
      </c>
      <c r="C10238" s="2" t="str">
        <f ca="1">IFERROR(__xludf.DUMMYFUNCTION("""COMPUTED_VALUE"""),"POPFISH")</f>
        <v>POPFISH</v>
      </c>
    </row>
    <row r="10239" spans="1:3" x14ac:dyDescent="0.25">
      <c r="A10239" s="2" t="str">
        <f ca="1">IFERROR(__xludf.DUMMYFUNCTION("""COMPUTED_VALUE"""),"popkon")</f>
        <v>popkon</v>
      </c>
      <c r="B10239" s="2" t="str">
        <f ca="1">IFERROR(__xludf.DUMMYFUNCTION("""COMPUTED_VALUE"""),"popk")</f>
        <v>popk</v>
      </c>
      <c r="C10239" s="2" t="str">
        <f ca="1">IFERROR(__xludf.DUMMYFUNCTION("""COMPUTED_VALUE"""),"POPKON")</f>
        <v>POPKON</v>
      </c>
    </row>
    <row r="10240" spans="1:3" x14ac:dyDescent="0.25">
      <c r="A10240" s="2" t="str">
        <f ca="1">IFERROR(__xludf.DUMMYFUNCTION("""COMPUTED_VALUE"""),"popo")</f>
        <v>popo</v>
      </c>
      <c r="B10240" s="2" t="str">
        <f ca="1">IFERROR(__xludf.DUMMYFUNCTION("""COMPUTED_VALUE"""),"popo")</f>
        <v>popo</v>
      </c>
      <c r="C10240" s="2" t="str">
        <f ca="1">IFERROR(__xludf.DUMMYFUNCTION("""COMPUTED_VALUE"""),"POPO")</f>
        <v>POPO</v>
      </c>
    </row>
    <row r="10241" spans="1:3" x14ac:dyDescent="0.25">
      <c r="A10241" s="2" t="str">
        <f ca="1">IFERROR(__xludf.DUMMYFUNCTION("""COMPUTED_VALUE"""),"popo-pepe-s-dog")</f>
        <v>popo-pepe-s-dog</v>
      </c>
      <c r="B10241" s="2" t="str">
        <f ca="1">IFERROR(__xludf.DUMMYFUNCTION("""COMPUTED_VALUE"""),"$popo")</f>
        <v>$popo</v>
      </c>
      <c r="C10241" s="2" t="str">
        <f ca="1">IFERROR(__xludf.DUMMYFUNCTION("""COMPUTED_VALUE"""),"Popo, Pepe's Dog")</f>
        <v>Popo, Pepe's Dog</v>
      </c>
    </row>
    <row r="10242" spans="1:3" x14ac:dyDescent="0.25">
      <c r="A10242" s="2" t="str">
        <f ca="1">IFERROR(__xludf.DUMMYFUNCTION("""COMPUTED_VALUE"""),"popo-the-cat")</f>
        <v>popo-the-cat</v>
      </c>
      <c r="B10242" s="2" t="str">
        <f ca="1">IFERROR(__xludf.DUMMYFUNCTION("""COMPUTED_VALUE"""),"popo")</f>
        <v>popo</v>
      </c>
      <c r="C10242" s="2" t="str">
        <f ca="1">IFERROR(__xludf.DUMMYFUNCTION("""COMPUTED_VALUE"""),"Popo The Cat")</f>
        <v>Popo The Cat</v>
      </c>
    </row>
    <row r="10243" spans="1:3" x14ac:dyDescent="0.25">
      <c r="A10243" s="2" t="str">
        <f ca="1">IFERROR(__xludf.DUMMYFUNCTION("""COMPUTED_VALUE"""),"popo-the-frog")</f>
        <v>popo-the-frog</v>
      </c>
      <c r="B10243" s="2" t="str">
        <f ca="1">IFERROR(__xludf.DUMMYFUNCTION("""COMPUTED_VALUE"""),"frop")</f>
        <v>frop</v>
      </c>
      <c r="C10243" s="2" t="str">
        <f ca="1">IFERROR(__xludf.DUMMYFUNCTION("""COMPUTED_VALUE"""),"Popo The Frog")</f>
        <v>Popo The Frog</v>
      </c>
    </row>
    <row r="10244" spans="1:3" x14ac:dyDescent="0.25">
      <c r="A10244" s="2" t="str">
        <f ca="1">IFERROR(__xludf.DUMMYFUNCTION("""COMPUTED_VALUE"""),"pop-token")</f>
        <v>pop-token</v>
      </c>
      <c r="B10244" s="2" t="str">
        <f ca="1">IFERROR(__xludf.DUMMYFUNCTION("""COMPUTED_VALUE"""),"ppt")</f>
        <v>ppt</v>
      </c>
      <c r="C10244" s="2" t="str">
        <f ca="1">IFERROR(__xludf.DUMMYFUNCTION("""COMPUTED_VALUE"""),"Pop Token")</f>
        <v>Pop Token</v>
      </c>
    </row>
    <row r="10245" spans="1:3" x14ac:dyDescent="0.25">
      <c r="A10245" s="2" t="str">
        <f ca="1">IFERROR(__xludf.DUMMYFUNCTION("""COMPUTED_VALUE"""),"populous")</f>
        <v>populous</v>
      </c>
      <c r="B10245" s="2" t="str">
        <f ca="1">IFERROR(__xludf.DUMMYFUNCTION("""COMPUTED_VALUE"""),"ppt")</f>
        <v>ppt</v>
      </c>
      <c r="C10245" s="2" t="str">
        <f ca="1">IFERROR(__xludf.DUMMYFUNCTION("""COMPUTED_VALUE"""),"Populous")</f>
        <v>Populous</v>
      </c>
    </row>
    <row r="10246" spans="1:3" x14ac:dyDescent="0.25">
      <c r="A10246" s="2" t="str">
        <f ca="1">IFERROR(__xludf.DUMMYFUNCTION("""COMPUTED_VALUE"""),"porigon")</f>
        <v>porigon</v>
      </c>
      <c r="B10246" s="2" t="str">
        <f ca="1">IFERROR(__xludf.DUMMYFUNCTION("""COMPUTED_VALUE"""),"porigon")</f>
        <v>porigon</v>
      </c>
      <c r="C10246" s="2" t="str">
        <f ca="1">IFERROR(__xludf.DUMMYFUNCTION("""COMPUTED_VALUE"""),"Porigon")</f>
        <v>Porigon</v>
      </c>
    </row>
    <row r="10247" spans="1:3" x14ac:dyDescent="0.25">
      <c r="A10247" s="2" t="str">
        <f ca="1">IFERROR(__xludf.DUMMYFUNCTION("""COMPUTED_VALUE"""),"pork")</f>
        <v>pork</v>
      </c>
      <c r="B10247" s="2" t="str">
        <f ca="1">IFERROR(__xludf.DUMMYFUNCTION("""COMPUTED_VALUE"""),"pork")</f>
        <v>pork</v>
      </c>
      <c r="C10247" s="2" t="str">
        <f ca="1">IFERROR(__xludf.DUMMYFUNCTION("""COMPUTED_VALUE"""),"Pork")</f>
        <v>Pork</v>
      </c>
    </row>
    <row r="10248" spans="1:3" x14ac:dyDescent="0.25">
      <c r="A10248" s="2" t="str">
        <f ca="1">IFERROR(__xludf.DUMMYFUNCTION("""COMPUTED_VALUE"""),"pornrocket")</f>
        <v>pornrocket</v>
      </c>
      <c r="B10248" s="2" t="str">
        <f ca="1">IFERROR(__xludf.DUMMYFUNCTION("""COMPUTED_VALUE"""),"pornrocket")</f>
        <v>pornrocket</v>
      </c>
      <c r="C10248" s="2" t="str">
        <f ca="1">IFERROR(__xludf.DUMMYFUNCTION("""COMPUTED_VALUE"""),"PornRocket")</f>
        <v>PornRocket</v>
      </c>
    </row>
    <row r="10249" spans="1:3" x14ac:dyDescent="0.25">
      <c r="A10249" s="2" t="str">
        <f ca="1">IFERROR(__xludf.DUMMYFUNCTION("""COMPUTED_VALUE"""),"port3-network")</f>
        <v>port3-network</v>
      </c>
      <c r="B10249" s="2" t="str">
        <f ca="1">IFERROR(__xludf.DUMMYFUNCTION("""COMPUTED_VALUE"""),"port3")</f>
        <v>port3</v>
      </c>
      <c r="C10249" s="2" t="str">
        <f ca="1">IFERROR(__xludf.DUMMYFUNCTION("""COMPUTED_VALUE"""),"Port3 Network")</f>
        <v>Port3 Network</v>
      </c>
    </row>
    <row r="10250" spans="1:3" x14ac:dyDescent="0.25">
      <c r="A10250" s="2" t="str">
        <f ca="1">IFERROR(__xludf.DUMMYFUNCTION("""COMPUTED_VALUE"""),"port-ai")</f>
        <v>port-ai</v>
      </c>
      <c r="B10250" s="2" t="str">
        <f ca="1">IFERROR(__xludf.DUMMYFUNCTION("""COMPUTED_VALUE"""),"poai")</f>
        <v>poai</v>
      </c>
      <c r="C10250" s="2" t="str">
        <f ca="1">IFERROR(__xludf.DUMMYFUNCTION("""COMPUTED_VALUE"""),"Port AI")</f>
        <v>Port AI</v>
      </c>
    </row>
    <row r="10251" spans="1:3" x14ac:dyDescent="0.25">
      <c r="A10251" s="2" t="str">
        <f ca="1">IFERROR(__xludf.DUMMYFUNCTION("""COMPUTED_VALUE"""),"portal-2")</f>
        <v>portal-2</v>
      </c>
      <c r="B10251" s="2" t="str">
        <f ca="1">IFERROR(__xludf.DUMMYFUNCTION("""COMPUTED_VALUE"""),"portal")</f>
        <v>portal</v>
      </c>
      <c r="C10251" s="2" t="str">
        <f ca="1">IFERROR(__xludf.DUMMYFUNCTION("""COMPUTED_VALUE"""),"Portal")</f>
        <v>Portal</v>
      </c>
    </row>
    <row r="10252" spans="1:3" x14ac:dyDescent="0.25">
      <c r="A10252" s="2" t="str">
        <f ca="1">IFERROR(__xludf.DUMMYFUNCTION("""COMPUTED_VALUE"""),"portal-network-token")</f>
        <v>portal-network-token</v>
      </c>
      <c r="B10252" s="2" t="str">
        <f ca="1">IFERROR(__xludf.DUMMYFUNCTION("""COMPUTED_VALUE"""),"poe")</f>
        <v>poe</v>
      </c>
      <c r="C10252" s="2" t="str">
        <f ca="1">IFERROR(__xludf.DUMMYFUNCTION("""COMPUTED_VALUE"""),"Portal Network Token")</f>
        <v>Portal Network Token</v>
      </c>
    </row>
    <row r="10253" spans="1:3" x14ac:dyDescent="0.25">
      <c r="A10253" s="2" t="str">
        <f ca="1">IFERROR(__xludf.DUMMYFUNCTION("""COMPUTED_VALUE"""),"port-finance")</f>
        <v>port-finance</v>
      </c>
      <c r="B10253" s="2" t="str">
        <f ca="1">IFERROR(__xludf.DUMMYFUNCTION("""COMPUTED_VALUE"""),"port")</f>
        <v>port</v>
      </c>
      <c r="C10253" s="2" t="str">
        <f ca="1">IFERROR(__xludf.DUMMYFUNCTION("""COMPUTED_VALUE"""),"Port Finance")</f>
        <v>Port Finance</v>
      </c>
    </row>
    <row r="10254" spans="1:3" x14ac:dyDescent="0.25">
      <c r="A10254" s="2" t="str">
        <f ca="1">IFERROR(__xludf.DUMMYFUNCTION("""COMPUTED_VALUE"""),"portion")</f>
        <v>portion</v>
      </c>
      <c r="B10254" s="2" t="str">
        <f ca="1">IFERROR(__xludf.DUMMYFUNCTION("""COMPUTED_VALUE"""),"prt")</f>
        <v>prt</v>
      </c>
      <c r="C10254" s="2" t="str">
        <f ca="1">IFERROR(__xludf.DUMMYFUNCTION("""COMPUTED_VALUE"""),"Portion")</f>
        <v>Portion</v>
      </c>
    </row>
    <row r="10255" spans="1:3" x14ac:dyDescent="0.25">
      <c r="A10255" s="2" t="str">
        <f ca="1">IFERROR(__xludf.DUMMYFUNCTION("""COMPUTED_VALUE"""),"portugal-national-team-fan-token")</f>
        <v>portugal-national-team-fan-token</v>
      </c>
      <c r="B10255" s="2" t="str">
        <f ca="1">IFERROR(__xludf.DUMMYFUNCTION("""COMPUTED_VALUE"""),"por")</f>
        <v>por</v>
      </c>
      <c r="C10255" s="2" t="str">
        <f ca="1">IFERROR(__xludf.DUMMYFUNCTION("""COMPUTED_VALUE"""),"Portugal National Team Fan Token")</f>
        <v>Portugal National Team Fan Token</v>
      </c>
    </row>
    <row r="10256" spans="1:3" x14ac:dyDescent="0.25">
      <c r="A10256" s="2" t="str">
        <f ca="1">IFERROR(__xludf.DUMMYFUNCTION("""COMPUTED_VALUE"""),"portuma")</f>
        <v>portuma</v>
      </c>
      <c r="B10256" s="2" t="str">
        <f ca="1">IFERROR(__xludf.DUMMYFUNCTION("""COMPUTED_VALUE"""),"por")</f>
        <v>por</v>
      </c>
      <c r="C10256" s="2" t="str">
        <f ca="1">IFERROR(__xludf.DUMMYFUNCTION("""COMPUTED_VALUE"""),"Portuma")</f>
        <v>Portuma</v>
      </c>
    </row>
    <row r="10257" spans="1:3" x14ac:dyDescent="0.25">
      <c r="A10257" s="2" t="str">
        <f ca="1">IFERROR(__xludf.DUMMYFUNCTION("""COMPUTED_VALUE"""),"porygon")</f>
        <v>porygon</v>
      </c>
      <c r="B10257" s="2" t="str">
        <f ca="1">IFERROR(__xludf.DUMMYFUNCTION("""COMPUTED_VALUE"""),"pory")</f>
        <v>pory</v>
      </c>
      <c r="C10257" s="2" t="str">
        <f ca="1">IFERROR(__xludf.DUMMYFUNCTION("""COMPUTED_VALUE"""),"Porygon")</f>
        <v>Porygon</v>
      </c>
    </row>
    <row r="10258" spans="1:3" x14ac:dyDescent="0.25">
      <c r="A10258" s="2" t="str">
        <f ca="1">IFERROR(__xludf.DUMMYFUNCTION("""COMPUTED_VALUE"""),"poseidollar")</f>
        <v>poseidollar</v>
      </c>
      <c r="B10258" s="2" t="str">
        <f ca="1">IFERROR(__xludf.DUMMYFUNCTION("""COMPUTED_VALUE"""),"pdo")</f>
        <v>pdo</v>
      </c>
      <c r="C10258" s="2" t="str">
        <f ca="1">IFERROR(__xludf.DUMMYFUNCTION("""COMPUTED_VALUE"""),"Poseidollar")</f>
        <v>Poseidollar</v>
      </c>
    </row>
    <row r="10259" spans="1:3" x14ac:dyDescent="0.25">
      <c r="A10259" s="2" t="str">
        <f ca="1">IFERROR(__xludf.DUMMYFUNCTION("""COMPUTED_VALUE"""),"poseidollar-shares")</f>
        <v>poseidollar-shares</v>
      </c>
      <c r="B10259" s="2" t="str">
        <f ca="1">IFERROR(__xludf.DUMMYFUNCTION("""COMPUTED_VALUE"""),"psh")</f>
        <v>psh</v>
      </c>
      <c r="C10259" s="2" t="str">
        <f ca="1">IFERROR(__xludf.DUMMYFUNCTION("""COMPUTED_VALUE"""),"Poseidollar Shares")</f>
        <v>Poseidollar Shares</v>
      </c>
    </row>
    <row r="10260" spans="1:3" x14ac:dyDescent="0.25">
      <c r="A10260" s="2" t="str">
        <f ca="1">IFERROR(__xludf.DUMMYFUNCTION("""COMPUTED_VALUE"""),"poseidon-2")</f>
        <v>poseidon-2</v>
      </c>
      <c r="B10260" s="2" t="str">
        <f ca="1">IFERROR(__xludf.DUMMYFUNCTION("""COMPUTED_VALUE"""),"psdn")</f>
        <v>psdn</v>
      </c>
      <c r="C10260" s="2" t="str">
        <f ca="1">IFERROR(__xludf.DUMMYFUNCTION("""COMPUTED_VALUE"""),"Poseidon")</f>
        <v>Poseidon</v>
      </c>
    </row>
    <row r="10261" spans="1:3" x14ac:dyDescent="0.25">
      <c r="A10261" s="2" t="str">
        <f ca="1">IFERROR(__xludf.DUMMYFUNCTION("""COMPUTED_VALUE"""),"poshi-world")</f>
        <v>poshi-world</v>
      </c>
      <c r="B10261" s="2" t="str">
        <f ca="1">IFERROR(__xludf.DUMMYFUNCTION("""COMPUTED_VALUE"""),"poshi")</f>
        <v>poshi</v>
      </c>
      <c r="C10261" s="2" t="str">
        <f ca="1">IFERROR(__xludf.DUMMYFUNCTION("""COMPUTED_VALUE"""),"Poshi World")</f>
        <v>Poshi World</v>
      </c>
    </row>
    <row r="10262" spans="1:3" x14ac:dyDescent="0.25">
      <c r="A10262" s="2" t="str">
        <f ca="1">IFERROR(__xludf.DUMMYFUNCTION("""COMPUTED_VALUE"""),"position-token")</f>
        <v>position-token</v>
      </c>
      <c r="B10262" s="2" t="str">
        <f ca="1">IFERROR(__xludf.DUMMYFUNCTION("""COMPUTED_VALUE"""),"posi")</f>
        <v>posi</v>
      </c>
      <c r="C10262" s="2" t="str">
        <f ca="1">IFERROR(__xludf.DUMMYFUNCTION("""COMPUTED_VALUE"""),"Position")</f>
        <v>Position</v>
      </c>
    </row>
    <row r="10263" spans="1:3" x14ac:dyDescent="0.25">
      <c r="A10263" s="2" t="str">
        <f ca="1">IFERROR(__xludf.DUMMYFUNCTION("""COMPUTED_VALUE"""),"possum")</f>
        <v>possum</v>
      </c>
      <c r="B10263" s="2" t="str">
        <f ca="1">IFERROR(__xludf.DUMMYFUNCTION("""COMPUTED_VALUE"""),"psm")</f>
        <v>psm</v>
      </c>
      <c r="C10263" s="2" t="str">
        <f ca="1">IFERROR(__xludf.DUMMYFUNCTION("""COMPUTED_VALUE"""),"Possum")</f>
        <v>Possum</v>
      </c>
    </row>
    <row r="10264" spans="1:3" x14ac:dyDescent="0.25">
      <c r="A10264" s="2" t="str">
        <f ca="1">IFERROR(__xludf.DUMMYFUNCTION("""COMPUTED_VALUE"""),"posthuman")</f>
        <v>posthuman</v>
      </c>
      <c r="B10264" s="2" t="str">
        <f ca="1">IFERROR(__xludf.DUMMYFUNCTION("""COMPUTED_VALUE"""),"phmn")</f>
        <v>phmn</v>
      </c>
      <c r="C10264" s="2" t="str">
        <f ca="1">IFERROR(__xludf.DUMMYFUNCTION("""COMPUTED_VALUE"""),"POSTHUMAN")</f>
        <v>POSTHUMAN</v>
      </c>
    </row>
    <row r="10265" spans="1:3" x14ac:dyDescent="0.25">
      <c r="A10265" s="2" t="str">
        <f ca="1">IFERROR(__xludf.DUMMYFUNCTION("""COMPUTED_VALUE"""),"post-tech")</f>
        <v>post-tech</v>
      </c>
      <c r="B10265" s="2" t="str">
        <f ca="1">IFERROR(__xludf.DUMMYFUNCTION("""COMPUTED_VALUE"""),"post")</f>
        <v>post</v>
      </c>
      <c r="C10265" s="2" t="str">
        <f ca="1">IFERROR(__xludf.DUMMYFUNCTION("""COMPUTED_VALUE"""),"Post.Tech")</f>
        <v>Post.Tech</v>
      </c>
    </row>
    <row r="10266" spans="1:3" x14ac:dyDescent="0.25">
      <c r="A10266" s="2" t="str">
        <f ca="1">IFERROR(__xludf.DUMMYFUNCTION("""COMPUTED_VALUE"""),"pot")</f>
        <v>pot</v>
      </c>
      <c r="B10266" s="2" t="str">
        <f ca="1">IFERROR(__xludf.DUMMYFUNCTION("""COMPUTED_VALUE"""),"pot")</f>
        <v>pot</v>
      </c>
      <c r="C10266" s="2" t="str">
        <f ca="1">IFERROR(__xludf.DUMMYFUNCTION("""COMPUTED_VALUE"""),"POT")</f>
        <v>POT</v>
      </c>
    </row>
    <row r="10267" spans="1:3" x14ac:dyDescent="0.25">
      <c r="A10267" s="2" t="str">
        <f ca="1">IFERROR(__xludf.DUMMYFUNCTION("""COMPUTED_VALUE"""),"potato")</f>
        <v>potato</v>
      </c>
      <c r="B10267" s="2" t="str">
        <f ca="1">IFERROR(__xludf.DUMMYFUNCTION("""COMPUTED_VALUE"""),"potato")</f>
        <v>potato</v>
      </c>
      <c r="C10267" s="2" t="str">
        <f ca="1">IFERROR(__xludf.DUMMYFUNCTION("""COMPUTED_VALUE"""),"Potato")</f>
        <v>Potato</v>
      </c>
    </row>
    <row r="10268" spans="1:3" x14ac:dyDescent="0.25">
      <c r="A10268" s="2" t="str">
        <f ca="1">IFERROR(__xludf.DUMMYFUNCTION("""COMPUTED_VALUE"""),"potato-2")</f>
        <v>potato-2</v>
      </c>
      <c r="B10268" s="2" t="str">
        <f ca="1">IFERROR(__xludf.DUMMYFUNCTION("""COMPUTED_VALUE"""),"tato")</f>
        <v>tato</v>
      </c>
      <c r="C10268" s="2" t="str">
        <f ca="1">IFERROR(__xludf.DUMMYFUNCTION("""COMPUTED_VALUE"""),"POTATO")</f>
        <v>POTATO</v>
      </c>
    </row>
    <row r="10269" spans="1:3" x14ac:dyDescent="0.25">
      <c r="A10269" s="2" t="str">
        <f ca="1">IFERROR(__xludf.DUMMYFUNCTION("""COMPUTED_VALUE"""),"potato-3")</f>
        <v>potato-3</v>
      </c>
      <c r="B10269" s="2" t="str">
        <f ca="1">IFERROR(__xludf.DUMMYFUNCTION("""COMPUTED_VALUE"""),"potato")</f>
        <v>potato</v>
      </c>
      <c r="C10269" s="2" t="str">
        <f ca="1">IFERROR(__xludf.DUMMYFUNCTION("""COMPUTED_VALUE"""),"Potato")</f>
        <v>Potato</v>
      </c>
    </row>
    <row r="10270" spans="1:3" x14ac:dyDescent="0.25">
      <c r="A10270" s="2" t="str">
        <f ca="1">IFERROR(__xludf.DUMMYFUNCTION("""COMPUTED_VALUE"""),"potcoin")</f>
        <v>potcoin</v>
      </c>
      <c r="B10270" s="2" t="str">
        <f ca="1">IFERROR(__xludf.DUMMYFUNCTION("""COMPUTED_VALUE"""),"pot")</f>
        <v>pot</v>
      </c>
      <c r="C10270" s="2" t="str">
        <f ca="1">IFERROR(__xludf.DUMMYFUNCTION("""COMPUTED_VALUE"""),"Potcoin")</f>
        <v>Potcoin</v>
      </c>
    </row>
    <row r="10271" spans="1:3" x14ac:dyDescent="0.25">
      <c r="A10271" s="2" t="str">
        <f ca="1">IFERROR(__xludf.DUMMYFUNCTION("""COMPUTED_VALUE"""),"potdog")</f>
        <v>potdog</v>
      </c>
      <c r="B10271" s="2" t="str">
        <f ca="1">IFERROR(__xludf.DUMMYFUNCTION("""COMPUTED_VALUE"""),"potdog")</f>
        <v>potdog</v>
      </c>
      <c r="C10271" s="2" t="str">
        <f ca="1">IFERROR(__xludf.DUMMYFUNCTION("""COMPUTED_VALUE"""),"POTDOG")</f>
        <v>POTDOG</v>
      </c>
    </row>
    <row r="10272" spans="1:3" x14ac:dyDescent="0.25">
      <c r="A10272" s="2" t="str">
        <f ca="1">IFERROR(__xludf.DUMMYFUNCTION("""COMPUTED_VALUE"""),"potion-404")</f>
        <v>potion-404</v>
      </c>
      <c r="B10272" s="2" t="str">
        <f ca="1">IFERROR(__xludf.DUMMYFUNCTION("""COMPUTED_VALUE"""),"p404")</f>
        <v>p404</v>
      </c>
      <c r="C10272" s="2" t="str">
        <f ca="1">IFERROR(__xludf.DUMMYFUNCTION("""COMPUTED_VALUE"""),"Potion 404")</f>
        <v>Potion 404</v>
      </c>
    </row>
    <row r="10273" spans="1:3" x14ac:dyDescent="0.25">
      <c r="A10273" s="2" t="str">
        <f ca="1">IFERROR(__xludf.DUMMYFUNCTION("""COMPUTED_VALUE"""),"pou")</f>
        <v>pou</v>
      </c>
      <c r="B10273" s="2" t="str">
        <f ca="1">IFERROR(__xludf.DUMMYFUNCTION("""COMPUTED_VALUE"""),"pou")</f>
        <v>pou</v>
      </c>
      <c r="C10273" s="2" t="str">
        <f ca="1">IFERROR(__xludf.DUMMYFUNCTION("""COMPUTED_VALUE"""),"Pou")</f>
        <v>Pou</v>
      </c>
    </row>
    <row r="10274" spans="1:3" x14ac:dyDescent="0.25">
      <c r="A10274" s="2" t="str">
        <f ca="1">IFERROR(__xludf.DUMMYFUNCTION("""COMPUTED_VALUE"""),"poupe")</f>
        <v>poupe</v>
      </c>
      <c r="B10274" s="2" t="str">
        <f ca="1">IFERROR(__xludf.DUMMYFUNCTION("""COMPUTED_VALUE"""),"poupe")</f>
        <v>poupe</v>
      </c>
      <c r="C10274" s="2" t="str">
        <f ca="1">IFERROR(__xludf.DUMMYFUNCTION("""COMPUTED_VALUE"""),"POUPE")</f>
        <v>POUPE</v>
      </c>
    </row>
    <row r="10275" spans="1:3" x14ac:dyDescent="0.25">
      <c r="A10275" s="2" t="str">
        <f ca="1">IFERROR(__xludf.DUMMYFUNCTION("""COMPUTED_VALUE"""),"povel-durev")</f>
        <v>povel-durev</v>
      </c>
      <c r="B10275" s="2" t="str">
        <f ca="1">IFERROR(__xludf.DUMMYFUNCTION("""COMPUTED_VALUE"""),"durev")</f>
        <v>durev</v>
      </c>
      <c r="C10275" s="2" t="str">
        <f ca="1">IFERROR(__xludf.DUMMYFUNCTION("""COMPUTED_VALUE"""),"Povel Durev")</f>
        <v>Povel Durev</v>
      </c>
    </row>
    <row r="10276" spans="1:3" x14ac:dyDescent="0.25">
      <c r="A10276" s="2" t="str">
        <f ca="1">IFERROR(__xludf.DUMMYFUNCTION("""COMPUTED_VALUE"""),"powa-rangers-go-runes")</f>
        <v>powa-rangers-go-runes</v>
      </c>
      <c r="B10276" s="2" t="str">
        <f ca="1">IFERROR(__xludf.DUMMYFUNCTION("""COMPUTED_VALUE"""),"powa")</f>
        <v>powa</v>
      </c>
      <c r="C10276" s="2" t="str">
        <f ca="1">IFERROR(__xludf.DUMMYFUNCTION("""COMPUTED_VALUE"""),"POWA•RANGERS•GO (Runes)")</f>
        <v>POWA•RANGERS•GO (Runes)</v>
      </c>
    </row>
    <row r="10277" spans="1:3" x14ac:dyDescent="0.25">
      <c r="A10277" s="2" t="str">
        <f ca="1">IFERROR(__xludf.DUMMYFUNCTION("""COMPUTED_VALUE"""),"power")</f>
        <v>power</v>
      </c>
      <c r="B10277" s="2" t="str">
        <f ca="1">IFERROR(__xludf.DUMMYFUNCTION("""COMPUTED_VALUE"""),"pwr")</f>
        <v>pwr</v>
      </c>
      <c r="C10277" s="2" t="str">
        <f ca="1">IFERROR(__xludf.DUMMYFUNCTION("""COMPUTED_VALUE"""),"MaxxChain")</f>
        <v>MaxxChain</v>
      </c>
    </row>
    <row r="10278" spans="1:3" x14ac:dyDescent="0.25">
      <c r="A10278" s="2" t="str">
        <f ca="1">IFERROR(__xludf.DUMMYFUNCTION("""COMPUTED_VALUE"""),"power-2")</f>
        <v>power-2</v>
      </c>
      <c r="B10278" s="2" t="str">
        <f ca="1">IFERROR(__xludf.DUMMYFUNCTION("""COMPUTED_VALUE"""),"power")</f>
        <v>power</v>
      </c>
      <c r="C10278" s="2" t="str">
        <f ca="1">IFERROR(__xludf.DUMMYFUNCTION("""COMPUTED_VALUE"""),"POWER")</f>
        <v>POWER</v>
      </c>
    </row>
    <row r="10279" spans="1:3" x14ac:dyDescent="0.25">
      <c r="A10279" s="2" t="str">
        <f ca="1">IFERROR(__xludf.DUMMYFUNCTION("""COMPUTED_VALUE"""),"powercity-earn-protocol")</f>
        <v>powercity-earn-protocol</v>
      </c>
      <c r="B10279" s="2" t="str">
        <f ca="1">IFERROR(__xludf.DUMMYFUNCTION("""COMPUTED_VALUE"""),"earn")</f>
        <v>earn</v>
      </c>
      <c r="C10279" s="2" t="str">
        <f ca="1">IFERROR(__xludf.DUMMYFUNCTION("""COMPUTED_VALUE"""),"POWERCITY Earn Protocol")</f>
        <v>POWERCITY Earn Protocol</v>
      </c>
    </row>
    <row r="10280" spans="1:3" x14ac:dyDescent="0.25">
      <c r="A10280" s="2" t="str">
        <f ca="1">IFERROR(__xludf.DUMMYFUNCTION("""COMPUTED_VALUE"""),"powercity-pxdc")</f>
        <v>powercity-pxdc</v>
      </c>
      <c r="B10280" s="2" t="str">
        <f ca="1">IFERROR(__xludf.DUMMYFUNCTION("""COMPUTED_VALUE"""),"pxdc")</f>
        <v>pxdc</v>
      </c>
      <c r="C10280" s="2" t="str">
        <f ca="1">IFERROR(__xludf.DUMMYFUNCTION("""COMPUTED_VALUE"""),"PXDC")</f>
        <v>PXDC</v>
      </c>
    </row>
    <row r="10281" spans="1:3" x14ac:dyDescent="0.25">
      <c r="A10281" s="2" t="str">
        <f ca="1">IFERROR(__xludf.DUMMYFUNCTION("""COMPUTED_VALUE"""),"powercity-watt")</f>
        <v>powercity-watt</v>
      </c>
      <c r="B10281" s="2" t="str">
        <f ca="1">IFERROR(__xludf.DUMMYFUNCTION("""COMPUTED_VALUE"""),"watt")</f>
        <v>watt</v>
      </c>
      <c r="C10281" s="2" t="str">
        <f ca="1">IFERROR(__xludf.DUMMYFUNCTION("""COMPUTED_VALUE"""),"POWERCITY WATT")</f>
        <v>POWERCITY WATT</v>
      </c>
    </row>
    <row r="10282" spans="1:3" x14ac:dyDescent="0.25">
      <c r="A10282" s="2" t="str">
        <f ca="1">IFERROR(__xludf.DUMMYFUNCTION("""COMPUTED_VALUE"""),"power-ledger")</f>
        <v>power-ledger</v>
      </c>
      <c r="B10282" s="2" t="str">
        <f ca="1">IFERROR(__xludf.DUMMYFUNCTION("""COMPUTED_VALUE"""),"powr")</f>
        <v>powr</v>
      </c>
      <c r="C10282" s="2" t="str">
        <f ca="1">IFERROR(__xludf.DUMMYFUNCTION("""COMPUTED_VALUE"""),"Powerledger")</f>
        <v>Powerledger</v>
      </c>
    </row>
    <row r="10283" spans="1:3" x14ac:dyDescent="0.25">
      <c r="A10283" s="2" t="str">
        <f ca="1">IFERROR(__xludf.DUMMYFUNCTION("""COMPUTED_VALUE"""),"power-of-deep-ocean")</f>
        <v>power-of-deep-ocean</v>
      </c>
      <c r="B10283" s="2" t="str">
        <f ca="1">IFERROR(__xludf.DUMMYFUNCTION("""COMPUTED_VALUE"""),"podo")</f>
        <v>podo</v>
      </c>
      <c r="C10283" s="2" t="str">
        <f ca="1">IFERROR(__xludf.DUMMYFUNCTION("""COMPUTED_VALUE"""),"Power Of Deep Ocean")</f>
        <v>Power Of Deep Ocean</v>
      </c>
    </row>
    <row r="10284" spans="1:3" x14ac:dyDescent="0.25">
      <c r="A10284" s="2" t="str">
        <f ca="1">IFERROR(__xludf.DUMMYFUNCTION("""COMPUTED_VALUE"""),"power-staked-sol")</f>
        <v>power-staked-sol</v>
      </c>
      <c r="B10284" s="2" t="str">
        <f ca="1">IFERROR(__xludf.DUMMYFUNCTION("""COMPUTED_VALUE"""),"pwrsol")</f>
        <v>pwrsol</v>
      </c>
      <c r="C10284" s="2" t="str">
        <f ca="1">IFERROR(__xludf.DUMMYFUNCTION("""COMPUTED_VALUE"""),"Power Staked SOL")</f>
        <v>Power Staked SOL</v>
      </c>
    </row>
    <row r="10285" spans="1:3" x14ac:dyDescent="0.25">
      <c r="A10285" s="2" t="str">
        <f ca="1">IFERROR(__xludf.DUMMYFUNCTION("""COMPUTED_VALUE"""),"power-token")</f>
        <v>power-token</v>
      </c>
      <c r="B10285" s="2" t="str">
        <f ca="1">IFERROR(__xludf.DUMMYFUNCTION("""COMPUTED_VALUE"""),"pwr")</f>
        <v>pwr</v>
      </c>
      <c r="C10285" s="2" t="str">
        <f ca="1">IFERROR(__xludf.DUMMYFUNCTION("""COMPUTED_VALUE"""),"Power Token")</f>
        <v>Power Token</v>
      </c>
    </row>
    <row r="10286" spans="1:3" x14ac:dyDescent="0.25">
      <c r="A10286" s="2" t="str">
        <f ca="1">IFERROR(__xludf.DUMMYFUNCTION("""COMPUTED_VALUE"""),"powertrade-fuel")</f>
        <v>powertrade-fuel</v>
      </c>
      <c r="B10286" s="2" t="str">
        <f ca="1">IFERROR(__xludf.DUMMYFUNCTION("""COMPUTED_VALUE"""),"ptf")</f>
        <v>ptf</v>
      </c>
      <c r="C10286" s="2" t="str">
        <f ca="1">IFERROR(__xludf.DUMMYFUNCTION("""COMPUTED_VALUE"""),"PowerTrade Fuel")</f>
        <v>PowerTrade Fuel</v>
      </c>
    </row>
    <row r="10287" spans="1:3" x14ac:dyDescent="0.25">
      <c r="A10287" s="2" t="str">
        <f ca="1">IFERROR(__xludf.DUMMYFUNCTION("""COMPUTED_VALUE"""),"powswap")</f>
        <v>powswap</v>
      </c>
      <c r="B10287" s="2" t="str">
        <f ca="1">IFERROR(__xludf.DUMMYFUNCTION("""COMPUTED_VALUE"""),"pow")</f>
        <v>pow</v>
      </c>
      <c r="C10287" s="2" t="str">
        <f ca="1">IFERROR(__xludf.DUMMYFUNCTION("""COMPUTED_VALUE"""),"Powswap")</f>
        <v>Powswap</v>
      </c>
    </row>
    <row r="10288" spans="1:3" x14ac:dyDescent="0.25">
      <c r="A10288" s="2" t="str">
        <f ca="1">IFERROR(__xludf.DUMMYFUNCTION("""COMPUTED_VALUE"""),"ppizza")</f>
        <v>ppizza</v>
      </c>
      <c r="B10288" s="2" t="str">
        <f ca="1">IFERROR(__xludf.DUMMYFUNCTION("""COMPUTED_VALUE"""),"ppizza")</f>
        <v>ppizza</v>
      </c>
      <c r="C10288" s="2" t="str">
        <f ca="1">IFERROR(__xludf.DUMMYFUNCTION("""COMPUTED_VALUE"""),"PPizza")</f>
        <v>PPizza</v>
      </c>
    </row>
    <row r="10289" spans="1:3" x14ac:dyDescent="0.25">
      <c r="A10289" s="2" t="str">
        <f ca="1">IFERROR(__xludf.DUMMYFUNCTION("""COMPUTED_VALUE"""),"pqx")</f>
        <v>pqx</v>
      </c>
      <c r="B10289" s="2" t="str">
        <f ca="1">IFERROR(__xludf.DUMMYFUNCTION("""COMPUTED_VALUE"""),"pqx")</f>
        <v>pqx</v>
      </c>
      <c r="C10289" s="2" t="str">
        <f ca="1">IFERROR(__xludf.DUMMYFUNCTION("""COMPUTED_VALUE"""),"PQX")</f>
        <v>PQX</v>
      </c>
    </row>
    <row r="10290" spans="1:3" x14ac:dyDescent="0.25">
      <c r="A10290" s="2" t="str">
        <f ca="1">IFERROR(__xludf.DUMMYFUNCTION("""COMPUTED_VALUE"""),"prcy-coin")</f>
        <v>prcy-coin</v>
      </c>
      <c r="B10290" s="2" t="str">
        <f ca="1">IFERROR(__xludf.DUMMYFUNCTION("""COMPUTED_VALUE"""),"prcy")</f>
        <v>prcy</v>
      </c>
      <c r="C10290" s="2" t="str">
        <f ca="1">IFERROR(__xludf.DUMMYFUNCTION("""COMPUTED_VALUE"""),"PRivaCY Coin")</f>
        <v>PRivaCY Coin</v>
      </c>
    </row>
    <row r="10291" spans="1:3" x14ac:dyDescent="0.25">
      <c r="A10291" s="2" t="str">
        <f ca="1">IFERROR(__xludf.DUMMYFUNCTION("""COMPUTED_VALUE"""),"pre")</f>
        <v>pre</v>
      </c>
      <c r="B10291" s="2" t="str">
        <f ca="1">IFERROR(__xludf.DUMMYFUNCTION("""COMPUTED_VALUE"""),"pre")</f>
        <v>pre</v>
      </c>
      <c r="C10291" s="2" t="str">
        <f ca="1">IFERROR(__xludf.DUMMYFUNCTION("""COMPUTED_VALUE"""),"Pre")</f>
        <v>Pre</v>
      </c>
    </row>
    <row r="10292" spans="1:3" x14ac:dyDescent="0.25">
      <c r="A10292" s="2" t="str">
        <f ca="1">IFERROR(__xludf.DUMMYFUNCTION("""COMPUTED_VALUE"""),"precipitate-ai")</f>
        <v>precipitate-ai</v>
      </c>
      <c r="B10292" s="2" t="str">
        <f ca="1">IFERROR(__xludf.DUMMYFUNCTION("""COMPUTED_VALUE"""),"rain")</f>
        <v>rain</v>
      </c>
      <c r="C10292" s="3" t="str">
        <f ca="1">IFERROR(__xludf.DUMMYFUNCTION("""COMPUTED_VALUE"""),"Precipitate.ai")</f>
        <v>Precipitate.ai</v>
      </c>
    </row>
    <row r="10293" spans="1:3" x14ac:dyDescent="0.25">
      <c r="A10293" s="2" t="str">
        <f ca="1">IFERROR(__xludf.DUMMYFUNCTION("""COMPUTED_VALUE"""),"predict-crypto")</f>
        <v>predict-crypto</v>
      </c>
      <c r="B10293" s="2" t="str">
        <f ca="1">IFERROR(__xludf.DUMMYFUNCTION("""COMPUTED_VALUE"""),"preai")</f>
        <v>preai</v>
      </c>
      <c r="C10293" s="2" t="str">
        <f ca="1">IFERROR(__xludf.DUMMYFUNCTION("""COMPUTED_VALUE"""),"Predict Crypto")</f>
        <v>Predict Crypto</v>
      </c>
    </row>
    <row r="10294" spans="1:3" x14ac:dyDescent="0.25">
      <c r="A10294" s="2" t="str">
        <f ca="1">IFERROR(__xludf.DUMMYFUNCTION("""COMPUTED_VALUE"""),"prema")</f>
        <v>prema</v>
      </c>
      <c r="B10294" s="2" t="str">
        <f ca="1">IFERROR(__xludf.DUMMYFUNCTION("""COMPUTED_VALUE"""),"prmx")</f>
        <v>prmx</v>
      </c>
      <c r="C10294" s="2" t="str">
        <f ca="1">IFERROR(__xludf.DUMMYFUNCTION("""COMPUTED_VALUE"""),"PREMA")</f>
        <v>PREMA</v>
      </c>
    </row>
    <row r="10295" spans="1:3" x14ac:dyDescent="0.25">
      <c r="A10295" s="2" t="str">
        <f ca="1">IFERROR(__xludf.DUMMYFUNCTION("""COMPUTED_VALUE"""),"preme-token")</f>
        <v>preme-token</v>
      </c>
      <c r="B10295" s="2" t="str">
        <f ca="1">IFERROR(__xludf.DUMMYFUNCTION("""COMPUTED_VALUE"""),"preme")</f>
        <v>preme</v>
      </c>
      <c r="C10295" s="2" t="str">
        <f ca="1">IFERROR(__xludf.DUMMYFUNCTION("""COMPUTED_VALUE"""),"PREME Token")</f>
        <v>PREME Token</v>
      </c>
    </row>
    <row r="10296" spans="1:3" x14ac:dyDescent="0.25">
      <c r="A10296" s="2" t="str">
        <f ca="1">IFERROR(__xludf.DUMMYFUNCTION("""COMPUTED_VALUE"""),"premia")</f>
        <v>premia</v>
      </c>
      <c r="B10296" s="2" t="str">
        <f ca="1">IFERROR(__xludf.DUMMYFUNCTION("""COMPUTED_VALUE"""),"premia")</f>
        <v>premia</v>
      </c>
      <c r="C10296" s="2" t="str">
        <f ca="1">IFERROR(__xludf.DUMMYFUNCTION("""COMPUTED_VALUE"""),"Premia")</f>
        <v>Premia</v>
      </c>
    </row>
    <row r="10297" spans="1:3" x14ac:dyDescent="0.25">
      <c r="A10297" s="2" t="str">
        <f ca="1">IFERROR(__xludf.DUMMYFUNCTION("""COMPUTED_VALUE"""),"preon-star")</f>
        <v>preon-star</v>
      </c>
      <c r="B10297" s="2" t="str">
        <f ca="1">IFERROR(__xludf.DUMMYFUNCTION("""COMPUTED_VALUE"""),"star")</f>
        <v>star</v>
      </c>
      <c r="C10297" s="2" t="str">
        <f ca="1">IFERROR(__xludf.DUMMYFUNCTION("""COMPUTED_VALUE"""),"Star")</f>
        <v>Star</v>
      </c>
    </row>
    <row r="10298" spans="1:3" x14ac:dyDescent="0.25">
      <c r="A10298" s="2" t="str">
        <f ca="1">IFERROR(__xludf.DUMMYFUNCTION("""COMPUTED_VALUE"""),"preprints-io")</f>
        <v>preprints-io</v>
      </c>
      <c r="B10298" s="2" t="str">
        <f ca="1">IFERROR(__xludf.DUMMYFUNCTION("""COMPUTED_VALUE"""),"prnt")</f>
        <v>prnt</v>
      </c>
      <c r="C10298" s="3" t="str">
        <f ca="1">IFERROR(__xludf.DUMMYFUNCTION("""COMPUTED_VALUE"""),"Preprints.io")</f>
        <v>Preprints.io</v>
      </c>
    </row>
    <row r="10299" spans="1:3" x14ac:dyDescent="0.25">
      <c r="A10299" s="2" t="str">
        <f ca="1">IFERROR(__xludf.DUMMYFUNCTION("""COMPUTED_VALUE"""),"pre-retogeum")</f>
        <v>pre-retogeum</v>
      </c>
      <c r="B10299" s="2" t="str">
        <f ca="1">IFERROR(__xludf.DUMMYFUNCTION("""COMPUTED_VALUE"""),"prtg")</f>
        <v>prtg</v>
      </c>
      <c r="C10299" s="2" t="str">
        <f ca="1">IFERROR(__xludf.DUMMYFUNCTION("""COMPUTED_VALUE"""),"Pre-Retogeum")</f>
        <v>Pre-Retogeum</v>
      </c>
    </row>
    <row r="10300" spans="1:3" x14ac:dyDescent="0.25">
      <c r="A10300" s="2" t="str">
        <f ca="1">IFERROR(__xludf.DUMMYFUNCTION("""COMPUTED_VALUE"""),"presearch")</f>
        <v>presearch</v>
      </c>
      <c r="B10300" s="2" t="str">
        <f ca="1">IFERROR(__xludf.DUMMYFUNCTION("""COMPUTED_VALUE"""),"pre")</f>
        <v>pre</v>
      </c>
      <c r="C10300" s="2" t="str">
        <f ca="1">IFERROR(__xludf.DUMMYFUNCTION("""COMPUTED_VALUE"""),"Presearch")</f>
        <v>Presearch</v>
      </c>
    </row>
    <row r="10301" spans="1:3" x14ac:dyDescent="0.25">
      <c r="A10301" s="2" t="str">
        <f ca="1">IFERROR(__xludf.DUMMYFUNCTION("""COMPUTED_VALUE"""),"president-platy")</f>
        <v>president-platy</v>
      </c>
      <c r="B10301" s="2" t="str">
        <f ca="1">IFERROR(__xludf.DUMMYFUNCTION("""COMPUTED_VALUE"""),"platy")</f>
        <v>platy</v>
      </c>
      <c r="C10301" s="2" t="str">
        <f ca="1">IFERROR(__xludf.DUMMYFUNCTION("""COMPUTED_VALUE"""),"President Platy")</f>
        <v>President Platy</v>
      </c>
    </row>
    <row r="10302" spans="1:3" x14ac:dyDescent="0.25">
      <c r="A10302" s="2" t="str">
        <f ca="1">IFERROR(__xludf.DUMMYFUNCTION("""COMPUTED_VALUE"""),"president-red")</f>
        <v>president-red</v>
      </c>
      <c r="B10302" s="2" t="str">
        <f ca="1">IFERROR(__xludf.DUMMYFUNCTION("""COMPUTED_VALUE"""),"presi")</f>
        <v>presi</v>
      </c>
      <c r="C10302" s="2" t="str">
        <f ca="1">IFERROR(__xludf.DUMMYFUNCTION("""COMPUTED_VALUE"""),"President Red")</f>
        <v>President Red</v>
      </c>
    </row>
    <row r="10303" spans="1:3" x14ac:dyDescent="0.25">
      <c r="A10303" s="2" t="str">
        <f ca="1">IFERROR(__xludf.DUMMYFUNCTION("""COMPUTED_VALUE"""),"president-ron-desantis")</f>
        <v>president-ron-desantis</v>
      </c>
      <c r="B10303" s="2" t="str">
        <f ca="1">IFERROR(__xludf.DUMMYFUNCTION("""COMPUTED_VALUE"""),"ron")</f>
        <v>ron</v>
      </c>
      <c r="C10303" s="2" t="str">
        <f ca="1">IFERROR(__xludf.DUMMYFUNCTION("""COMPUTED_VALUE"""),"President Ron DeSantis")</f>
        <v>President Ron DeSantis</v>
      </c>
    </row>
    <row r="10304" spans="1:3" x14ac:dyDescent="0.25">
      <c r="A10304" s="2" t="str">
        <f ca="1">IFERROR(__xludf.DUMMYFUNCTION("""COMPUTED_VALUE"""),"pressdog")</f>
        <v>pressdog</v>
      </c>
      <c r="B10304" s="2" t="str">
        <f ca="1">IFERROR(__xludf.DUMMYFUNCTION("""COMPUTED_VALUE"""),"press")</f>
        <v>press</v>
      </c>
      <c r="C10304" s="2" t="str">
        <f ca="1">IFERROR(__xludf.DUMMYFUNCTION("""COMPUTED_VALUE"""),"PressDog")</f>
        <v>PressDog</v>
      </c>
    </row>
    <row r="10305" spans="1:3" x14ac:dyDescent="0.25">
      <c r="A10305" s="2" t="str">
        <f ca="1">IFERROR(__xludf.DUMMYFUNCTION("""COMPUTED_VALUE"""),"prick")</f>
        <v>prick</v>
      </c>
      <c r="B10305" s="2" t="str">
        <f ca="1">IFERROR(__xludf.DUMMYFUNCTION("""COMPUTED_VALUE"""),"prick")</f>
        <v>prick</v>
      </c>
      <c r="C10305" s="2" t="str">
        <f ca="1">IFERROR(__xludf.DUMMYFUNCTION("""COMPUTED_VALUE"""),"Prick")</f>
        <v>Prick</v>
      </c>
    </row>
    <row r="10306" spans="1:3" x14ac:dyDescent="0.25">
      <c r="A10306" s="2" t="str">
        <f ca="1">IFERROR(__xludf.DUMMYFUNCTION("""COMPUTED_VALUE"""),"primal-b3099cd0-995a-4311-80d5-9c133153b38e")</f>
        <v>primal-b3099cd0-995a-4311-80d5-9c133153b38e</v>
      </c>
      <c r="B10306" s="2" t="str">
        <f ca="1">IFERROR(__xludf.DUMMYFUNCTION("""COMPUTED_VALUE"""),"primal")</f>
        <v>primal</v>
      </c>
      <c r="C10306" s="2" t="str">
        <f ca="1">IFERROR(__xludf.DUMMYFUNCTION("""COMPUTED_VALUE"""),"PRIMAL")</f>
        <v>PRIMAL</v>
      </c>
    </row>
    <row r="10307" spans="1:3" x14ac:dyDescent="0.25">
      <c r="A10307" s="2" t="str">
        <f ca="1">IFERROR(__xludf.DUMMYFUNCTION("""COMPUTED_VALUE"""),"primas")</f>
        <v>primas</v>
      </c>
      <c r="B10307" s="2" t="str">
        <f ca="1">IFERROR(__xludf.DUMMYFUNCTION("""COMPUTED_VALUE"""),"pst")</f>
        <v>pst</v>
      </c>
      <c r="C10307" s="2" t="str">
        <f ca="1">IFERROR(__xludf.DUMMYFUNCTION("""COMPUTED_VALUE"""),"Primas")</f>
        <v>Primas</v>
      </c>
    </row>
    <row r="10308" spans="1:3" x14ac:dyDescent="0.25">
      <c r="A10308" s="2" t="str">
        <f ca="1">IFERROR(__xludf.DUMMYFUNCTION("""COMPUTED_VALUE"""),"primate")</f>
        <v>primate</v>
      </c>
      <c r="B10308" s="2" t="str">
        <f ca="1">IFERROR(__xludf.DUMMYFUNCTION("""COMPUTED_VALUE"""),"primate")</f>
        <v>primate</v>
      </c>
      <c r="C10308" s="2" t="str">
        <f ca="1">IFERROR(__xludf.DUMMYFUNCTION("""COMPUTED_VALUE"""),"Primate")</f>
        <v>Primate</v>
      </c>
    </row>
    <row r="10309" spans="1:3" x14ac:dyDescent="0.25">
      <c r="A10309" s="2" t="str">
        <f ca="1">IFERROR(__xludf.DUMMYFUNCTION("""COMPUTED_VALUE"""),"prime")</f>
        <v>prime</v>
      </c>
      <c r="B10309" s="2" t="str">
        <f ca="1">IFERROR(__xludf.DUMMYFUNCTION("""COMPUTED_VALUE"""),"d2d")</f>
        <v>d2d</v>
      </c>
      <c r="C10309" s="2" t="str">
        <f ca="1">IFERROR(__xludf.DUMMYFUNCTION("""COMPUTED_VALUE"""),"Prime")</f>
        <v>Prime</v>
      </c>
    </row>
    <row r="10310" spans="1:3" x14ac:dyDescent="0.25">
      <c r="A10310" s="2" t="str">
        <f ca="1">IFERROR(__xludf.DUMMYFUNCTION("""COMPUTED_VALUE"""),"prime-2")</f>
        <v>prime-2</v>
      </c>
      <c r="B10310" s="2" t="str">
        <f ca="1">IFERROR(__xludf.DUMMYFUNCTION("""COMPUTED_VALUE"""),"prime")</f>
        <v>prime</v>
      </c>
      <c r="C10310" s="2" t="str">
        <f ca="1">IFERROR(__xludf.DUMMYFUNCTION("""COMPUTED_VALUE"""),"DeltaPrime")</f>
        <v>DeltaPrime</v>
      </c>
    </row>
    <row r="10311" spans="1:3" x14ac:dyDescent="0.25">
      <c r="A10311" s="2" t="str">
        <f ca="1">IFERROR(__xludf.DUMMYFUNCTION("""COMPUTED_VALUE"""),"primeace")</f>
        <v>primeace</v>
      </c>
      <c r="B10311" s="2" t="str">
        <f ca="1">IFERROR(__xludf.DUMMYFUNCTION("""COMPUTED_VALUE"""),"peace")</f>
        <v>peace</v>
      </c>
      <c r="C10311" s="2" t="str">
        <f ca="1">IFERROR(__xludf.DUMMYFUNCTION("""COMPUTED_VALUE"""),"PrimeACE")</f>
        <v>PrimeACE</v>
      </c>
    </row>
    <row r="10312" spans="1:3" x14ac:dyDescent="0.25">
      <c r="A10312" s="2" t="str">
        <f ca="1">IFERROR(__xludf.DUMMYFUNCTION("""COMPUTED_VALUE"""),"primecoin")</f>
        <v>primecoin</v>
      </c>
      <c r="B10312" s="2" t="str">
        <f ca="1">IFERROR(__xludf.DUMMYFUNCTION("""COMPUTED_VALUE"""),"xpm")</f>
        <v>xpm</v>
      </c>
      <c r="C10312" s="2" t="str">
        <f ca="1">IFERROR(__xludf.DUMMYFUNCTION("""COMPUTED_VALUE"""),"Primecoin")</f>
        <v>Primecoin</v>
      </c>
    </row>
    <row r="10313" spans="1:3" x14ac:dyDescent="0.25">
      <c r="A10313" s="2" t="str">
        <f ca="1">IFERROR(__xludf.DUMMYFUNCTION("""COMPUTED_VALUE"""),"prime-numbers")</f>
        <v>prime-numbers</v>
      </c>
      <c r="B10313" s="2" t="str">
        <f ca="1">IFERROR(__xludf.DUMMYFUNCTION("""COMPUTED_VALUE"""),"prnt")</f>
        <v>prnt</v>
      </c>
      <c r="C10313" s="2" t="str">
        <f ca="1">IFERROR(__xludf.DUMMYFUNCTION("""COMPUTED_VALUE"""),"Prime Numbers Labs")</f>
        <v>Prime Numbers Labs</v>
      </c>
    </row>
    <row r="10314" spans="1:3" x14ac:dyDescent="0.25">
      <c r="A10314" s="2" t="str">
        <f ca="1">IFERROR(__xludf.DUMMYFUNCTION("""COMPUTED_VALUE"""),"prime-staked-eth")</f>
        <v>prime-staked-eth</v>
      </c>
      <c r="B10314" s="2" t="str">
        <f ca="1">IFERROR(__xludf.DUMMYFUNCTION("""COMPUTED_VALUE"""),"primeeth")</f>
        <v>primeeth</v>
      </c>
      <c r="C10314" s="2" t="str">
        <f ca="1">IFERROR(__xludf.DUMMYFUNCTION("""COMPUTED_VALUE"""),"Prime Staked ETH")</f>
        <v>Prime Staked ETH</v>
      </c>
    </row>
    <row r="10315" spans="1:3" x14ac:dyDescent="0.25">
      <c r="A10315" s="2" t="str">
        <f ca="1">IFERROR(__xludf.DUMMYFUNCTION("""COMPUTED_VALUE"""),"primex-finance")</f>
        <v>primex-finance</v>
      </c>
      <c r="B10315" s="2" t="str">
        <f ca="1">IFERROR(__xludf.DUMMYFUNCTION("""COMPUTED_VALUE"""),"pmx")</f>
        <v>pmx</v>
      </c>
      <c r="C10315" s="2" t="str">
        <f ca="1">IFERROR(__xludf.DUMMYFUNCTION("""COMPUTED_VALUE"""),"Primex Finance")</f>
        <v>Primex Finance</v>
      </c>
    </row>
    <row r="10316" spans="1:3" x14ac:dyDescent="0.25">
      <c r="A10316" s="2" t="str">
        <f ca="1">IFERROR(__xludf.DUMMYFUNCTION("""COMPUTED_VALUE"""),"print-mining")</f>
        <v>print-mining</v>
      </c>
      <c r="B10316" s="2" t="str">
        <f ca="1">IFERROR(__xludf.DUMMYFUNCTION("""COMPUTED_VALUE"""),"print")</f>
        <v>print</v>
      </c>
      <c r="C10316" s="2" t="str">
        <f ca="1">IFERROR(__xludf.DUMMYFUNCTION("""COMPUTED_VALUE"""),"Print Mining")</f>
        <v>Print Mining</v>
      </c>
    </row>
    <row r="10317" spans="1:3" x14ac:dyDescent="0.25">
      <c r="A10317" s="2" t="str">
        <f ca="1">IFERROR(__xludf.DUMMYFUNCTION("""COMPUTED_VALUE"""),"print-protocol")</f>
        <v>print-protocol</v>
      </c>
      <c r="B10317" s="2" t="str">
        <f ca="1">IFERROR(__xludf.DUMMYFUNCTION("""COMPUTED_VALUE"""),"print")</f>
        <v>print</v>
      </c>
      <c r="C10317" s="2" t="str">
        <f ca="1">IFERROR(__xludf.DUMMYFUNCTION("""COMPUTED_VALUE"""),"Print Protocol")</f>
        <v>Print Protocol</v>
      </c>
    </row>
    <row r="10318" spans="1:3" x14ac:dyDescent="0.25">
      <c r="A10318" s="2" t="str">
        <f ca="1">IFERROR(__xludf.DUMMYFUNCTION("""COMPUTED_VALUE"""),"print-the-pepe")</f>
        <v>print-the-pepe</v>
      </c>
      <c r="B10318" s="2" t="str">
        <f ca="1">IFERROR(__xludf.DUMMYFUNCTION("""COMPUTED_VALUE"""),"$pp")</f>
        <v>$pp</v>
      </c>
      <c r="C10318" s="2" t="str">
        <f ca="1">IFERROR(__xludf.DUMMYFUNCTION("""COMPUTED_VALUE"""),"Print The Pepe")</f>
        <v>Print The Pepe</v>
      </c>
    </row>
    <row r="10319" spans="1:3" x14ac:dyDescent="0.25">
      <c r="A10319" s="2" t="str">
        <f ca="1">IFERROR(__xludf.DUMMYFUNCTION("""COMPUTED_VALUE"""),"prism")</f>
        <v>prism</v>
      </c>
      <c r="B10319" s="2" t="str">
        <f ca="1">IFERROR(__xludf.DUMMYFUNCTION("""COMPUTED_VALUE"""),"prism")</f>
        <v>prism</v>
      </c>
      <c r="C10319" s="2" t="str">
        <f ca="1">IFERROR(__xludf.DUMMYFUNCTION("""COMPUTED_VALUE"""),"Prism")</f>
        <v>Prism</v>
      </c>
    </row>
    <row r="10320" spans="1:3" x14ac:dyDescent="0.25">
      <c r="A10320" s="2" t="str">
        <f ca="1">IFERROR(__xludf.DUMMYFUNCTION("""COMPUTED_VALUE"""),"prism-2")</f>
        <v>prism-2</v>
      </c>
      <c r="B10320" s="2" t="str">
        <f ca="1">IFERROR(__xludf.DUMMYFUNCTION("""COMPUTED_VALUE"""),"prism")</f>
        <v>prism</v>
      </c>
      <c r="C10320" s="2" t="str">
        <f ca="1">IFERROR(__xludf.DUMMYFUNCTION("""COMPUTED_VALUE"""),"Prism")</f>
        <v>Prism</v>
      </c>
    </row>
    <row r="10321" spans="1:3" x14ac:dyDescent="0.25">
      <c r="A10321" s="2" t="str">
        <f ca="1">IFERROR(__xludf.DUMMYFUNCTION("""COMPUTED_VALUE"""),"prisma-governance-token")</f>
        <v>prisma-governance-token</v>
      </c>
      <c r="B10321" s="2" t="str">
        <f ca="1">IFERROR(__xludf.DUMMYFUNCTION("""COMPUTED_VALUE"""),"prisma")</f>
        <v>prisma</v>
      </c>
      <c r="C10321" s="2" t="str">
        <f ca="1">IFERROR(__xludf.DUMMYFUNCTION("""COMPUTED_VALUE"""),"Prisma Governance Token")</f>
        <v>Prisma Governance Token</v>
      </c>
    </row>
    <row r="10322" spans="1:3" x14ac:dyDescent="0.25">
      <c r="A10322" s="2" t="str">
        <f ca="1">IFERROR(__xludf.DUMMYFUNCTION("""COMPUTED_VALUE"""),"prisma-mkusd")</f>
        <v>prisma-mkusd</v>
      </c>
      <c r="B10322" s="2" t="str">
        <f ca="1">IFERROR(__xludf.DUMMYFUNCTION("""COMPUTED_VALUE"""),"mkusd")</f>
        <v>mkusd</v>
      </c>
      <c r="C10322" s="2" t="str">
        <f ca="1">IFERROR(__xludf.DUMMYFUNCTION("""COMPUTED_VALUE"""),"Prisma mkUSD")</f>
        <v>Prisma mkUSD</v>
      </c>
    </row>
    <row r="10323" spans="1:3" x14ac:dyDescent="0.25">
      <c r="A10323" s="2" t="str">
        <f ca="1">IFERROR(__xludf.DUMMYFUNCTION("""COMPUTED_VALUE"""),"privacoin")</f>
        <v>privacoin</v>
      </c>
      <c r="B10323" s="2" t="str">
        <f ca="1">IFERROR(__xludf.DUMMYFUNCTION("""COMPUTED_VALUE"""),"prvc")</f>
        <v>prvc</v>
      </c>
      <c r="C10323" s="2" t="str">
        <f ca="1">IFERROR(__xludf.DUMMYFUNCTION("""COMPUTED_VALUE"""),"PrivaCoin")</f>
        <v>PrivaCoin</v>
      </c>
    </row>
    <row r="10324" spans="1:3" x14ac:dyDescent="0.25">
      <c r="A10324" s="2" t="str">
        <f ca="1">IFERROR(__xludf.DUMMYFUNCTION("""COMPUTED_VALUE"""),"privago-ai")</f>
        <v>privago-ai</v>
      </c>
      <c r="B10324" s="2" t="str">
        <f ca="1">IFERROR(__xludf.DUMMYFUNCTION("""COMPUTED_VALUE"""),"pvgo")</f>
        <v>pvgo</v>
      </c>
      <c r="C10324" s="2" t="str">
        <f ca="1">IFERROR(__xludf.DUMMYFUNCTION("""COMPUTED_VALUE"""),"Privago AI")</f>
        <v>Privago AI</v>
      </c>
    </row>
    <row r="10325" spans="1:3" x14ac:dyDescent="0.25">
      <c r="A10325" s="2" t="str">
        <f ca="1">IFERROR(__xludf.DUMMYFUNCTION("""COMPUTED_VALUE"""),"privapp-network")</f>
        <v>privapp-network</v>
      </c>
      <c r="B10325" s="2" t="str">
        <f ca="1">IFERROR(__xludf.DUMMYFUNCTION("""COMPUTED_VALUE"""),"bpriva")</f>
        <v>bpriva</v>
      </c>
      <c r="C10325" s="2" t="str">
        <f ca="1">IFERROR(__xludf.DUMMYFUNCTION("""COMPUTED_VALUE"""),"Privapp Network")</f>
        <v>Privapp Network</v>
      </c>
    </row>
    <row r="10326" spans="1:3" x14ac:dyDescent="0.25">
      <c r="A10326" s="2" t="str">
        <f ca="1">IFERROR(__xludf.DUMMYFUNCTION("""COMPUTED_VALUE"""),"privateai")</f>
        <v>privateai</v>
      </c>
      <c r="B10326" s="2" t="str">
        <f ca="1">IFERROR(__xludf.DUMMYFUNCTION("""COMPUTED_VALUE"""),"pgpt")</f>
        <v>pgpt</v>
      </c>
      <c r="C10326" s="2" t="str">
        <f ca="1">IFERROR(__xludf.DUMMYFUNCTION("""COMPUTED_VALUE"""),"PrivateAI")</f>
        <v>PrivateAI</v>
      </c>
    </row>
    <row r="10327" spans="1:3" x14ac:dyDescent="0.25">
      <c r="A10327" s="2" t="str">
        <f ca="1">IFERROR(__xludf.DUMMYFUNCTION("""COMPUTED_VALUE"""),"privateum")</f>
        <v>privateum</v>
      </c>
      <c r="B10327" s="2" t="str">
        <f ca="1">IFERROR(__xludf.DUMMYFUNCTION("""COMPUTED_VALUE"""),"pri")</f>
        <v>pri</v>
      </c>
      <c r="C10327" s="2" t="str">
        <f ca="1">IFERROR(__xludf.DUMMYFUNCTION("""COMPUTED_VALUE"""),"Privateum Global")</f>
        <v>Privateum Global</v>
      </c>
    </row>
    <row r="10328" spans="1:3" x14ac:dyDescent="0.25">
      <c r="A10328" s="2" t="str">
        <f ca="1">IFERROR(__xludf.DUMMYFUNCTION("""COMPUTED_VALUE"""),"private-wrapped-ix")</f>
        <v>private-wrapped-ix</v>
      </c>
      <c r="B10328" s="2" t="str">
        <f ca="1">IFERROR(__xludf.DUMMYFUNCTION("""COMPUTED_VALUE"""),"pix")</f>
        <v>pix</v>
      </c>
      <c r="C10328" s="2" t="str">
        <f ca="1">IFERROR(__xludf.DUMMYFUNCTION("""COMPUTED_VALUE"""),"Private Wrapped IX")</f>
        <v>Private Wrapped IX</v>
      </c>
    </row>
    <row r="10329" spans="1:3" x14ac:dyDescent="0.25">
      <c r="A10329" s="2" t="str">
        <f ca="1">IFERROR(__xludf.DUMMYFUNCTION("""COMPUTED_VALUE"""),"private-wrapped-wrose")</f>
        <v>private-wrapped-wrose</v>
      </c>
      <c r="B10329" s="2" t="str">
        <f ca="1">IFERROR(__xludf.DUMMYFUNCTION("""COMPUTED_VALUE"""),"pwrose")</f>
        <v>pwrose</v>
      </c>
      <c r="C10329" s="2" t="str">
        <f ca="1">IFERROR(__xludf.DUMMYFUNCTION("""COMPUTED_VALUE"""),"Private Wrapped wROSE")</f>
        <v>Private Wrapped wROSE</v>
      </c>
    </row>
    <row r="10330" spans="1:3" x14ac:dyDescent="0.25">
      <c r="A10330" s="2" t="str">
        <f ca="1">IFERROR(__xludf.DUMMYFUNCTION("""COMPUTED_VALUE"""),"privcy")</f>
        <v>privcy</v>
      </c>
      <c r="B10330" s="2" t="str">
        <f ca="1">IFERROR(__xludf.DUMMYFUNCTION("""COMPUTED_VALUE"""),"priv")</f>
        <v>priv</v>
      </c>
      <c r="C10330" s="2" t="str">
        <f ca="1">IFERROR(__xludf.DUMMYFUNCTION("""COMPUTED_VALUE"""),"PRiVCY")</f>
        <v>PRiVCY</v>
      </c>
    </row>
    <row r="10331" spans="1:3" x14ac:dyDescent="0.25">
      <c r="A10331" s="2" t="str">
        <f ca="1">IFERROR(__xludf.DUMMYFUNCTION("""COMPUTED_VALUE"""),"prizm")</f>
        <v>prizm</v>
      </c>
      <c r="B10331" s="2" t="str">
        <f ca="1">IFERROR(__xludf.DUMMYFUNCTION("""COMPUTED_VALUE"""),"pzm")</f>
        <v>pzm</v>
      </c>
      <c r="C10331" s="2" t="str">
        <f ca="1">IFERROR(__xludf.DUMMYFUNCTION("""COMPUTED_VALUE"""),"Prizm")</f>
        <v>Prizm</v>
      </c>
    </row>
    <row r="10332" spans="1:3" x14ac:dyDescent="0.25">
      <c r="A10332" s="2" t="str">
        <f ca="1">IFERROR(__xludf.DUMMYFUNCTION("""COMPUTED_VALUE"""),"prm-token")</f>
        <v>prm-token</v>
      </c>
      <c r="B10332" s="2" t="str">
        <f ca="1">IFERROR(__xludf.DUMMYFUNCTION("""COMPUTED_VALUE"""),"prm")</f>
        <v>prm</v>
      </c>
      <c r="C10332" s="2" t="str">
        <f ca="1">IFERROR(__xludf.DUMMYFUNCTION("""COMPUTED_VALUE"""),"PRM Token")</f>
        <v>PRM Token</v>
      </c>
    </row>
    <row r="10333" spans="1:3" x14ac:dyDescent="0.25">
      <c r="A10333" s="2" t="str">
        <f ca="1">IFERROR(__xludf.DUMMYFUNCTION("""COMPUTED_VALUE"""),"prnt")</f>
        <v>prnt</v>
      </c>
      <c r="B10333" s="2" t="str">
        <f ca="1">IFERROR(__xludf.DUMMYFUNCTION("""COMPUTED_VALUE"""),"prnt")</f>
        <v>prnt</v>
      </c>
      <c r="C10333" s="2" t="str">
        <f ca="1">IFERROR(__xludf.DUMMYFUNCTION("""COMPUTED_VALUE"""),"PRNT")</f>
        <v>PRNT</v>
      </c>
    </row>
    <row r="10334" spans="1:3" x14ac:dyDescent="0.25">
      <c r="A10334" s="2" t="str">
        <f ca="1">IFERROR(__xludf.DUMMYFUNCTION("""COMPUTED_VALUE"""),"probinex")</f>
        <v>probinex</v>
      </c>
      <c r="B10334" s="2" t="str">
        <f ca="1">IFERROR(__xludf.DUMMYFUNCTION("""COMPUTED_VALUE"""),"pbx")</f>
        <v>pbx</v>
      </c>
      <c r="C10334" s="2" t="str">
        <f ca="1">IFERROR(__xludf.DUMMYFUNCTION("""COMPUTED_VALUE"""),"Probinex")</f>
        <v>Probinex</v>
      </c>
    </row>
    <row r="10335" spans="1:3" x14ac:dyDescent="0.25">
      <c r="A10335" s="2" t="str">
        <f ca="1">IFERROR(__xludf.DUMMYFUNCTION("""COMPUTED_VALUE"""),"probit-exchange")</f>
        <v>probit-exchange</v>
      </c>
      <c r="B10335" s="2" t="str">
        <f ca="1">IFERROR(__xludf.DUMMYFUNCTION("""COMPUTED_VALUE"""),"prob")</f>
        <v>prob</v>
      </c>
      <c r="C10335" s="2" t="str">
        <f ca="1">IFERROR(__xludf.DUMMYFUNCTION("""COMPUTED_VALUE"""),"Probit")</f>
        <v>Probit</v>
      </c>
    </row>
    <row r="10336" spans="1:3" x14ac:dyDescent="0.25">
      <c r="A10336" s="2" t="str">
        <f ca="1">IFERROR(__xludf.DUMMYFUNCTION("""COMPUTED_VALUE"""),"proc")</f>
        <v>proc</v>
      </c>
      <c r="B10336" s="2" t="str">
        <f ca="1">IFERROR(__xludf.DUMMYFUNCTION("""COMPUTED_VALUE"""),"prc")</f>
        <v>prc</v>
      </c>
      <c r="C10336" s="2" t="str">
        <f ca="1">IFERROR(__xludf.DUMMYFUNCTION("""COMPUTED_VALUE"""),"PROC")</f>
        <v>PROC</v>
      </c>
    </row>
    <row r="10337" spans="1:3" x14ac:dyDescent="0.25">
      <c r="A10337" s="2" t="str">
        <f ca="1">IFERROR(__xludf.DUMMYFUNCTION("""COMPUTED_VALUE"""),"procyon-coon-coin")</f>
        <v>procyon-coon-coin</v>
      </c>
      <c r="B10337" s="2" t="str">
        <f ca="1">IFERROR(__xludf.DUMMYFUNCTION("""COMPUTED_VALUE"""),"prco")</f>
        <v>prco</v>
      </c>
      <c r="C10337" s="2" t="str">
        <f ca="1">IFERROR(__xludf.DUMMYFUNCTION("""COMPUTED_VALUE"""),"Procyon Coon Coin")</f>
        <v>Procyon Coon Coin</v>
      </c>
    </row>
    <row r="10338" spans="1:3" x14ac:dyDescent="0.25">
      <c r="A10338" s="2" t="str">
        <f ca="1">IFERROR(__xludf.DUMMYFUNCTION("""COMPUTED_VALUE"""),"prodigy-bot")</f>
        <v>prodigy-bot</v>
      </c>
      <c r="B10338" s="2" t="str">
        <f ca="1">IFERROR(__xludf.DUMMYFUNCTION("""COMPUTED_VALUE"""),"pro")</f>
        <v>pro</v>
      </c>
      <c r="C10338" s="2" t="str">
        <f ca="1">IFERROR(__xludf.DUMMYFUNCTION("""COMPUTED_VALUE"""),"Prodigy Bot")</f>
        <v>Prodigy Bot</v>
      </c>
    </row>
    <row r="10339" spans="1:3" x14ac:dyDescent="0.25">
      <c r="A10339" s="2" t="str">
        <f ca="1">IFERROR(__xludf.DUMMYFUNCTION("""COMPUTED_VALUE"""),"produce-ai")</f>
        <v>produce-ai</v>
      </c>
      <c r="B10339" s="2" t="str">
        <f ca="1">IFERROR(__xludf.DUMMYFUNCTION("""COMPUTED_VALUE"""),"prai")</f>
        <v>prai</v>
      </c>
      <c r="C10339" s="2" t="str">
        <f ca="1">IFERROR(__xludf.DUMMYFUNCTION("""COMPUTED_VALUE"""),"Produce AI")</f>
        <v>Produce AI</v>
      </c>
    </row>
    <row r="10340" spans="1:3" x14ac:dyDescent="0.25">
      <c r="A10340" s="2" t="str">
        <f ca="1">IFERROR(__xludf.DUMMYFUNCTION("""COMPUTED_VALUE"""),"professional-fighters-league-fan-token")</f>
        <v>professional-fighters-league-fan-token</v>
      </c>
      <c r="B10340" s="2" t="str">
        <f ca="1">IFERROR(__xludf.DUMMYFUNCTION("""COMPUTED_VALUE"""),"pfl")</f>
        <v>pfl</v>
      </c>
      <c r="C10340" s="2" t="str">
        <f ca="1">IFERROR(__xludf.DUMMYFUNCTION("""COMPUTED_VALUE"""),"Professional Fighters League Fan Token")</f>
        <v>Professional Fighters League Fan Token</v>
      </c>
    </row>
    <row r="10341" spans="1:3" x14ac:dyDescent="0.25">
      <c r="A10341" s="2" t="str">
        <f ca="1">IFERROR(__xludf.DUMMYFUNCTION("""COMPUTED_VALUE"""),"project-ailey")</f>
        <v>project-ailey</v>
      </c>
      <c r="B10341" s="2" t="str">
        <f ca="1">IFERROR(__xludf.DUMMYFUNCTION("""COMPUTED_VALUE"""),"ale")</f>
        <v>ale</v>
      </c>
      <c r="C10341" s="2" t="str">
        <f ca="1">IFERROR(__xludf.DUMMYFUNCTION("""COMPUTED_VALUE"""),"Project Ailey")</f>
        <v>Project Ailey</v>
      </c>
    </row>
    <row r="10342" spans="1:3" x14ac:dyDescent="0.25">
      <c r="A10342" s="2" t="str">
        <f ca="1">IFERROR(__xludf.DUMMYFUNCTION("""COMPUTED_VALUE"""),"project-athena")</f>
        <v>project-athena</v>
      </c>
      <c r="B10342" s="2" t="str">
        <f ca="1">IFERROR(__xludf.DUMMYFUNCTION("""COMPUTED_VALUE"""),"athena")</f>
        <v>athena</v>
      </c>
      <c r="C10342" s="2" t="str">
        <f ca="1">IFERROR(__xludf.DUMMYFUNCTION("""COMPUTED_VALUE"""),"Project Athena")</f>
        <v>Project Athena</v>
      </c>
    </row>
    <row r="10343" spans="1:3" x14ac:dyDescent="0.25">
      <c r="A10343" s="2" t="str">
        <f ca="1">IFERROR(__xludf.DUMMYFUNCTION("""COMPUTED_VALUE"""),"project-dojo")</f>
        <v>project-dojo</v>
      </c>
      <c r="B10343" s="2" t="str">
        <f ca="1">IFERROR(__xludf.DUMMYFUNCTION("""COMPUTED_VALUE"""),"dojo")</f>
        <v>dojo</v>
      </c>
      <c r="C10343" s="2" t="str">
        <f ca="1">IFERROR(__xludf.DUMMYFUNCTION("""COMPUTED_VALUE"""),"Project Dojo")</f>
        <v>Project Dojo</v>
      </c>
    </row>
    <row r="10344" spans="1:3" x14ac:dyDescent="0.25">
      <c r="A10344" s="2" t="str">
        <f ca="1">IFERROR(__xludf.DUMMYFUNCTION("""COMPUTED_VALUE"""),"project-galaxy")</f>
        <v>project-galaxy</v>
      </c>
      <c r="B10344" s="2" t="str">
        <f ca="1">IFERROR(__xludf.DUMMYFUNCTION("""COMPUTED_VALUE"""),"gal")</f>
        <v>gal</v>
      </c>
      <c r="C10344" s="2" t="str">
        <f ca="1">IFERROR(__xludf.DUMMYFUNCTION("""COMPUTED_VALUE"""),"Galxe")</f>
        <v>Galxe</v>
      </c>
    </row>
    <row r="10345" spans="1:3" x14ac:dyDescent="0.25">
      <c r="A10345" s="2" t="str">
        <f ca="1">IFERROR(__xludf.DUMMYFUNCTION("""COMPUTED_VALUE"""),"project-mullet")</f>
        <v>project-mullet</v>
      </c>
      <c r="B10345" s="2" t="str">
        <f ca="1">IFERROR(__xludf.DUMMYFUNCTION("""COMPUTED_VALUE"""),"mullet")</f>
        <v>mullet</v>
      </c>
      <c r="C10345" s="2" t="str">
        <f ca="1">IFERROR(__xludf.DUMMYFUNCTION("""COMPUTED_VALUE"""),"Project Mullet")</f>
        <v>Project Mullet</v>
      </c>
    </row>
    <row r="10346" spans="1:3" x14ac:dyDescent="0.25">
      <c r="A10346" s="2" t="str">
        <f ca="1">IFERROR(__xludf.DUMMYFUNCTION("""COMPUTED_VALUE"""),"project-oasis")</f>
        <v>project-oasis</v>
      </c>
      <c r="B10346" s="2" t="str">
        <f ca="1">IFERROR(__xludf.DUMMYFUNCTION("""COMPUTED_VALUE"""),"oasis")</f>
        <v>oasis</v>
      </c>
      <c r="C10346" s="2" t="str">
        <f ca="1">IFERROR(__xludf.DUMMYFUNCTION("""COMPUTED_VALUE"""),"ProjectOasis")</f>
        <v>ProjectOasis</v>
      </c>
    </row>
    <row r="10347" spans="1:3" x14ac:dyDescent="0.25">
      <c r="A10347" s="2" t="str">
        <f ca="1">IFERROR(__xludf.DUMMYFUNCTION("""COMPUTED_VALUE"""),"project-with")</f>
        <v>project-with</v>
      </c>
      <c r="B10347" s="2" t="str">
        <f ca="1">IFERROR(__xludf.DUMMYFUNCTION("""COMPUTED_VALUE"""),"wiken")</f>
        <v>wiken</v>
      </c>
      <c r="C10347" s="2" t="str">
        <f ca="1">IFERROR(__xludf.DUMMYFUNCTION("""COMPUTED_VALUE"""),"Project WITH")</f>
        <v>Project WITH</v>
      </c>
    </row>
    <row r="10348" spans="1:3" x14ac:dyDescent="0.25">
      <c r="A10348" s="2" t="str">
        <f ca="1">IFERROR(__xludf.DUMMYFUNCTION("""COMPUTED_VALUE"""),"projectx")</f>
        <v>projectx</v>
      </c>
      <c r="B10348" s="2" t="str">
        <f ca="1">IFERROR(__xludf.DUMMYFUNCTION("""COMPUTED_VALUE"""),"xil")</f>
        <v>xil</v>
      </c>
      <c r="C10348" s="2" t="str">
        <f ca="1">IFERROR(__xludf.DUMMYFUNCTION("""COMPUTED_VALUE"""),"Xillion")</f>
        <v>Xillion</v>
      </c>
    </row>
    <row r="10349" spans="1:3" x14ac:dyDescent="0.25">
      <c r="A10349" s="2" t="str">
        <f ca="1">IFERROR(__xludf.DUMMYFUNCTION("""COMPUTED_VALUE"""),"project-xeno")</f>
        <v>project-xeno</v>
      </c>
      <c r="B10349" s="2" t="str">
        <f ca="1">IFERROR(__xludf.DUMMYFUNCTION("""COMPUTED_VALUE"""),"gxe")</f>
        <v>gxe</v>
      </c>
      <c r="C10349" s="2" t="str">
        <f ca="1">IFERROR(__xludf.DUMMYFUNCTION("""COMPUTED_VALUE"""),"PROJECT XENO")</f>
        <v>PROJECT XENO</v>
      </c>
    </row>
    <row r="10350" spans="1:3" x14ac:dyDescent="0.25">
      <c r="A10350" s="2" t="str">
        <f ca="1">IFERROR(__xludf.DUMMYFUNCTION("""COMPUTED_VALUE"""),"prometeus")</f>
        <v>prometeus</v>
      </c>
      <c r="B10350" s="2" t="str">
        <f ca="1">IFERROR(__xludf.DUMMYFUNCTION("""COMPUTED_VALUE"""),"prom")</f>
        <v>prom</v>
      </c>
      <c r="C10350" s="2" t="str">
        <f ca="1">IFERROR(__xludf.DUMMYFUNCTION("""COMPUTED_VALUE"""),"Prom")</f>
        <v>Prom</v>
      </c>
    </row>
    <row r="10351" spans="1:3" x14ac:dyDescent="0.25">
      <c r="A10351" s="2" t="str">
        <f ca="1">IFERROR(__xludf.DUMMYFUNCTION("""COMPUTED_VALUE"""),"prometheum-prodigy")</f>
        <v>prometheum-prodigy</v>
      </c>
      <c r="B10351" s="2" t="str">
        <f ca="1">IFERROR(__xludf.DUMMYFUNCTION("""COMPUTED_VALUE"""),"pmpy")</f>
        <v>pmpy</v>
      </c>
      <c r="C10351" s="2" t="str">
        <f ca="1">IFERROR(__xludf.DUMMYFUNCTION("""COMPUTED_VALUE"""),"Prometheum Prodigy")</f>
        <v>Prometheum Prodigy</v>
      </c>
    </row>
    <row r="10352" spans="1:3" x14ac:dyDescent="0.25">
      <c r="A10352" s="2" t="str">
        <f ca="1">IFERROR(__xludf.DUMMYFUNCTION("""COMPUTED_VALUE"""),"promise")</f>
        <v>promise</v>
      </c>
      <c r="B10352" s="2" t="str">
        <f ca="1">IFERROR(__xludf.DUMMYFUNCTION("""COMPUTED_VALUE"""),"promise")</f>
        <v>promise</v>
      </c>
      <c r="C10352" s="2" t="str">
        <f ca="1">IFERROR(__xludf.DUMMYFUNCTION("""COMPUTED_VALUE"""),"Promise")</f>
        <v>Promise</v>
      </c>
    </row>
    <row r="10353" spans="1:3" x14ac:dyDescent="0.25">
      <c r="A10353" s="2" t="str">
        <f ca="1">IFERROR(__xludf.DUMMYFUNCTION("""COMPUTED_VALUE"""),"promote")</f>
        <v>promote</v>
      </c>
      <c r="B10353" s="2" t="str">
        <f ca="1">IFERROR(__xludf.DUMMYFUNCTION("""COMPUTED_VALUE"""),"pro")</f>
        <v>pro</v>
      </c>
      <c r="C10353" s="2" t="str">
        <f ca="1">IFERROR(__xludf.DUMMYFUNCTION("""COMPUTED_VALUE"""),"Promote")</f>
        <v>Promote</v>
      </c>
    </row>
    <row r="10354" spans="1:3" x14ac:dyDescent="0.25">
      <c r="A10354" s="2" t="str">
        <f ca="1">IFERROR(__xludf.DUMMYFUNCTION("""COMPUTED_VALUE"""),"promptide")</f>
        <v>promptide</v>
      </c>
      <c r="B10354" s="2" t="str">
        <f ca="1">IFERROR(__xludf.DUMMYFUNCTION("""COMPUTED_VALUE"""),"promptide")</f>
        <v>promptide</v>
      </c>
      <c r="C10354" s="2" t="str">
        <f ca="1">IFERROR(__xludf.DUMMYFUNCTION("""COMPUTED_VALUE"""),"PromptIDE")</f>
        <v>PromptIDE</v>
      </c>
    </row>
    <row r="10355" spans="1:3" x14ac:dyDescent="0.25">
      <c r="A10355" s="2" t="str">
        <f ca="1">IFERROR(__xludf.DUMMYFUNCTION("""COMPUTED_VALUE"""),"proof-of-gorila")</f>
        <v>proof-of-gorila</v>
      </c>
      <c r="B10355" s="2" t="str">
        <f ca="1">IFERROR(__xludf.DUMMYFUNCTION("""COMPUTED_VALUE"""),"pog")</f>
        <v>pog</v>
      </c>
      <c r="C10355" s="2" t="str">
        <f ca="1">IFERROR(__xludf.DUMMYFUNCTION("""COMPUTED_VALUE"""),"Proof Of Gorila")</f>
        <v>Proof Of Gorila</v>
      </c>
    </row>
    <row r="10356" spans="1:3" x14ac:dyDescent="0.25">
      <c r="A10356" s="2" t="str">
        <f ca="1">IFERROR(__xludf.DUMMYFUNCTION("""COMPUTED_VALUE"""),"proof-of-liquidity")</f>
        <v>proof-of-liquidity</v>
      </c>
      <c r="B10356" s="2" t="str">
        <f ca="1">IFERROR(__xludf.DUMMYFUNCTION("""COMPUTED_VALUE"""),"pol")</f>
        <v>pol</v>
      </c>
      <c r="C10356" s="2" t="str">
        <f ca="1">IFERROR(__xludf.DUMMYFUNCTION("""COMPUTED_VALUE"""),"Proof Of Liquidity")</f>
        <v>Proof Of Liquidity</v>
      </c>
    </row>
    <row r="10357" spans="1:3" x14ac:dyDescent="0.25">
      <c r="A10357" s="2" t="str">
        <f ca="1">IFERROR(__xludf.DUMMYFUNCTION("""COMPUTED_VALUE"""),"proof-of-pepe")</f>
        <v>proof-of-pepe</v>
      </c>
      <c r="B10357" s="2" t="str">
        <f ca="1">IFERROR(__xludf.DUMMYFUNCTION("""COMPUTED_VALUE"""),"pop")</f>
        <v>pop</v>
      </c>
      <c r="C10357" s="2" t="str">
        <f ca="1">IFERROR(__xludf.DUMMYFUNCTION("""COMPUTED_VALUE"""),"Proof Of Pepe")</f>
        <v>Proof Of Pepe</v>
      </c>
    </row>
    <row r="10358" spans="1:3" x14ac:dyDescent="0.25">
      <c r="A10358" s="2" t="str">
        <f ca="1">IFERROR(__xludf.DUMMYFUNCTION("""COMPUTED_VALUE"""),"proof-of-pepe-art")</f>
        <v>proof-of-pepe-art</v>
      </c>
      <c r="B10358" s="2" t="str">
        <f ca="1">IFERROR(__xludf.DUMMYFUNCTION("""COMPUTED_VALUE"""),"pop")</f>
        <v>pop</v>
      </c>
      <c r="C10358" s="2" t="str">
        <f ca="1">IFERROR(__xludf.DUMMYFUNCTION("""COMPUTED_VALUE"""),"Proof of Pepe Art")</f>
        <v>Proof of Pepe Art</v>
      </c>
    </row>
    <row r="10359" spans="1:3" x14ac:dyDescent="0.25">
      <c r="A10359" s="2" t="str">
        <f ca="1">IFERROR(__xludf.DUMMYFUNCTION("""COMPUTED_VALUE"""),"proof-platform")</f>
        <v>proof-platform</v>
      </c>
      <c r="B10359" s="2" t="str">
        <f ca="1">IFERROR(__xludf.DUMMYFUNCTION("""COMPUTED_VALUE"""),"proof")</f>
        <v>proof</v>
      </c>
      <c r="C10359" s="2" t="str">
        <f ca="1">IFERROR(__xludf.DUMMYFUNCTION("""COMPUTED_VALUE"""),"PROOF Platform")</f>
        <v>PROOF Platform</v>
      </c>
    </row>
    <row r="10360" spans="1:3" x14ac:dyDescent="0.25">
      <c r="A10360" s="2" t="str">
        <f ca="1">IFERROR(__xludf.DUMMYFUNCTION("""COMPUTED_VALUE"""),"propbase")</f>
        <v>propbase</v>
      </c>
      <c r="B10360" s="2" t="str">
        <f ca="1">IFERROR(__xludf.DUMMYFUNCTION("""COMPUTED_VALUE"""),"props")</f>
        <v>props</v>
      </c>
      <c r="C10360" s="2" t="str">
        <f ca="1">IFERROR(__xludf.DUMMYFUNCTION("""COMPUTED_VALUE"""),"Propbase")</f>
        <v>Propbase</v>
      </c>
    </row>
    <row r="10361" spans="1:3" x14ac:dyDescent="0.25">
      <c r="A10361" s="2" t="str">
        <f ca="1">IFERROR(__xludf.DUMMYFUNCTION("""COMPUTED_VALUE"""),"propchain")</f>
        <v>propchain</v>
      </c>
      <c r="B10361" s="2" t="str">
        <f ca="1">IFERROR(__xludf.DUMMYFUNCTION("""COMPUTED_VALUE"""),"propc")</f>
        <v>propc</v>
      </c>
      <c r="C10361" s="2" t="str">
        <f ca="1">IFERROR(__xludf.DUMMYFUNCTION("""COMPUTED_VALUE"""),"Propchain")</f>
        <v>Propchain</v>
      </c>
    </row>
    <row r="10362" spans="1:3" x14ac:dyDescent="0.25">
      <c r="A10362" s="2" t="str">
        <f ca="1">IFERROR(__xludf.DUMMYFUNCTION("""COMPUTED_VALUE"""),"propel-token")</f>
        <v>propel-token</v>
      </c>
      <c r="B10362" s="2" t="str">
        <f ca="1">IFERROR(__xludf.DUMMYFUNCTION("""COMPUTED_VALUE"""),"pel")</f>
        <v>pel</v>
      </c>
      <c r="C10362" s="2" t="str">
        <f ca="1">IFERROR(__xludf.DUMMYFUNCTION("""COMPUTED_VALUE"""),"Propel")</f>
        <v>Propel</v>
      </c>
    </row>
    <row r="10363" spans="1:3" x14ac:dyDescent="0.25">
      <c r="A10363" s="2" t="str">
        <f ca="1">IFERROR(__xludf.DUMMYFUNCTION("""COMPUTED_VALUE"""),"property-blockchain-trade")</f>
        <v>property-blockchain-trade</v>
      </c>
      <c r="B10363" s="2" t="str">
        <f ca="1">IFERROR(__xludf.DUMMYFUNCTION("""COMPUTED_VALUE"""),"pbt")</f>
        <v>pbt</v>
      </c>
      <c r="C10363" s="2" t="str">
        <f ca="1">IFERROR(__xludf.DUMMYFUNCTION("""COMPUTED_VALUE"""),"PROPERTY BLOCKCHAIN TRADE")</f>
        <v>PROPERTY BLOCKCHAIN TRADE</v>
      </c>
    </row>
    <row r="10364" spans="1:3" x14ac:dyDescent="0.25">
      <c r="A10364" s="2" t="str">
        <f ca="1">IFERROR(__xludf.DUMMYFUNCTION("""COMPUTED_VALUE"""),"prophet")</f>
        <v>prophet</v>
      </c>
      <c r="B10364" s="2" t="str">
        <f ca="1">IFERROR(__xludf.DUMMYFUNCTION("""COMPUTED_VALUE"""),"pro")</f>
        <v>pro</v>
      </c>
      <c r="C10364" s="2" t="str">
        <f ca="1">IFERROR(__xludf.DUMMYFUNCTION("""COMPUTED_VALUE"""),"Prophet")</f>
        <v>Prophet</v>
      </c>
    </row>
    <row r="10365" spans="1:3" x14ac:dyDescent="0.25">
      <c r="A10365" s="2" t="str">
        <f ca="1">IFERROR(__xludf.DUMMYFUNCTION("""COMPUTED_VALUE"""),"prophet-2")</f>
        <v>prophet-2</v>
      </c>
      <c r="B10365" s="2" t="str">
        <f ca="1">IFERROR(__xludf.DUMMYFUNCTION("""COMPUTED_VALUE"""),"prophet")</f>
        <v>prophet</v>
      </c>
      <c r="C10365" s="2" t="str">
        <f ca="1">IFERROR(__xludf.DUMMYFUNCTION("""COMPUTED_VALUE"""),"Prophet")</f>
        <v>Prophet</v>
      </c>
    </row>
    <row r="10366" spans="1:3" x14ac:dyDescent="0.25">
      <c r="A10366" s="2" t="str">
        <f ca="1">IFERROR(__xludf.DUMMYFUNCTION("""COMPUTED_VALUE"""),"prophet-of-ethereum")</f>
        <v>prophet-of-ethereum</v>
      </c>
      <c r="B10366" s="2" t="str">
        <f ca="1">IFERROR(__xludf.DUMMYFUNCTION("""COMPUTED_VALUE"""),"prophet")</f>
        <v>prophet</v>
      </c>
      <c r="C10366" s="2" t="str">
        <f ca="1">IFERROR(__xludf.DUMMYFUNCTION("""COMPUTED_VALUE"""),"Prophet of Ethereum")</f>
        <v>Prophet of Ethereum</v>
      </c>
    </row>
    <row r="10367" spans="1:3" x14ac:dyDescent="0.25">
      <c r="A10367" s="2" t="str">
        <f ca="1">IFERROR(__xludf.DUMMYFUNCTION("""COMPUTED_VALUE"""),"props")</f>
        <v>props</v>
      </c>
      <c r="B10367" s="2" t="str">
        <f ca="1">IFERROR(__xludf.DUMMYFUNCTION("""COMPUTED_VALUE"""),"props")</f>
        <v>props</v>
      </c>
      <c r="C10367" s="2" t="str">
        <f ca="1">IFERROR(__xludf.DUMMYFUNCTION("""COMPUTED_VALUE"""),"Props")</f>
        <v>Props</v>
      </c>
    </row>
    <row r="10368" spans="1:3" x14ac:dyDescent="0.25">
      <c r="A10368" s="2" t="str">
        <f ca="1">IFERROR(__xludf.DUMMYFUNCTION("""COMPUTED_VALUE"""),"propy")</f>
        <v>propy</v>
      </c>
      <c r="B10368" s="2" t="str">
        <f ca="1">IFERROR(__xludf.DUMMYFUNCTION("""COMPUTED_VALUE"""),"pro")</f>
        <v>pro</v>
      </c>
      <c r="C10368" s="2" t="str">
        <f ca="1">IFERROR(__xludf.DUMMYFUNCTION("""COMPUTED_VALUE"""),"Propy")</f>
        <v>Propy</v>
      </c>
    </row>
    <row r="10369" spans="1:3" x14ac:dyDescent="0.25">
      <c r="A10369" s="2" t="str">
        <f ca="1">IFERROR(__xludf.DUMMYFUNCTION("""COMPUTED_VALUE"""),"prosper")</f>
        <v>prosper</v>
      </c>
      <c r="B10369" s="2" t="str">
        <f ca="1">IFERROR(__xludf.DUMMYFUNCTION("""COMPUTED_VALUE"""),"pros")</f>
        <v>pros</v>
      </c>
      <c r="C10369" s="2" t="str">
        <f ca="1">IFERROR(__xludf.DUMMYFUNCTION("""COMPUTED_VALUE"""),"Prosper")</f>
        <v>Prosper</v>
      </c>
    </row>
    <row r="10370" spans="1:3" x14ac:dyDescent="0.25">
      <c r="A10370" s="2" t="str">
        <f ca="1">IFERROR(__xludf.DUMMYFUNCTION("""COMPUTED_VALUE"""),"prospera-tax-credit")</f>
        <v>prospera-tax-credit</v>
      </c>
      <c r="B10370" s="2" t="str">
        <f ca="1">IFERROR(__xludf.DUMMYFUNCTION("""COMPUTED_VALUE"""),"ptc")</f>
        <v>ptc</v>
      </c>
      <c r="C10370" s="2" t="str">
        <f ca="1">IFERROR(__xludf.DUMMYFUNCTION("""COMPUTED_VALUE"""),"Prospera Tax Credit")</f>
        <v>Prospera Tax Credit</v>
      </c>
    </row>
    <row r="10371" spans="1:3" x14ac:dyDescent="0.25">
      <c r="A10371" s="2" t="str">
        <f ca="1">IFERROR(__xludf.DUMMYFUNCTION("""COMPUTED_VALUE"""),"protectorate-protocol")</f>
        <v>protectorate-protocol</v>
      </c>
      <c r="B10371" s="2" t="str">
        <f ca="1">IFERROR(__xludf.DUMMYFUNCTION("""COMPUTED_VALUE"""),"zaar")</f>
        <v>zaar</v>
      </c>
      <c r="C10371" s="2" t="str">
        <f ca="1">IFERROR(__xludf.DUMMYFUNCTION("""COMPUTED_VALUE"""),"Zaar")</f>
        <v>Zaar</v>
      </c>
    </row>
    <row r="10372" spans="1:3" x14ac:dyDescent="0.25">
      <c r="A10372" s="2" t="str">
        <f ca="1">IFERROR(__xludf.DUMMYFUNCTION("""COMPUTED_VALUE"""),"proteo-defi")</f>
        <v>proteo-defi</v>
      </c>
      <c r="B10372" s="2" t="str">
        <f ca="1">IFERROR(__xludf.DUMMYFUNCTION("""COMPUTED_VALUE"""),"proteo")</f>
        <v>proteo</v>
      </c>
      <c r="C10372" s="2" t="str">
        <f ca="1">IFERROR(__xludf.DUMMYFUNCTION("""COMPUTED_VALUE"""),"Proteo DeFi")</f>
        <v>Proteo DeFi</v>
      </c>
    </row>
    <row r="10373" spans="1:3" x14ac:dyDescent="0.25">
      <c r="A10373" s="2" t="str">
        <f ca="1">IFERROR(__xludf.DUMMYFUNCTION("""COMPUTED_VALUE"""),"protocon")</f>
        <v>protocon</v>
      </c>
      <c r="B10373" s="2" t="str">
        <f ca="1">IFERROR(__xludf.DUMMYFUNCTION("""COMPUTED_VALUE"""),"pen")</f>
        <v>pen</v>
      </c>
      <c r="C10373" s="2" t="str">
        <f ca="1">IFERROR(__xludf.DUMMYFUNCTION("""COMPUTED_VALUE"""),"Protocon")</f>
        <v>Protocon</v>
      </c>
    </row>
    <row r="10374" spans="1:3" x14ac:dyDescent="0.25">
      <c r="A10374" s="2" t="str">
        <f ca="1">IFERROR(__xludf.DUMMYFUNCTION("""COMPUTED_VALUE"""),"protofi")</f>
        <v>protofi</v>
      </c>
      <c r="B10374" s="2" t="str">
        <f ca="1">IFERROR(__xludf.DUMMYFUNCTION("""COMPUTED_VALUE"""),"proto")</f>
        <v>proto</v>
      </c>
      <c r="C10374" s="2" t="str">
        <f ca="1">IFERROR(__xludf.DUMMYFUNCTION("""COMPUTED_VALUE"""),"Protofi")</f>
        <v>Protofi</v>
      </c>
    </row>
    <row r="10375" spans="1:3" x14ac:dyDescent="0.25">
      <c r="A10375" s="2" t="str">
        <f ca="1">IFERROR(__xludf.DUMMYFUNCTION("""COMPUTED_VALUE"""),"proto-gyro-dollar")</f>
        <v>proto-gyro-dollar</v>
      </c>
      <c r="B10375" s="2" t="str">
        <f ca="1">IFERROR(__xludf.DUMMYFUNCTION("""COMPUTED_VALUE"""),"p-gyd")</f>
        <v>p-gyd</v>
      </c>
      <c r="C10375" s="2" t="str">
        <f ca="1">IFERROR(__xludf.DUMMYFUNCTION("""COMPUTED_VALUE"""),"Proto Gyro Dollar")</f>
        <v>Proto Gyro Dollar</v>
      </c>
    </row>
    <row r="10376" spans="1:3" x14ac:dyDescent="0.25">
      <c r="A10376" s="2" t="str">
        <f ca="1">IFERROR(__xludf.DUMMYFUNCTION("""COMPUTED_VALUE"""),"proton")</f>
        <v>proton</v>
      </c>
      <c r="B10376" s="2" t="str">
        <f ca="1">IFERROR(__xludf.DUMMYFUNCTION("""COMPUTED_VALUE"""),"xpr")</f>
        <v>xpr</v>
      </c>
      <c r="C10376" s="2" t="str">
        <f ca="1">IFERROR(__xludf.DUMMYFUNCTION("""COMPUTED_VALUE"""),"XPR Network")</f>
        <v>XPR Network</v>
      </c>
    </row>
    <row r="10377" spans="1:3" x14ac:dyDescent="0.25">
      <c r="A10377" s="2" t="str">
        <f ca="1">IFERROR(__xludf.DUMMYFUNCTION("""COMPUTED_VALUE"""),"protonai")</f>
        <v>protonai</v>
      </c>
      <c r="B10377" s="2" t="str">
        <f ca="1">IFERROR(__xludf.DUMMYFUNCTION("""COMPUTED_VALUE"""),"prai")</f>
        <v>prai</v>
      </c>
      <c r="C10377" s="2" t="str">
        <f ca="1">IFERROR(__xludf.DUMMYFUNCTION("""COMPUTED_VALUE"""),"ProtonAI")</f>
        <v>ProtonAI</v>
      </c>
    </row>
    <row r="10378" spans="1:3" x14ac:dyDescent="0.25">
      <c r="A10378" s="2" t="str">
        <f ca="1">IFERROR(__xludf.DUMMYFUNCTION("""COMPUTED_VALUE"""),"proton-coin")</f>
        <v>proton-coin</v>
      </c>
      <c r="B10378" s="2" t="str">
        <f ca="1">IFERROR(__xludf.DUMMYFUNCTION("""COMPUTED_VALUE"""),"pro")</f>
        <v>pro</v>
      </c>
      <c r="C10378" s="2" t="str">
        <f ca="1">IFERROR(__xludf.DUMMYFUNCTION("""COMPUTED_VALUE"""),"Proton Coin")</f>
        <v>Proton Coin</v>
      </c>
    </row>
    <row r="10379" spans="1:3" x14ac:dyDescent="0.25">
      <c r="A10379" s="2" t="str">
        <f ca="1">IFERROR(__xludf.DUMMYFUNCTION("""COMPUTED_VALUE"""),"proton-loan")</f>
        <v>proton-loan</v>
      </c>
      <c r="B10379" s="2" t="str">
        <f ca="1">IFERROR(__xludf.DUMMYFUNCTION("""COMPUTED_VALUE"""),"loan")</f>
        <v>loan</v>
      </c>
      <c r="C10379" s="2" t="str">
        <f ca="1">IFERROR(__xludf.DUMMYFUNCTION("""COMPUTED_VALUE"""),"Loan Protocol")</f>
        <v>Loan Protocol</v>
      </c>
    </row>
    <row r="10380" spans="1:3" x14ac:dyDescent="0.25">
      <c r="A10380" s="2" t="str">
        <f ca="1">IFERROR(__xludf.DUMMYFUNCTION("""COMPUTED_VALUE"""),"proton-project")</f>
        <v>proton-project</v>
      </c>
      <c r="B10380" s="2" t="str">
        <f ca="1">IFERROR(__xludf.DUMMYFUNCTION("""COMPUTED_VALUE"""),"prtn")</f>
        <v>prtn</v>
      </c>
      <c r="C10380" s="2" t="str">
        <f ca="1">IFERROR(__xludf.DUMMYFUNCTION("""COMPUTED_VALUE"""),"Proton Project")</f>
        <v>Proton Project</v>
      </c>
    </row>
    <row r="10381" spans="1:3" x14ac:dyDescent="0.25">
      <c r="A10381" s="2" t="str">
        <f ca="1">IFERROR(__xludf.DUMMYFUNCTION("""COMPUTED_VALUE"""),"proximax")</f>
        <v>proximax</v>
      </c>
      <c r="B10381" s="2" t="str">
        <f ca="1">IFERROR(__xludf.DUMMYFUNCTION("""COMPUTED_VALUE"""),"xpx")</f>
        <v>xpx</v>
      </c>
      <c r="C10381" s="2" t="str">
        <f ca="1">IFERROR(__xludf.DUMMYFUNCTION("""COMPUTED_VALUE"""),"Sirius Chain")</f>
        <v>Sirius Chain</v>
      </c>
    </row>
    <row r="10382" spans="1:3" x14ac:dyDescent="0.25">
      <c r="A10382" s="2" t="str">
        <f ca="1">IFERROR(__xludf.DUMMYFUNCTION("""COMPUTED_VALUE"""),"proxy")</f>
        <v>proxy</v>
      </c>
      <c r="B10382" s="2" t="str">
        <f ca="1">IFERROR(__xludf.DUMMYFUNCTION("""COMPUTED_VALUE"""),"prxy")</f>
        <v>prxy</v>
      </c>
      <c r="C10382" s="2" t="str">
        <f ca="1">IFERROR(__xludf.DUMMYFUNCTION("""COMPUTED_VALUE"""),"Proxy")</f>
        <v>Proxy</v>
      </c>
    </row>
    <row r="10383" spans="1:3" x14ac:dyDescent="0.25">
      <c r="A10383" s="2" t="str">
        <f ca="1">IFERROR(__xludf.DUMMYFUNCTION("""COMPUTED_VALUE"""),"pssymonstr")</f>
        <v>pssymonstr</v>
      </c>
      <c r="B10383" s="2" t="str">
        <f ca="1">IFERROR(__xludf.DUMMYFUNCTION("""COMPUTED_VALUE"""),"pssymonstr")</f>
        <v>pssymonstr</v>
      </c>
      <c r="C10383" s="2" t="str">
        <f ca="1">IFERROR(__xludf.DUMMYFUNCTION("""COMPUTED_VALUE"""),"PssyMonstr")</f>
        <v>PssyMonstr</v>
      </c>
    </row>
    <row r="10384" spans="1:3" x14ac:dyDescent="0.25">
      <c r="A10384" s="2" t="str">
        <f ca="1">IFERROR(__xludf.DUMMYFUNCTION("""COMPUTED_VALUE"""),"pstake-finance")</f>
        <v>pstake-finance</v>
      </c>
      <c r="B10384" s="2" t="str">
        <f ca="1">IFERROR(__xludf.DUMMYFUNCTION("""COMPUTED_VALUE"""),"pstake")</f>
        <v>pstake</v>
      </c>
      <c r="C10384" s="2" t="str">
        <f ca="1">IFERROR(__xludf.DUMMYFUNCTION("""COMPUTED_VALUE"""),"pSTAKE Finance")</f>
        <v>pSTAKE Finance</v>
      </c>
    </row>
    <row r="10385" spans="1:3" x14ac:dyDescent="0.25">
      <c r="A10385" s="2" t="str">
        <f ca="1">IFERROR(__xludf.DUMMYFUNCTION("""COMPUTED_VALUE"""),"pstake-staked-bnb")</f>
        <v>pstake-staked-bnb</v>
      </c>
      <c r="B10385" s="2" t="str">
        <f ca="1">IFERROR(__xludf.DUMMYFUNCTION("""COMPUTED_VALUE"""),"stkbnb")</f>
        <v>stkbnb</v>
      </c>
      <c r="C10385" s="2" t="str">
        <f ca="1">IFERROR(__xludf.DUMMYFUNCTION("""COMPUTED_VALUE"""),"pSTAKE Staked BNB")</f>
        <v>pSTAKE Staked BNB</v>
      </c>
    </row>
    <row r="10386" spans="1:3" x14ac:dyDescent="0.25">
      <c r="A10386" s="2" t="str">
        <f ca="1">IFERROR(__xludf.DUMMYFUNCTION("""COMPUTED_VALUE"""),"pstake-staked-dydx")</f>
        <v>pstake-staked-dydx</v>
      </c>
      <c r="B10386" s="2" t="str">
        <f ca="1">IFERROR(__xludf.DUMMYFUNCTION("""COMPUTED_VALUE"""),"stkdydx")</f>
        <v>stkdydx</v>
      </c>
      <c r="C10386" s="2" t="str">
        <f ca="1">IFERROR(__xludf.DUMMYFUNCTION("""COMPUTED_VALUE"""),"pSTAKE Staked DYDX")</f>
        <v>pSTAKE Staked DYDX</v>
      </c>
    </row>
    <row r="10387" spans="1:3" x14ac:dyDescent="0.25">
      <c r="A10387" s="2" t="str">
        <f ca="1">IFERROR(__xludf.DUMMYFUNCTION("""COMPUTED_VALUE"""),"pstake-staked-huahua")</f>
        <v>pstake-staked-huahua</v>
      </c>
      <c r="B10387" s="2" t="str">
        <f ca="1">IFERROR(__xludf.DUMMYFUNCTION("""COMPUTED_VALUE"""),"stkhuahua")</f>
        <v>stkhuahua</v>
      </c>
      <c r="C10387" s="2" t="str">
        <f ca="1">IFERROR(__xludf.DUMMYFUNCTION("""COMPUTED_VALUE"""),"pSTAKE Staked HUAHUA")</f>
        <v>pSTAKE Staked HUAHUA</v>
      </c>
    </row>
    <row r="10388" spans="1:3" x14ac:dyDescent="0.25">
      <c r="A10388" s="2" t="str">
        <f ca="1">IFERROR(__xludf.DUMMYFUNCTION("""COMPUTED_VALUE"""),"pstake-staked-osmo")</f>
        <v>pstake-staked-osmo</v>
      </c>
      <c r="B10388" s="2" t="str">
        <f ca="1">IFERROR(__xludf.DUMMYFUNCTION("""COMPUTED_VALUE"""),"stkosmo")</f>
        <v>stkosmo</v>
      </c>
      <c r="C10388" s="2" t="str">
        <f ca="1">IFERROR(__xludf.DUMMYFUNCTION("""COMPUTED_VALUE"""),"pSTAKE Staked OSMO")</f>
        <v>pSTAKE Staked OSMO</v>
      </c>
    </row>
    <row r="10389" spans="1:3" x14ac:dyDescent="0.25">
      <c r="A10389" s="2" t="str">
        <f ca="1">IFERROR(__xludf.DUMMYFUNCTION("""COMPUTED_VALUE"""),"pstake-staked-stars")</f>
        <v>pstake-staked-stars</v>
      </c>
      <c r="B10389" s="2" t="str">
        <f ca="1">IFERROR(__xludf.DUMMYFUNCTION("""COMPUTED_VALUE"""),"stkstars")</f>
        <v>stkstars</v>
      </c>
      <c r="C10389" s="2" t="str">
        <f ca="1">IFERROR(__xludf.DUMMYFUNCTION("""COMPUTED_VALUE"""),"pSTAKE Staked STARS")</f>
        <v>pSTAKE Staked STARS</v>
      </c>
    </row>
    <row r="10390" spans="1:3" x14ac:dyDescent="0.25">
      <c r="A10390" s="2" t="str">
        <f ca="1">IFERROR(__xludf.DUMMYFUNCTION("""COMPUTED_VALUE"""),"psyop")</f>
        <v>psyop</v>
      </c>
      <c r="B10390" s="2" t="str">
        <f ca="1">IFERROR(__xludf.DUMMYFUNCTION("""COMPUTED_VALUE"""),"psyop")</f>
        <v>psyop</v>
      </c>
      <c r="C10390" s="2" t="str">
        <f ca="1">IFERROR(__xludf.DUMMYFUNCTION("""COMPUTED_VALUE"""),"PSYOP")</f>
        <v>PSYOP</v>
      </c>
    </row>
    <row r="10391" spans="1:3" x14ac:dyDescent="0.25">
      <c r="A10391" s="2" t="str">
        <f ca="1">IFERROR(__xludf.DUMMYFUNCTION("""COMPUTED_VALUE"""),"psyoptions")</f>
        <v>psyoptions</v>
      </c>
      <c r="B10391" s="2" t="str">
        <f ca="1">IFERROR(__xludf.DUMMYFUNCTION("""COMPUTED_VALUE"""),"psy")</f>
        <v>psy</v>
      </c>
      <c r="C10391" s="2" t="str">
        <f ca="1">IFERROR(__xludf.DUMMYFUNCTION("""COMPUTED_VALUE"""),"PsyFi")</f>
        <v>PsyFi</v>
      </c>
    </row>
    <row r="10392" spans="1:3" x14ac:dyDescent="0.25">
      <c r="A10392" s="2" t="str">
        <f ca="1">IFERROR(__xludf.DUMMYFUNCTION("""COMPUTED_VALUE"""),"ptokens-btc")</f>
        <v>ptokens-btc</v>
      </c>
      <c r="B10392" s="2" t="str">
        <f ca="1">IFERROR(__xludf.DUMMYFUNCTION("""COMPUTED_VALUE"""),"pbtc")</f>
        <v>pbtc</v>
      </c>
      <c r="C10392" s="2" t="str">
        <f ca="1">IFERROR(__xludf.DUMMYFUNCTION("""COMPUTED_VALUE"""),"pTokens BTC [OLD]")</f>
        <v>pTokens BTC [OLD]</v>
      </c>
    </row>
    <row r="10393" spans="1:3" x14ac:dyDescent="0.25">
      <c r="A10393" s="2" t="str">
        <f ca="1">IFERROR(__xludf.DUMMYFUNCTION("""COMPUTED_VALUE"""),"ptokens-ore")</f>
        <v>ptokens-ore</v>
      </c>
      <c r="B10393" s="2" t="str">
        <f ca="1">IFERROR(__xludf.DUMMYFUNCTION("""COMPUTED_VALUE"""),"ore")</f>
        <v>ore</v>
      </c>
      <c r="C10393" s="2" t="str">
        <f ca="1">IFERROR(__xludf.DUMMYFUNCTION("""COMPUTED_VALUE"""),"ORE Network")</f>
        <v>ORE Network</v>
      </c>
    </row>
    <row r="10394" spans="1:3" x14ac:dyDescent="0.25">
      <c r="A10394" s="2" t="str">
        <f ca="1">IFERROR(__xludf.DUMMYFUNCTION("""COMPUTED_VALUE"""),"pube-finance")</f>
        <v>pube-finance</v>
      </c>
      <c r="B10394" s="2" t="str">
        <f ca="1">IFERROR(__xludf.DUMMYFUNCTION("""COMPUTED_VALUE"""),"pube")</f>
        <v>pube</v>
      </c>
      <c r="C10394" s="2" t="str">
        <f ca="1">IFERROR(__xludf.DUMMYFUNCTION("""COMPUTED_VALUE"""),"Pube Finance")</f>
        <v>Pube Finance</v>
      </c>
    </row>
    <row r="10395" spans="1:3" x14ac:dyDescent="0.25">
      <c r="A10395" s="2" t="str">
        <f ca="1">IFERROR(__xludf.DUMMYFUNCTION("""COMPUTED_VALUE"""),"publc")</f>
        <v>publc</v>
      </c>
      <c r="B10395" s="2" t="str">
        <f ca="1">IFERROR(__xludf.DUMMYFUNCTION("""COMPUTED_VALUE"""),"publx")</f>
        <v>publx</v>
      </c>
      <c r="C10395" s="2" t="str">
        <f ca="1">IFERROR(__xludf.DUMMYFUNCTION("""COMPUTED_VALUE"""),"PUBLC")</f>
        <v>PUBLC</v>
      </c>
    </row>
    <row r="10396" spans="1:3" x14ac:dyDescent="0.25">
      <c r="A10396" s="2" t="str">
        <f ca="1">IFERROR(__xludf.DUMMYFUNCTION("""COMPUTED_VALUE"""),"public-meme-token")</f>
        <v>public-meme-token</v>
      </c>
      <c r="B10396" s="2" t="str">
        <f ca="1">IFERROR(__xludf.DUMMYFUNCTION("""COMPUTED_VALUE"""),"pmt")</f>
        <v>pmt</v>
      </c>
      <c r="C10396" s="2" t="str">
        <f ca="1">IFERROR(__xludf.DUMMYFUNCTION("""COMPUTED_VALUE"""),"Public Masterpiece Token")</f>
        <v>Public Masterpiece Token</v>
      </c>
    </row>
    <row r="10397" spans="1:3" x14ac:dyDescent="0.25">
      <c r="A10397" s="2" t="str">
        <f ca="1">IFERROR(__xludf.DUMMYFUNCTION("""COMPUTED_VALUE"""),"public-mint")</f>
        <v>public-mint</v>
      </c>
      <c r="B10397" s="2" t="str">
        <f ca="1">IFERROR(__xludf.DUMMYFUNCTION("""COMPUTED_VALUE"""),"mint")</f>
        <v>mint</v>
      </c>
      <c r="C10397" s="2" t="str">
        <f ca="1">IFERROR(__xludf.DUMMYFUNCTION("""COMPUTED_VALUE"""),"Public Mint")</f>
        <v>Public Mint</v>
      </c>
    </row>
    <row r="10398" spans="1:3" x14ac:dyDescent="0.25">
      <c r="A10398" s="2" t="str">
        <f ca="1">IFERROR(__xludf.DUMMYFUNCTION("""COMPUTED_VALUE"""),"pudgy-cat")</f>
        <v>pudgy-cat</v>
      </c>
      <c r="B10398" s="2" t="str">
        <f ca="1">IFERROR(__xludf.DUMMYFUNCTION("""COMPUTED_VALUE"""),"pudgy")</f>
        <v>pudgy</v>
      </c>
      <c r="C10398" s="2" t="str">
        <f ca="1">IFERROR(__xludf.DUMMYFUNCTION("""COMPUTED_VALUE"""),"Pudgy Cat")</f>
        <v>Pudgy Cat</v>
      </c>
    </row>
    <row r="10399" spans="1:3" x14ac:dyDescent="0.25">
      <c r="A10399" s="2" t="str">
        <f ca="1">IFERROR(__xludf.DUMMYFUNCTION("""COMPUTED_VALUE"""),"pufeth")</f>
        <v>pufeth</v>
      </c>
      <c r="B10399" s="2" t="str">
        <f ca="1">IFERROR(__xludf.DUMMYFUNCTION("""COMPUTED_VALUE"""),"pufeth")</f>
        <v>pufeth</v>
      </c>
      <c r="C10399" s="2" t="str">
        <f ca="1">IFERROR(__xludf.DUMMYFUNCTION("""COMPUTED_VALUE"""),"pufETH")</f>
        <v>pufETH</v>
      </c>
    </row>
    <row r="10400" spans="1:3" x14ac:dyDescent="0.25">
      <c r="A10400" s="2" t="str">
        <f ca="1">IFERROR(__xludf.DUMMYFUNCTION("""COMPUTED_VALUE"""),"puff")</f>
        <v>puff</v>
      </c>
      <c r="B10400" s="2" t="str">
        <f ca="1">IFERROR(__xludf.DUMMYFUNCTION("""COMPUTED_VALUE"""),"puff")</f>
        <v>puff</v>
      </c>
      <c r="C10400" s="2" t="str">
        <f ca="1">IFERROR(__xludf.DUMMYFUNCTION("""COMPUTED_VALUE"""),"PUFF")</f>
        <v>PUFF</v>
      </c>
    </row>
    <row r="10401" spans="1:3" x14ac:dyDescent="0.25">
      <c r="A10401" s="2" t="str">
        <f ca="1">IFERROR(__xludf.DUMMYFUNCTION("""COMPUTED_VALUE"""),"puffer-finance")</f>
        <v>puffer-finance</v>
      </c>
      <c r="B10401" s="2" t="str">
        <f ca="1">IFERROR(__xludf.DUMMYFUNCTION("""COMPUTED_VALUE"""),"puffer")</f>
        <v>puffer</v>
      </c>
      <c r="C10401" s="2" t="str">
        <f ca="1">IFERROR(__xludf.DUMMYFUNCTION("""COMPUTED_VALUE"""),"Puffer Finance")</f>
        <v>Puffer Finance</v>
      </c>
    </row>
    <row r="10402" spans="1:3" x14ac:dyDescent="0.25">
      <c r="A10402" s="2" t="str">
        <f ca="1">IFERROR(__xludf.DUMMYFUNCTION("""COMPUTED_VALUE"""),"puff-the-dragon")</f>
        <v>puff-the-dragon</v>
      </c>
      <c r="B10402" s="2" t="str">
        <f ca="1">IFERROR(__xludf.DUMMYFUNCTION("""COMPUTED_VALUE"""),"puff")</f>
        <v>puff</v>
      </c>
      <c r="C10402" s="2" t="str">
        <f ca="1">IFERROR(__xludf.DUMMYFUNCTION("""COMPUTED_VALUE"""),"Puff The Dragon")</f>
        <v>Puff The Dragon</v>
      </c>
    </row>
    <row r="10403" spans="1:3" x14ac:dyDescent="0.25">
      <c r="A10403" s="2" t="str">
        <f ca="1">IFERROR(__xludf.DUMMYFUNCTION("""COMPUTED_VALUE"""),"puffy")</f>
        <v>puffy</v>
      </c>
      <c r="B10403" s="2" t="str">
        <f ca="1">IFERROR(__xludf.DUMMYFUNCTION("""COMPUTED_VALUE"""),"puffy")</f>
        <v>puffy</v>
      </c>
      <c r="C10403" s="2" t="str">
        <f ca="1">IFERROR(__xludf.DUMMYFUNCTION("""COMPUTED_VALUE"""),"Puffy")</f>
        <v>Puffy</v>
      </c>
    </row>
    <row r="10404" spans="1:3" x14ac:dyDescent="0.25">
      <c r="A10404" s="2" t="str">
        <f ca="1">IFERROR(__xludf.DUMMYFUNCTION("""COMPUTED_VALUE"""),"puggleverse")</f>
        <v>puggleverse</v>
      </c>
      <c r="B10404" s="2" t="str">
        <f ca="1">IFERROR(__xludf.DUMMYFUNCTION("""COMPUTED_VALUE"""),"puggle")</f>
        <v>puggle</v>
      </c>
      <c r="C10404" s="2" t="str">
        <f ca="1">IFERROR(__xludf.DUMMYFUNCTION("""COMPUTED_VALUE"""),"PuggleVerse")</f>
        <v>PuggleVerse</v>
      </c>
    </row>
    <row r="10405" spans="1:3" x14ac:dyDescent="0.25">
      <c r="A10405" s="2" t="str">
        <f ca="1">IFERROR(__xludf.DUMMYFUNCTION("""COMPUTED_VALUE"""),"puggy-coin")</f>
        <v>puggy-coin</v>
      </c>
      <c r="B10405" s="2" t="str">
        <f ca="1">IFERROR(__xludf.DUMMYFUNCTION("""COMPUTED_VALUE"""),"puggy")</f>
        <v>puggy</v>
      </c>
      <c r="C10405" s="2" t="str">
        <f ca="1">IFERROR(__xludf.DUMMYFUNCTION("""COMPUTED_VALUE"""),"PUGGY Coin")</f>
        <v>PUGGY Coin</v>
      </c>
    </row>
    <row r="10406" spans="1:3" x14ac:dyDescent="0.25">
      <c r="A10406" s="2" t="str">
        <f ca="1">IFERROR(__xludf.DUMMYFUNCTION("""COMPUTED_VALUE"""),"pullix")</f>
        <v>pullix</v>
      </c>
      <c r="B10406" s="2" t="str">
        <f ca="1">IFERROR(__xludf.DUMMYFUNCTION("""COMPUTED_VALUE"""),"plx")</f>
        <v>plx</v>
      </c>
      <c r="C10406" s="2" t="str">
        <f ca="1">IFERROR(__xludf.DUMMYFUNCTION("""COMPUTED_VALUE"""),"Pullix")</f>
        <v>Pullix</v>
      </c>
    </row>
    <row r="10407" spans="1:3" x14ac:dyDescent="0.25">
      <c r="A10407" s="2" t="str">
        <f ca="1">IFERROR(__xludf.DUMMYFUNCTION("""COMPUTED_VALUE"""),"pulsara")</f>
        <v>pulsara</v>
      </c>
      <c r="B10407" s="2" t="str">
        <f ca="1">IFERROR(__xludf.DUMMYFUNCTION("""COMPUTED_VALUE"""),"sara")</f>
        <v>sara</v>
      </c>
      <c r="C10407" s="2" t="str">
        <f ca="1">IFERROR(__xludf.DUMMYFUNCTION("""COMPUTED_VALUE"""),"Pulsara")</f>
        <v>Pulsara</v>
      </c>
    </row>
    <row r="10408" spans="1:3" x14ac:dyDescent="0.25">
      <c r="A10408" s="2" t="str">
        <f ca="1">IFERROR(__xludf.DUMMYFUNCTION("""COMPUTED_VALUE"""),"pulsar-coin")</f>
        <v>pulsar-coin</v>
      </c>
      <c r="B10408" s="2" t="str">
        <f ca="1">IFERROR(__xludf.DUMMYFUNCTION("""COMPUTED_VALUE"""),"plsr")</f>
        <v>plsr</v>
      </c>
      <c r="C10408" s="2" t="str">
        <f ca="1">IFERROR(__xludf.DUMMYFUNCTION("""COMPUTED_VALUE"""),"Pulsar Coin")</f>
        <v>Pulsar Coin</v>
      </c>
    </row>
    <row r="10409" spans="1:3" x14ac:dyDescent="0.25">
      <c r="A10409" s="2" t="str">
        <f ca="1">IFERROR(__xludf.DUMMYFUNCTION("""COMPUTED_VALUE"""),"pulse-ai")</f>
        <v>pulse-ai</v>
      </c>
      <c r="B10409" s="2" t="str">
        <f ca="1">IFERROR(__xludf.DUMMYFUNCTION("""COMPUTED_VALUE"""),"pulse")</f>
        <v>pulse</v>
      </c>
      <c r="C10409" s="2" t="str">
        <f ca="1">IFERROR(__xludf.DUMMYFUNCTION("""COMPUTED_VALUE"""),"Pulse AI")</f>
        <v>Pulse AI</v>
      </c>
    </row>
    <row r="10410" spans="1:3" x14ac:dyDescent="0.25">
      <c r="A10410" s="2" t="str">
        <f ca="1">IFERROR(__xludf.DUMMYFUNCTION("""COMPUTED_VALUE"""),"pulsebitcoin")</f>
        <v>pulsebitcoin</v>
      </c>
      <c r="B10410" s="2" t="str">
        <f ca="1">IFERROR(__xludf.DUMMYFUNCTION("""COMPUTED_VALUE"""),"plsb")</f>
        <v>plsb</v>
      </c>
      <c r="C10410" s="2" t="str">
        <f ca="1">IFERROR(__xludf.DUMMYFUNCTION("""COMPUTED_VALUE"""),"PulseBitcoin")</f>
        <v>PulseBitcoin</v>
      </c>
    </row>
    <row r="10411" spans="1:3" x14ac:dyDescent="0.25">
      <c r="A10411" s="2" t="str">
        <f ca="1">IFERROR(__xludf.DUMMYFUNCTION("""COMPUTED_VALUE"""),"pulsebitcoin-pulsechain")</f>
        <v>pulsebitcoin-pulsechain</v>
      </c>
      <c r="B10411" s="2" t="str">
        <f ca="1">IFERROR(__xludf.DUMMYFUNCTION("""COMPUTED_VALUE"""),"plsb")</f>
        <v>plsb</v>
      </c>
      <c r="C10411" s="2" t="str">
        <f ca="1">IFERROR(__xludf.DUMMYFUNCTION("""COMPUTED_VALUE"""),"PulseBitcoin (PulseChain)")</f>
        <v>PulseBitcoin (PulseChain)</v>
      </c>
    </row>
    <row r="10412" spans="1:3" x14ac:dyDescent="0.25">
      <c r="A10412" s="2" t="str">
        <f ca="1">IFERROR(__xludf.DUMMYFUNCTION("""COMPUTED_VALUE"""),"pulsechain")</f>
        <v>pulsechain</v>
      </c>
      <c r="B10412" s="2" t="str">
        <f ca="1">IFERROR(__xludf.DUMMYFUNCTION("""COMPUTED_VALUE"""),"pls")</f>
        <v>pls</v>
      </c>
      <c r="C10412" s="2" t="str">
        <f ca="1">IFERROR(__xludf.DUMMYFUNCTION("""COMPUTED_VALUE"""),"PulseChain")</f>
        <v>PulseChain</v>
      </c>
    </row>
    <row r="10413" spans="1:3" x14ac:dyDescent="0.25">
      <c r="A10413" s="2" t="str">
        <f ca="1">IFERROR(__xludf.DUMMYFUNCTION("""COMPUTED_VALUE"""),"pulsechain-bridged-hex-pulsechain")</f>
        <v>pulsechain-bridged-hex-pulsechain</v>
      </c>
      <c r="B10413" s="2" t="str">
        <f ca="1">IFERROR(__xludf.DUMMYFUNCTION("""COMPUTED_VALUE"""),"hex")</f>
        <v>hex</v>
      </c>
      <c r="C10413" s="2" t="str">
        <f ca="1">IFERROR(__xludf.DUMMYFUNCTION("""COMPUTED_VALUE"""),"Pulsechain Bridged HEX (Pulsechain)")</f>
        <v>Pulsechain Bridged HEX (Pulsechain)</v>
      </c>
    </row>
    <row r="10414" spans="1:3" x14ac:dyDescent="0.25">
      <c r="A10414" s="2" t="str">
        <f ca="1">IFERROR(__xludf.DUMMYFUNCTION("""COMPUTED_VALUE"""),"pulsechain-bridged-weth-pulsechain")</f>
        <v>pulsechain-bridged-weth-pulsechain</v>
      </c>
      <c r="B10414" s="2" t="str">
        <f ca="1">IFERROR(__xludf.DUMMYFUNCTION("""COMPUTED_VALUE"""),"weth")</f>
        <v>weth</v>
      </c>
      <c r="C10414" s="2" t="str">
        <f ca="1">IFERROR(__xludf.DUMMYFUNCTION("""COMPUTED_VALUE"""),"Pulsechain Bridged WETH (Pulsechain)")</f>
        <v>Pulsechain Bridged WETH (Pulsechain)</v>
      </c>
    </row>
    <row r="10415" spans="1:3" x14ac:dyDescent="0.25">
      <c r="A10415" s="2" t="str">
        <f ca="1">IFERROR(__xludf.DUMMYFUNCTION("""COMPUTED_VALUE"""),"pulsechain-flow")</f>
        <v>pulsechain-flow</v>
      </c>
      <c r="B10415" s="2" t="str">
        <f ca="1">IFERROR(__xludf.DUMMYFUNCTION("""COMPUTED_VALUE"""),"flow")</f>
        <v>flow</v>
      </c>
      <c r="C10415" s="2" t="str">
        <f ca="1">IFERROR(__xludf.DUMMYFUNCTION("""COMPUTED_VALUE"""),"Pulsechain FLOW")</f>
        <v>Pulsechain FLOW</v>
      </c>
    </row>
    <row r="10416" spans="1:3" x14ac:dyDescent="0.25">
      <c r="A10416" s="2" t="str">
        <f ca="1">IFERROR(__xludf.DUMMYFUNCTION("""COMPUTED_VALUE"""),"pulsecoin")</f>
        <v>pulsecoin</v>
      </c>
      <c r="B10416" s="2" t="str">
        <f ca="1">IFERROR(__xludf.DUMMYFUNCTION("""COMPUTED_VALUE"""),"plsc")</f>
        <v>plsc</v>
      </c>
      <c r="C10416" s="2" t="str">
        <f ca="1">IFERROR(__xludf.DUMMYFUNCTION("""COMPUTED_VALUE"""),"PulseCoin")</f>
        <v>PulseCoin</v>
      </c>
    </row>
    <row r="10417" spans="1:3" x14ac:dyDescent="0.25">
      <c r="A10417" s="2" t="str">
        <f ca="1">IFERROR(__xludf.DUMMYFUNCTION("""COMPUTED_VALUE"""),"pulsedoge")</f>
        <v>pulsedoge</v>
      </c>
      <c r="B10417" s="2" t="str">
        <f ca="1">IFERROR(__xludf.DUMMYFUNCTION("""COMPUTED_VALUE"""),"pulsedoge")</f>
        <v>pulsedoge</v>
      </c>
      <c r="C10417" s="2" t="str">
        <f ca="1">IFERROR(__xludf.DUMMYFUNCTION("""COMPUTED_VALUE"""),"PulseDoge")</f>
        <v>PulseDoge</v>
      </c>
    </row>
    <row r="10418" spans="1:3" x14ac:dyDescent="0.25">
      <c r="A10418" s="2" t="str">
        <f ca="1">IFERROR(__xludf.DUMMYFUNCTION("""COMPUTED_VALUE"""),"pulse-drip")</f>
        <v>pulse-drip</v>
      </c>
      <c r="B10418" s="2" t="str">
        <f ca="1">IFERROR(__xludf.DUMMYFUNCTION("""COMPUTED_VALUE"""),"pdrip")</f>
        <v>pdrip</v>
      </c>
      <c r="C10418" s="2" t="str">
        <f ca="1">IFERROR(__xludf.DUMMYFUNCTION("""COMPUTED_VALUE"""),"Pulse Drip")</f>
        <v>Pulse Drip</v>
      </c>
    </row>
    <row r="10419" spans="1:3" x14ac:dyDescent="0.25">
      <c r="A10419" s="2" t="str">
        <f ca="1">IFERROR(__xludf.DUMMYFUNCTION("""COMPUTED_VALUE"""),"pulse-inu")</f>
        <v>pulse-inu</v>
      </c>
      <c r="B10419" s="2" t="str">
        <f ca="1">IFERROR(__xludf.DUMMYFUNCTION("""COMPUTED_VALUE"""),"pinu")</f>
        <v>pinu</v>
      </c>
      <c r="C10419" s="2" t="str">
        <f ca="1">IFERROR(__xludf.DUMMYFUNCTION("""COMPUTED_VALUE"""),"Pulse Inu")</f>
        <v>Pulse Inu</v>
      </c>
    </row>
    <row r="10420" spans="1:3" x14ac:dyDescent="0.25">
      <c r="A10420" s="2" t="str">
        <f ca="1">IFERROR(__xludf.DUMMYFUNCTION("""COMPUTED_VALUE"""),"pulse-inu-2")</f>
        <v>pulse-inu-2</v>
      </c>
      <c r="B10420" s="2" t="str">
        <f ca="1">IFERROR(__xludf.DUMMYFUNCTION("""COMPUTED_VALUE"""),"pinu")</f>
        <v>pinu</v>
      </c>
      <c r="C10420" s="2" t="str">
        <f ca="1">IFERROR(__xludf.DUMMYFUNCTION("""COMPUTED_VALUE"""),"Pulse Inu")</f>
        <v>Pulse Inu</v>
      </c>
    </row>
    <row r="10421" spans="1:3" x14ac:dyDescent="0.25">
      <c r="A10421" s="2" t="str">
        <f ca="1">IFERROR(__xludf.DUMMYFUNCTION("""COMPUTED_VALUE"""),"pulselaunch")</f>
        <v>pulselaunch</v>
      </c>
      <c r="B10421" s="2" t="str">
        <f ca="1">IFERROR(__xludf.DUMMYFUNCTION("""COMPUTED_VALUE"""),"launch")</f>
        <v>launch</v>
      </c>
      <c r="C10421" s="2" t="str">
        <f ca="1">IFERROR(__xludf.DUMMYFUNCTION("""COMPUTED_VALUE"""),"PulseLaunch")</f>
        <v>PulseLaunch</v>
      </c>
    </row>
    <row r="10422" spans="1:3" x14ac:dyDescent="0.25">
      <c r="A10422" s="2" t="str">
        <f ca="1">IFERROR(__xludf.DUMMYFUNCTION("""COMPUTED_VALUE"""),"pulseln")</f>
        <v>pulseln</v>
      </c>
      <c r="B10422" s="2" t="str">
        <f ca="1">IFERROR(__xludf.DUMMYFUNCTION("""COMPUTED_VALUE"""),"pln")</f>
        <v>pln</v>
      </c>
      <c r="C10422" s="2" t="str">
        <f ca="1">IFERROR(__xludf.DUMMYFUNCTION("""COMPUTED_VALUE"""),"PulseLN")</f>
        <v>PulseLN</v>
      </c>
    </row>
    <row r="10423" spans="1:3" x14ac:dyDescent="0.25">
      <c r="A10423" s="2" t="str">
        <f ca="1">IFERROR(__xludf.DUMMYFUNCTION("""COMPUTED_VALUE"""),"pulsepad")</f>
        <v>pulsepad</v>
      </c>
      <c r="B10423" s="2" t="str">
        <f ca="1">IFERROR(__xludf.DUMMYFUNCTION("""COMPUTED_VALUE"""),"plspad")</f>
        <v>plspad</v>
      </c>
      <c r="C10423" s="2" t="str">
        <f ca="1">IFERROR(__xludf.DUMMYFUNCTION("""COMPUTED_VALUE"""),"PulsePad")</f>
        <v>PulsePad</v>
      </c>
    </row>
    <row r="10424" spans="1:3" x14ac:dyDescent="0.25">
      <c r="A10424" s="2" t="str">
        <f ca="1">IFERROR(__xludf.DUMMYFUNCTION("""COMPUTED_VALUE"""),"pulsepot")</f>
        <v>pulsepot</v>
      </c>
      <c r="B10424" s="2" t="str">
        <f ca="1">IFERROR(__xludf.DUMMYFUNCTION("""COMPUTED_VALUE"""),"plsp")</f>
        <v>plsp</v>
      </c>
      <c r="C10424" s="2" t="str">
        <f ca="1">IFERROR(__xludf.DUMMYFUNCTION("""COMPUTED_VALUE"""),"PulsePot")</f>
        <v>PulsePot</v>
      </c>
    </row>
    <row r="10425" spans="1:3" x14ac:dyDescent="0.25">
      <c r="A10425" s="2" t="str">
        <f ca="1">IFERROR(__xludf.DUMMYFUNCTION("""COMPUTED_VALUE"""),"pulsereflections")</f>
        <v>pulsereflections</v>
      </c>
      <c r="B10425" s="2" t="str">
        <f ca="1">IFERROR(__xludf.DUMMYFUNCTION("""COMPUTED_VALUE"""),"prs")</f>
        <v>prs</v>
      </c>
      <c r="C10425" s="2" t="str">
        <f ca="1">IFERROR(__xludf.DUMMYFUNCTION("""COMPUTED_VALUE"""),"PulseReflections")</f>
        <v>PulseReflections</v>
      </c>
    </row>
    <row r="10426" spans="1:3" x14ac:dyDescent="0.25">
      <c r="A10426" s="2" t="str">
        <f ca="1">IFERROR(__xludf.DUMMYFUNCTION("""COMPUTED_VALUE"""),"pulse-token")</f>
        <v>pulse-token</v>
      </c>
      <c r="B10426" s="2" t="str">
        <f ca="1">IFERROR(__xludf.DUMMYFUNCTION("""COMPUTED_VALUE"""),"pulse")</f>
        <v>pulse</v>
      </c>
      <c r="C10426" s="2" t="str">
        <f ca="1">IFERROR(__xludf.DUMMYFUNCTION("""COMPUTED_VALUE"""),"PulseMarkets")</f>
        <v>PulseMarkets</v>
      </c>
    </row>
    <row r="10427" spans="1:3" x14ac:dyDescent="0.25">
      <c r="A10427" s="2" t="str">
        <f ca="1">IFERROR(__xludf.DUMMYFUNCTION("""COMPUTED_VALUE"""),"pulsetrailerpark")</f>
        <v>pulsetrailerpark</v>
      </c>
      <c r="B10427" s="2" t="str">
        <f ca="1">IFERROR(__xludf.DUMMYFUNCTION("""COMPUTED_VALUE"""),"ptp")</f>
        <v>ptp</v>
      </c>
      <c r="C10427" s="2" t="str">
        <f ca="1">IFERROR(__xludf.DUMMYFUNCTION("""COMPUTED_VALUE"""),"PulseTrailerPark")</f>
        <v>PulseTrailerPark</v>
      </c>
    </row>
    <row r="10428" spans="1:3" x14ac:dyDescent="0.25">
      <c r="A10428" s="2" t="str">
        <f ca="1">IFERROR(__xludf.DUMMYFUNCTION("""COMPUTED_VALUE"""),"pulsex")</f>
        <v>pulsex</v>
      </c>
      <c r="B10428" s="2" t="str">
        <f ca="1">IFERROR(__xludf.DUMMYFUNCTION("""COMPUTED_VALUE"""),"plsx")</f>
        <v>plsx</v>
      </c>
      <c r="C10428" s="2" t="str">
        <f ca="1">IFERROR(__xludf.DUMMYFUNCTION("""COMPUTED_VALUE"""),"PulseX")</f>
        <v>PulseX</v>
      </c>
    </row>
    <row r="10429" spans="1:3" x14ac:dyDescent="0.25">
      <c r="A10429" s="2" t="str">
        <f ca="1">IFERROR(__xludf.DUMMYFUNCTION("""COMPUTED_VALUE"""),"pulsex-incentive-token")</f>
        <v>pulsex-incentive-token</v>
      </c>
      <c r="B10429" s="2" t="str">
        <f ca="1">IFERROR(__xludf.DUMMYFUNCTION("""COMPUTED_VALUE"""),"inc")</f>
        <v>inc</v>
      </c>
      <c r="C10429" s="2" t="str">
        <f ca="1">IFERROR(__xludf.DUMMYFUNCTION("""COMPUTED_VALUE"""),"PulseX Incentive Token")</f>
        <v>PulseX Incentive Token</v>
      </c>
    </row>
    <row r="10430" spans="1:3" x14ac:dyDescent="0.25">
      <c r="A10430" s="2" t="str">
        <f ca="1">IFERROR(__xludf.DUMMYFUNCTION("""COMPUTED_VALUE"""),"pulsr")</f>
        <v>pulsr</v>
      </c>
      <c r="B10430" s="2" t="str">
        <f ca="1">IFERROR(__xludf.DUMMYFUNCTION("""COMPUTED_VALUE"""),"pulsr")</f>
        <v>pulsr</v>
      </c>
      <c r="C10430" s="2" t="str">
        <f ca="1">IFERROR(__xludf.DUMMYFUNCTION("""COMPUTED_VALUE"""),"PULSR")</f>
        <v>PULSR</v>
      </c>
    </row>
    <row r="10431" spans="1:3" x14ac:dyDescent="0.25">
      <c r="A10431" s="2" t="str">
        <f ca="1">IFERROR(__xludf.DUMMYFUNCTION("""COMPUTED_VALUE"""),"puma")</f>
        <v>puma</v>
      </c>
      <c r="B10431" s="2" t="str">
        <f ca="1">IFERROR(__xludf.DUMMYFUNCTION("""COMPUTED_VALUE"""),"puma")</f>
        <v>puma</v>
      </c>
      <c r="C10431" s="2" t="str">
        <f ca="1">IFERROR(__xludf.DUMMYFUNCTION("""COMPUTED_VALUE"""),"Puma")</f>
        <v>Puma</v>
      </c>
    </row>
    <row r="10432" spans="1:3" x14ac:dyDescent="0.25">
      <c r="A10432" s="2" t="str">
        <f ca="1">IFERROR(__xludf.DUMMYFUNCTION("""COMPUTED_VALUE"""),"pumapay")</f>
        <v>pumapay</v>
      </c>
      <c r="B10432" s="2" t="str">
        <f ca="1">IFERROR(__xludf.DUMMYFUNCTION("""COMPUTED_VALUE"""),"pma")</f>
        <v>pma</v>
      </c>
      <c r="C10432" s="2" t="str">
        <f ca="1">IFERROR(__xludf.DUMMYFUNCTION("""COMPUTED_VALUE"""),"PumaPay")</f>
        <v>PumaPay</v>
      </c>
    </row>
    <row r="10433" spans="1:3" x14ac:dyDescent="0.25">
      <c r="A10433" s="2" t="str">
        <f ca="1">IFERROR(__xludf.DUMMYFUNCTION("""COMPUTED_VALUE"""),"pumlx")</f>
        <v>pumlx</v>
      </c>
      <c r="B10433" s="2" t="str">
        <f ca="1">IFERROR(__xludf.DUMMYFUNCTION("""COMPUTED_VALUE"""),"pumlx")</f>
        <v>pumlx</v>
      </c>
      <c r="C10433" s="2" t="str">
        <f ca="1">IFERROR(__xludf.DUMMYFUNCTION("""COMPUTED_VALUE"""),"PUMLx")</f>
        <v>PUMLx</v>
      </c>
    </row>
    <row r="10434" spans="1:3" x14ac:dyDescent="0.25">
      <c r="A10434" s="2" t="str">
        <f ca="1">IFERROR(__xludf.DUMMYFUNCTION("""COMPUTED_VALUE"""),"pump")</f>
        <v>pump</v>
      </c>
      <c r="B10434" s="2" t="str">
        <f ca="1">IFERROR(__xludf.DUMMYFUNCTION("""COMPUTED_VALUE"""),"pump")</f>
        <v>pump</v>
      </c>
      <c r="C10434" s="2" t="str">
        <f ca="1">IFERROR(__xludf.DUMMYFUNCTION("""COMPUTED_VALUE"""),"Pump")</f>
        <v>Pump</v>
      </c>
    </row>
    <row r="10435" spans="1:3" x14ac:dyDescent="0.25">
      <c r="A10435" s="2" t="str">
        <f ca="1">IFERROR(__xludf.DUMMYFUNCTION("""COMPUTED_VALUE"""),"pumpbtc")</f>
        <v>pumpbtc</v>
      </c>
      <c r="B10435" s="2" t="str">
        <f ca="1">IFERROR(__xludf.DUMMYFUNCTION("""COMPUTED_VALUE"""),"pumpbtc")</f>
        <v>pumpbtc</v>
      </c>
      <c r="C10435" s="2" t="str">
        <f ca="1">IFERROR(__xludf.DUMMYFUNCTION("""COMPUTED_VALUE"""),"pumpBTC")</f>
        <v>pumpBTC</v>
      </c>
    </row>
    <row r="10436" spans="1:3" x14ac:dyDescent="0.25">
      <c r="A10436" s="2" t="str">
        <f ca="1">IFERROR(__xludf.DUMMYFUNCTION("""COMPUTED_VALUE"""),"pumpkin-cat")</f>
        <v>pumpkin-cat</v>
      </c>
      <c r="B10436" s="2" t="str">
        <f ca="1">IFERROR(__xludf.DUMMYFUNCTION("""COMPUTED_VALUE"""),"pump")</f>
        <v>pump</v>
      </c>
      <c r="C10436" s="2" t="str">
        <f ca="1">IFERROR(__xludf.DUMMYFUNCTION("""COMPUTED_VALUE"""),"Pumpkin Cat")</f>
        <v>Pumpkin Cat</v>
      </c>
    </row>
    <row r="10437" spans="1:3" x14ac:dyDescent="0.25">
      <c r="A10437" s="2" t="str">
        <f ca="1">IFERROR(__xludf.DUMMYFUNCTION("""COMPUTED_VALUE"""),"pumpkin-staked-sol")</f>
        <v>pumpkin-staked-sol</v>
      </c>
      <c r="B10437" s="2" t="str">
        <f ca="1">IFERROR(__xludf.DUMMYFUNCTION("""COMPUTED_VALUE"""),"pumpkinsol")</f>
        <v>pumpkinsol</v>
      </c>
      <c r="C10437" s="2" t="str">
        <f ca="1">IFERROR(__xludf.DUMMYFUNCTION("""COMPUTED_VALUE"""),"Pumpkin Staked SOL")</f>
        <v>Pumpkin Staked SOL</v>
      </c>
    </row>
    <row r="10438" spans="1:3" x14ac:dyDescent="0.25">
      <c r="A10438" s="2" t="str">
        <f ca="1">IFERROR(__xludf.DUMMYFUNCTION("""COMPUTED_VALUE"""),"pumpopoly")</f>
        <v>pumpopoly</v>
      </c>
      <c r="B10438" s="2" t="str">
        <f ca="1">IFERROR(__xludf.DUMMYFUNCTION("""COMPUTED_VALUE"""),"pumpopoly")</f>
        <v>pumpopoly</v>
      </c>
      <c r="C10438" s="2" t="str">
        <f ca="1">IFERROR(__xludf.DUMMYFUNCTION("""COMPUTED_VALUE"""),"Pumpopoly")</f>
        <v>Pumpopoly</v>
      </c>
    </row>
    <row r="10439" spans="1:3" x14ac:dyDescent="0.25">
      <c r="A10439" s="2" t="str">
        <f ca="1">IFERROR(__xludf.DUMMYFUNCTION("""COMPUTED_VALUE"""),"pumpr")</f>
        <v>pumpr</v>
      </c>
      <c r="B10439" s="2" t="str">
        <f ca="1">IFERROR(__xludf.DUMMYFUNCTION("""COMPUTED_VALUE"""),"pumpr")</f>
        <v>pumpr</v>
      </c>
      <c r="C10439" s="2" t="str">
        <f ca="1">IFERROR(__xludf.DUMMYFUNCTION("""COMPUTED_VALUE"""),"Pumpr")</f>
        <v>Pumpr</v>
      </c>
    </row>
    <row r="10440" spans="1:3" x14ac:dyDescent="0.25">
      <c r="A10440" s="2" t="str">
        <f ca="1">IFERROR(__xludf.DUMMYFUNCTION("""COMPUTED_VALUE"""),"pundi-x")</f>
        <v>pundi-x</v>
      </c>
      <c r="B10440" s="2" t="str">
        <f ca="1">IFERROR(__xludf.DUMMYFUNCTION("""COMPUTED_VALUE"""),"npxs")</f>
        <v>npxs</v>
      </c>
      <c r="C10440" s="2" t="str">
        <f ca="1">IFERROR(__xludf.DUMMYFUNCTION("""COMPUTED_VALUE"""),"Pundi X [OLD]")</f>
        <v>Pundi X [OLD]</v>
      </c>
    </row>
    <row r="10441" spans="1:3" x14ac:dyDescent="0.25">
      <c r="A10441" s="2" t="str">
        <f ca="1">IFERROR(__xludf.DUMMYFUNCTION("""COMPUTED_VALUE"""),"pundi-x-2")</f>
        <v>pundi-x-2</v>
      </c>
      <c r="B10441" s="2" t="str">
        <f ca="1">IFERROR(__xludf.DUMMYFUNCTION("""COMPUTED_VALUE"""),"pundix")</f>
        <v>pundix</v>
      </c>
      <c r="C10441" s="2" t="str">
        <f ca="1">IFERROR(__xludf.DUMMYFUNCTION("""COMPUTED_VALUE"""),"Pundi X")</f>
        <v>Pundi X</v>
      </c>
    </row>
    <row r="10442" spans="1:3" x14ac:dyDescent="0.25">
      <c r="A10442" s="2" t="str">
        <f ca="1">IFERROR(__xludf.DUMMYFUNCTION("""COMPUTED_VALUE"""),"pundi-x-purse")</f>
        <v>pundi-x-purse</v>
      </c>
      <c r="B10442" s="2" t="str">
        <f ca="1">IFERROR(__xludf.DUMMYFUNCTION("""COMPUTED_VALUE"""),"purse")</f>
        <v>purse</v>
      </c>
      <c r="C10442" s="2" t="str">
        <f ca="1">IFERROR(__xludf.DUMMYFUNCTION("""COMPUTED_VALUE"""),"Pundi X PURSE")</f>
        <v>Pundi X PURSE</v>
      </c>
    </row>
    <row r="10443" spans="1:3" x14ac:dyDescent="0.25">
      <c r="A10443" s="2" t="str">
        <f ca="1">IFERROR(__xludf.DUMMYFUNCTION("""COMPUTED_VALUE"""),"pun-dog")</f>
        <v>pun-dog</v>
      </c>
      <c r="B10443" s="2" t="str">
        <f ca="1">IFERROR(__xludf.DUMMYFUNCTION("""COMPUTED_VALUE"""),"pun")</f>
        <v>pun</v>
      </c>
      <c r="C10443" s="2" t="str">
        <f ca="1">IFERROR(__xludf.DUMMYFUNCTION("""COMPUTED_VALUE"""),"Pun Dog")</f>
        <v>Pun Dog</v>
      </c>
    </row>
    <row r="10444" spans="1:3" x14ac:dyDescent="0.25">
      <c r="A10444" s="2" t="str">
        <f ca="1">IFERROR(__xludf.DUMMYFUNCTION("""COMPUTED_VALUE"""),"pundu")</f>
        <v>pundu</v>
      </c>
      <c r="B10444" s="2" t="str">
        <f ca="1">IFERROR(__xludf.DUMMYFUNCTION("""COMPUTED_VALUE"""),"pundu")</f>
        <v>pundu</v>
      </c>
      <c r="C10444" s="2" t="str">
        <f ca="1">IFERROR(__xludf.DUMMYFUNCTION("""COMPUTED_VALUE"""),"Pundu")</f>
        <v>Pundu</v>
      </c>
    </row>
    <row r="10445" spans="1:3" x14ac:dyDescent="0.25">
      <c r="A10445" s="2" t="str">
        <f ca="1">IFERROR(__xludf.DUMMYFUNCTION("""COMPUTED_VALUE"""),"pungu")</f>
        <v>pungu</v>
      </c>
      <c r="B10445" s="2" t="str">
        <f ca="1">IFERROR(__xludf.DUMMYFUNCTION("""COMPUTED_VALUE"""),"pungu")</f>
        <v>pungu</v>
      </c>
      <c r="C10445" s="2" t="str">
        <f ca="1">IFERROR(__xludf.DUMMYFUNCTION("""COMPUTED_VALUE"""),"Pungu")</f>
        <v>Pungu</v>
      </c>
    </row>
    <row r="10446" spans="1:3" x14ac:dyDescent="0.25">
      <c r="A10446" s="2" t="str">
        <f ca="1">IFERROR(__xludf.DUMMYFUNCTION("""COMPUTED_VALUE"""),"punk-2")</f>
        <v>punk-2</v>
      </c>
      <c r="B10446" s="2" t="str">
        <f ca="1">IFERROR(__xludf.DUMMYFUNCTION("""COMPUTED_VALUE"""),"punk")</f>
        <v>punk</v>
      </c>
      <c r="C10446" s="2" t="str">
        <f ca="1">IFERROR(__xludf.DUMMYFUNCTION("""COMPUTED_VALUE"""),"PunkCity")</f>
        <v>PunkCity</v>
      </c>
    </row>
    <row r="10447" spans="1:3" x14ac:dyDescent="0.25">
      <c r="A10447" s="2" t="str">
        <f ca="1">IFERROR(__xludf.DUMMYFUNCTION("""COMPUTED_VALUE"""),"punk-3")</f>
        <v>punk-3</v>
      </c>
      <c r="B10447" s="2" t="str">
        <f ca="1">IFERROR(__xludf.DUMMYFUNCTION("""COMPUTED_VALUE"""),"spunk")</f>
        <v>spunk</v>
      </c>
      <c r="C10447" s="2" t="str">
        <f ca="1">IFERROR(__xludf.DUMMYFUNCTION("""COMPUTED_VALUE"""),"PUNK")</f>
        <v>PUNK</v>
      </c>
    </row>
    <row r="10448" spans="1:3" x14ac:dyDescent="0.25">
      <c r="A10448" s="2" t="str">
        <f ca="1">IFERROR(__xludf.DUMMYFUNCTION("""COMPUTED_VALUE"""),"punkai")</f>
        <v>punkai</v>
      </c>
      <c r="B10448" s="2" t="str">
        <f ca="1">IFERROR(__xludf.DUMMYFUNCTION("""COMPUTED_VALUE"""),"punkai")</f>
        <v>punkai</v>
      </c>
      <c r="C10448" s="2" t="str">
        <f ca="1">IFERROR(__xludf.DUMMYFUNCTION("""COMPUTED_VALUE"""),"PunkAI")</f>
        <v>PunkAI</v>
      </c>
    </row>
    <row r="10449" spans="1:3" x14ac:dyDescent="0.25">
      <c r="A10449" s="2" t="str">
        <f ca="1">IFERROR(__xludf.DUMMYFUNCTION("""COMPUTED_VALUE"""),"punkko")</f>
        <v>punkko</v>
      </c>
      <c r="B10449" s="2" t="str">
        <f ca="1">IFERROR(__xludf.DUMMYFUNCTION("""COMPUTED_VALUE"""),"pun")</f>
        <v>pun</v>
      </c>
      <c r="C10449" s="2" t="str">
        <f ca="1">IFERROR(__xludf.DUMMYFUNCTION("""COMPUTED_VALUE"""),"Punkko")</f>
        <v>Punkko</v>
      </c>
    </row>
    <row r="10450" spans="1:3" x14ac:dyDescent="0.25">
      <c r="A10450" s="2" t="str">
        <f ca="1">IFERROR(__xludf.DUMMYFUNCTION("""COMPUTED_VALUE"""),"punks-comic-pow")</f>
        <v>punks-comic-pow</v>
      </c>
      <c r="B10450" s="2" t="str">
        <f ca="1">IFERROR(__xludf.DUMMYFUNCTION("""COMPUTED_VALUE"""),"pow")</f>
        <v>pow</v>
      </c>
      <c r="C10450" s="2" t="str">
        <f ca="1">IFERROR(__xludf.DUMMYFUNCTION("""COMPUTED_VALUE"""),"POW")</f>
        <v>POW</v>
      </c>
    </row>
    <row r="10451" spans="1:3" x14ac:dyDescent="0.25">
      <c r="A10451" s="2" t="str">
        <f ca="1">IFERROR(__xludf.DUMMYFUNCTION("""COMPUTED_VALUE"""),"punkswap")</f>
        <v>punkswap</v>
      </c>
      <c r="B10451" s="2" t="str">
        <f ca="1">IFERROR(__xludf.DUMMYFUNCTION("""COMPUTED_VALUE"""),"punk")</f>
        <v>punk</v>
      </c>
      <c r="C10451" s="2" t="str">
        <f ca="1">IFERROR(__xludf.DUMMYFUNCTION("""COMPUTED_VALUE"""),"PunkSwap")</f>
        <v>PunkSwap</v>
      </c>
    </row>
    <row r="10452" spans="1:3" x14ac:dyDescent="0.25">
      <c r="A10452" s="2" t="str">
        <f ca="1">IFERROR(__xludf.DUMMYFUNCTION("""COMPUTED_VALUE"""),"punk-vault-nftx")</f>
        <v>punk-vault-nftx</v>
      </c>
      <c r="B10452" s="2" t="str">
        <f ca="1">IFERROR(__xludf.DUMMYFUNCTION("""COMPUTED_VALUE"""),"punk")</f>
        <v>punk</v>
      </c>
      <c r="C10452" s="2" t="str">
        <f ca="1">IFERROR(__xludf.DUMMYFUNCTION("""COMPUTED_VALUE"""),"Punk Vault (NFTX)")</f>
        <v>Punk Vault (NFTX)</v>
      </c>
    </row>
    <row r="10453" spans="1:3" x14ac:dyDescent="0.25">
      <c r="A10453" s="2" t="str">
        <f ca="1">IFERROR(__xludf.DUMMYFUNCTION("""COMPUTED_VALUE"""),"pup-doge")</f>
        <v>pup-doge</v>
      </c>
      <c r="B10453" s="2" t="str">
        <f ca="1">IFERROR(__xludf.DUMMYFUNCTION("""COMPUTED_VALUE"""),"pupdoge")</f>
        <v>pupdoge</v>
      </c>
      <c r="C10453" s="2" t="str">
        <f ca="1">IFERROR(__xludf.DUMMYFUNCTION("""COMPUTED_VALUE"""),"Pup Doge")</f>
        <v>Pup Doge</v>
      </c>
    </row>
    <row r="10454" spans="1:3" x14ac:dyDescent="0.25">
      <c r="A10454" s="2" t="str">
        <f ca="1">IFERROR(__xludf.DUMMYFUNCTION("""COMPUTED_VALUE"""),"puppacoin")</f>
        <v>puppacoin</v>
      </c>
      <c r="B10454" s="2" t="str">
        <f ca="1">IFERROR(__xludf.DUMMYFUNCTION("""COMPUTED_VALUE"""),"$puppa")</f>
        <v>$puppa</v>
      </c>
      <c r="C10454" s="2" t="str">
        <f ca="1">IFERROR(__xludf.DUMMYFUNCTION("""COMPUTED_VALUE"""),"PuppaCoin")</f>
        <v>PuppaCoin</v>
      </c>
    </row>
    <row r="10455" spans="1:3" x14ac:dyDescent="0.25">
      <c r="A10455" s="2" t="str">
        <f ca="1">IFERROR(__xludf.DUMMYFUNCTION("""COMPUTED_VALUE"""),"puppet-on-sol")</f>
        <v>puppet-on-sol</v>
      </c>
      <c r="B10455" s="2" t="str">
        <f ca="1">IFERROR(__xludf.DUMMYFUNCTION("""COMPUTED_VALUE"""),"puppet")</f>
        <v>puppet</v>
      </c>
      <c r="C10455" s="2" t="str">
        <f ca="1">IFERROR(__xludf.DUMMYFUNCTION("""COMPUTED_VALUE"""),"Puppet on Sol")</f>
        <v>Puppet on Sol</v>
      </c>
    </row>
    <row r="10456" spans="1:3" x14ac:dyDescent="0.25">
      <c r="A10456" s="2" t="str">
        <f ca="1">IFERROR(__xludf.DUMMYFUNCTION("""COMPUTED_VALUE"""),"puppets-arts-2")</f>
        <v>puppets-arts-2</v>
      </c>
      <c r="B10456" s="2" t="str">
        <f ca="1">IFERROR(__xludf.DUMMYFUNCTION("""COMPUTED_VALUE"""),"puppets")</f>
        <v>puppets</v>
      </c>
      <c r="C10456" s="2" t="str">
        <f ca="1">IFERROR(__xludf.DUMMYFUNCTION("""COMPUTED_VALUE"""),"Puppets Coin")</f>
        <v>Puppets Coin</v>
      </c>
    </row>
    <row r="10457" spans="1:3" x14ac:dyDescent="0.25">
      <c r="A10457" s="2" t="str">
        <f ca="1">IFERROR(__xludf.DUMMYFUNCTION("""COMPUTED_VALUE"""),"puppy")</f>
        <v>puppy</v>
      </c>
      <c r="B10457" s="2" t="str">
        <f ca="1">IFERROR(__xludf.DUMMYFUNCTION("""COMPUTED_VALUE"""),"papi")</f>
        <v>papi</v>
      </c>
      <c r="C10457" s="2" t="str">
        <f ca="1">IFERROR(__xludf.DUMMYFUNCTION("""COMPUTED_VALUE"""),"Puppy")</f>
        <v>Puppy</v>
      </c>
    </row>
    <row r="10458" spans="1:3" x14ac:dyDescent="0.25">
      <c r="A10458" s="2" t="str">
        <f ca="1">IFERROR(__xludf.DUMMYFUNCTION("""COMPUTED_VALUE"""),"pups-ordinals")</f>
        <v>pups-ordinals</v>
      </c>
      <c r="B10458" s="2" t="str">
        <f ca="1">IFERROR(__xludf.DUMMYFUNCTION("""COMPUTED_VALUE"""),"pups")</f>
        <v>pups</v>
      </c>
      <c r="C10458" s="2" t="str">
        <f ca="1">IFERROR(__xludf.DUMMYFUNCTION("""COMPUTED_VALUE"""),"PUPS (Ordinals) [OLD]")</f>
        <v>PUPS (Ordinals) [OLD]</v>
      </c>
    </row>
    <row r="10459" spans="1:3" x14ac:dyDescent="0.25">
      <c r="A10459" s="2" t="str">
        <f ca="1">IFERROR(__xludf.DUMMYFUNCTION("""COMPUTED_VALUE"""),"purchasa")</f>
        <v>purchasa</v>
      </c>
      <c r="B10459" s="2" t="str">
        <f ca="1">IFERROR(__xludf.DUMMYFUNCTION("""COMPUTED_VALUE"""),"pca")</f>
        <v>pca</v>
      </c>
      <c r="C10459" s="2" t="str">
        <f ca="1">IFERROR(__xludf.DUMMYFUNCTION("""COMPUTED_VALUE"""),"Purchasa")</f>
        <v>Purchasa</v>
      </c>
    </row>
    <row r="10460" spans="1:3" x14ac:dyDescent="0.25">
      <c r="A10460" s="2" t="str">
        <f ca="1">IFERROR(__xludf.DUMMYFUNCTION("""COMPUTED_VALUE"""),"purefi")</f>
        <v>purefi</v>
      </c>
      <c r="B10460" s="2" t="str">
        <f ca="1">IFERROR(__xludf.DUMMYFUNCTION("""COMPUTED_VALUE"""),"ufi")</f>
        <v>ufi</v>
      </c>
      <c r="C10460" s="2" t="str">
        <f ca="1">IFERROR(__xludf.DUMMYFUNCTION("""COMPUTED_VALUE"""),"PureFi")</f>
        <v>PureFi</v>
      </c>
    </row>
    <row r="10461" spans="1:3" x14ac:dyDescent="0.25">
      <c r="A10461" s="2" t="str">
        <f ca="1">IFERROR(__xludf.DUMMYFUNCTION("""COMPUTED_VALUE"""),"puriever")</f>
        <v>puriever</v>
      </c>
      <c r="B10461" s="2" t="str">
        <f ca="1">IFERROR(__xludf.DUMMYFUNCTION("""COMPUTED_VALUE"""),"pure")</f>
        <v>pure</v>
      </c>
      <c r="C10461" s="2" t="str">
        <f ca="1">IFERROR(__xludf.DUMMYFUNCTION("""COMPUTED_VALUE"""),"Puriever")</f>
        <v>Puriever</v>
      </c>
    </row>
    <row r="10462" spans="1:3" x14ac:dyDescent="0.25">
      <c r="A10462" s="2" t="str">
        <f ca="1">IFERROR(__xludf.DUMMYFUNCTION("""COMPUTED_VALUE"""),"purp")</f>
        <v>purp</v>
      </c>
      <c r="B10462" s="2" t="str">
        <f ca="1">IFERROR(__xludf.DUMMYFUNCTION("""COMPUTED_VALUE"""),"$purp")</f>
        <v>$purp</v>
      </c>
      <c r="C10462" s="2" t="str">
        <f ca="1">IFERROR(__xludf.DUMMYFUNCTION("""COMPUTED_VALUE"""),"Purp")</f>
        <v>Purp</v>
      </c>
    </row>
    <row r="10463" spans="1:3" x14ac:dyDescent="0.25">
      <c r="A10463" s="2" t="str">
        <f ca="1">IFERROR(__xludf.DUMMYFUNCTION("""COMPUTED_VALUE"""),"purple-ai")</f>
        <v>purple-ai</v>
      </c>
      <c r="B10463" s="2" t="str">
        <f ca="1">IFERROR(__xludf.DUMMYFUNCTION("""COMPUTED_VALUE"""),"pai")</f>
        <v>pai</v>
      </c>
      <c r="C10463" s="2" t="str">
        <f ca="1">IFERROR(__xludf.DUMMYFUNCTION("""COMPUTED_VALUE"""),"Purple AI")</f>
        <v>Purple AI</v>
      </c>
    </row>
    <row r="10464" spans="1:3" x14ac:dyDescent="0.25">
      <c r="A10464" s="2" t="str">
        <f ca="1">IFERROR(__xludf.DUMMYFUNCTION("""COMPUTED_VALUE"""),"purple-pepe")</f>
        <v>purple-pepe</v>
      </c>
      <c r="B10464" s="2" t="str">
        <f ca="1">IFERROR(__xludf.DUMMYFUNCTION("""COMPUTED_VALUE"""),"purpe")</f>
        <v>purpe</v>
      </c>
      <c r="C10464" s="2" t="str">
        <f ca="1">IFERROR(__xludf.DUMMYFUNCTION("""COMPUTED_VALUE"""),"PURPLE PEPE")</f>
        <v>PURPLE PEPE</v>
      </c>
    </row>
    <row r="10465" spans="1:3" x14ac:dyDescent="0.25">
      <c r="A10465" s="2" t="str">
        <f ca="1">IFERROR(__xludf.DUMMYFUNCTION("""COMPUTED_VALUE"""),"purpose")</f>
        <v>purpose</v>
      </c>
      <c r="B10465" s="2" t="str">
        <f ca="1">IFERROR(__xludf.DUMMYFUNCTION("""COMPUTED_VALUE"""),"prps")</f>
        <v>prps</v>
      </c>
      <c r="C10465" s="2" t="str">
        <f ca="1">IFERROR(__xludf.DUMMYFUNCTION("""COMPUTED_VALUE"""),"Purpose")</f>
        <v>Purpose</v>
      </c>
    </row>
    <row r="10466" spans="1:3" x14ac:dyDescent="0.25">
      <c r="A10466" s="2" t="str">
        <f ca="1">IFERROR(__xludf.DUMMYFUNCTION("""COMPUTED_VALUE"""),"purr-2")</f>
        <v>purr-2</v>
      </c>
      <c r="B10466" s="2" t="str">
        <f ca="1">IFERROR(__xludf.DUMMYFUNCTION("""COMPUTED_VALUE"""),"purr")</f>
        <v>purr</v>
      </c>
      <c r="C10466" s="2" t="str">
        <f ca="1">IFERROR(__xludf.DUMMYFUNCTION("""COMPUTED_VALUE"""),"Purr")</f>
        <v>Purr</v>
      </c>
    </row>
    <row r="10467" spans="1:3" x14ac:dyDescent="0.25">
      <c r="A10467" s="2" t="str">
        <f ca="1">IFERROR(__xludf.DUMMYFUNCTION("""COMPUTED_VALUE"""),"purrcoin")</f>
        <v>purrcoin</v>
      </c>
      <c r="B10467" s="2" t="str">
        <f ca="1">IFERROR(__xludf.DUMMYFUNCTION("""COMPUTED_VALUE"""),"purr")</f>
        <v>purr</v>
      </c>
      <c r="C10467" s="2" t="str">
        <f ca="1">IFERROR(__xludf.DUMMYFUNCTION("""COMPUTED_VALUE"""),"Purrcoin")</f>
        <v>Purrcoin</v>
      </c>
    </row>
    <row r="10468" spans="1:3" x14ac:dyDescent="0.25">
      <c r="A10468" s="2" t="str">
        <f ca="1">IFERROR(__xludf.DUMMYFUNCTION("""COMPUTED_VALUE"""),"pusd")</f>
        <v>pusd</v>
      </c>
      <c r="B10468" s="2" t="str">
        <f ca="1">IFERROR(__xludf.DUMMYFUNCTION("""COMPUTED_VALUE"""),"pusd")</f>
        <v>pusd</v>
      </c>
      <c r="C10468" s="2" t="str">
        <f ca="1">IFERROR(__xludf.DUMMYFUNCTION("""COMPUTED_VALUE"""),"PUSD_Polyquity")</f>
        <v>PUSD_Polyquity</v>
      </c>
    </row>
    <row r="10469" spans="1:3" x14ac:dyDescent="0.25">
      <c r="A10469" s="2" t="str">
        <f ca="1">IFERROR(__xludf.DUMMYFUNCTION("""COMPUTED_VALUE"""),"push")</f>
        <v>push</v>
      </c>
      <c r="B10469" s="2" t="str">
        <f ca="1">IFERROR(__xludf.DUMMYFUNCTION("""COMPUTED_VALUE"""),"push")</f>
        <v>push</v>
      </c>
      <c r="C10469" s="2" t="str">
        <f ca="1">IFERROR(__xludf.DUMMYFUNCTION("""COMPUTED_VALUE"""),"Pushcat")</f>
        <v>Pushcat</v>
      </c>
    </row>
    <row r="10470" spans="1:3" x14ac:dyDescent="0.25">
      <c r="A10470" s="2" t="str">
        <f ca="1">IFERROR(__xludf.DUMMYFUNCTION("""COMPUTED_VALUE"""),"puso")</f>
        <v>puso</v>
      </c>
      <c r="B10470" s="2" t="str">
        <f ca="1">IFERROR(__xludf.DUMMYFUNCTION("""COMPUTED_VALUE"""),"puso")</f>
        <v>puso</v>
      </c>
      <c r="C10470" s="2" t="str">
        <f ca="1">IFERROR(__xludf.DUMMYFUNCTION("""COMPUTED_VALUE"""),"PUSO")</f>
        <v>PUSO</v>
      </c>
    </row>
    <row r="10471" spans="1:3" x14ac:dyDescent="0.25">
      <c r="A10471" s="2" t="str">
        <f ca="1">IFERROR(__xludf.DUMMYFUNCTION("""COMPUTED_VALUE"""),"pusscat")</f>
        <v>pusscat</v>
      </c>
      <c r="B10471" s="2" t="str">
        <f ca="1">IFERROR(__xludf.DUMMYFUNCTION("""COMPUTED_VALUE"""),"puss")</f>
        <v>puss</v>
      </c>
      <c r="C10471" s="2" t="str">
        <f ca="1">IFERROR(__xludf.DUMMYFUNCTION("""COMPUTED_VALUE"""),"Pusscat")</f>
        <v>Pusscat</v>
      </c>
    </row>
    <row r="10472" spans="1:3" x14ac:dyDescent="0.25">
      <c r="A10472" s="2" t="str">
        <f ca="1">IFERROR(__xludf.DUMMYFUNCTION("""COMPUTED_VALUE"""),"puss-cat")</f>
        <v>puss-cat</v>
      </c>
      <c r="B10472" s="2" t="str">
        <f ca="1">IFERROR(__xludf.DUMMYFUNCTION("""COMPUTED_VALUE"""),"puca")</f>
        <v>puca</v>
      </c>
      <c r="C10472" s="2" t="str">
        <f ca="1">IFERROR(__xludf.DUMMYFUNCTION("""COMPUTED_VALUE"""),"Puss Cat")</f>
        <v>Puss Cat</v>
      </c>
    </row>
    <row r="10473" spans="1:3" x14ac:dyDescent="0.25">
      <c r="A10473" s="2" t="str">
        <f ca="1">IFERROR(__xludf.DUMMYFUNCTION("""COMPUTED_VALUE"""),"pussy-financial")</f>
        <v>pussy-financial</v>
      </c>
      <c r="B10473" s="2" t="str">
        <f ca="1">IFERROR(__xludf.DUMMYFUNCTION("""COMPUTED_VALUE"""),"pussy")</f>
        <v>pussy</v>
      </c>
      <c r="C10473" s="2" t="str">
        <f ca="1">IFERROR(__xludf.DUMMYFUNCTION("""COMPUTED_VALUE"""),"Pussy Financial")</f>
        <v>Pussy Financial</v>
      </c>
    </row>
    <row r="10474" spans="1:3" x14ac:dyDescent="0.25">
      <c r="A10474" s="2" t="str">
        <f ca="1">IFERROR(__xludf.DUMMYFUNCTION("""COMPUTED_VALUE"""),"putincoin")</f>
        <v>putincoin</v>
      </c>
      <c r="B10474" s="2" t="str">
        <f ca="1">IFERROR(__xludf.DUMMYFUNCTION("""COMPUTED_VALUE"""),"put")</f>
        <v>put</v>
      </c>
      <c r="C10474" s="2" t="str">
        <f ca="1">IFERROR(__xludf.DUMMYFUNCTION("""COMPUTED_VALUE"""),"PUTinCoin")</f>
        <v>PUTinCoin</v>
      </c>
    </row>
    <row r="10475" spans="1:3" x14ac:dyDescent="0.25">
      <c r="A10475" s="2" t="str">
        <f ca="1">IFERROR(__xludf.DUMMYFUNCTION("""COMPUTED_VALUE"""),"puush-da-button")</f>
        <v>puush-da-button</v>
      </c>
      <c r="B10475" s="2" t="str">
        <f ca="1">IFERROR(__xludf.DUMMYFUNCTION("""COMPUTED_VALUE"""),"puush")</f>
        <v>puush</v>
      </c>
      <c r="C10475" s="2" t="str">
        <f ca="1">IFERROR(__xludf.DUMMYFUNCTION("""COMPUTED_VALUE"""),"puush da button")</f>
        <v>puush da button</v>
      </c>
    </row>
    <row r="10476" spans="1:3" x14ac:dyDescent="0.25">
      <c r="A10476" s="2" t="str">
        <f ca="1">IFERROR(__xludf.DUMMYFUNCTION("""COMPUTED_VALUE"""),"puzzle-swap")</f>
        <v>puzzle-swap</v>
      </c>
      <c r="B10476" s="2" t="str">
        <f ca="1">IFERROR(__xludf.DUMMYFUNCTION("""COMPUTED_VALUE"""),"puzzle")</f>
        <v>puzzle</v>
      </c>
      <c r="C10476" s="2" t="str">
        <f ca="1">IFERROR(__xludf.DUMMYFUNCTION("""COMPUTED_VALUE"""),"Puzzle Swap")</f>
        <v>Puzzle Swap</v>
      </c>
    </row>
    <row r="10477" spans="1:3" x14ac:dyDescent="0.25">
      <c r="A10477" s="2" t="str">
        <f ca="1">IFERROR(__xludf.DUMMYFUNCTION("""COMPUTED_VALUE"""),"pvc-meta")</f>
        <v>pvc-meta</v>
      </c>
      <c r="B10477" s="2" t="str">
        <f ca="1">IFERROR(__xludf.DUMMYFUNCTION("""COMPUTED_VALUE"""),"pvc")</f>
        <v>pvc</v>
      </c>
      <c r="C10477" s="2" t="str">
        <f ca="1">IFERROR(__xludf.DUMMYFUNCTION("""COMPUTED_VALUE"""),"PVC META")</f>
        <v>PVC META</v>
      </c>
    </row>
    <row r="10478" spans="1:3" x14ac:dyDescent="0.25">
      <c r="A10478" s="2" t="str">
        <f ca="1">IFERROR(__xludf.DUMMYFUNCTION("""COMPUTED_VALUE"""),"pyges")</f>
        <v>pyges</v>
      </c>
      <c r="B10478" s="2" t="str">
        <f ca="1">IFERROR(__xludf.DUMMYFUNCTION("""COMPUTED_VALUE"""),"pyges")</f>
        <v>pyges</v>
      </c>
      <c r="C10478" s="2" t="str">
        <f ca="1">IFERROR(__xludf.DUMMYFUNCTION("""COMPUTED_VALUE"""),"Pyges")</f>
        <v>Pyges</v>
      </c>
    </row>
    <row r="10479" spans="1:3" x14ac:dyDescent="0.25">
      <c r="A10479" s="2" t="str">
        <f ca="1">IFERROR(__xludf.DUMMYFUNCTION("""COMPUTED_VALUE"""),"pylons-bedrock")</f>
        <v>pylons-bedrock</v>
      </c>
      <c r="B10479" s="2" t="str">
        <f ca="1">IFERROR(__xludf.DUMMYFUNCTION("""COMPUTED_VALUE"""),"rock")</f>
        <v>rock</v>
      </c>
      <c r="C10479" s="2" t="str">
        <f ca="1">IFERROR(__xludf.DUMMYFUNCTION("""COMPUTED_VALUE"""),"Pylons Bedrock")</f>
        <v>Pylons Bedrock</v>
      </c>
    </row>
    <row r="10480" spans="1:3" x14ac:dyDescent="0.25">
      <c r="A10480" s="2" t="str">
        <f ca="1">IFERROR(__xludf.DUMMYFUNCTION("""COMPUTED_VALUE"""),"pyrin")</f>
        <v>pyrin</v>
      </c>
      <c r="B10480" s="2" t="str">
        <f ca="1">IFERROR(__xludf.DUMMYFUNCTION("""COMPUTED_VALUE"""),"pyi")</f>
        <v>pyi</v>
      </c>
      <c r="C10480" s="2" t="str">
        <f ca="1">IFERROR(__xludf.DUMMYFUNCTION("""COMPUTED_VALUE"""),"Pyrin")</f>
        <v>Pyrin</v>
      </c>
    </row>
    <row r="10481" spans="1:3" x14ac:dyDescent="0.25">
      <c r="A10481" s="2" t="str">
        <f ca="1">IFERROR(__xludf.DUMMYFUNCTION("""COMPUTED_VALUE"""),"pyro-2")</f>
        <v>pyro-2</v>
      </c>
      <c r="B10481" s="2" t="str">
        <f ca="1">IFERROR(__xludf.DUMMYFUNCTION("""COMPUTED_VALUE"""),"pyro")</f>
        <v>pyro</v>
      </c>
      <c r="C10481" s="2" t="str">
        <f ca="1">IFERROR(__xludf.DUMMYFUNCTION("""COMPUTED_VALUE"""),"Pyro")</f>
        <v>Pyro</v>
      </c>
    </row>
    <row r="10482" spans="1:3" x14ac:dyDescent="0.25">
      <c r="A10482" s="2" t="str">
        <f ca="1">IFERROR(__xludf.DUMMYFUNCTION("""COMPUTED_VALUE"""),"pyrrho-defi")</f>
        <v>pyrrho-defi</v>
      </c>
      <c r="B10482" s="2" t="str">
        <f ca="1">IFERROR(__xludf.DUMMYFUNCTION("""COMPUTED_VALUE"""),"pyo")</f>
        <v>pyo</v>
      </c>
      <c r="C10482" s="2" t="str">
        <f ca="1">IFERROR(__xludf.DUMMYFUNCTION("""COMPUTED_VALUE"""),"Pyrrho")</f>
        <v>Pyrrho</v>
      </c>
    </row>
    <row r="10483" spans="1:3" x14ac:dyDescent="0.25">
      <c r="A10483" s="2" t="str">
        <f ca="1">IFERROR(__xludf.DUMMYFUNCTION("""COMPUTED_VALUE"""),"pyth-network")</f>
        <v>pyth-network</v>
      </c>
      <c r="B10483" s="2" t="str">
        <f ca="1">IFERROR(__xludf.DUMMYFUNCTION("""COMPUTED_VALUE"""),"pyth")</f>
        <v>pyth</v>
      </c>
      <c r="C10483" s="2" t="str">
        <f ca="1">IFERROR(__xludf.DUMMYFUNCTION("""COMPUTED_VALUE"""),"Pyth Network")</f>
        <v>Pyth Network</v>
      </c>
    </row>
    <row r="10484" spans="1:3" x14ac:dyDescent="0.25">
      <c r="A10484" s="2" t="str">
        <f ca="1">IFERROR(__xludf.DUMMYFUNCTION("""COMPUTED_VALUE"""),"qanplatform")</f>
        <v>qanplatform</v>
      </c>
      <c r="B10484" s="2" t="str">
        <f ca="1">IFERROR(__xludf.DUMMYFUNCTION("""COMPUTED_VALUE"""),"qanx")</f>
        <v>qanx</v>
      </c>
      <c r="C10484" s="2" t="str">
        <f ca="1">IFERROR(__xludf.DUMMYFUNCTION("""COMPUTED_VALUE"""),"QANplatform")</f>
        <v>QANplatform</v>
      </c>
    </row>
    <row r="10485" spans="1:3" x14ac:dyDescent="0.25">
      <c r="A10485" s="2" t="str">
        <f ca="1">IFERROR(__xludf.DUMMYFUNCTION("""COMPUTED_VALUE"""),"qash")</f>
        <v>qash</v>
      </c>
      <c r="B10485" s="2" t="str">
        <f ca="1">IFERROR(__xludf.DUMMYFUNCTION("""COMPUTED_VALUE"""),"qash")</f>
        <v>qash</v>
      </c>
      <c r="C10485" s="2" t="str">
        <f ca="1">IFERROR(__xludf.DUMMYFUNCTION("""COMPUTED_VALUE"""),"QASH")</f>
        <v>QASH</v>
      </c>
    </row>
    <row r="10486" spans="1:3" x14ac:dyDescent="0.25">
      <c r="A10486" s="2" t="str">
        <f ca="1">IFERROR(__xludf.DUMMYFUNCTION("""COMPUTED_VALUE"""),"qawalla")</f>
        <v>qawalla</v>
      </c>
      <c r="B10486" s="2" t="str">
        <f ca="1">IFERROR(__xludf.DUMMYFUNCTION("""COMPUTED_VALUE"""),"qwla")</f>
        <v>qwla</v>
      </c>
      <c r="C10486" s="2" t="str">
        <f ca="1">IFERROR(__xludf.DUMMYFUNCTION("""COMPUTED_VALUE"""),"Qawalla")</f>
        <v>Qawalla</v>
      </c>
    </row>
    <row r="10487" spans="1:3" x14ac:dyDescent="0.25">
      <c r="A10487" s="2" t="str">
        <f ca="1">IFERROR(__xludf.DUMMYFUNCTION("""COMPUTED_VALUE"""),"qbao")</f>
        <v>qbao</v>
      </c>
      <c r="B10487" s="2" t="str">
        <f ca="1">IFERROR(__xludf.DUMMYFUNCTION("""COMPUTED_VALUE"""),"qbt")</f>
        <v>qbt</v>
      </c>
      <c r="C10487" s="2" t="str">
        <f ca="1">IFERROR(__xludf.DUMMYFUNCTION("""COMPUTED_VALUE"""),"Qbao")</f>
        <v>Qbao</v>
      </c>
    </row>
    <row r="10488" spans="1:3" x14ac:dyDescent="0.25">
      <c r="A10488" s="2" t="str">
        <f ca="1">IFERROR(__xludf.DUMMYFUNCTION("""COMPUTED_VALUE"""),"q-bridged-usdc-q-mainnet")</f>
        <v>q-bridged-usdc-q-mainnet</v>
      </c>
      <c r="B10488" s="2" t="str">
        <f ca="1">IFERROR(__xludf.DUMMYFUNCTION("""COMPUTED_VALUE"""),"usdc")</f>
        <v>usdc</v>
      </c>
      <c r="C10488" s="2" t="str">
        <f ca="1">IFERROR(__xludf.DUMMYFUNCTION("""COMPUTED_VALUE"""),"Q Bridged USDC (Q Mainnet)")</f>
        <v>Q Bridged USDC (Q Mainnet)</v>
      </c>
    </row>
    <row r="10489" spans="1:3" x14ac:dyDescent="0.25">
      <c r="A10489" s="2" t="str">
        <f ca="1">IFERROR(__xludf.DUMMYFUNCTION("""COMPUTED_VALUE"""),"qchain-qdt")</f>
        <v>qchain-qdt</v>
      </c>
      <c r="B10489" s="2" t="str">
        <f ca="1">IFERROR(__xludf.DUMMYFUNCTION("""COMPUTED_VALUE"""),"qdt")</f>
        <v>qdt</v>
      </c>
      <c r="C10489" s="2" t="str">
        <f ca="1">IFERROR(__xludf.DUMMYFUNCTION("""COMPUTED_VALUE"""),"QChain QDT")</f>
        <v>QChain QDT</v>
      </c>
    </row>
    <row r="10490" spans="1:3" x14ac:dyDescent="0.25">
      <c r="A10490" s="2" t="str">
        <f ca="1">IFERROR(__xludf.DUMMYFUNCTION("""COMPUTED_VALUE"""),"q-coin")</f>
        <v>q-coin</v>
      </c>
      <c r="B10490" s="2" t="str">
        <f ca="1">IFERROR(__xludf.DUMMYFUNCTION("""COMPUTED_VALUE"""),"qkc")</f>
        <v>qkc</v>
      </c>
      <c r="C10490" s="2" t="str">
        <f ca="1">IFERROR(__xludf.DUMMYFUNCTION("""COMPUTED_VALUE"""),"Q Coin")</f>
        <v>Q Coin</v>
      </c>
    </row>
    <row r="10491" spans="1:3" x14ac:dyDescent="0.25">
      <c r="A10491" s="2" t="str">
        <f ca="1">IFERROR(__xludf.DUMMYFUNCTION("""COMPUTED_VALUE"""),"qi-dao")</f>
        <v>qi-dao</v>
      </c>
      <c r="B10491" s="2" t="str">
        <f ca="1">IFERROR(__xludf.DUMMYFUNCTION("""COMPUTED_VALUE"""),"qi")</f>
        <v>qi</v>
      </c>
      <c r="C10491" s="2" t="str">
        <f ca="1">IFERROR(__xludf.DUMMYFUNCTION("""COMPUTED_VALUE"""),"Qi Dao")</f>
        <v>Qi Dao</v>
      </c>
    </row>
    <row r="10492" spans="1:3" x14ac:dyDescent="0.25">
      <c r="A10492" s="2" t="str">
        <f ca="1">IFERROR(__xludf.DUMMYFUNCTION("""COMPUTED_VALUE"""),"qie")</f>
        <v>qie</v>
      </c>
      <c r="B10492" s="2" t="str">
        <f ca="1">IFERROR(__xludf.DUMMYFUNCTION("""COMPUTED_VALUE"""),"qie")</f>
        <v>qie</v>
      </c>
      <c r="C10492" s="2" t="str">
        <f ca="1">IFERROR(__xludf.DUMMYFUNCTION("""COMPUTED_VALUE"""),"QI Blockchain")</f>
        <v>QI Blockchain</v>
      </c>
    </row>
    <row r="10493" spans="1:3" x14ac:dyDescent="0.25">
      <c r="A10493" s="2" t="str">
        <f ca="1">IFERROR(__xludf.DUMMYFUNCTION("""COMPUTED_VALUE"""),"qiswap")</f>
        <v>qiswap</v>
      </c>
      <c r="B10493" s="2" t="str">
        <f ca="1">IFERROR(__xludf.DUMMYFUNCTION("""COMPUTED_VALUE"""),"qi")</f>
        <v>qi</v>
      </c>
      <c r="C10493" s="2" t="str">
        <f ca="1">IFERROR(__xludf.DUMMYFUNCTION("""COMPUTED_VALUE"""),"QiSwap")</f>
        <v>QiSwap</v>
      </c>
    </row>
    <row r="10494" spans="1:3" x14ac:dyDescent="0.25">
      <c r="A10494" s="2" t="str">
        <f ca="1">IFERROR(__xludf.DUMMYFUNCTION("""COMPUTED_VALUE"""),"qitchain-network")</f>
        <v>qitchain-network</v>
      </c>
      <c r="B10494" s="2" t="str">
        <f ca="1">IFERROR(__xludf.DUMMYFUNCTION("""COMPUTED_VALUE"""),"qtc")</f>
        <v>qtc</v>
      </c>
      <c r="C10494" s="2" t="str">
        <f ca="1">IFERROR(__xludf.DUMMYFUNCTION("""COMPUTED_VALUE"""),"Qitcoin")</f>
        <v>Qitcoin</v>
      </c>
    </row>
    <row r="10495" spans="1:3" x14ac:dyDescent="0.25">
      <c r="A10495" s="2" t="str">
        <f ca="1">IFERROR(__xludf.DUMMYFUNCTION("""COMPUTED_VALUE"""),"qitmeer-network")</f>
        <v>qitmeer-network</v>
      </c>
      <c r="B10495" s="2" t="str">
        <f ca="1">IFERROR(__xludf.DUMMYFUNCTION("""COMPUTED_VALUE"""),"meer")</f>
        <v>meer</v>
      </c>
      <c r="C10495" s="2" t="str">
        <f ca="1">IFERROR(__xludf.DUMMYFUNCTION("""COMPUTED_VALUE"""),"Qitmeer Network")</f>
        <v>Qitmeer Network</v>
      </c>
    </row>
    <row r="10496" spans="1:3" x14ac:dyDescent="0.25">
      <c r="A10496" s="2" t="str">
        <f ca="1">IFERROR(__xludf.DUMMYFUNCTION("""COMPUTED_VALUE"""),"qiusd")</f>
        <v>qiusd</v>
      </c>
      <c r="B10496" s="2" t="str">
        <f ca="1">IFERROR(__xludf.DUMMYFUNCTION("""COMPUTED_VALUE"""),"qiusd")</f>
        <v>qiusd</v>
      </c>
      <c r="C10496" s="2" t="str">
        <f ca="1">IFERROR(__xludf.DUMMYFUNCTION("""COMPUTED_VALUE"""),"QiUSD")</f>
        <v>QiUSD</v>
      </c>
    </row>
    <row r="10497" spans="1:3" x14ac:dyDescent="0.25">
      <c r="A10497" s="2" t="str">
        <f ca="1">IFERROR(__xludf.DUMMYFUNCTION("""COMPUTED_VALUE"""),"qjuno")</f>
        <v>qjuno</v>
      </c>
      <c r="B10497" s="2" t="str">
        <f ca="1">IFERROR(__xludf.DUMMYFUNCTION("""COMPUTED_VALUE"""),"qjuno")</f>
        <v>qjuno</v>
      </c>
      <c r="C10497" s="2" t="str">
        <f ca="1">IFERROR(__xludf.DUMMYFUNCTION("""COMPUTED_VALUE"""),"qJUNO")</f>
        <v>qJUNO</v>
      </c>
    </row>
    <row r="10498" spans="1:3" x14ac:dyDescent="0.25">
      <c r="A10498" s="2" t="str">
        <f ca="1">IFERROR(__xludf.DUMMYFUNCTION("""COMPUTED_VALUE"""),"qlindo")</f>
        <v>qlindo</v>
      </c>
      <c r="B10498" s="2" t="str">
        <f ca="1">IFERROR(__xludf.DUMMYFUNCTION("""COMPUTED_VALUE"""),"qlindo")</f>
        <v>qlindo</v>
      </c>
      <c r="C10498" s="2" t="str">
        <f ca="1">IFERROR(__xludf.DUMMYFUNCTION("""COMPUTED_VALUE"""),"QLINDO")</f>
        <v>QLINDO</v>
      </c>
    </row>
    <row r="10499" spans="1:3" x14ac:dyDescent="0.25">
      <c r="A10499" s="2" t="str">
        <f ca="1">IFERROR(__xludf.DUMMYFUNCTION("""COMPUTED_VALUE"""),"qlink")</f>
        <v>qlink</v>
      </c>
      <c r="B10499" s="2" t="str">
        <f ca="1">IFERROR(__xludf.DUMMYFUNCTION("""COMPUTED_VALUE"""),"qlc")</f>
        <v>qlc</v>
      </c>
      <c r="C10499" s="2" t="str">
        <f ca="1">IFERROR(__xludf.DUMMYFUNCTION("""COMPUTED_VALUE"""),"Kepple [OLD]")</f>
        <v>Kepple [OLD]</v>
      </c>
    </row>
    <row r="10500" spans="1:3" x14ac:dyDescent="0.25">
      <c r="A10500" s="2" t="str">
        <f ca="1">IFERROR(__xludf.DUMMYFUNCTION("""COMPUTED_VALUE"""),"qlix")</f>
        <v>qlix</v>
      </c>
      <c r="B10500" s="2" t="str">
        <f ca="1">IFERROR(__xludf.DUMMYFUNCTION("""COMPUTED_VALUE"""),"qlix")</f>
        <v>qlix</v>
      </c>
      <c r="C10500" s="2" t="str">
        <f ca="1">IFERROR(__xludf.DUMMYFUNCTION("""COMPUTED_VALUE"""),"QLix")</f>
        <v>QLix</v>
      </c>
    </row>
    <row r="10501" spans="1:3" x14ac:dyDescent="0.25">
      <c r="A10501" s="2" t="str">
        <f ca="1">IFERROR(__xludf.DUMMYFUNCTION("""COMPUTED_VALUE"""),"qmall")</f>
        <v>qmall</v>
      </c>
      <c r="B10501" s="2" t="str">
        <f ca="1">IFERROR(__xludf.DUMMYFUNCTION("""COMPUTED_VALUE"""),"qmall")</f>
        <v>qmall</v>
      </c>
      <c r="C10501" s="2" t="str">
        <f ca="1">IFERROR(__xludf.DUMMYFUNCTION("""COMPUTED_VALUE"""),"Qmall")</f>
        <v>Qmall</v>
      </c>
    </row>
    <row r="10502" spans="1:3" x14ac:dyDescent="0.25">
      <c r="A10502" s="2" t="str">
        <f ca="1">IFERROR(__xludf.DUMMYFUNCTION("""COMPUTED_VALUE"""),"qmcoin")</f>
        <v>qmcoin</v>
      </c>
      <c r="B10502" s="2" t="str">
        <f ca="1">IFERROR(__xludf.DUMMYFUNCTION("""COMPUTED_VALUE"""),"qmc")</f>
        <v>qmc</v>
      </c>
      <c r="C10502" s="2" t="str">
        <f ca="1">IFERROR(__xludf.DUMMYFUNCTION("""COMPUTED_VALUE"""),"QMCoin")</f>
        <v>QMCoin</v>
      </c>
    </row>
    <row r="10503" spans="1:3" x14ac:dyDescent="0.25">
      <c r="A10503" s="2" t="str">
        <f ca="1">IFERROR(__xludf.DUMMYFUNCTION("""COMPUTED_VALUE"""),"qna3-ai")</f>
        <v>qna3-ai</v>
      </c>
      <c r="B10503" s="2" t="str">
        <f ca="1">IFERROR(__xludf.DUMMYFUNCTION("""COMPUTED_VALUE"""),"gpt")</f>
        <v>gpt</v>
      </c>
      <c r="C10503" s="3" t="str">
        <f ca="1">IFERROR(__xludf.DUMMYFUNCTION("""COMPUTED_VALUE"""),"QnA3.AI")</f>
        <v>QnA3.AI</v>
      </c>
    </row>
    <row r="10504" spans="1:3" x14ac:dyDescent="0.25">
      <c r="A10504" s="2" t="str">
        <f ca="1">IFERROR(__xludf.DUMMYFUNCTION("""COMPUTED_VALUE"""),"qoda")</f>
        <v>qoda</v>
      </c>
      <c r="B10504" s="2" t="str">
        <f ca="1">IFERROR(__xludf.DUMMYFUNCTION("""COMPUTED_VALUE"""),"qoda")</f>
        <v>qoda</v>
      </c>
      <c r="C10504" s="2" t="str">
        <f ca="1">IFERROR(__xludf.DUMMYFUNCTION("""COMPUTED_VALUE"""),"QODA")</f>
        <v>QODA</v>
      </c>
    </row>
    <row r="10505" spans="1:3" x14ac:dyDescent="0.25">
      <c r="A10505" s="2" t="str">
        <f ca="1">IFERROR(__xludf.DUMMYFUNCTION("""COMPUTED_VALUE"""),"qopro")</f>
        <v>qopro</v>
      </c>
      <c r="B10505" s="2" t="str">
        <f ca="1">IFERROR(__xludf.DUMMYFUNCTION("""COMPUTED_VALUE"""),"qorpo")</f>
        <v>qorpo</v>
      </c>
      <c r="C10505" s="2" t="str">
        <f ca="1">IFERROR(__xludf.DUMMYFUNCTION("""COMPUTED_VALUE"""),"QORPO WORLD")</f>
        <v>QORPO WORLD</v>
      </c>
    </row>
    <row r="10506" spans="1:3" x14ac:dyDescent="0.25">
      <c r="A10506" s="2" t="str">
        <f ca="1">IFERROR(__xludf.DUMMYFUNCTION("""COMPUTED_VALUE"""),"qowatt")</f>
        <v>qowatt</v>
      </c>
      <c r="B10506" s="2" t="str">
        <f ca="1">IFERROR(__xludf.DUMMYFUNCTION("""COMPUTED_VALUE"""),"qwt")</f>
        <v>qwt</v>
      </c>
      <c r="C10506" s="2" t="str">
        <f ca="1">IFERROR(__xludf.DUMMYFUNCTION("""COMPUTED_VALUE"""),"QoWatt")</f>
        <v>QoWatt</v>
      </c>
    </row>
    <row r="10507" spans="1:3" x14ac:dyDescent="0.25">
      <c r="A10507" s="2" t="str">
        <f ca="1">IFERROR(__xludf.DUMMYFUNCTION("""COMPUTED_VALUE"""),"q-protocol")</f>
        <v>q-protocol</v>
      </c>
      <c r="B10507" s="2" t="str">
        <f ca="1">IFERROR(__xludf.DUMMYFUNCTION("""COMPUTED_VALUE"""),"qgov")</f>
        <v>qgov</v>
      </c>
      <c r="C10507" s="2" t="str">
        <f ca="1">IFERROR(__xludf.DUMMYFUNCTION("""COMPUTED_VALUE"""),"Q Protocol")</f>
        <v>Q Protocol</v>
      </c>
    </row>
    <row r="10508" spans="1:3" x14ac:dyDescent="0.25">
      <c r="A10508" s="2" t="str">
        <f ca="1">IFERROR(__xludf.DUMMYFUNCTION("""COMPUTED_VALUE"""),"qqq-tokenized-stock-defichain")</f>
        <v>qqq-tokenized-stock-defichain</v>
      </c>
      <c r="B10508" s="2" t="str">
        <f ca="1">IFERROR(__xludf.DUMMYFUNCTION("""COMPUTED_VALUE"""),"dqqq")</f>
        <v>dqqq</v>
      </c>
      <c r="C10508" s="2" t="str">
        <f ca="1">IFERROR(__xludf.DUMMYFUNCTION("""COMPUTED_VALUE"""),"Invesco QQQ Trust Defichain")</f>
        <v>Invesco QQQ Trust Defichain</v>
      </c>
    </row>
    <row r="10509" spans="1:3" x14ac:dyDescent="0.25">
      <c r="A10509" s="2" t="str">
        <f ca="1">IFERROR(__xludf.DUMMYFUNCTION("""COMPUTED_VALUE"""),"qredo")</f>
        <v>qredo</v>
      </c>
      <c r="B10509" s="2" t="str">
        <f ca="1">IFERROR(__xludf.DUMMYFUNCTION("""COMPUTED_VALUE"""),"open")</f>
        <v>open</v>
      </c>
      <c r="C10509" s="2" t="str">
        <f ca="1">IFERROR(__xludf.DUMMYFUNCTION("""COMPUTED_VALUE"""),"Open Custody Protocol")</f>
        <v>Open Custody Protocol</v>
      </c>
    </row>
    <row r="10510" spans="1:3" x14ac:dyDescent="0.25">
      <c r="A10510" s="2" t="str">
        <f ca="1">IFERROR(__xludf.DUMMYFUNCTION("""COMPUTED_VALUE"""),"qrkita-token")</f>
        <v>qrkita-token</v>
      </c>
      <c r="B10510" s="2" t="str">
        <f ca="1">IFERROR(__xludf.DUMMYFUNCTION("""COMPUTED_VALUE"""),"qrt")</f>
        <v>qrt</v>
      </c>
      <c r="C10510" s="2" t="str">
        <f ca="1">IFERROR(__xludf.DUMMYFUNCTION("""COMPUTED_VALUE"""),"Qrkita")</f>
        <v>Qrkita</v>
      </c>
    </row>
    <row r="10511" spans="1:3" x14ac:dyDescent="0.25">
      <c r="A10511" s="2" t="str">
        <f ca="1">IFERROR(__xludf.DUMMYFUNCTION("""COMPUTED_VALUE"""),"qro")</f>
        <v>qro</v>
      </c>
      <c r="B10511" s="2" t="str">
        <f ca="1">IFERROR(__xludf.DUMMYFUNCTION("""COMPUTED_VALUE"""),"qro")</f>
        <v>qro</v>
      </c>
      <c r="C10511" s="2" t="str">
        <f ca="1">IFERROR(__xludf.DUMMYFUNCTION("""COMPUTED_VALUE"""),"Querio")</f>
        <v>Querio</v>
      </c>
    </row>
    <row r="10512" spans="1:3" x14ac:dyDescent="0.25">
      <c r="A10512" s="2" t="str">
        <f ca="1">IFERROR(__xludf.DUMMYFUNCTION("""COMPUTED_VALUE"""),"qrolli")</f>
        <v>qrolli</v>
      </c>
      <c r="B10512" s="2" t="str">
        <f ca="1">IFERROR(__xludf.DUMMYFUNCTION("""COMPUTED_VALUE"""),"osp")</f>
        <v>osp</v>
      </c>
      <c r="C10512" s="2" t="str">
        <f ca="1">IFERROR(__xludf.DUMMYFUNCTION("""COMPUTED_VALUE"""),"OpenSocial")</f>
        <v>OpenSocial</v>
      </c>
    </row>
    <row r="10513" spans="1:3" x14ac:dyDescent="0.25">
      <c r="A10513" s="2" t="str">
        <f ca="1">IFERROR(__xludf.DUMMYFUNCTION("""COMPUTED_VALUE"""),"qstar")</f>
        <v>qstar</v>
      </c>
      <c r="B10513" s="2" t="str">
        <f ca="1">IFERROR(__xludf.DUMMYFUNCTION("""COMPUTED_VALUE"""),"q*")</f>
        <v>q*</v>
      </c>
      <c r="C10513" s="2" t="str">
        <f ca="1">IFERROR(__xludf.DUMMYFUNCTION("""COMPUTED_VALUE"""),"QSTAR")</f>
        <v>QSTAR</v>
      </c>
    </row>
    <row r="10514" spans="1:3" x14ac:dyDescent="0.25">
      <c r="A10514" s="2" t="str">
        <f ca="1">IFERROR(__xludf.DUMMYFUNCTION("""COMPUTED_VALUE"""),"qtoken")</f>
        <v>qtoken</v>
      </c>
      <c r="B10514" s="2" t="str">
        <f ca="1">IFERROR(__xludf.DUMMYFUNCTION("""COMPUTED_VALUE"""),"qto")</f>
        <v>qto</v>
      </c>
      <c r="C10514" s="2" t="str">
        <f ca="1">IFERROR(__xludf.DUMMYFUNCTION("""COMPUTED_VALUE"""),"Qtoken")</f>
        <v>Qtoken</v>
      </c>
    </row>
    <row r="10515" spans="1:3" x14ac:dyDescent="0.25">
      <c r="A10515" s="2" t="str">
        <f ca="1">IFERROR(__xludf.DUMMYFUNCTION("""COMPUTED_VALUE"""),"qtum")</f>
        <v>qtum</v>
      </c>
      <c r="B10515" s="2" t="str">
        <f ca="1">IFERROR(__xludf.DUMMYFUNCTION("""COMPUTED_VALUE"""),"qtum")</f>
        <v>qtum</v>
      </c>
      <c r="C10515" s="2" t="str">
        <f ca="1">IFERROR(__xludf.DUMMYFUNCTION("""COMPUTED_VALUE"""),"Qtum")</f>
        <v>Qtum</v>
      </c>
    </row>
    <row r="10516" spans="1:3" x14ac:dyDescent="0.25">
      <c r="A10516" s="2" t="str">
        <f ca="1">IFERROR(__xludf.DUMMYFUNCTION("""COMPUTED_VALUE"""),"quack-capital")</f>
        <v>quack-capital</v>
      </c>
      <c r="B10516" s="2" t="str">
        <f ca="1">IFERROR(__xludf.DUMMYFUNCTION("""COMPUTED_VALUE"""),"quack")</f>
        <v>quack</v>
      </c>
      <c r="C10516" s="2" t="str">
        <f ca="1">IFERROR(__xludf.DUMMYFUNCTION("""COMPUTED_VALUE"""),"Quack Capital")</f>
        <v>Quack Capital</v>
      </c>
    </row>
    <row r="10517" spans="1:3" x14ac:dyDescent="0.25">
      <c r="A10517" s="2" t="str">
        <f ca="1">IFERROR(__xludf.DUMMYFUNCTION("""COMPUTED_VALUE"""),"quack-coin-base")</f>
        <v>quack-coin-base</v>
      </c>
      <c r="B10517" s="2" t="str">
        <f ca="1">IFERROR(__xludf.DUMMYFUNCTION("""COMPUTED_VALUE"""),"quack")</f>
        <v>quack</v>
      </c>
      <c r="C10517" s="2" t="str">
        <f ca="1">IFERROR(__xludf.DUMMYFUNCTION("""COMPUTED_VALUE"""),"Quack Coin Base")</f>
        <v>Quack Coin Base</v>
      </c>
    </row>
    <row r="10518" spans="1:3" x14ac:dyDescent="0.25">
      <c r="A10518" s="2" t="str">
        <f ca="1">IFERROR(__xludf.DUMMYFUNCTION("""COMPUTED_VALUE"""),"quacks")</f>
        <v>quacks</v>
      </c>
      <c r="B10518" s="2" t="str">
        <f ca="1">IFERROR(__xludf.DUMMYFUNCTION("""COMPUTED_VALUE"""),"quacks")</f>
        <v>quacks</v>
      </c>
      <c r="C10518" s="2" t="str">
        <f ca="1">IFERROR(__xludf.DUMMYFUNCTION("""COMPUTED_VALUE"""),"QUACKS")</f>
        <v>QUACKS</v>
      </c>
    </row>
    <row r="10519" spans="1:3" x14ac:dyDescent="0.25">
      <c r="A10519" s="2" t="str">
        <f ca="1">IFERROR(__xludf.DUMMYFUNCTION("""COMPUTED_VALUE"""),"quack-token")</f>
        <v>quack-token</v>
      </c>
      <c r="B10519" s="2" t="str">
        <f ca="1">IFERROR(__xludf.DUMMYFUNCTION("""COMPUTED_VALUE"""),"quack")</f>
        <v>quack</v>
      </c>
      <c r="C10519" s="2" t="str">
        <f ca="1">IFERROR(__xludf.DUMMYFUNCTION("""COMPUTED_VALUE"""),"Quack Token")</f>
        <v>Quack Token</v>
      </c>
    </row>
    <row r="10520" spans="1:3" x14ac:dyDescent="0.25">
      <c r="A10520" s="2" t="str">
        <f ca="1">IFERROR(__xludf.DUMMYFUNCTION("""COMPUTED_VALUE"""),"quadency")</f>
        <v>quadency</v>
      </c>
      <c r="B10520" s="2" t="str">
        <f ca="1">IFERROR(__xludf.DUMMYFUNCTION("""COMPUTED_VALUE"""),"quad")</f>
        <v>quad</v>
      </c>
      <c r="C10520" s="2" t="str">
        <f ca="1">IFERROR(__xludf.DUMMYFUNCTION("""COMPUTED_VALUE"""),"Quadency Token")</f>
        <v>Quadency Token</v>
      </c>
    </row>
    <row r="10521" spans="1:3" x14ac:dyDescent="0.25">
      <c r="A10521" s="2" t="str">
        <f ca="1">IFERROR(__xludf.DUMMYFUNCTION("""COMPUTED_VALUE"""),"quadrant-protocol")</f>
        <v>quadrant-protocol</v>
      </c>
      <c r="B10521" s="2" t="str">
        <f ca="1">IFERROR(__xludf.DUMMYFUNCTION("""COMPUTED_VALUE"""),"equad")</f>
        <v>equad</v>
      </c>
      <c r="C10521" s="2" t="str">
        <f ca="1">IFERROR(__xludf.DUMMYFUNCTION("""COMPUTED_VALUE"""),"Quadrant Protocol")</f>
        <v>Quadrant Protocol</v>
      </c>
    </row>
    <row r="10522" spans="1:3" x14ac:dyDescent="0.25">
      <c r="A10522" s="2" t="str">
        <f ca="1">IFERROR(__xludf.DUMMYFUNCTION("""COMPUTED_VALUE"""),"quai-network")</f>
        <v>quai-network</v>
      </c>
      <c r="B10522" s="2" t="str">
        <f ca="1">IFERROR(__xludf.DUMMYFUNCTION("""COMPUTED_VALUE"""),"quai")</f>
        <v>quai</v>
      </c>
      <c r="C10522" s="2" t="str">
        <f ca="1">IFERROR(__xludf.DUMMYFUNCTION("""COMPUTED_VALUE"""),"Quai Network")</f>
        <v>Quai Network</v>
      </c>
    </row>
    <row r="10523" spans="1:3" x14ac:dyDescent="0.25">
      <c r="A10523" s="2" t="str">
        <f ca="1">IFERROR(__xludf.DUMMYFUNCTION("""COMPUTED_VALUE"""),"quant-ai")</f>
        <v>quant-ai</v>
      </c>
      <c r="B10523" s="2" t="str">
        <f ca="1">IFERROR(__xludf.DUMMYFUNCTION("""COMPUTED_VALUE"""),"qai")</f>
        <v>qai</v>
      </c>
      <c r="C10523" s="2" t="str">
        <f ca="1">IFERROR(__xludf.DUMMYFUNCTION("""COMPUTED_VALUE"""),"Quant AI")</f>
        <v>Quant AI</v>
      </c>
    </row>
    <row r="10524" spans="1:3" x14ac:dyDescent="0.25">
      <c r="A10524" s="2" t="str">
        <f ca="1">IFERROR(__xludf.DUMMYFUNCTION("""COMPUTED_VALUE"""),"quantcheck")</f>
        <v>quantcheck</v>
      </c>
      <c r="B10524" s="2" t="str">
        <f ca="1">IFERROR(__xludf.DUMMYFUNCTION("""COMPUTED_VALUE"""),"qtk")</f>
        <v>qtk</v>
      </c>
      <c r="C10524" s="2" t="str">
        <f ca="1">IFERROR(__xludf.DUMMYFUNCTION("""COMPUTED_VALUE"""),"QuantCheck")</f>
        <v>QuantCheck</v>
      </c>
    </row>
    <row r="10525" spans="1:3" x14ac:dyDescent="0.25">
      <c r="A10525" s="2" t="str">
        <f ca="1">IFERROR(__xludf.DUMMYFUNCTION("""COMPUTED_VALUE"""),"quantfury")</f>
        <v>quantfury</v>
      </c>
      <c r="B10525" s="2" t="str">
        <f ca="1">IFERROR(__xludf.DUMMYFUNCTION("""COMPUTED_VALUE"""),"qtf")</f>
        <v>qtf</v>
      </c>
      <c r="C10525" s="2" t="str">
        <f ca="1">IFERROR(__xludf.DUMMYFUNCTION("""COMPUTED_VALUE"""),"Quantfury")</f>
        <v>Quantfury</v>
      </c>
    </row>
    <row r="10526" spans="1:3" x14ac:dyDescent="0.25">
      <c r="A10526" s="2" t="str">
        <f ca="1">IFERROR(__xludf.DUMMYFUNCTION("""COMPUTED_VALUE"""),"quantixai")</f>
        <v>quantixai</v>
      </c>
      <c r="B10526" s="2" t="str">
        <f ca="1">IFERROR(__xludf.DUMMYFUNCTION("""COMPUTED_VALUE"""),"qai")</f>
        <v>qai</v>
      </c>
      <c r="C10526" s="2" t="str">
        <f ca="1">IFERROR(__xludf.DUMMYFUNCTION("""COMPUTED_VALUE"""),"QuantixAI")</f>
        <v>QuantixAI</v>
      </c>
    </row>
    <row r="10527" spans="1:3" x14ac:dyDescent="0.25">
      <c r="A10527" s="2" t="str">
        <f ca="1">IFERROR(__xludf.DUMMYFUNCTION("""COMPUTED_VALUE"""),"quantland")</f>
        <v>quantland</v>
      </c>
      <c r="B10527" s="2" t="str">
        <f ca="1">IFERROR(__xludf.DUMMYFUNCTION("""COMPUTED_VALUE"""),"qlt")</f>
        <v>qlt</v>
      </c>
      <c r="C10527" s="2" t="str">
        <f ca="1">IFERROR(__xludf.DUMMYFUNCTION("""COMPUTED_VALUE"""),"Quantland")</f>
        <v>Quantland</v>
      </c>
    </row>
    <row r="10528" spans="1:3" x14ac:dyDescent="0.25">
      <c r="A10528" s="2" t="str">
        <f ca="1">IFERROR(__xludf.DUMMYFUNCTION("""COMPUTED_VALUE"""),"quantlytica")</f>
        <v>quantlytica</v>
      </c>
      <c r="B10528" s="2" t="str">
        <f ca="1">IFERROR(__xludf.DUMMYFUNCTION("""COMPUTED_VALUE"""),"qtlx")</f>
        <v>qtlx</v>
      </c>
      <c r="C10528" s="2" t="str">
        <f ca="1">IFERROR(__xludf.DUMMYFUNCTION("""COMPUTED_VALUE"""),"Quantlytica")</f>
        <v>Quantlytica</v>
      </c>
    </row>
    <row r="10529" spans="1:3" x14ac:dyDescent="0.25">
      <c r="A10529" s="2" t="str">
        <f ca="1">IFERROR(__xludf.DUMMYFUNCTION("""COMPUTED_VALUE"""),"quant-network")</f>
        <v>quant-network</v>
      </c>
      <c r="B10529" s="2" t="str">
        <f ca="1">IFERROR(__xludf.DUMMYFUNCTION("""COMPUTED_VALUE"""),"qnt")</f>
        <v>qnt</v>
      </c>
      <c r="C10529" s="2" t="str">
        <f ca="1">IFERROR(__xludf.DUMMYFUNCTION("""COMPUTED_VALUE"""),"Quant")</f>
        <v>Quant</v>
      </c>
    </row>
    <row r="10530" spans="1:3" x14ac:dyDescent="0.25">
      <c r="A10530" s="2" t="str">
        <f ca="1">IFERROR(__xludf.DUMMYFUNCTION("""COMPUTED_VALUE"""),"quantoswap")</f>
        <v>quantoswap</v>
      </c>
      <c r="B10530" s="2" t="str">
        <f ca="1">IFERROR(__xludf.DUMMYFUNCTION("""COMPUTED_VALUE"""),"qns")</f>
        <v>qns</v>
      </c>
      <c r="C10530" s="2" t="str">
        <f ca="1">IFERROR(__xludf.DUMMYFUNCTION("""COMPUTED_VALUE"""),"QuantoSwap")</f>
        <v>QuantoSwap</v>
      </c>
    </row>
    <row r="10531" spans="1:3" x14ac:dyDescent="0.25">
      <c r="A10531" s="2" t="str">
        <f ca="1">IFERROR(__xludf.DUMMYFUNCTION("""COMPUTED_VALUE"""),"quantoz-eurd")</f>
        <v>quantoz-eurd</v>
      </c>
      <c r="B10531" s="2" t="str">
        <f ca="1">IFERROR(__xludf.DUMMYFUNCTION("""COMPUTED_VALUE"""),"eurd")</f>
        <v>eurd</v>
      </c>
      <c r="C10531" s="2" t="str">
        <f ca="1">IFERROR(__xludf.DUMMYFUNCTION("""COMPUTED_VALUE"""),"Quantoz EURD")</f>
        <v>Quantoz EURD</v>
      </c>
    </row>
    <row r="10532" spans="1:3" x14ac:dyDescent="0.25">
      <c r="A10532" s="2" t="str">
        <f ca="1">IFERROR(__xludf.DUMMYFUNCTION("""COMPUTED_VALUE"""),"quantum-cloak")</f>
        <v>quantum-cloak</v>
      </c>
      <c r="B10532" s="2" t="str">
        <f ca="1">IFERROR(__xludf.DUMMYFUNCTION("""COMPUTED_VALUE"""),"qtc")</f>
        <v>qtc</v>
      </c>
      <c r="C10532" s="2" t="str">
        <f ca="1">IFERROR(__xludf.DUMMYFUNCTION("""COMPUTED_VALUE"""),"Quantum Cloak")</f>
        <v>Quantum Cloak</v>
      </c>
    </row>
    <row r="10533" spans="1:3" x14ac:dyDescent="0.25">
      <c r="A10533" s="2" t="str">
        <f ca="1">IFERROR(__xludf.DUMMYFUNCTION("""COMPUTED_VALUE"""),"quantum-dao")</f>
        <v>quantum-dao</v>
      </c>
      <c r="B10533" s="2" t="str">
        <f ca="1">IFERROR(__xludf.DUMMYFUNCTION("""COMPUTED_VALUE"""),"$qtdao")</f>
        <v>$qtdao</v>
      </c>
      <c r="C10533" s="2" t="str">
        <f ca="1">IFERROR(__xludf.DUMMYFUNCTION("""COMPUTED_VALUE"""),"Quantum DAO")</f>
        <v>Quantum DAO</v>
      </c>
    </row>
    <row r="10534" spans="1:3" x14ac:dyDescent="0.25">
      <c r="A10534" s="2" t="str">
        <f ca="1">IFERROR(__xludf.DUMMYFUNCTION("""COMPUTED_VALUE"""),"quantum-fusion")</f>
        <v>quantum-fusion</v>
      </c>
      <c r="B10534" s="2" t="str">
        <f ca="1">IFERROR(__xludf.DUMMYFUNCTION("""COMPUTED_VALUE"""),"qf")</f>
        <v>qf</v>
      </c>
      <c r="C10534" s="2" t="str">
        <f ca="1">IFERROR(__xludf.DUMMYFUNCTION("""COMPUTED_VALUE"""),"Quantum Fusion")</f>
        <v>Quantum Fusion</v>
      </c>
    </row>
    <row r="10535" spans="1:3" x14ac:dyDescent="0.25">
      <c r="A10535" s="2" t="str">
        <f ca="1">IFERROR(__xludf.DUMMYFUNCTION("""COMPUTED_VALUE"""),"quantum-hub")</f>
        <v>quantum-hub</v>
      </c>
      <c r="B10535" s="2" t="str">
        <f ca="1">IFERROR(__xludf.DUMMYFUNCTION("""COMPUTED_VALUE"""),"quantum")</f>
        <v>quantum</v>
      </c>
      <c r="C10535" s="2" t="str">
        <f ca="1">IFERROR(__xludf.DUMMYFUNCTION("""COMPUTED_VALUE"""),"QUANTUM HUB")</f>
        <v>QUANTUM HUB</v>
      </c>
    </row>
    <row r="10536" spans="1:3" x14ac:dyDescent="0.25">
      <c r="A10536" s="2" t="str">
        <f ca="1">IFERROR(__xludf.DUMMYFUNCTION("""COMPUTED_VALUE"""),"quantum-network")</f>
        <v>quantum-network</v>
      </c>
      <c r="B10536" s="2" t="str">
        <f ca="1">IFERROR(__xludf.DUMMYFUNCTION("""COMPUTED_VALUE"""),"qswap")</f>
        <v>qswap</v>
      </c>
      <c r="C10536" s="2" t="str">
        <f ca="1">IFERROR(__xludf.DUMMYFUNCTION("""COMPUTED_VALUE"""),"Quantum Network")</f>
        <v>Quantum Network</v>
      </c>
    </row>
    <row r="10537" spans="1:3" x14ac:dyDescent="0.25">
      <c r="A10537" s="2" t="str">
        <f ca="1">IFERROR(__xludf.DUMMYFUNCTION("""COMPUTED_VALUE"""),"quantum-pipeline")</f>
        <v>quantum-pipeline</v>
      </c>
      <c r="B10537" s="2" t="str">
        <f ca="1">IFERROR(__xludf.DUMMYFUNCTION("""COMPUTED_VALUE"""),"pipe")</f>
        <v>pipe</v>
      </c>
      <c r="C10537" s="2" t="str">
        <f ca="1">IFERROR(__xludf.DUMMYFUNCTION("""COMPUTED_VALUE"""),"Quantum Pipeline")</f>
        <v>Quantum Pipeline</v>
      </c>
    </row>
    <row r="10538" spans="1:3" x14ac:dyDescent="0.25">
      <c r="A10538" s="2" t="str">
        <f ca="1">IFERROR(__xludf.DUMMYFUNCTION("""COMPUTED_VALUE"""),"quantum-resistant-ledger")</f>
        <v>quantum-resistant-ledger</v>
      </c>
      <c r="B10538" s="2" t="str">
        <f ca="1">IFERROR(__xludf.DUMMYFUNCTION("""COMPUTED_VALUE"""),"qrl")</f>
        <v>qrl</v>
      </c>
      <c r="C10538" s="2" t="str">
        <f ca="1">IFERROR(__xludf.DUMMYFUNCTION("""COMPUTED_VALUE"""),"Quantum Resistant Ledger")</f>
        <v>Quantum Resistant Ledger</v>
      </c>
    </row>
    <row r="10539" spans="1:3" x14ac:dyDescent="0.25">
      <c r="A10539" s="2" t="str">
        <f ca="1">IFERROR(__xludf.DUMMYFUNCTION("""COMPUTED_VALUE"""),"quantum-tech")</f>
        <v>quantum-tech</v>
      </c>
      <c r="B10539" s="2" t="str">
        <f ca="1">IFERROR(__xludf.DUMMYFUNCTION("""COMPUTED_VALUE"""),"qua")</f>
        <v>qua</v>
      </c>
      <c r="C10539" s="2" t="str">
        <f ca="1">IFERROR(__xludf.DUMMYFUNCTION("""COMPUTED_VALUE"""),"Quantum Tech")</f>
        <v>Quantum Tech</v>
      </c>
    </row>
    <row r="10540" spans="1:3" x14ac:dyDescent="0.25">
      <c r="A10540" s="2" t="str">
        <f ca="1">IFERROR(__xludf.DUMMYFUNCTION("""COMPUTED_VALUE"""),"quark-2")</f>
        <v>quark-2</v>
      </c>
      <c r="B10540" s="2" t="str">
        <f ca="1">IFERROR(__xludf.DUMMYFUNCTION("""COMPUTED_VALUE"""),"quark")</f>
        <v>quark</v>
      </c>
      <c r="C10540" s="2" t="str">
        <f ca="1">IFERROR(__xludf.DUMMYFUNCTION("""COMPUTED_VALUE"""),"Quark (ARC-20)")</f>
        <v>Quark (ARC-20)</v>
      </c>
    </row>
    <row r="10541" spans="1:3" x14ac:dyDescent="0.25">
      <c r="A10541" s="2" t="str">
        <f ca="1">IFERROR(__xludf.DUMMYFUNCTION("""COMPUTED_VALUE"""),"quark-chain")</f>
        <v>quark-chain</v>
      </c>
      <c r="B10541" s="2" t="str">
        <f ca="1">IFERROR(__xludf.DUMMYFUNCTION("""COMPUTED_VALUE"""),"qkc")</f>
        <v>qkc</v>
      </c>
      <c r="C10541" s="2" t="str">
        <f ca="1">IFERROR(__xludf.DUMMYFUNCTION("""COMPUTED_VALUE"""),"QuarkChain")</f>
        <v>QuarkChain</v>
      </c>
    </row>
    <row r="10542" spans="1:3" x14ac:dyDescent="0.25">
      <c r="A10542" s="2" t="str">
        <f ca="1">IFERROR(__xludf.DUMMYFUNCTION("""COMPUTED_VALUE"""),"quark-protocol-staked-kuji")</f>
        <v>quark-protocol-staked-kuji</v>
      </c>
      <c r="B10542" s="2" t="str">
        <f ca="1">IFERROR(__xludf.DUMMYFUNCTION("""COMPUTED_VALUE"""),"qckuji")</f>
        <v>qckuji</v>
      </c>
      <c r="C10542" s="2" t="str">
        <f ca="1">IFERROR(__xludf.DUMMYFUNCTION("""COMPUTED_VALUE"""),"Quark Protocol Staked KUJI")</f>
        <v>Quark Protocol Staked KUJI</v>
      </c>
    </row>
    <row r="10543" spans="1:3" x14ac:dyDescent="0.25">
      <c r="A10543" s="2" t="str">
        <f ca="1">IFERROR(__xludf.DUMMYFUNCTION("""COMPUTED_VALUE"""),"quark-protocol-staked-mnta")</f>
        <v>quark-protocol-staked-mnta</v>
      </c>
      <c r="B10543" s="2" t="str">
        <f ca="1">IFERROR(__xludf.DUMMYFUNCTION("""COMPUTED_VALUE"""),"qcmnta")</f>
        <v>qcmnta</v>
      </c>
      <c r="C10543" s="2" t="str">
        <f ca="1">IFERROR(__xludf.DUMMYFUNCTION("""COMPUTED_VALUE"""),"Quark Protocol Staked MNTA")</f>
        <v>Quark Protocol Staked MNTA</v>
      </c>
    </row>
    <row r="10544" spans="1:3" x14ac:dyDescent="0.25">
      <c r="A10544" s="2" t="str">
        <f ca="1">IFERROR(__xludf.DUMMYFUNCTION("""COMPUTED_VALUE"""),"quartz")</f>
        <v>quartz</v>
      </c>
      <c r="B10544" s="2" t="str">
        <f ca="1">IFERROR(__xludf.DUMMYFUNCTION("""COMPUTED_VALUE"""),"qtz")</f>
        <v>qtz</v>
      </c>
      <c r="C10544" s="2" t="str">
        <f ca="1">IFERROR(__xludf.DUMMYFUNCTION("""COMPUTED_VALUE"""),"Quartz")</f>
        <v>Quartz</v>
      </c>
    </row>
    <row r="10545" spans="1:3" x14ac:dyDescent="0.25">
      <c r="A10545" s="2" t="str">
        <f ca="1">IFERROR(__xludf.DUMMYFUNCTION("""COMPUTED_VALUE"""),"quasacoin")</f>
        <v>quasacoin</v>
      </c>
      <c r="B10545" s="2" t="str">
        <f ca="1">IFERROR(__xludf.DUMMYFUNCTION("""COMPUTED_VALUE"""),"qua")</f>
        <v>qua</v>
      </c>
      <c r="C10545" s="2" t="str">
        <f ca="1">IFERROR(__xludf.DUMMYFUNCTION("""COMPUTED_VALUE"""),"Quasacoin")</f>
        <v>Quasacoin</v>
      </c>
    </row>
    <row r="10546" spans="1:3" x14ac:dyDescent="0.25">
      <c r="A10546" s="2" t="str">
        <f ca="1">IFERROR(__xludf.DUMMYFUNCTION("""COMPUTED_VALUE"""),"quasar-2")</f>
        <v>quasar-2</v>
      </c>
      <c r="B10546" s="2" t="str">
        <f ca="1">IFERROR(__xludf.DUMMYFUNCTION("""COMPUTED_VALUE"""),"qsr")</f>
        <v>qsr</v>
      </c>
      <c r="C10546" s="2" t="str">
        <f ca="1">IFERROR(__xludf.DUMMYFUNCTION("""COMPUTED_VALUE"""),"Quasar")</f>
        <v>Quasar</v>
      </c>
    </row>
    <row r="10547" spans="1:3" x14ac:dyDescent="0.25">
      <c r="A10547" s="2" t="str">
        <f ca="1">IFERROR(__xludf.DUMMYFUNCTION("""COMPUTED_VALUE"""),"qubic-finance")</f>
        <v>qubic-finance</v>
      </c>
      <c r="B10547" s="2" t="str">
        <f ca="1">IFERROR(__xludf.DUMMYFUNCTION("""COMPUTED_VALUE"""),"qubic")</f>
        <v>qubic</v>
      </c>
      <c r="C10547" s="2" t="str">
        <f ca="1">IFERROR(__xludf.DUMMYFUNCTION("""COMPUTED_VALUE"""),"Qubic Finance")</f>
        <v>Qubic Finance</v>
      </c>
    </row>
    <row r="10548" spans="1:3" x14ac:dyDescent="0.25">
      <c r="A10548" s="2" t="str">
        <f ca="1">IFERROR(__xludf.DUMMYFUNCTION("""COMPUTED_VALUE"""),"qubic-network")</f>
        <v>qubic-network</v>
      </c>
      <c r="B10548" s="2" t="str">
        <f ca="1">IFERROR(__xludf.DUMMYFUNCTION("""COMPUTED_VALUE"""),"qubic")</f>
        <v>qubic</v>
      </c>
      <c r="C10548" s="2" t="str">
        <f ca="1">IFERROR(__xludf.DUMMYFUNCTION("""COMPUTED_VALUE"""),"Qubic")</f>
        <v>Qubic</v>
      </c>
    </row>
    <row r="10549" spans="1:3" x14ac:dyDescent="0.25">
      <c r="A10549" s="2" t="str">
        <f ca="1">IFERROR(__xludf.DUMMYFUNCTION("""COMPUTED_VALUE"""),"qubit")</f>
        <v>qubit</v>
      </c>
      <c r="B10549" s="2" t="str">
        <f ca="1">IFERROR(__xludf.DUMMYFUNCTION("""COMPUTED_VALUE"""),"qbt")</f>
        <v>qbt</v>
      </c>
      <c r="C10549" s="2" t="str">
        <f ca="1">IFERROR(__xludf.DUMMYFUNCTION("""COMPUTED_VALUE"""),"Qubit")</f>
        <v>Qubit</v>
      </c>
    </row>
    <row r="10550" spans="1:3" x14ac:dyDescent="0.25">
      <c r="A10550" s="2" t="str">
        <f ca="1">IFERROR(__xludf.DUMMYFUNCTION("""COMPUTED_VALUE"""),"qubi-tokenized-rwa")</f>
        <v>qubi-tokenized-rwa</v>
      </c>
      <c r="B10550" s="2" t="str">
        <f ca="1">IFERROR(__xludf.DUMMYFUNCTION("""COMPUTED_VALUE"""),"$qbit")</f>
        <v>$qbit</v>
      </c>
      <c r="C10550" s="2" t="str">
        <f ca="1">IFERROR(__xludf.DUMMYFUNCTION("""COMPUTED_VALUE"""),"QUBI Tokenized RWA")</f>
        <v>QUBI Tokenized RWA</v>
      </c>
    </row>
    <row r="10551" spans="1:3" x14ac:dyDescent="0.25">
      <c r="A10551" s="2" t="str">
        <f ca="1">IFERROR(__xludf.DUMMYFUNCTION("""COMPUTED_VALUE"""),"quby")</f>
        <v>quby</v>
      </c>
      <c r="B10551" s="2" t="str">
        <f ca="1">IFERROR(__xludf.DUMMYFUNCTION("""COMPUTED_VALUE"""),"quby")</f>
        <v>quby</v>
      </c>
      <c r="C10551" s="2" t="str">
        <f ca="1">IFERROR(__xludf.DUMMYFUNCTION("""COMPUTED_VALUE"""),"Quby")</f>
        <v>Quby</v>
      </c>
    </row>
    <row r="10552" spans="1:3" x14ac:dyDescent="0.25">
      <c r="A10552" s="2" t="str">
        <f ca="1">IFERROR(__xludf.DUMMYFUNCTION("""COMPUTED_VALUE"""),"quby-ai")</f>
        <v>quby-ai</v>
      </c>
      <c r="B10552" s="2" t="str">
        <f ca="1">IFERROR(__xludf.DUMMYFUNCTION("""COMPUTED_VALUE"""),"qyai")</f>
        <v>qyai</v>
      </c>
      <c r="C10552" s="2" t="str">
        <f ca="1">IFERROR(__xludf.DUMMYFUNCTION("""COMPUTED_VALUE"""),"QUBY AI")</f>
        <v>QUBY AI</v>
      </c>
    </row>
    <row r="10553" spans="1:3" x14ac:dyDescent="0.25">
      <c r="A10553" s="2" t="str">
        <f ca="1">IFERROR(__xludf.DUMMYFUNCTION("""COMPUTED_VALUE"""),"qudefi")</f>
        <v>qudefi</v>
      </c>
      <c r="B10553" s="2" t="str">
        <f ca="1">IFERROR(__xludf.DUMMYFUNCTION("""COMPUTED_VALUE"""),"qdfi")</f>
        <v>qdfi</v>
      </c>
      <c r="C10553" s="2" t="str">
        <f ca="1">IFERROR(__xludf.DUMMYFUNCTION("""COMPUTED_VALUE"""),"Qudefi")</f>
        <v>Qudefi</v>
      </c>
    </row>
    <row r="10554" spans="1:3" x14ac:dyDescent="0.25">
      <c r="A10554" s="2" t="str">
        <f ca="1">IFERROR(__xludf.DUMMYFUNCTION("""COMPUTED_VALUE"""),"quick")</f>
        <v>quick</v>
      </c>
      <c r="B10554" s="2" t="str">
        <f ca="1">IFERROR(__xludf.DUMMYFUNCTION("""COMPUTED_VALUE"""),"quick")</f>
        <v>quick</v>
      </c>
      <c r="C10554" s="2" t="str">
        <f ca="1">IFERROR(__xludf.DUMMYFUNCTION("""COMPUTED_VALUE"""),"Quickswap [OLD]")</f>
        <v>Quickswap [OLD]</v>
      </c>
    </row>
    <row r="10555" spans="1:3" x14ac:dyDescent="0.25">
      <c r="A10555" s="2" t="str">
        <f ca="1">IFERROR(__xludf.DUMMYFUNCTION("""COMPUTED_VALUE"""),"quick-intel")</f>
        <v>quick-intel</v>
      </c>
      <c r="B10555" s="2" t="str">
        <f ca="1">IFERROR(__xludf.DUMMYFUNCTION("""COMPUTED_VALUE"""),"qkntl")</f>
        <v>qkntl</v>
      </c>
      <c r="C10555" s="2" t="str">
        <f ca="1">IFERROR(__xludf.DUMMYFUNCTION("""COMPUTED_VALUE"""),"Quick Intel")</f>
        <v>Quick Intel</v>
      </c>
    </row>
    <row r="10556" spans="1:3" x14ac:dyDescent="0.25">
      <c r="A10556" s="2" t="str">
        <f ca="1">IFERROR(__xludf.DUMMYFUNCTION("""COMPUTED_VALUE"""),"quicksilver")</f>
        <v>quicksilver</v>
      </c>
      <c r="B10556" s="2" t="str">
        <f ca="1">IFERROR(__xludf.DUMMYFUNCTION("""COMPUTED_VALUE"""),"qck")</f>
        <v>qck</v>
      </c>
      <c r="C10556" s="2" t="str">
        <f ca="1">IFERROR(__xludf.DUMMYFUNCTION("""COMPUTED_VALUE"""),"Quicksilver")</f>
        <v>Quicksilver</v>
      </c>
    </row>
    <row r="10557" spans="1:3" x14ac:dyDescent="0.25">
      <c r="A10557" s="2" t="str">
        <f ca="1">IFERROR(__xludf.DUMMYFUNCTION("""COMPUTED_VALUE"""),"quickswap")</f>
        <v>quickswap</v>
      </c>
      <c r="B10557" s="2" t="str">
        <f ca="1">IFERROR(__xludf.DUMMYFUNCTION("""COMPUTED_VALUE"""),"quick")</f>
        <v>quick</v>
      </c>
      <c r="C10557" s="2" t="str">
        <f ca="1">IFERROR(__xludf.DUMMYFUNCTION("""COMPUTED_VALUE"""),"Quickswap")</f>
        <v>Quickswap</v>
      </c>
    </row>
    <row r="10558" spans="1:3" x14ac:dyDescent="0.25">
      <c r="A10558" s="2" t="str">
        <f ca="1">IFERROR(__xludf.DUMMYFUNCTION("""COMPUTED_VALUE"""),"quick-transfer-coin-plus")</f>
        <v>quick-transfer-coin-plus</v>
      </c>
      <c r="B10558" s="2" t="str">
        <f ca="1">IFERROR(__xludf.DUMMYFUNCTION("""COMPUTED_VALUE"""),"qtcc")</f>
        <v>qtcc</v>
      </c>
      <c r="C10558" s="2" t="str">
        <f ca="1">IFERROR(__xludf.DUMMYFUNCTION("""COMPUTED_VALUE"""),"Quick Transfer Coin Plus")</f>
        <v>Quick Transfer Coin Plus</v>
      </c>
    </row>
    <row r="10559" spans="1:3" x14ac:dyDescent="0.25">
      <c r="A10559" s="2" t="str">
        <f ca="1">IFERROR(__xludf.DUMMYFUNCTION("""COMPUTED_VALUE"""),"quidax")</f>
        <v>quidax</v>
      </c>
      <c r="B10559" s="2" t="str">
        <f ca="1">IFERROR(__xludf.DUMMYFUNCTION("""COMPUTED_VALUE"""),"qdx")</f>
        <v>qdx</v>
      </c>
      <c r="C10559" s="2" t="str">
        <f ca="1">IFERROR(__xludf.DUMMYFUNCTION("""COMPUTED_VALUE"""),"Quidax")</f>
        <v>Quidax</v>
      </c>
    </row>
    <row r="10560" spans="1:3" x14ac:dyDescent="0.25">
      <c r="A10560" s="2" t="str">
        <f ca="1">IFERROR(__xludf.DUMMYFUNCTION("""COMPUTED_VALUE"""),"quidd")</f>
        <v>quidd</v>
      </c>
      <c r="B10560" s="2" t="str">
        <f ca="1">IFERROR(__xludf.DUMMYFUNCTION("""COMPUTED_VALUE"""),"quidd")</f>
        <v>quidd</v>
      </c>
      <c r="C10560" s="2" t="str">
        <f ca="1">IFERROR(__xludf.DUMMYFUNCTION("""COMPUTED_VALUE"""),"Quidd")</f>
        <v>Quidd</v>
      </c>
    </row>
    <row r="10561" spans="1:3" x14ac:dyDescent="0.25">
      <c r="A10561" s="2" t="str">
        <f ca="1">IFERROR(__xludf.DUMMYFUNCTION("""COMPUTED_VALUE"""),"quilson")</f>
        <v>quilson</v>
      </c>
      <c r="B10561" s="2" t="str">
        <f ca="1">IFERROR(__xludf.DUMMYFUNCTION("""COMPUTED_VALUE"""),"quil")</f>
        <v>quil</v>
      </c>
      <c r="C10561" s="2" t="str">
        <f ca="1">IFERROR(__xludf.DUMMYFUNCTION("""COMPUTED_VALUE"""),"Quilson")</f>
        <v>Quilson</v>
      </c>
    </row>
    <row r="10562" spans="1:3" x14ac:dyDescent="0.25">
      <c r="A10562" s="2" t="str">
        <f ca="1">IFERROR(__xludf.DUMMYFUNCTION("""COMPUTED_VALUE"""),"quincoin")</f>
        <v>quincoin</v>
      </c>
      <c r="B10562" s="2" t="str">
        <f ca="1">IFERROR(__xludf.DUMMYFUNCTION("""COMPUTED_VALUE"""),"qin")</f>
        <v>qin</v>
      </c>
      <c r="C10562" s="2" t="str">
        <f ca="1">IFERROR(__xludf.DUMMYFUNCTION("""COMPUTED_VALUE"""),"QUINCOIN")</f>
        <v>QUINCOIN</v>
      </c>
    </row>
    <row r="10563" spans="1:3" x14ac:dyDescent="0.25">
      <c r="A10563" s="2" t="str">
        <f ca="1">IFERROR(__xludf.DUMMYFUNCTION("""COMPUTED_VALUE"""),"quint")</f>
        <v>quint</v>
      </c>
      <c r="B10563" s="2" t="str">
        <f ca="1">IFERROR(__xludf.DUMMYFUNCTION("""COMPUTED_VALUE"""),"quint")</f>
        <v>quint</v>
      </c>
      <c r="C10563" s="2" t="str">
        <f ca="1">IFERROR(__xludf.DUMMYFUNCTION("""COMPUTED_VALUE"""),"Quint")</f>
        <v>Quint</v>
      </c>
    </row>
    <row r="10564" spans="1:3" x14ac:dyDescent="0.25">
      <c r="A10564" s="2" t="str">
        <f ca="1">IFERROR(__xludf.DUMMYFUNCTION("""COMPUTED_VALUE"""),"quipuswap-governance-token")</f>
        <v>quipuswap-governance-token</v>
      </c>
      <c r="B10564" s="2" t="str">
        <f ca="1">IFERROR(__xludf.DUMMYFUNCTION("""COMPUTED_VALUE"""),"quipu")</f>
        <v>quipu</v>
      </c>
      <c r="C10564" s="2" t="str">
        <f ca="1">IFERROR(__xludf.DUMMYFUNCTION("""COMPUTED_VALUE"""),"QuipuSwap Governance")</f>
        <v>QuipuSwap Governance</v>
      </c>
    </row>
    <row r="10565" spans="1:3" x14ac:dyDescent="0.25">
      <c r="A10565" s="2" t="str">
        <f ca="1">IFERROR(__xludf.DUMMYFUNCTION("""COMPUTED_VALUE"""),"quiverx")</f>
        <v>quiverx</v>
      </c>
      <c r="B10565" s="2" t="str">
        <f ca="1">IFERROR(__xludf.DUMMYFUNCTION("""COMPUTED_VALUE"""),"qrx")</f>
        <v>qrx</v>
      </c>
      <c r="C10565" s="2" t="str">
        <f ca="1">IFERROR(__xludf.DUMMYFUNCTION("""COMPUTED_VALUE"""),"QuiverX")</f>
        <v>QuiverX</v>
      </c>
    </row>
    <row r="10566" spans="1:3" x14ac:dyDescent="0.25">
      <c r="A10566" s="2" t="str">
        <f ca="1">IFERROR(__xludf.DUMMYFUNCTION("""COMPUTED_VALUE"""),"quiztok")</f>
        <v>quiztok</v>
      </c>
      <c r="B10566" s="2" t="str">
        <f ca="1">IFERROR(__xludf.DUMMYFUNCTION("""COMPUTED_VALUE"""),"qtcon")</f>
        <v>qtcon</v>
      </c>
      <c r="C10566" s="2" t="str">
        <f ca="1">IFERROR(__xludf.DUMMYFUNCTION("""COMPUTED_VALUE"""),"Quiztok")</f>
        <v>Quiztok</v>
      </c>
    </row>
    <row r="10567" spans="1:3" x14ac:dyDescent="0.25">
      <c r="A10567" s="2" t="str">
        <f ca="1">IFERROR(__xludf.DUMMYFUNCTION("""COMPUTED_VALUE"""),"quorium")</f>
        <v>quorium</v>
      </c>
      <c r="B10567" s="2" t="str">
        <f ca="1">IFERROR(__xludf.DUMMYFUNCTION("""COMPUTED_VALUE"""),"qgold")</f>
        <v>qgold</v>
      </c>
      <c r="C10567" s="2" t="str">
        <f ca="1">IFERROR(__xludf.DUMMYFUNCTION("""COMPUTED_VALUE"""),"Quorium")</f>
        <v>Quorium</v>
      </c>
    </row>
    <row r="10568" spans="1:3" x14ac:dyDescent="0.25">
      <c r="A10568" s="2" t="str">
        <f ca="1">IFERROR(__xludf.DUMMYFUNCTION("""COMPUTED_VALUE"""),"qusd-q-protocol")</f>
        <v>qusd-q-protocol</v>
      </c>
      <c r="B10568" s="2" t="str">
        <f ca="1">IFERROR(__xludf.DUMMYFUNCTION("""COMPUTED_VALUE"""),"qusd")</f>
        <v>qusd</v>
      </c>
      <c r="C10568" s="2" t="str">
        <f ca="1">IFERROR(__xludf.DUMMYFUNCTION("""COMPUTED_VALUE"""),"QUSD")</f>
        <v>QUSD</v>
      </c>
    </row>
    <row r="10569" spans="1:3" x14ac:dyDescent="0.25">
      <c r="A10569" s="2" t="str">
        <f ca="1">IFERROR(__xludf.DUMMYFUNCTION("""COMPUTED_VALUE"""),"r34p")</f>
        <v>r34p</v>
      </c>
      <c r="B10569" s="2" t="str">
        <f ca="1">IFERROR(__xludf.DUMMYFUNCTION("""COMPUTED_VALUE"""),"r34p")</f>
        <v>r34p</v>
      </c>
      <c r="C10569" s="2" t="str">
        <f ca="1">IFERROR(__xludf.DUMMYFUNCTION("""COMPUTED_VALUE"""),"R34P")</f>
        <v>R34P</v>
      </c>
    </row>
    <row r="10570" spans="1:3" x14ac:dyDescent="0.25">
      <c r="A10570" s="2" t="str">
        <f ca="1">IFERROR(__xludf.DUMMYFUNCTION("""COMPUTED_VALUE"""),"r4re")</f>
        <v>r4re</v>
      </c>
      <c r="B10570" s="2" t="str">
        <f ca="1">IFERROR(__xludf.DUMMYFUNCTION("""COMPUTED_VALUE"""),"r4re")</f>
        <v>r4re</v>
      </c>
      <c r="C10570" s="2" t="str">
        <f ca="1">IFERROR(__xludf.DUMMYFUNCTION("""COMPUTED_VALUE"""),"R4RE")</f>
        <v>R4RE</v>
      </c>
    </row>
    <row r="10571" spans="1:3" x14ac:dyDescent="0.25">
      <c r="A10571" s="2" t="str">
        <f ca="1">IFERROR(__xludf.DUMMYFUNCTION("""COMPUTED_VALUE"""),"rabbitcoin-2")</f>
        <v>rabbitcoin-2</v>
      </c>
      <c r="B10571" s="2" t="str">
        <f ca="1">IFERROR(__xludf.DUMMYFUNCTION("""COMPUTED_VALUE"""),"rbtc")</f>
        <v>rbtc</v>
      </c>
      <c r="C10571" s="2" t="str">
        <f ca="1">IFERROR(__xludf.DUMMYFUNCTION("""COMPUTED_VALUE"""),"RabBitcoin")</f>
        <v>RabBitcoin</v>
      </c>
    </row>
    <row r="10572" spans="1:3" x14ac:dyDescent="0.25">
      <c r="A10572" s="2" t="str">
        <f ca="1">IFERROR(__xludf.DUMMYFUNCTION("""COMPUTED_VALUE"""),"rabbitcoin-exchange")</f>
        <v>rabbitcoin-exchange</v>
      </c>
      <c r="B10572" s="2" t="str">
        <f ca="1">IFERROR(__xludf.DUMMYFUNCTION("""COMPUTED_VALUE"""),"rabbit")</f>
        <v>rabbit</v>
      </c>
      <c r="C10572" s="2" t="str">
        <f ca="1">IFERROR(__xludf.DUMMYFUNCTION("""COMPUTED_VALUE"""),"RabbitCoin Exchange")</f>
        <v>RabbitCoin Exchange</v>
      </c>
    </row>
    <row r="10573" spans="1:3" x14ac:dyDescent="0.25">
      <c r="A10573" s="2" t="str">
        <f ca="1">IFERROR(__xludf.DUMMYFUNCTION("""COMPUTED_VALUE"""),"rabbit-finance")</f>
        <v>rabbit-finance</v>
      </c>
      <c r="B10573" s="2" t="str">
        <f ca="1">IFERROR(__xludf.DUMMYFUNCTION("""COMPUTED_VALUE"""),"rabbit")</f>
        <v>rabbit</v>
      </c>
      <c r="C10573" s="2" t="str">
        <f ca="1">IFERROR(__xludf.DUMMYFUNCTION("""COMPUTED_VALUE"""),"Rabbit Finance")</f>
        <v>Rabbit Finance</v>
      </c>
    </row>
    <row r="10574" spans="1:3" x14ac:dyDescent="0.25">
      <c r="A10574" s="2" t="str">
        <f ca="1">IFERROR(__xludf.DUMMYFUNCTION("""COMPUTED_VALUE"""),"rabbit-games")</f>
        <v>rabbit-games</v>
      </c>
      <c r="B10574" s="2" t="str">
        <f ca="1">IFERROR(__xludf.DUMMYFUNCTION("""COMPUTED_VALUE"""),"rait")</f>
        <v>rait</v>
      </c>
      <c r="C10574" s="2" t="str">
        <f ca="1">IFERROR(__xludf.DUMMYFUNCTION("""COMPUTED_VALUE"""),"Rabbit Games")</f>
        <v>Rabbit Games</v>
      </c>
    </row>
    <row r="10575" spans="1:3" x14ac:dyDescent="0.25">
      <c r="A10575" s="2" t="str">
        <f ca="1">IFERROR(__xludf.DUMMYFUNCTION("""COMPUTED_VALUE"""),"rabbit-inu")</f>
        <v>rabbit-inu</v>
      </c>
      <c r="B10575" s="2" t="str">
        <f ca="1">IFERROR(__xludf.DUMMYFUNCTION("""COMPUTED_VALUE"""),"rbit")</f>
        <v>rbit</v>
      </c>
      <c r="C10575" s="2" t="str">
        <f ca="1">IFERROR(__xludf.DUMMYFUNCTION("""COMPUTED_VALUE"""),"Rabbit Inu")</f>
        <v>Rabbit Inu</v>
      </c>
    </row>
    <row r="10576" spans="1:3" x14ac:dyDescent="0.25">
      <c r="A10576" s="2" t="str">
        <f ca="1">IFERROR(__xludf.DUMMYFUNCTION("""COMPUTED_VALUE"""),"rabbitpad")</f>
        <v>rabbitpad</v>
      </c>
      <c r="B10576" s="2" t="str">
        <f ca="1">IFERROR(__xludf.DUMMYFUNCTION("""COMPUTED_VALUE"""),"rabbit")</f>
        <v>rabbit</v>
      </c>
      <c r="C10576" s="2" t="str">
        <f ca="1">IFERROR(__xludf.DUMMYFUNCTION("""COMPUTED_VALUE"""),"RabbitPad")</f>
        <v>RabbitPad</v>
      </c>
    </row>
    <row r="10577" spans="1:3" x14ac:dyDescent="0.25">
      <c r="A10577" s="2" t="str">
        <f ca="1">IFERROR(__xludf.DUMMYFUNCTION("""COMPUTED_VALUE"""),"rabbit-wallet")</f>
        <v>rabbit-wallet</v>
      </c>
      <c r="B10577" s="2" t="str">
        <f ca="1">IFERROR(__xludf.DUMMYFUNCTION("""COMPUTED_VALUE"""),"rab")</f>
        <v>rab</v>
      </c>
      <c r="C10577" s="2" t="str">
        <f ca="1">IFERROR(__xludf.DUMMYFUNCTION("""COMPUTED_VALUE"""),"Rabbit Wallet")</f>
        <v>Rabbit Wallet</v>
      </c>
    </row>
    <row r="10578" spans="1:3" x14ac:dyDescent="0.25">
      <c r="A10578" s="2" t="str">
        <f ca="1">IFERROR(__xludf.DUMMYFUNCTION("""COMPUTED_VALUE"""),"rabbitx")</f>
        <v>rabbitx</v>
      </c>
      <c r="B10578" s="2" t="str">
        <f ca="1">IFERROR(__xludf.DUMMYFUNCTION("""COMPUTED_VALUE"""),"rbx")</f>
        <v>rbx</v>
      </c>
      <c r="C10578" s="2" t="str">
        <f ca="1">IFERROR(__xludf.DUMMYFUNCTION("""COMPUTED_VALUE"""),"RabbitX")</f>
        <v>RabbitX</v>
      </c>
    </row>
    <row r="10579" spans="1:3" x14ac:dyDescent="0.25">
      <c r="A10579" s="2" t="str">
        <f ca="1">IFERROR(__xludf.DUMMYFUNCTION("""COMPUTED_VALUE"""),"rabi")</f>
        <v>rabi</v>
      </c>
      <c r="B10579" s="2" t="str">
        <f ca="1">IFERROR(__xludf.DUMMYFUNCTION("""COMPUTED_VALUE"""),"rabi")</f>
        <v>rabi</v>
      </c>
      <c r="C10579" s="2" t="str">
        <f ca="1">IFERROR(__xludf.DUMMYFUNCTION("""COMPUTED_VALUE"""),"Rabi")</f>
        <v>Rabi</v>
      </c>
    </row>
    <row r="10580" spans="1:3" x14ac:dyDescent="0.25">
      <c r="A10580" s="2" t="str">
        <f ca="1">IFERROR(__xludf.DUMMYFUNCTION("""COMPUTED_VALUE"""),"raccoon")</f>
        <v>raccoon</v>
      </c>
      <c r="B10580" s="2" t="str">
        <f ca="1">IFERROR(__xludf.DUMMYFUNCTION("""COMPUTED_VALUE"""),"roon")</f>
        <v>roon</v>
      </c>
      <c r="C10580" s="2" t="str">
        <f ca="1">IFERROR(__xludf.DUMMYFUNCTION("""COMPUTED_VALUE"""),"Raccoon")</f>
        <v>Raccoon</v>
      </c>
    </row>
    <row r="10581" spans="1:3" x14ac:dyDescent="0.25">
      <c r="A10581" s="2" t="str">
        <f ca="1">IFERROR(__xludf.DUMMYFUNCTION("""COMPUTED_VALUE"""),"racefi")</f>
        <v>racefi</v>
      </c>
      <c r="B10581" s="2" t="str">
        <f ca="1">IFERROR(__xludf.DUMMYFUNCTION("""COMPUTED_VALUE"""),"racefi")</f>
        <v>racefi</v>
      </c>
      <c r="C10581" s="2" t="str">
        <f ca="1">IFERROR(__xludf.DUMMYFUNCTION("""COMPUTED_VALUE"""),"RaceFi")</f>
        <v>RaceFi</v>
      </c>
    </row>
    <row r="10582" spans="1:3" x14ac:dyDescent="0.25">
      <c r="A10582" s="2" t="str">
        <f ca="1">IFERROR(__xludf.DUMMYFUNCTION("""COMPUTED_VALUE"""),"race-kingdom")</f>
        <v>race-kingdom</v>
      </c>
      <c r="B10582" s="2" t="str">
        <f ca="1">IFERROR(__xludf.DUMMYFUNCTION("""COMPUTED_VALUE"""),"atoz")</f>
        <v>atoz</v>
      </c>
      <c r="C10582" s="2" t="str">
        <f ca="1">IFERROR(__xludf.DUMMYFUNCTION("""COMPUTED_VALUE"""),"Race Kingdom")</f>
        <v>Race Kingdom</v>
      </c>
    </row>
    <row r="10583" spans="1:3" x14ac:dyDescent="0.25">
      <c r="A10583" s="2" t="str">
        <f ca="1">IFERROR(__xludf.DUMMYFUNCTION("""COMPUTED_VALUE"""),"racex")</f>
        <v>racex</v>
      </c>
      <c r="B10583" s="2" t="str">
        <f ca="1">IFERROR(__xludf.DUMMYFUNCTION("""COMPUTED_VALUE"""),"racex")</f>
        <v>racex</v>
      </c>
      <c r="C10583" s="2" t="str">
        <f ca="1">IFERROR(__xludf.DUMMYFUNCTION("""COMPUTED_VALUE"""),"RaceX")</f>
        <v>RaceX</v>
      </c>
    </row>
    <row r="10584" spans="1:3" x14ac:dyDescent="0.25">
      <c r="A10584" s="2" t="str">
        <f ca="1">IFERROR(__xludf.DUMMYFUNCTION("""COMPUTED_VALUE"""),"racing-club-fan-token")</f>
        <v>racing-club-fan-token</v>
      </c>
      <c r="B10584" s="2" t="str">
        <f ca="1">IFERROR(__xludf.DUMMYFUNCTION("""COMPUTED_VALUE"""),"racing")</f>
        <v>racing</v>
      </c>
      <c r="C10584" s="2" t="str">
        <f ca="1">IFERROR(__xludf.DUMMYFUNCTION("""COMPUTED_VALUE"""),"Racing Club Fan Token")</f>
        <v>Racing Club Fan Token</v>
      </c>
    </row>
    <row r="10585" spans="1:3" x14ac:dyDescent="0.25">
      <c r="A10585" s="2" t="str">
        <f ca="1">IFERROR(__xludf.DUMMYFUNCTION("""COMPUTED_VALUE"""),"racket")</f>
        <v>racket</v>
      </c>
      <c r="B10585" s="2" t="str">
        <f ca="1">IFERROR(__xludf.DUMMYFUNCTION("""COMPUTED_VALUE"""),"$rkt")</f>
        <v>$rkt</v>
      </c>
      <c r="C10585" s="2" t="str">
        <f ca="1">IFERROR(__xludf.DUMMYFUNCTION("""COMPUTED_VALUE"""),"Racket")</f>
        <v>Racket</v>
      </c>
    </row>
    <row r="10586" spans="1:3" x14ac:dyDescent="0.25">
      <c r="A10586" s="2" t="str">
        <f ca="1">IFERROR(__xludf.DUMMYFUNCTION("""COMPUTED_VALUE"""),"racoon")</f>
        <v>racoon</v>
      </c>
      <c r="B10586" s="2" t="str">
        <f ca="1">IFERROR(__xludf.DUMMYFUNCTION("""COMPUTED_VALUE"""),"rac")</f>
        <v>rac</v>
      </c>
      <c r="C10586" s="2" t="str">
        <f ca="1">IFERROR(__xludf.DUMMYFUNCTION("""COMPUTED_VALUE"""),"Racoon")</f>
        <v>Racoon</v>
      </c>
    </row>
    <row r="10587" spans="1:3" x14ac:dyDescent="0.25">
      <c r="A10587" s="2" t="str">
        <f ca="1">IFERROR(__xludf.DUMMYFUNCTION("""COMPUTED_VALUE"""),"rad")</f>
        <v>rad</v>
      </c>
      <c r="B10587" s="2" t="str">
        <f ca="1">IFERROR(__xludf.DUMMYFUNCTION("""COMPUTED_VALUE"""),"rad")</f>
        <v>rad</v>
      </c>
      <c r="C10587" s="2" t="str">
        <f ca="1">IFERROR(__xludf.DUMMYFUNCTION("""COMPUTED_VALUE"""),"RAD")</f>
        <v>RAD</v>
      </c>
    </row>
    <row r="10588" spans="1:3" x14ac:dyDescent="0.25">
      <c r="A10588" s="2" t="str">
        <f ca="1">IFERROR(__xludf.DUMMYFUNCTION("""COMPUTED_VALUE"""),"rada-foundation")</f>
        <v>rada-foundation</v>
      </c>
      <c r="B10588" s="2" t="str">
        <f ca="1">IFERROR(__xludf.DUMMYFUNCTION("""COMPUTED_VALUE"""),"rada")</f>
        <v>rada</v>
      </c>
      <c r="C10588" s="2" t="str">
        <f ca="1">IFERROR(__xludf.DUMMYFUNCTION("""COMPUTED_VALUE"""),"RADA Foundation")</f>
        <v>RADA Foundation</v>
      </c>
    </row>
    <row r="10589" spans="1:3" x14ac:dyDescent="0.25">
      <c r="A10589" s="2" t="str">
        <f ca="1">IFERROR(__xludf.DUMMYFUNCTION("""COMPUTED_VALUE"""),"radar")</f>
        <v>radar</v>
      </c>
      <c r="B10589" s="2" t="str">
        <f ca="1">IFERROR(__xludf.DUMMYFUNCTION("""COMPUTED_VALUE"""),"radar")</f>
        <v>radar</v>
      </c>
      <c r="C10589" s="2" t="str">
        <f ca="1">IFERROR(__xludf.DUMMYFUNCTION("""COMPUTED_VALUE"""),"Radar")</f>
        <v>Radar</v>
      </c>
    </row>
    <row r="10590" spans="1:3" x14ac:dyDescent="0.25">
      <c r="A10590" s="2" t="str">
        <f ca="1">IFERROR(__xludf.DUMMYFUNCTION("""COMPUTED_VALUE"""),"radiant")</f>
        <v>radiant</v>
      </c>
      <c r="B10590" s="2" t="str">
        <f ca="1">IFERROR(__xludf.DUMMYFUNCTION("""COMPUTED_VALUE"""),"rxd")</f>
        <v>rxd</v>
      </c>
      <c r="C10590" s="2" t="str">
        <f ca="1">IFERROR(__xludf.DUMMYFUNCTION("""COMPUTED_VALUE"""),"Radiant")</f>
        <v>Radiant</v>
      </c>
    </row>
    <row r="10591" spans="1:3" x14ac:dyDescent="0.25">
      <c r="A10591" s="2" t="str">
        <f ca="1">IFERROR(__xludf.DUMMYFUNCTION("""COMPUTED_VALUE"""),"radiant-capital")</f>
        <v>radiant-capital</v>
      </c>
      <c r="B10591" s="2" t="str">
        <f ca="1">IFERROR(__xludf.DUMMYFUNCTION("""COMPUTED_VALUE"""),"rdnt")</f>
        <v>rdnt</v>
      </c>
      <c r="C10591" s="2" t="str">
        <f ca="1">IFERROR(__xludf.DUMMYFUNCTION("""COMPUTED_VALUE"""),"Radiant Capital")</f>
        <v>Radiant Capital</v>
      </c>
    </row>
    <row r="10592" spans="1:3" x14ac:dyDescent="0.25">
      <c r="A10592" s="2" t="str">
        <f ca="1">IFERROR(__xludf.DUMMYFUNCTION("""COMPUTED_VALUE"""),"radicle")</f>
        <v>radicle</v>
      </c>
      <c r="B10592" s="2" t="str">
        <f ca="1">IFERROR(__xludf.DUMMYFUNCTION("""COMPUTED_VALUE"""),"rad")</f>
        <v>rad</v>
      </c>
      <c r="C10592" s="2" t="str">
        <f ca="1">IFERROR(__xludf.DUMMYFUNCTION("""COMPUTED_VALUE"""),"Radworks")</f>
        <v>Radworks</v>
      </c>
    </row>
    <row r="10593" spans="1:3" x14ac:dyDescent="0.25">
      <c r="A10593" s="2" t="str">
        <f ca="1">IFERROR(__xludf.DUMMYFUNCTION("""COMPUTED_VALUE"""),"radio-caca")</f>
        <v>radio-caca</v>
      </c>
      <c r="B10593" s="2" t="str">
        <f ca="1">IFERROR(__xludf.DUMMYFUNCTION("""COMPUTED_VALUE"""),"raca")</f>
        <v>raca</v>
      </c>
      <c r="C10593" s="2" t="str">
        <f ca="1">IFERROR(__xludf.DUMMYFUNCTION("""COMPUTED_VALUE"""),"Radio Caca")</f>
        <v>Radio Caca</v>
      </c>
    </row>
    <row r="10594" spans="1:3" x14ac:dyDescent="0.25">
      <c r="A10594" s="2" t="str">
        <f ca="1">IFERROR(__xludf.DUMMYFUNCTION("""COMPUTED_VALUE"""),"radioshack")</f>
        <v>radioshack</v>
      </c>
      <c r="B10594" s="2" t="str">
        <f ca="1">IFERROR(__xludf.DUMMYFUNCTION("""COMPUTED_VALUE"""),"radio")</f>
        <v>radio</v>
      </c>
      <c r="C10594" s="2" t="str">
        <f ca="1">IFERROR(__xludf.DUMMYFUNCTION("""COMPUTED_VALUE"""),"RadioShack")</f>
        <v>RadioShack</v>
      </c>
    </row>
    <row r="10595" spans="1:3" x14ac:dyDescent="0.25">
      <c r="A10595" s="2" t="str">
        <f ca="1">IFERROR(__xludf.DUMMYFUNCTION("""COMPUTED_VALUE"""),"radium")</f>
        <v>radium</v>
      </c>
      <c r="B10595" s="2" t="str">
        <f ca="1">IFERROR(__xludf.DUMMYFUNCTION("""COMPUTED_VALUE"""),"val")</f>
        <v>val</v>
      </c>
      <c r="C10595" s="2" t="str">
        <f ca="1">IFERROR(__xludf.DUMMYFUNCTION("""COMPUTED_VALUE"""),"Validity")</f>
        <v>Validity</v>
      </c>
    </row>
    <row r="10596" spans="1:3" x14ac:dyDescent="0.25">
      <c r="A10596" s="2" t="str">
        <f ca="1">IFERROR(__xludf.DUMMYFUNCTION("""COMPUTED_VALUE"""),"radix")</f>
        <v>radix</v>
      </c>
      <c r="B10596" s="2" t="str">
        <f ca="1">IFERROR(__xludf.DUMMYFUNCTION("""COMPUTED_VALUE"""),"xrd")</f>
        <v>xrd</v>
      </c>
      <c r="C10596" s="2" t="str">
        <f ca="1">IFERROR(__xludf.DUMMYFUNCTION("""COMPUTED_VALUE"""),"Radix")</f>
        <v>Radix</v>
      </c>
    </row>
    <row r="10597" spans="1:3" x14ac:dyDescent="0.25">
      <c r="A10597" s="2" t="str">
        <f ca="1">IFERROR(__xludf.DUMMYFUNCTION("""COMPUTED_VALUE"""),"radpie")</f>
        <v>radpie</v>
      </c>
      <c r="B10597" s="2" t="str">
        <f ca="1">IFERROR(__xludf.DUMMYFUNCTION("""COMPUTED_VALUE"""),"rdp")</f>
        <v>rdp</v>
      </c>
      <c r="C10597" s="2" t="str">
        <f ca="1">IFERROR(__xludf.DUMMYFUNCTION("""COMPUTED_VALUE"""),"Radpie")</f>
        <v>Radpie</v>
      </c>
    </row>
    <row r="10598" spans="1:3" x14ac:dyDescent="0.25">
      <c r="A10598" s="2" t="str">
        <f ca="1">IFERROR(__xludf.DUMMYFUNCTION("""COMPUTED_VALUE"""),"radx-ai")</f>
        <v>radx-ai</v>
      </c>
      <c r="B10598" s="2" t="str">
        <f ca="1">IFERROR(__xludf.DUMMYFUNCTION("""COMPUTED_VALUE"""),"$radx")</f>
        <v>$radx</v>
      </c>
      <c r="C10598" s="2" t="str">
        <f ca="1">IFERROR(__xludf.DUMMYFUNCTION("""COMPUTED_VALUE"""),"Radx Ai")</f>
        <v>Radx Ai</v>
      </c>
    </row>
    <row r="10599" spans="1:3" x14ac:dyDescent="0.25">
      <c r="A10599" s="2" t="str">
        <f ca="1">IFERROR(__xludf.DUMMYFUNCTION("""COMPUTED_VALUE"""),"rae-token")</f>
        <v>rae-token</v>
      </c>
      <c r="B10599" s="2" t="str">
        <f ca="1">IFERROR(__xludf.DUMMYFUNCTION("""COMPUTED_VALUE"""),"rae")</f>
        <v>rae</v>
      </c>
      <c r="C10599" s="2" t="str">
        <f ca="1">IFERROR(__xludf.DUMMYFUNCTION("""COMPUTED_VALUE"""),"Receive Access Ecosystem")</f>
        <v>Receive Access Ecosystem</v>
      </c>
    </row>
    <row r="10600" spans="1:3" x14ac:dyDescent="0.25">
      <c r="A10600" s="2" t="str">
        <f ca="1">IFERROR(__xludf.DUMMYFUNCTION("""COMPUTED_VALUE"""),"raff-the-giraffe")</f>
        <v>raff-the-giraffe</v>
      </c>
      <c r="B10600" s="2" t="str">
        <f ca="1">IFERROR(__xludf.DUMMYFUNCTION("""COMPUTED_VALUE"""),"raff")</f>
        <v>raff</v>
      </c>
      <c r="C10600" s="2" t="str">
        <f ca="1">IFERROR(__xludf.DUMMYFUNCTION("""COMPUTED_VALUE"""),"RAFF the Giraffe")</f>
        <v>RAFF the Giraffe</v>
      </c>
    </row>
    <row r="10601" spans="1:3" x14ac:dyDescent="0.25">
      <c r="A10601" s="2" t="str">
        <f ca="1">IFERROR(__xludf.DUMMYFUNCTION("""COMPUTED_VALUE"""),"rafl-on-base")</f>
        <v>rafl-on-base</v>
      </c>
      <c r="B10601" s="2" t="str">
        <f ca="1">IFERROR(__xludf.DUMMYFUNCTION("""COMPUTED_VALUE"""),"rafl")</f>
        <v>rafl</v>
      </c>
      <c r="C10601" s="2" t="str">
        <f ca="1">IFERROR(__xludf.DUMMYFUNCTION("""COMPUTED_VALUE"""),"RAFL")</f>
        <v>RAFL</v>
      </c>
    </row>
    <row r="10602" spans="1:3" x14ac:dyDescent="0.25">
      <c r="A10602" s="2" t="str">
        <f ca="1">IFERROR(__xludf.DUMMYFUNCTION("""COMPUTED_VALUE"""),"raft")</f>
        <v>raft</v>
      </c>
      <c r="B10602" s="2" t="str">
        <f ca="1">IFERROR(__xludf.DUMMYFUNCTION("""COMPUTED_VALUE"""),"raft")</f>
        <v>raft</v>
      </c>
      <c r="C10602" s="2" t="str">
        <f ca="1">IFERROR(__xludf.DUMMYFUNCTION("""COMPUTED_VALUE"""),"Raft")</f>
        <v>Raft</v>
      </c>
    </row>
    <row r="10603" spans="1:3" x14ac:dyDescent="0.25">
      <c r="A10603" s="2" t="str">
        <f ca="1">IFERROR(__xludf.DUMMYFUNCTION("""COMPUTED_VALUE"""),"rage")</f>
        <v>rage</v>
      </c>
      <c r="B10603" s="2" t="str">
        <f ca="1">IFERROR(__xludf.DUMMYFUNCTION("""COMPUTED_VALUE"""),"rage")</f>
        <v>rage</v>
      </c>
      <c r="C10603" s="2" t="str">
        <f ca="1">IFERROR(__xludf.DUMMYFUNCTION("""COMPUTED_VALUE"""),"RAGE")</f>
        <v>RAGE</v>
      </c>
    </row>
    <row r="10604" spans="1:3" x14ac:dyDescent="0.25">
      <c r="A10604" s="2" t="str">
        <f ca="1">IFERROR(__xludf.DUMMYFUNCTION("""COMPUTED_VALUE"""),"rage-fan")</f>
        <v>rage-fan</v>
      </c>
      <c r="B10604" s="2" t="str">
        <f ca="1">IFERROR(__xludf.DUMMYFUNCTION("""COMPUTED_VALUE"""),"rage")</f>
        <v>rage</v>
      </c>
      <c r="C10604" s="2" t="str">
        <f ca="1">IFERROR(__xludf.DUMMYFUNCTION("""COMPUTED_VALUE"""),"Rage.Fan")</f>
        <v>Rage.Fan</v>
      </c>
    </row>
    <row r="10605" spans="1:3" x14ac:dyDescent="0.25">
      <c r="A10605" s="2" t="str">
        <f ca="1">IFERROR(__xludf.DUMMYFUNCTION("""COMPUTED_VALUE"""),"ragingelonmarscoin")</f>
        <v>ragingelonmarscoin</v>
      </c>
      <c r="B10605" s="2" t="str">
        <f ca="1">IFERROR(__xludf.DUMMYFUNCTION("""COMPUTED_VALUE"""),"dogecoin")</f>
        <v>dogecoin</v>
      </c>
      <c r="C10605" s="2" t="str">
        <f ca="1">IFERROR(__xludf.DUMMYFUNCTION("""COMPUTED_VALUE"""),"RagingElonMarsCoin")</f>
        <v>RagingElonMarsCoin</v>
      </c>
    </row>
    <row r="10606" spans="1:3" x14ac:dyDescent="0.25">
      <c r="A10606" s="2" t="str">
        <f ca="1">IFERROR(__xludf.DUMMYFUNCTION("""COMPUTED_VALUE"""),"rai")</f>
        <v>rai</v>
      </c>
      <c r="B10606" s="2" t="str">
        <f ca="1">IFERROR(__xludf.DUMMYFUNCTION("""COMPUTED_VALUE"""),"rai")</f>
        <v>rai</v>
      </c>
      <c r="C10606" s="2" t="str">
        <f ca="1">IFERROR(__xludf.DUMMYFUNCTION("""COMPUTED_VALUE"""),"Rai Reflex Index")</f>
        <v>Rai Reflex Index</v>
      </c>
    </row>
    <row r="10607" spans="1:3" x14ac:dyDescent="0.25">
      <c r="A10607" s="2" t="str">
        <f ca="1">IFERROR(__xludf.DUMMYFUNCTION("""COMPUTED_VALUE"""),"raiden-network")</f>
        <v>raiden-network</v>
      </c>
      <c r="B10607" s="2" t="str">
        <f ca="1">IFERROR(__xludf.DUMMYFUNCTION("""COMPUTED_VALUE"""),"rdn")</f>
        <v>rdn</v>
      </c>
      <c r="C10607" s="2" t="str">
        <f ca="1">IFERROR(__xludf.DUMMYFUNCTION("""COMPUTED_VALUE"""),"Raiden Network")</f>
        <v>Raiden Network</v>
      </c>
    </row>
    <row r="10608" spans="1:3" x14ac:dyDescent="0.25">
      <c r="A10608" s="2" t="str">
        <f ca="1">IFERROR(__xludf.DUMMYFUNCTION("""COMPUTED_VALUE"""),"raider-aurum")</f>
        <v>raider-aurum</v>
      </c>
      <c r="B10608" s="2" t="str">
        <f ca="1">IFERROR(__xludf.DUMMYFUNCTION("""COMPUTED_VALUE"""),"aurum")</f>
        <v>aurum</v>
      </c>
      <c r="C10608" s="2" t="str">
        <f ca="1">IFERROR(__xludf.DUMMYFUNCTION("""COMPUTED_VALUE"""),"Raider Aurum")</f>
        <v>Raider Aurum</v>
      </c>
    </row>
    <row r="10609" spans="1:3" x14ac:dyDescent="0.25">
      <c r="A10609" s="2" t="str">
        <f ca="1">IFERROR(__xludf.DUMMYFUNCTION("""COMPUTED_VALUE"""),"raidsharksbot")</f>
        <v>raidsharksbot</v>
      </c>
      <c r="B10609" s="2" t="str">
        <f ca="1">IFERROR(__xludf.DUMMYFUNCTION("""COMPUTED_VALUE"""),"sharx")</f>
        <v>sharx</v>
      </c>
      <c r="C10609" s="2" t="str">
        <f ca="1">IFERROR(__xludf.DUMMYFUNCTION("""COMPUTED_VALUE"""),"RaidSharksBot")</f>
        <v>RaidSharksBot</v>
      </c>
    </row>
    <row r="10610" spans="1:3" x14ac:dyDescent="0.25">
      <c r="A10610" s="2" t="str">
        <f ca="1">IFERROR(__xludf.DUMMYFUNCTION("""COMPUTED_VALUE"""),"raidtech")</f>
        <v>raidtech</v>
      </c>
      <c r="B10610" s="2" t="str">
        <f ca="1">IFERROR(__xludf.DUMMYFUNCTION("""COMPUTED_VALUE"""),"raid")</f>
        <v>raid</v>
      </c>
      <c r="C10610" s="2" t="str">
        <f ca="1">IFERROR(__xludf.DUMMYFUNCTION("""COMPUTED_VALUE"""),"RaidTech")</f>
        <v>RaidTech</v>
      </c>
    </row>
    <row r="10611" spans="1:3" x14ac:dyDescent="0.25">
      <c r="A10611" s="2" t="str">
        <f ca="1">IFERROR(__xludf.DUMMYFUNCTION("""COMPUTED_VALUE"""),"raid-token")</f>
        <v>raid-token</v>
      </c>
      <c r="B10611" s="2" t="str">
        <f ca="1">IFERROR(__xludf.DUMMYFUNCTION("""COMPUTED_VALUE"""),"raid")</f>
        <v>raid</v>
      </c>
      <c r="C10611" s="2" t="str">
        <f ca="1">IFERROR(__xludf.DUMMYFUNCTION("""COMPUTED_VALUE"""),"Raid")</f>
        <v>Raid</v>
      </c>
    </row>
    <row r="10612" spans="1:3" x14ac:dyDescent="0.25">
      <c r="A10612" s="2" t="str">
        <f ca="1">IFERROR(__xludf.DUMMYFUNCTION("""COMPUTED_VALUE"""),"rai-finance")</f>
        <v>rai-finance</v>
      </c>
      <c r="B10612" s="2" t="str">
        <f ca="1">IFERROR(__xludf.DUMMYFUNCTION("""COMPUTED_VALUE"""),"sofi")</f>
        <v>sofi</v>
      </c>
      <c r="C10612" s="2" t="str">
        <f ca="1">IFERROR(__xludf.DUMMYFUNCTION("""COMPUTED_VALUE"""),"RAI Finance")</f>
        <v>RAI Finance</v>
      </c>
    </row>
    <row r="10613" spans="1:3" x14ac:dyDescent="0.25">
      <c r="A10613" s="2" t="str">
        <f ca="1">IFERROR(__xludf.DUMMYFUNCTION("""COMPUTED_VALUE"""),"railgun")</f>
        <v>railgun</v>
      </c>
      <c r="B10613" s="2" t="str">
        <f ca="1">IFERROR(__xludf.DUMMYFUNCTION("""COMPUTED_VALUE"""),"rail")</f>
        <v>rail</v>
      </c>
      <c r="C10613" s="2" t="str">
        <f ca="1">IFERROR(__xludf.DUMMYFUNCTION("""COMPUTED_VALUE"""),"Railgun")</f>
        <v>Railgun</v>
      </c>
    </row>
    <row r="10614" spans="1:3" x14ac:dyDescent="0.25">
      <c r="A10614" s="2" t="str">
        <f ca="1">IFERROR(__xludf.DUMMYFUNCTION("""COMPUTED_VALUE"""),"rainbow-2")</f>
        <v>rainbow-2</v>
      </c>
      <c r="B10614" s="2" t="str">
        <f ca="1">IFERROR(__xludf.DUMMYFUNCTION("""COMPUTED_VALUE"""),"rainbow")</f>
        <v>rainbow</v>
      </c>
      <c r="C10614" s="2" t="str">
        <f ca="1">IFERROR(__xludf.DUMMYFUNCTION("""COMPUTED_VALUE"""),"Rainbow")</f>
        <v>Rainbow</v>
      </c>
    </row>
    <row r="10615" spans="1:3" x14ac:dyDescent="0.25">
      <c r="A10615" s="2" t="str">
        <f ca="1">IFERROR(__xludf.DUMMYFUNCTION("""COMPUTED_VALUE"""),"rainbow-bridged-dai-aurora")</f>
        <v>rainbow-bridged-dai-aurora</v>
      </c>
      <c r="B10615" s="2" t="str">
        <f ca="1">IFERROR(__xludf.DUMMYFUNCTION("""COMPUTED_VALUE"""),"dai")</f>
        <v>dai</v>
      </c>
      <c r="C10615" s="2" t="str">
        <f ca="1">IFERROR(__xludf.DUMMYFUNCTION("""COMPUTED_VALUE"""),"Rainbow Bridged DAI (Aurora)")</f>
        <v>Rainbow Bridged DAI (Aurora)</v>
      </c>
    </row>
    <row r="10616" spans="1:3" x14ac:dyDescent="0.25">
      <c r="A10616" s="2" t="str">
        <f ca="1">IFERROR(__xludf.DUMMYFUNCTION("""COMPUTED_VALUE"""),"rainbow-bridged-dai-near-protocol")</f>
        <v>rainbow-bridged-dai-near-protocol</v>
      </c>
      <c r="B10616" s="2" t="str">
        <f ca="1">IFERROR(__xludf.DUMMYFUNCTION("""COMPUTED_VALUE"""),"dai")</f>
        <v>dai</v>
      </c>
      <c r="C10616" s="2" t="str">
        <f ca="1">IFERROR(__xludf.DUMMYFUNCTION("""COMPUTED_VALUE"""),"Rainbow Bridged DAI (Near Protocol)")</f>
        <v>Rainbow Bridged DAI (Near Protocol)</v>
      </c>
    </row>
    <row r="10617" spans="1:3" x14ac:dyDescent="0.25">
      <c r="A10617" s="2" t="str">
        <f ca="1">IFERROR(__xludf.DUMMYFUNCTION("""COMPUTED_VALUE"""),"rainbow-bridged-usdc-aurora")</f>
        <v>rainbow-bridged-usdc-aurora</v>
      </c>
      <c r="B10617" s="2" t="str">
        <f ca="1">IFERROR(__xludf.DUMMYFUNCTION("""COMPUTED_VALUE"""),"usdc")</f>
        <v>usdc</v>
      </c>
      <c r="C10617" s="2" t="str">
        <f ca="1">IFERROR(__xludf.DUMMYFUNCTION("""COMPUTED_VALUE"""),"Rainbow Bridged USDC (Aurora)")</f>
        <v>Rainbow Bridged USDC (Aurora)</v>
      </c>
    </row>
    <row r="10618" spans="1:3" x14ac:dyDescent="0.25">
      <c r="A10618" s="2" t="str">
        <f ca="1">IFERROR(__xludf.DUMMYFUNCTION("""COMPUTED_VALUE"""),"rainbow-bridged-usdt-aurora")</f>
        <v>rainbow-bridged-usdt-aurora</v>
      </c>
      <c r="B10618" s="2" t="str">
        <f ca="1">IFERROR(__xludf.DUMMYFUNCTION("""COMPUTED_VALUE"""),"usdt.e")</f>
        <v>usdt.e</v>
      </c>
      <c r="C10618" s="2" t="str">
        <f ca="1">IFERROR(__xludf.DUMMYFUNCTION("""COMPUTED_VALUE"""),"Rainbow Bridged USDT (Aurora)")</f>
        <v>Rainbow Bridged USDT (Aurora)</v>
      </c>
    </row>
    <row r="10619" spans="1:3" x14ac:dyDescent="0.25">
      <c r="A10619" s="2" t="str">
        <f ca="1">IFERROR(__xludf.DUMMYFUNCTION("""COMPUTED_VALUE"""),"rainbow-bridged-wbtc-aurora")</f>
        <v>rainbow-bridged-wbtc-aurora</v>
      </c>
      <c r="B10619" s="2" t="str">
        <f ca="1">IFERROR(__xludf.DUMMYFUNCTION("""COMPUTED_VALUE"""),"wbtc")</f>
        <v>wbtc</v>
      </c>
      <c r="C10619" s="2" t="str">
        <f ca="1">IFERROR(__xludf.DUMMYFUNCTION("""COMPUTED_VALUE"""),"Rainbow Bridged WBTC (Aurora)")</f>
        <v>Rainbow Bridged WBTC (Aurora)</v>
      </c>
    </row>
    <row r="10620" spans="1:3" x14ac:dyDescent="0.25">
      <c r="A10620" s="2" t="str">
        <f ca="1">IFERROR(__xludf.DUMMYFUNCTION("""COMPUTED_VALUE"""),"rainbow-bridged-wbtc-near-protocol")</f>
        <v>rainbow-bridged-wbtc-near-protocol</v>
      </c>
      <c r="B10620" s="2" t="str">
        <f ca="1">IFERROR(__xludf.DUMMYFUNCTION("""COMPUTED_VALUE"""),"wbtc")</f>
        <v>wbtc</v>
      </c>
      <c r="C10620" s="2" t="str">
        <f ca="1">IFERROR(__xludf.DUMMYFUNCTION("""COMPUTED_VALUE"""),"Rainbow Bridged WBTC (Near Protocol)")</f>
        <v>Rainbow Bridged WBTC (Near Protocol)</v>
      </c>
    </row>
    <row r="10621" spans="1:3" x14ac:dyDescent="0.25">
      <c r="A10621" s="2" t="str">
        <f ca="1">IFERROR(__xludf.DUMMYFUNCTION("""COMPUTED_VALUE"""),"rainbow-bridged-weth-near-protocol")</f>
        <v>rainbow-bridged-weth-near-protocol</v>
      </c>
      <c r="B10621" s="2" t="str">
        <f ca="1">IFERROR(__xludf.DUMMYFUNCTION("""COMPUTED_VALUE"""),"weth")</f>
        <v>weth</v>
      </c>
      <c r="C10621" s="2" t="str">
        <f ca="1">IFERROR(__xludf.DUMMYFUNCTION("""COMPUTED_VALUE"""),"Rainbow Bridged WETH (Near Protocol)")</f>
        <v>Rainbow Bridged WETH (Near Protocol)</v>
      </c>
    </row>
    <row r="10622" spans="1:3" x14ac:dyDescent="0.25">
      <c r="A10622" s="2" t="str">
        <f ca="1">IFERROR(__xludf.DUMMYFUNCTION("""COMPUTED_VALUE"""),"rainbowtoken")</f>
        <v>rainbowtoken</v>
      </c>
      <c r="B10622" s="2" t="str">
        <f ca="1">IFERROR(__xludf.DUMMYFUNCTION("""COMPUTED_VALUE"""),"rainbowtoken")</f>
        <v>rainbowtoken</v>
      </c>
      <c r="C10622" s="2" t="str">
        <f ca="1">IFERROR(__xludf.DUMMYFUNCTION("""COMPUTED_VALUE"""),"RainbowToken")</f>
        <v>RainbowToken</v>
      </c>
    </row>
    <row r="10623" spans="1:3" x14ac:dyDescent="0.25">
      <c r="A10623" s="2" t="str">
        <f ca="1">IFERROR(__xludf.DUMMYFUNCTION("""COMPUTED_VALUE"""),"rainbow-token")</f>
        <v>rainbow-token</v>
      </c>
      <c r="B10623" s="2" t="str">
        <f ca="1">IFERROR(__xludf.DUMMYFUNCTION("""COMPUTED_VALUE"""),"rnbw")</f>
        <v>rnbw</v>
      </c>
      <c r="C10623" s="2" t="str">
        <f ca="1">IFERROR(__xludf.DUMMYFUNCTION("""COMPUTED_VALUE"""),"HaloDAO")</f>
        <v>HaloDAO</v>
      </c>
    </row>
    <row r="10624" spans="1:3" x14ac:dyDescent="0.25">
      <c r="A10624" s="2" t="str">
        <f ca="1">IFERROR(__xludf.DUMMYFUNCTION("""COMPUTED_VALUE"""),"rainbow-token-2")</f>
        <v>rainbow-token-2</v>
      </c>
      <c r="B10624" s="2" t="str">
        <f ca="1">IFERROR(__xludf.DUMMYFUNCTION("""COMPUTED_VALUE"""),"rbw")</f>
        <v>rbw</v>
      </c>
      <c r="C10624" s="2" t="str">
        <f ca="1">IFERROR(__xludf.DUMMYFUNCTION("""COMPUTED_VALUE"""),"Rainbow Token")</f>
        <v>Rainbow Token</v>
      </c>
    </row>
    <row r="10625" spans="1:3" x14ac:dyDescent="0.25">
      <c r="A10625" s="2" t="str">
        <f ca="1">IFERROR(__xludf.DUMMYFUNCTION("""COMPUTED_VALUE"""),"rain-coin")</f>
        <v>rain-coin</v>
      </c>
      <c r="B10625" s="2" t="str">
        <f ca="1">IFERROR(__xludf.DUMMYFUNCTION("""COMPUTED_VALUE"""),"rain")</f>
        <v>rain</v>
      </c>
      <c r="C10625" s="2" t="str">
        <f ca="1">IFERROR(__xludf.DUMMYFUNCTION("""COMPUTED_VALUE"""),"Rain Coin")</f>
        <v>Rain Coin</v>
      </c>
    </row>
    <row r="10626" spans="1:3" x14ac:dyDescent="0.25">
      <c r="A10626" s="2" t="str">
        <f ca="1">IFERROR(__xludf.DUMMYFUNCTION("""COMPUTED_VALUE"""),"rainicorn")</f>
        <v>rainicorn</v>
      </c>
      <c r="B10626" s="2" t="str">
        <f ca="1">IFERROR(__xludf.DUMMYFUNCTION("""COMPUTED_VALUE"""),"$raini")</f>
        <v>$raini</v>
      </c>
      <c r="C10626" s="2" t="str">
        <f ca="1">IFERROR(__xludf.DUMMYFUNCTION("""COMPUTED_VALUE"""),"Raini")</f>
        <v>Raini</v>
      </c>
    </row>
    <row r="10627" spans="1:3" x14ac:dyDescent="0.25">
      <c r="A10627" s="2" t="str">
        <f ca="1">IFERROR(__xludf.DUMMYFUNCTION("""COMPUTED_VALUE"""),"raini-studios-token")</f>
        <v>raini-studios-token</v>
      </c>
      <c r="B10627" s="2" t="str">
        <f ca="1">IFERROR(__xludf.DUMMYFUNCTION("""COMPUTED_VALUE"""),"rst")</f>
        <v>rst</v>
      </c>
      <c r="C10627" s="2" t="str">
        <f ca="1">IFERROR(__xludf.DUMMYFUNCTION("""COMPUTED_VALUE"""),"Raini Studios Token")</f>
        <v>Raini Studios Token</v>
      </c>
    </row>
    <row r="10628" spans="1:3" x14ac:dyDescent="0.25">
      <c r="A10628" s="2" t="str">
        <f ca="1">IFERROR(__xludf.DUMMYFUNCTION("""COMPUTED_VALUE"""),"rainmaker-games")</f>
        <v>rainmaker-games</v>
      </c>
      <c r="B10628" s="2" t="str">
        <f ca="1">IFERROR(__xludf.DUMMYFUNCTION("""COMPUTED_VALUE"""),"rain")</f>
        <v>rain</v>
      </c>
      <c r="C10628" s="2" t="str">
        <f ca="1">IFERROR(__xludf.DUMMYFUNCTION("""COMPUTED_VALUE"""),"Rainmaker Games")</f>
        <v>Rainmaker Games</v>
      </c>
    </row>
    <row r="10629" spans="1:3" x14ac:dyDescent="0.25">
      <c r="A10629" s="2" t="str">
        <f ca="1">IFERROR(__xludf.DUMMYFUNCTION("""COMPUTED_VALUE"""),"rai-yvault")</f>
        <v>rai-yvault</v>
      </c>
      <c r="B10629" s="2" t="str">
        <f ca="1">IFERROR(__xludf.DUMMYFUNCTION("""COMPUTED_VALUE"""),"yvrai")</f>
        <v>yvrai</v>
      </c>
      <c r="C10629" s="2" t="str">
        <f ca="1">IFERROR(__xludf.DUMMYFUNCTION("""COMPUTED_VALUE"""),"RAI yVault")</f>
        <v>RAI yVault</v>
      </c>
    </row>
    <row r="10630" spans="1:3" x14ac:dyDescent="0.25">
      <c r="A10630" s="2" t="str">
        <f ca="1">IFERROR(__xludf.DUMMYFUNCTION("""COMPUTED_VALUE"""),"rake-com")</f>
        <v>rake-com</v>
      </c>
      <c r="B10630" s="2" t="str">
        <f ca="1">IFERROR(__xludf.DUMMYFUNCTION("""COMPUTED_VALUE"""),"rake")</f>
        <v>rake</v>
      </c>
      <c r="C10630" s="3" t="str">
        <f ca="1">IFERROR(__xludf.DUMMYFUNCTION("""COMPUTED_VALUE"""),"Rake.com")</f>
        <v>Rake.com</v>
      </c>
    </row>
    <row r="10631" spans="1:3" x14ac:dyDescent="0.25">
      <c r="A10631" s="2" t="str">
        <f ca="1">IFERROR(__xludf.DUMMYFUNCTION("""COMPUTED_VALUE"""),"rake-finance")</f>
        <v>rake-finance</v>
      </c>
      <c r="B10631" s="2" t="str">
        <f ca="1">IFERROR(__xludf.DUMMYFUNCTION("""COMPUTED_VALUE"""),"rak")</f>
        <v>rak</v>
      </c>
      <c r="C10631" s="2" t="str">
        <f ca="1">IFERROR(__xludf.DUMMYFUNCTION("""COMPUTED_VALUE"""),"Rake Finance")</f>
        <v>Rake Finance</v>
      </c>
    </row>
    <row r="10632" spans="1:3" x14ac:dyDescent="0.25">
      <c r="A10632" s="2" t="str">
        <f ca="1">IFERROR(__xludf.DUMMYFUNCTION("""COMPUTED_VALUE"""),"rake-in")</f>
        <v>rake-in</v>
      </c>
      <c r="B10632" s="2" t="str">
        <f ca="1">IFERROR(__xludf.DUMMYFUNCTION("""COMPUTED_VALUE"""),"rake")</f>
        <v>rake</v>
      </c>
      <c r="C10632" s="3" t="str">
        <f ca="1">IFERROR(__xludf.DUMMYFUNCTION("""COMPUTED_VALUE"""),"Rake.in")</f>
        <v>Rake.in</v>
      </c>
    </row>
    <row r="10633" spans="1:3" x14ac:dyDescent="0.25">
      <c r="A10633" s="2" t="str">
        <f ca="1">IFERROR(__xludf.DUMMYFUNCTION("""COMPUTED_VALUE"""),"rakuichi-token")</f>
        <v>rakuichi-token</v>
      </c>
      <c r="B10633" s="2" t="str">
        <f ca="1">IFERROR(__xludf.DUMMYFUNCTION("""COMPUTED_VALUE"""),"rkc")</f>
        <v>rkc</v>
      </c>
      <c r="C10633" s="2" t="str">
        <f ca="1">IFERROR(__xludf.DUMMYFUNCTION("""COMPUTED_VALUE"""),"RAKUICHI Token")</f>
        <v>RAKUICHI Token</v>
      </c>
    </row>
    <row r="10634" spans="1:3" x14ac:dyDescent="0.25">
      <c r="A10634" s="2" t="str">
        <f ca="1">IFERROR(__xludf.DUMMYFUNCTION("""COMPUTED_VALUE"""),"rally-2")</f>
        <v>rally-2</v>
      </c>
      <c r="B10634" s="2" t="str">
        <f ca="1">IFERROR(__xludf.DUMMYFUNCTION("""COMPUTED_VALUE"""),"rly")</f>
        <v>rly</v>
      </c>
      <c r="C10634" s="2" t="str">
        <f ca="1">IFERROR(__xludf.DUMMYFUNCTION("""COMPUTED_VALUE"""),"Rally")</f>
        <v>Rally</v>
      </c>
    </row>
    <row r="10635" spans="1:3" x14ac:dyDescent="0.25">
      <c r="A10635" s="2" t="str">
        <f ca="1">IFERROR(__xludf.DUMMYFUNCTION("""COMPUTED_VALUE"""),"ramestta")</f>
        <v>ramestta</v>
      </c>
      <c r="B10635" s="2" t="str">
        <f ca="1">IFERROR(__xludf.DUMMYFUNCTION("""COMPUTED_VALUE"""),"rama")</f>
        <v>rama</v>
      </c>
      <c r="C10635" s="2" t="str">
        <f ca="1">IFERROR(__xludf.DUMMYFUNCTION("""COMPUTED_VALUE"""),"Ramestta")</f>
        <v>Ramestta</v>
      </c>
    </row>
    <row r="10636" spans="1:3" x14ac:dyDescent="0.25">
      <c r="A10636" s="2" t="str">
        <f ca="1">IFERROR(__xludf.DUMMYFUNCTION("""COMPUTED_VALUE"""),"ramifi")</f>
        <v>ramifi</v>
      </c>
      <c r="B10636" s="2" t="str">
        <f ca="1">IFERROR(__xludf.DUMMYFUNCTION("""COMPUTED_VALUE"""),"ram")</f>
        <v>ram</v>
      </c>
      <c r="C10636" s="2" t="str">
        <f ca="1">IFERROR(__xludf.DUMMYFUNCTION("""COMPUTED_VALUE"""),"Ramifi Protocol")</f>
        <v>Ramifi Protocol</v>
      </c>
    </row>
    <row r="10637" spans="1:3" x14ac:dyDescent="0.25">
      <c r="A10637" s="2" t="str">
        <f ca="1">IFERROR(__xludf.DUMMYFUNCTION("""COMPUTED_VALUE"""),"ramp")</f>
        <v>ramp</v>
      </c>
      <c r="B10637" s="2" t="str">
        <f ca="1">IFERROR(__xludf.DUMMYFUNCTION("""COMPUTED_VALUE"""),"ramp")</f>
        <v>ramp</v>
      </c>
      <c r="C10637" s="2" t="str">
        <f ca="1">IFERROR(__xludf.DUMMYFUNCTION("""COMPUTED_VALUE"""),"RAMP [OLD]")</f>
        <v>RAMP [OLD]</v>
      </c>
    </row>
    <row r="10638" spans="1:3" x14ac:dyDescent="0.25">
      <c r="A10638" s="2" t="str">
        <f ca="1">IFERROR(__xludf.DUMMYFUNCTION("""COMPUTED_VALUE"""),"ramses-exchange")</f>
        <v>ramses-exchange</v>
      </c>
      <c r="B10638" s="2" t="str">
        <f ca="1">IFERROR(__xludf.DUMMYFUNCTION("""COMPUTED_VALUE"""),"ram")</f>
        <v>ram</v>
      </c>
      <c r="C10638" s="2" t="str">
        <f ca="1">IFERROR(__xludf.DUMMYFUNCTION("""COMPUTED_VALUE"""),"Ramses Exchange")</f>
        <v>Ramses Exchange</v>
      </c>
    </row>
    <row r="10639" spans="1:3" x14ac:dyDescent="0.25">
      <c r="A10639" s="2" t="str">
        <f ca="1">IFERROR(__xludf.DUMMYFUNCTION("""COMPUTED_VALUE"""),"rand")</f>
        <v>rand</v>
      </c>
      <c r="B10639" s="2" t="str">
        <f ca="1">IFERROR(__xludf.DUMMYFUNCTION("""COMPUTED_VALUE"""),"rnd")</f>
        <v>rnd</v>
      </c>
      <c r="C10639" s="2" t="str">
        <f ca="1">IFERROR(__xludf.DUMMYFUNCTION("""COMPUTED_VALUE"""),"Rand")</f>
        <v>Rand</v>
      </c>
    </row>
    <row r="10640" spans="1:3" x14ac:dyDescent="0.25">
      <c r="A10640" s="2" t="str">
        <f ca="1">IFERROR(__xludf.DUMMYFUNCTION("""COMPUTED_VALUE"""),"random-tg")</f>
        <v>random-tg</v>
      </c>
      <c r="B10640" s="2" t="str">
        <f ca="1">IFERROR(__xludf.DUMMYFUNCTION("""COMPUTED_VALUE"""),"random")</f>
        <v>random</v>
      </c>
      <c r="C10640" s="3" t="str">
        <f ca="1">IFERROR(__xludf.DUMMYFUNCTION("""COMPUTED_VALUE"""),"Random.tg")</f>
        <v>Random.tg</v>
      </c>
    </row>
    <row r="10641" spans="1:3" x14ac:dyDescent="0.25">
      <c r="A10641" s="2" t="str">
        <f ca="1">IFERROR(__xludf.DUMMYFUNCTION("""COMPUTED_VALUE"""),"rangerbet")</f>
        <v>rangerbet</v>
      </c>
      <c r="B10641" s="2" t="str">
        <f ca="1">IFERROR(__xludf.DUMMYFUNCTION("""COMPUTED_VALUE"""),"rbet")</f>
        <v>rbet</v>
      </c>
      <c r="C10641" s="2" t="str">
        <f ca="1">IFERROR(__xludf.DUMMYFUNCTION("""COMPUTED_VALUE"""),"RangerBet")</f>
        <v>RangerBet</v>
      </c>
    </row>
    <row r="10642" spans="1:3" x14ac:dyDescent="0.25">
      <c r="A10642" s="2" t="str">
        <f ca="1">IFERROR(__xludf.DUMMYFUNCTION("""COMPUTED_VALUE"""),"rangers-fan-token")</f>
        <v>rangers-fan-token</v>
      </c>
      <c r="B10642" s="2" t="str">
        <f ca="1">IFERROR(__xludf.DUMMYFUNCTION("""COMPUTED_VALUE"""),"rft")</f>
        <v>rft</v>
      </c>
      <c r="C10642" s="2" t="str">
        <f ca="1">IFERROR(__xludf.DUMMYFUNCTION("""COMPUTED_VALUE"""),"Rangers Fan Token")</f>
        <v>Rangers Fan Token</v>
      </c>
    </row>
    <row r="10643" spans="1:3" x14ac:dyDescent="0.25">
      <c r="A10643" s="2" t="str">
        <f ca="1">IFERROR(__xludf.DUMMYFUNCTION("""COMPUTED_VALUE"""),"rangers-protocol-gas")</f>
        <v>rangers-protocol-gas</v>
      </c>
      <c r="B10643" s="2" t="str">
        <f ca="1">IFERROR(__xludf.DUMMYFUNCTION("""COMPUTED_VALUE"""),"rpg")</f>
        <v>rpg</v>
      </c>
      <c r="C10643" s="2" t="str">
        <f ca="1">IFERROR(__xludf.DUMMYFUNCTION("""COMPUTED_VALUE"""),"Rangers Protocol Gas")</f>
        <v>Rangers Protocol Gas</v>
      </c>
    </row>
    <row r="10644" spans="1:3" x14ac:dyDescent="0.25">
      <c r="A10644" s="2" t="str">
        <f ca="1">IFERROR(__xludf.DUMMYFUNCTION("""COMPUTED_VALUE"""),"rankerdao")</f>
        <v>rankerdao</v>
      </c>
      <c r="B10644" s="2" t="str">
        <f ca="1">IFERROR(__xludf.DUMMYFUNCTION("""COMPUTED_VALUE"""),"ranker")</f>
        <v>ranker</v>
      </c>
      <c r="C10644" s="2" t="str">
        <f ca="1">IFERROR(__xludf.DUMMYFUNCTION("""COMPUTED_VALUE"""),"RankerDao")</f>
        <v>RankerDao</v>
      </c>
    </row>
    <row r="10645" spans="1:3" x14ac:dyDescent="0.25">
      <c r="A10645" s="2" t="str">
        <f ca="1">IFERROR(__xludf.DUMMYFUNCTION("""COMPUTED_VALUE"""),"rapcat")</f>
        <v>rapcat</v>
      </c>
      <c r="B10645" s="2" t="str">
        <f ca="1">IFERROR(__xludf.DUMMYFUNCTION("""COMPUTED_VALUE"""),"$rapcat")</f>
        <v>$rapcat</v>
      </c>
      <c r="C10645" s="2" t="str">
        <f ca="1">IFERROR(__xludf.DUMMYFUNCTION("""COMPUTED_VALUE"""),"RapCat")</f>
        <v>RapCat</v>
      </c>
    </row>
    <row r="10646" spans="1:3" x14ac:dyDescent="0.25">
      <c r="A10646" s="2" t="str">
        <f ca="1">IFERROR(__xludf.DUMMYFUNCTION("""COMPUTED_VALUE"""),"raphael")</f>
        <v>raphael</v>
      </c>
      <c r="B10646" s="2" t="str">
        <f ca="1">IFERROR(__xludf.DUMMYFUNCTION("""COMPUTED_VALUE"""),"raphael")</f>
        <v>raphael</v>
      </c>
      <c r="C10646" s="2" t="str">
        <f ca="1">IFERROR(__xludf.DUMMYFUNCTION("""COMPUTED_VALUE"""),"Raphael")</f>
        <v>Raphael</v>
      </c>
    </row>
    <row r="10647" spans="1:3" x14ac:dyDescent="0.25">
      <c r="A10647" s="2" t="str">
        <f ca="1">IFERROR(__xludf.DUMMYFUNCTION("""COMPUTED_VALUE"""),"rapids")</f>
        <v>rapids</v>
      </c>
      <c r="B10647" s="2" t="str">
        <f ca="1">IFERROR(__xludf.DUMMYFUNCTION("""COMPUTED_VALUE"""),"rpd")</f>
        <v>rpd</v>
      </c>
      <c r="C10647" s="2" t="str">
        <f ca="1">IFERROR(__xludf.DUMMYFUNCTION("""COMPUTED_VALUE"""),"Rapids")</f>
        <v>Rapids</v>
      </c>
    </row>
    <row r="10648" spans="1:3" x14ac:dyDescent="0.25">
      <c r="A10648" s="2" t="str">
        <f ca="1">IFERROR(__xludf.DUMMYFUNCTION("""COMPUTED_VALUE"""),"raptoreum")</f>
        <v>raptoreum</v>
      </c>
      <c r="B10648" s="2" t="str">
        <f ca="1">IFERROR(__xludf.DUMMYFUNCTION("""COMPUTED_VALUE"""),"rtm")</f>
        <v>rtm</v>
      </c>
      <c r="C10648" s="2" t="str">
        <f ca="1">IFERROR(__xludf.DUMMYFUNCTION("""COMPUTED_VALUE"""),"Raptoreum")</f>
        <v>Raptoreum</v>
      </c>
    </row>
    <row r="10649" spans="1:3" x14ac:dyDescent="0.25">
      <c r="A10649" s="2" t="str">
        <f ca="1">IFERROR(__xludf.DUMMYFUNCTION("""COMPUTED_VALUE"""),"raptor-finance-2")</f>
        <v>raptor-finance-2</v>
      </c>
      <c r="B10649" s="2" t="str">
        <f ca="1">IFERROR(__xludf.DUMMYFUNCTION("""COMPUTED_VALUE"""),"rptr")</f>
        <v>rptr</v>
      </c>
      <c r="C10649" s="2" t="str">
        <f ca="1">IFERROR(__xludf.DUMMYFUNCTION("""COMPUTED_VALUE"""),"Raptor Finance")</f>
        <v>Raptor Finance</v>
      </c>
    </row>
    <row r="10650" spans="1:3" x14ac:dyDescent="0.25">
      <c r="A10650" s="2" t="str">
        <f ca="1">IFERROR(__xludf.DUMMYFUNCTION("""COMPUTED_VALUE"""),"rare-ball-shares")</f>
        <v>rare-ball-shares</v>
      </c>
      <c r="B10650" s="2" t="str">
        <f ca="1">IFERROR(__xludf.DUMMYFUNCTION("""COMPUTED_VALUE"""),"rbp")</f>
        <v>rbp</v>
      </c>
      <c r="C10650" s="2" t="str">
        <f ca="1">IFERROR(__xludf.DUMMYFUNCTION("""COMPUTED_VALUE"""),"Rare Ball Potion")</f>
        <v>Rare Ball Potion</v>
      </c>
    </row>
    <row r="10651" spans="1:3" x14ac:dyDescent="0.25">
      <c r="A10651" s="2" t="str">
        <f ca="1">IFERROR(__xludf.DUMMYFUNCTION("""COMPUTED_VALUE"""),"rarible")</f>
        <v>rarible</v>
      </c>
      <c r="B10651" s="2" t="str">
        <f ca="1">IFERROR(__xludf.DUMMYFUNCTION("""COMPUTED_VALUE"""),"rari")</f>
        <v>rari</v>
      </c>
      <c r="C10651" s="2" t="str">
        <f ca="1">IFERROR(__xludf.DUMMYFUNCTION("""COMPUTED_VALUE"""),"RARI")</f>
        <v>RARI</v>
      </c>
    </row>
    <row r="10652" spans="1:3" x14ac:dyDescent="0.25">
      <c r="A10652" s="2" t="str">
        <f ca="1">IFERROR(__xludf.DUMMYFUNCTION("""COMPUTED_VALUE"""),"rari-governance-token")</f>
        <v>rari-governance-token</v>
      </c>
      <c r="B10652" s="2" t="str">
        <f ca="1">IFERROR(__xludf.DUMMYFUNCTION("""COMPUTED_VALUE"""),"rgt")</f>
        <v>rgt</v>
      </c>
      <c r="C10652" s="2" t="str">
        <f ca="1">IFERROR(__xludf.DUMMYFUNCTION("""COMPUTED_VALUE"""),"Rari Governance")</f>
        <v>Rari Governance</v>
      </c>
    </row>
    <row r="10653" spans="1:3" x14ac:dyDescent="0.25">
      <c r="A10653" s="2" t="str">
        <f ca="1">IFERROR(__xludf.DUMMYFUNCTION("""COMPUTED_VALUE"""),"rastopyry")</f>
        <v>rastopyry</v>
      </c>
      <c r="B10653" s="2" t="str">
        <f ca="1">IFERROR(__xludf.DUMMYFUNCTION("""COMPUTED_VALUE"""),"rasto")</f>
        <v>rasto</v>
      </c>
      <c r="C10653" s="2" t="str">
        <f ca="1">IFERROR(__xludf.DUMMYFUNCTION("""COMPUTED_VALUE"""),"Rastopyry")</f>
        <v>Rastopyry</v>
      </c>
    </row>
    <row r="10654" spans="1:3" x14ac:dyDescent="0.25">
      <c r="A10654" s="2" t="str">
        <f ca="1">IFERROR(__xludf.DUMMYFUNCTION("""COMPUTED_VALUE"""),"ratcoin")</f>
        <v>ratcoin</v>
      </c>
      <c r="B10654" s="2" t="str">
        <f ca="1">IFERROR(__xludf.DUMMYFUNCTION("""COMPUTED_VALUE"""),"rat")</f>
        <v>rat</v>
      </c>
      <c r="C10654" s="2" t="str">
        <f ca="1">IFERROR(__xludf.DUMMYFUNCTION("""COMPUTED_VALUE"""),"RatCoin")</f>
        <v>RatCoin</v>
      </c>
    </row>
    <row r="10655" spans="1:3" x14ac:dyDescent="0.25">
      <c r="A10655" s="2" t="str">
        <f ca="1">IFERROR(__xludf.DUMMYFUNCTION("""COMPUTED_VALUE"""),"rate")</f>
        <v>rate</v>
      </c>
      <c r="B10655" s="2" t="str">
        <f ca="1">IFERROR(__xludf.DUMMYFUNCTION("""COMPUTED_VALUE"""),"rate")</f>
        <v>rate</v>
      </c>
      <c r="C10655" s="2" t="str">
        <f ca="1">IFERROR(__xludf.DUMMYFUNCTION("""COMPUTED_VALUE"""),"Rate")</f>
        <v>Rate</v>
      </c>
    </row>
    <row r="10656" spans="1:3" x14ac:dyDescent="0.25">
      <c r="A10656" s="2" t="str">
        <f ca="1">IFERROR(__xludf.DUMMYFUNCTION("""COMPUTED_VALUE"""),"ratio-finance")</f>
        <v>ratio-finance</v>
      </c>
      <c r="B10656" s="2" t="str">
        <f ca="1">IFERROR(__xludf.DUMMYFUNCTION("""COMPUTED_VALUE"""),"ratio")</f>
        <v>ratio</v>
      </c>
      <c r="C10656" s="2" t="str">
        <f ca="1">IFERROR(__xludf.DUMMYFUNCTION("""COMPUTED_VALUE"""),"Ratio Protocol")</f>
        <v>Ratio Protocol</v>
      </c>
    </row>
    <row r="10657" spans="1:3" x14ac:dyDescent="0.25">
      <c r="A10657" s="2" t="str">
        <f ca="1">IFERROR(__xludf.DUMMYFUNCTION("""COMPUTED_VALUE"""),"rats")</f>
        <v>rats</v>
      </c>
      <c r="B10657" s="2" t="str">
        <f ca="1">IFERROR(__xludf.DUMMYFUNCTION("""COMPUTED_VALUE"""),"rats")</f>
        <v>rats</v>
      </c>
      <c r="C10657" s="2" t="str">
        <f ca="1">IFERROR(__xludf.DUMMYFUNCTION("""COMPUTED_VALUE"""),"Rats")</f>
        <v>Rats</v>
      </c>
    </row>
    <row r="10658" spans="1:3" x14ac:dyDescent="0.25">
      <c r="A10658" s="2" t="str">
        <f ca="1">IFERROR(__xludf.DUMMYFUNCTION("""COMPUTED_VALUE"""),"ratsbase")</f>
        <v>ratsbase</v>
      </c>
      <c r="B10658" s="2" t="str">
        <f ca="1">IFERROR(__xludf.DUMMYFUNCTION("""COMPUTED_VALUE"""),"rats")</f>
        <v>rats</v>
      </c>
      <c r="C10658" s="2" t="str">
        <f ca="1">IFERROR(__xludf.DUMMYFUNCTION("""COMPUTED_VALUE"""),"RatsBase")</f>
        <v>RatsBase</v>
      </c>
    </row>
    <row r="10659" spans="1:3" x14ac:dyDescent="0.25">
      <c r="A10659" s="2" t="str">
        <f ca="1">IFERROR(__xludf.DUMMYFUNCTION("""COMPUTED_VALUE"""),"ratsdao")</f>
        <v>ratsdao</v>
      </c>
      <c r="B10659" s="2" t="str">
        <f ca="1">IFERROR(__xludf.DUMMYFUNCTION("""COMPUTED_VALUE"""),"rat")</f>
        <v>rat</v>
      </c>
      <c r="C10659" s="2" t="str">
        <f ca="1">IFERROR(__xludf.DUMMYFUNCTION("""COMPUTED_VALUE"""),"ratsDAO")</f>
        <v>ratsDAO</v>
      </c>
    </row>
    <row r="10660" spans="1:3" x14ac:dyDescent="0.25">
      <c r="A10660" s="2" t="str">
        <f ca="1">IFERROR(__xludf.DUMMYFUNCTION("""COMPUTED_VALUE"""),"ratwifhat")</f>
        <v>ratwifhat</v>
      </c>
      <c r="B10660" s="2" t="str">
        <f ca="1">IFERROR(__xludf.DUMMYFUNCTION("""COMPUTED_VALUE"""),"ratwif")</f>
        <v>ratwif</v>
      </c>
      <c r="C10660" s="2" t="str">
        <f ca="1">IFERROR(__xludf.DUMMYFUNCTION("""COMPUTED_VALUE"""),"RatWifHat")</f>
        <v>RatWifHat</v>
      </c>
    </row>
    <row r="10661" spans="1:3" x14ac:dyDescent="0.25">
      <c r="A10661" s="2" t="str">
        <f ca="1">IFERROR(__xludf.DUMMYFUNCTION("""COMPUTED_VALUE"""),"ravencoin")</f>
        <v>ravencoin</v>
      </c>
      <c r="B10661" s="2" t="str">
        <f ca="1">IFERROR(__xludf.DUMMYFUNCTION("""COMPUTED_VALUE"""),"rvn")</f>
        <v>rvn</v>
      </c>
      <c r="C10661" s="2" t="str">
        <f ca="1">IFERROR(__xludf.DUMMYFUNCTION("""COMPUTED_VALUE"""),"Ravencoin")</f>
        <v>Ravencoin</v>
      </c>
    </row>
    <row r="10662" spans="1:3" x14ac:dyDescent="0.25">
      <c r="A10662" s="2" t="str">
        <f ca="1">IFERROR(__xludf.DUMMYFUNCTION("""COMPUTED_VALUE"""),"ravencoin-classic")</f>
        <v>ravencoin-classic</v>
      </c>
      <c r="B10662" s="2" t="str">
        <f ca="1">IFERROR(__xludf.DUMMYFUNCTION("""COMPUTED_VALUE"""),"rvc")</f>
        <v>rvc</v>
      </c>
      <c r="C10662" s="2" t="str">
        <f ca="1">IFERROR(__xludf.DUMMYFUNCTION("""COMPUTED_VALUE"""),"Ravencoin Classic")</f>
        <v>Ravencoin Classic</v>
      </c>
    </row>
    <row r="10663" spans="1:3" x14ac:dyDescent="0.25">
      <c r="A10663" s="2" t="str">
        <f ca="1">IFERROR(__xludf.DUMMYFUNCTION("""COMPUTED_VALUE"""),"raven-protocol")</f>
        <v>raven-protocol</v>
      </c>
      <c r="B10663" s="2" t="str">
        <f ca="1">IFERROR(__xludf.DUMMYFUNCTION("""COMPUTED_VALUE"""),"raven")</f>
        <v>raven</v>
      </c>
      <c r="C10663" s="2" t="str">
        <f ca="1">IFERROR(__xludf.DUMMYFUNCTION("""COMPUTED_VALUE"""),"Raven Protocol")</f>
        <v>Raven Protocol</v>
      </c>
    </row>
    <row r="10664" spans="1:3" x14ac:dyDescent="0.25">
      <c r="A10664" s="2" t="str">
        <f ca="1">IFERROR(__xludf.DUMMYFUNCTION("""COMPUTED_VALUE"""),"rawblock")</f>
        <v>rawblock</v>
      </c>
      <c r="B10664" s="2" t="str">
        <f ca="1">IFERROR(__xludf.DUMMYFUNCTION("""COMPUTED_VALUE"""),"rwb")</f>
        <v>rwb</v>
      </c>
      <c r="C10664" s="2" t="str">
        <f ca="1">IFERROR(__xludf.DUMMYFUNCTION("""COMPUTED_VALUE"""),"RawBlock")</f>
        <v>RawBlock</v>
      </c>
    </row>
    <row r="10665" spans="1:3" x14ac:dyDescent="0.25">
      <c r="A10665" s="2" t="str">
        <f ca="1">IFERROR(__xludf.DUMMYFUNCTION("""COMPUTED_VALUE"""),"raydium")</f>
        <v>raydium</v>
      </c>
      <c r="B10665" s="2" t="str">
        <f ca="1">IFERROR(__xludf.DUMMYFUNCTION("""COMPUTED_VALUE"""),"ray")</f>
        <v>ray</v>
      </c>
      <c r="C10665" s="2" t="str">
        <f ca="1">IFERROR(__xludf.DUMMYFUNCTION("""COMPUTED_VALUE"""),"Raydium")</f>
        <v>Raydium</v>
      </c>
    </row>
    <row r="10666" spans="1:3" x14ac:dyDescent="0.25">
      <c r="A10666" s="2" t="str">
        <f ca="1">IFERROR(__xludf.DUMMYFUNCTION("""COMPUTED_VALUE"""),"rayn")</f>
        <v>rayn</v>
      </c>
      <c r="B10666" s="2" t="str">
        <f ca="1">IFERROR(__xludf.DUMMYFUNCTION("""COMPUTED_VALUE"""),"aktio")</f>
        <v>aktio</v>
      </c>
      <c r="C10666" s="2" t="str">
        <f ca="1">IFERROR(__xludf.DUMMYFUNCTION("""COMPUTED_VALUE"""),"RAYN")</f>
        <v>RAYN</v>
      </c>
    </row>
    <row r="10667" spans="1:3" x14ac:dyDescent="0.25">
      <c r="A10667" s="2" t="str">
        <f ca="1">IFERROR(__xludf.DUMMYFUNCTION("""COMPUTED_VALUE"""),"ray-network")</f>
        <v>ray-network</v>
      </c>
      <c r="B10667" s="2" t="str">
        <f ca="1">IFERROR(__xludf.DUMMYFUNCTION("""COMPUTED_VALUE"""),"xray")</f>
        <v>xray</v>
      </c>
      <c r="C10667" s="2" t="str">
        <f ca="1">IFERROR(__xludf.DUMMYFUNCTION("""COMPUTED_VALUE"""),"Ray Network")</f>
        <v>Ray Network</v>
      </c>
    </row>
    <row r="10668" spans="1:3" x14ac:dyDescent="0.25">
      <c r="A10668" s="2" t="str">
        <f ca="1">IFERROR(__xludf.DUMMYFUNCTION("""COMPUTED_VALUE"""),"rays")</f>
        <v>rays</v>
      </c>
      <c r="B10668" s="2" t="str">
        <f ca="1">IFERROR(__xludf.DUMMYFUNCTION("""COMPUTED_VALUE"""),"rays")</f>
        <v>rays</v>
      </c>
      <c r="C10668" s="2" t="str">
        <f ca="1">IFERROR(__xludf.DUMMYFUNCTION("""COMPUTED_VALUE"""),"RAYS")</f>
        <v>RAYS</v>
      </c>
    </row>
    <row r="10669" spans="1:3" x14ac:dyDescent="0.25">
      <c r="A10669" s="2" t="str">
        <f ca="1">IFERROR(__xludf.DUMMYFUNCTION("""COMPUTED_VALUE"""),"raze-network")</f>
        <v>raze-network</v>
      </c>
      <c r="B10669" s="2" t="str">
        <f ca="1">IFERROR(__xludf.DUMMYFUNCTION("""COMPUTED_VALUE"""),"raze")</f>
        <v>raze</v>
      </c>
      <c r="C10669" s="2" t="str">
        <f ca="1">IFERROR(__xludf.DUMMYFUNCTION("""COMPUTED_VALUE"""),"Raze Network")</f>
        <v>Raze Network</v>
      </c>
    </row>
    <row r="10670" spans="1:3" x14ac:dyDescent="0.25">
      <c r="A10670" s="2" t="str">
        <f ca="1">IFERROR(__xludf.DUMMYFUNCTION("""COMPUTED_VALUE"""),"razor-network")</f>
        <v>razor-network</v>
      </c>
      <c r="B10670" s="2" t="str">
        <f ca="1">IFERROR(__xludf.DUMMYFUNCTION("""COMPUTED_VALUE"""),"razor")</f>
        <v>razor</v>
      </c>
      <c r="C10670" s="2" t="str">
        <f ca="1">IFERROR(__xludf.DUMMYFUNCTION("""COMPUTED_VALUE"""),"Razor Network")</f>
        <v>Razor Network</v>
      </c>
    </row>
    <row r="10671" spans="1:3" x14ac:dyDescent="0.25">
      <c r="A10671" s="2" t="str">
        <f ca="1">IFERROR(__xludf.DUMMYFUNCTION("""COMPUTED_VALUE"""),"razzberry-inu")</f>
        <v>razzberry-inu</v>
      </c>
      <c r="B10671" s="2" t="str">
        <f ca="1">IFERROR(__xludf.DUMMYFUNCTION("""COMPUTED_VALUE"""),"rzby")</f>
        <v>rzby</v>
      </c>
      <c r="C10671" s="2" t="str">
        <f ca="1">IFERROR(__xludf.DUMMYFUNCTION("""COMPUTED_VALUE"""),"Razzberry Inu")</f>
        <v>Razzberry Inu</v>
      </c>
    </row>
    <row r="10672" spans="1:3" x14ac:dyDescent="0.25">
      <c r="A10672" s="2" t="str">
        <f ca="1">IFERROR(__xludf.DUMMYFUNCTION("""COMPUTED_VALUE"""),"rb-share")</f>
        <v>rb-share</v>
      </c>
      <c r="B10672" s="2" t="str">
        <f ca="1">IFERROR(__xludf.DUMMYFUNCTION("""COMPUTED_VALUE"""),"rbx")</f>
        <v>rbx</v>
      </c>
      <c r="C10672" s="2" t="str">
        <f ca="1">IFERROR(__xludf.DUMMYFUNCTION("""COMPUTED_VALUE"""),"RB Share")</f>
        <v>RB Share</v>
      </c>
    </row>
    <row r="10673" spans="1:3" x14ac:dyDescent="0.25">
      <c r="A10673" s="2" t="str">
        <f ca="1">IFERROR(__xludf.DUMMYFUNCTION("""COMPUTED_VALUE"""),"rbx-token")</f>
        <v>rbx-token</v>
      </c>
      <c r="B10673" s="2" t="str">
        <f ca="1">IFERROR(__xludf.DUMMYFUNCTION("""COMPUTED_VALUE"""),"rbx")</f>
        <v>rbx</v>
      </c>
      <c r="C10673" s="2" t="str">
        <f ca="1">IFERROR(__xludf.DUMMYFUNCTION("""COMPUTED_VALUE"""),"RBX")</f>
        <v>RBX</v>
      </c>
    </row>
    <row r="10674" spans="1:3" x14ac:dyDescent="0.25">
      <c r="A10674" s="2" t="str">
        <f ca="1">IFERROR(__xludf.DUMMYFUNCTION("""COMPUTED_VALUE"""),"rc-celta-de-vigo-fan-token")</f>
        <v>rc-celta-de-vigo-fan-token</v>
      </c>
      <c r="B10674" s="2" t="str">
        <f ca="1">IFERROR(__xludf.DUMMYFUNCTION("""COMPUTED_VALUE"""),"cft")</f>
        <v>cft</v>
      </c>
      <c r="C10674" s="2" t="str">
        <f ca="1">IFERROR(__xludf.DUMMYFUNCTION("""COMPUTED_VALUE"""),"RC Celta de Vigo Fan Token")</f>
        <v>RC Celta de Vigo Fan Token</v>
      </c>
    </row>
    <row r="10675" spans="1:3" x14ac:dyDescent="0.25">
      <c r="A10675" s="2" t="str">
        <f ca="1">IFERROR(__xludf.DUMMYFUNCTION("""COMPUTED_VALUE"""),"rcd-espanyol-fan-token")</f>
        <v>rcd-espanyol-fan-token</v>
      </c>
      <c r="B10675" s="2" t="str">
        <f ca="1">IFERROR(__xludf.DUMMYFUNCTION("""COMPUTED_VALUE"""),"enft")</f>
        <v>enft</v>
      </c>
      <c r="C10675" s="2" t="str">
        <f ca="1">IFERROR(__xludf.DUMMYFUNCTION("""COMPUTED_VALUE"""),"RCD Espanyol Fan Token")</f>
        <v>RCD Espanyol Fan Token</v>
      </c>
    </row>
    <row r="10676" spans="1:3" x14ac:dyDescent="0.25">
      <c r="A10676" s="2" t="str">
        <f ca="1">IFERROR(__xludf.DUMMYFUNCTION("""COMPUTED_VALUE"""),"rch-token")</f>
        <v>rch-token</v>
      </c>
      <c r="B10676" s="2" t="str">
        <f ca="1">IFERROR(__xludf.DUMMYFUNCTION("""COMPUTED_VALUE"""),"rch")</f>
        <v>rch</v>
      </c>
      <c r="C10676" s="2" t="str">
        <f ca="1">IFERROR(__xludf.DUMMYFUNCTION("""COMPUTED_VALUE"""),"RCH Token")</f>
        <v>RCH Token</v>
      </c>
    </row>
    <row r="10677" spans="1:3" x14ac:dyDescent="0.25">
      <c r="A10677" s="2" t="str">
        <f ca="1">IFERROR(__xludf.DUMMYFUNCTION("""COMPUTED_VALUE"""),"r-datadao")</f>
        <v>r-datadao</v>
      </c>
      <c r="B10677" s="2" t="str">
        <f ca="1">IFERROR(__xludf.DUMMYFUNCTION("""COMPUTED_VALUE"""),"rdat")</f>
        <v>rdat</v>
      </c>
      <c r="C10677" s="2" t="str">
        <f ca="1">IFERROR(__xludf.DUMMYFUNCTION("""COMPUTED_VALUE"""),"r/DataDAO")</f>
        <v>r/DataDAO</v>
      </c>
    </row>
    <row r="10678" spans="1:3" x14ac:dyDescent="0.25">
      <c r="A10678" s="2" t="str">
        <f ca="1">IFERROR(__xludf.DUMMYFUNCTION("""COMPUTED_VALUE"""),"r-dee-protocol")</f>
        <v>r-dee-protocol</v>
      </c>
      <c r="B10678" s="2" t="str">
        <f ca="1">IFERROR(__xludf.DUMMYFUNCTION("""COMPUTED_VALUE"""),"rdgx")</f>
        <v>rdgx</v>
      </c>
      <c r="C10678" s="2" t="str">
        <f ca="1">IFERROR(__xludf.DUMMYFUNCTION("""COMPUTED_VALUE"""),"R-DEE Protocol")</f>
        <v>R-DEE Protocol</v>
      </c>
    </row>
    <row r="10679" spans="1:3" x14ac:dyDescent="0.25">
      <c r="A10679" s="2" t="str">
        <f ca="1">IFERROR(__xludf.DUMMYFUNCTION("""COMPUTED_VALUE"""),"reach")</f>
        <v>reach</v>
      </c>
      <c r="B10679" s="2" t="str">
        <f ca="1">IFERROR(__xludf.DUMMYFUNCTION("""COMPUTED_VALUE"""),"$reach")</f>
        <v>$reach</v>
      </c>
      <c r="C10679" s="2" t="str">
        <f ca="1">IFERROR(__xludf.DUMMYFUNCTION("""COMPUTED_VALUE"""),"Reach")</f>
        <v>Reach</v>
      </c>
    </row>
    <row r="10680" spans="1:3" x14ac:dyDescent="0.25">
      <c r="A10680" s="2" t="str">
        <f ca="1">IFERROR(__xludf.DUMMYFUNCTION("""COMPUTED_VALUE"""),"reaction")</f>
        <v>reaction</v>
      </c>
      <c r="B10680" s="2" t="str">
        <f ca="1">IFERROR(__xludf.DUMMYFUNCTION("""COMPUTED_VALUE"""),"rtc")</f>
        <v>rtc</v>
      </c>
      <c r="C10680" s="2" t="str">
        <f ca="1">IFERROR(__xludf.DUMMYFUNCTION("""COMPUTED_VALUE"""),"Reaction")</f>
        <v>Reaction</v>
      </c>
    </row>
    <row r="10681" spans="1:3" x14ac:dyDescent="0.25">
      <c r="A10681" s="2" t="str">
        <f ca="1">IFERROR(__xludf.DUMMYFUNCTION("""COMPUTED_VALUE"""),"reactorfusion")</f>
        <v>reactorfusion</v>
      </c>
      <c r="B10681" s="2" t="str">
        <f ca="1">IFERROR(__xludf.DUMMYFUNCTION("""COMPUTED_VALUE"""),"rf")</f>
        <v>rf</v>
      </c>
      <c r="C10681" s="2" t="str">
        <f ca="1">IFERROR(__xludf.DUMMYFUNCTION("""COMPUTED_VALUE"""),"ReactorFusion")</f>
        <v>ReactorFusion</v>
      </c>
    </row>
    <row r="10682" spans="1:3" x14ac:dyDescent="0.25">
      <c r="A10682" s="2" t="str">
        <f ca="1">IFERROR(__xludf.DUMMYFUNCTION("""COMPUTED_VALUE"""),"readfi")</f>
        <v>readfi</v>
      </c>
      <c r="B10682" s="2" t="str">
        <f ca="1">IFERROR(__xludf.DUMMYFUNCTION("""COMPUTED_VALUE"""),"rdf")</f>
        <v>rdf</v>
      </c>
      <c r="C10682" s="2" t="str">
        <f ca="1">IFERROR(__xludf.DUMMYFUNCTION("""COMPUTED_VALUE"""),"ReadFi")</f>
        <v>ReadFi</v>
      </c>
    </row>
    <row r="10683" spans="1:3" x14ac:dyDescent="0.25">
      <c r="A10683" s="2" t="str">
        <f ca="1">IFERROR(__xludf.DUMMYFUNCTION("""COMPUTED_VALUE"""),"readyswap")</f>
        <v>readyswap</v>
      </c>
      <c r="B10683" s="2" t="str">
        <f ca="1">IFERROR(__xludf.DUMMYFUNCTION("""COMPUTED_VALUE"""),"rs")</f>
        <v>rs</v>
      </c>
      <c r="C10683" s="2" t="str">
        <f ca="1">IFERROR(__xludf.DUMMYFUNCTION("""COMPUTED_VALUE"""),"ReadySwap")</f>
        <v>ReadySwap</v>
      </c>
    </row>
    <row r="10684" spans="1:3" x14ac:dyDescent="0.25">
      <c r="A10684" s="2" t="str">
        <f ca="1">IFERROR(__xludf.DUMMYFUNCTION("""COMPUTED_VALUE"""),"ready-to-fight")</f>
        <v>ready-to-fight</v>
      </c>
      <c r="B10684" s="2" t="str">
        <f ca="1">IFERROR(__xludf.DUMMYFUNCTION("""COMPUTED_VALUE"""),"rtf")</f>
        <v>rtf</v>
      </c>
      <c r="C10684" s="2" t="str">
        <f ca="1">IFERROR(__xludf.DUMMYFUNCTION("""COMPUTED_VALUE"""),"Ready to Fight")</f>
        <v>Ready to Fight</v>
      </c>
    </row>
    <row r="10685" spans="1:3" x14ac:dyDescent="0.25">
      <c r="A10685" s="2" t="str">
        <f ca="1">IFERROR(__xludf.DUMMYFUNCTION("""COMPUTED_VALUE"""),"reaktor")</f>
        <v>reaktor</v>
      </c>
      <c r="B10685" s="2" t="str">
        <f ca="1">IFERROR(__xludf.DUMMYFUNCTION("""COMPUTED_VALUE"""),"rkr")</f>
        <v>rkr</v>
      </c>
      <c r="C10685" s="2" t="str">
        <f ca="1">IFERROR(__xludf.DUMMYFUNCTION("""COMPUTED_VALUE"""),"Reaktor")</f>
        <v>Reaktor</v>
      </c>
    </row>
    <row r="10686" spans="1:3" x14ac:dyDescent="0.25">
      <c r="A10686" s="2" t="str">
        <f ca="1">IFERROR(__xludf.DUMMYFUNCTION("""COMPUTED_VALUE"""),"re-al")</f>
        <v>re-al</v>
      </c>
      <c r="B10686" s="2" t="str">
        <f ca="1">IFERROR(__xludf.DUMMYFUNCTION("""COMPUTED_VALUE"""),"rwa")</f>
        <v>rwa</v>
      </c>
      <c r="C10686" s="3" t="str">
        <f ca="1">IFERROR(__xludf.DUMMYFUNCTION("""COMPUTED_VALUE"""),"re.al")</f>
        <v>re.al</v>
      </c>
    </row>
    <row r="10687" spans="1:3" x14ac:dyDescent="0.25">
      <c r="A10687" s="2" t="str">
        <f ca="1">IFERROR(__xludf.DUMMYFUNCTION("""COMPUTED_VALUE"""),"real-2")</f>
        <v>real-2</v>
      </c>
      <c r="B10687" s="2" t="str">
        <f ca="1">IFERROR(__xludf.DUMMYFUNCTION("""COMPUTED_VALUE"""),"real")</f>
        <v>real</v>
      </c>
      <c r="C10687" s="2" t="str">
        <f ca="1">IFERROR(__xludf.DUMMYFUNCTION("""COMPUTED_VALUE"""),"real.")</f>
        <v>real.</v>
      </c>
    </row>
    <row r="10688" spans="1:3" x14ac:dyDescent="0.25">
      <c r="A10688" s="2" t="str">
        <f ca="1">IFERROR(__xludf.DUMMYFUNCTION("""COMPUTED_VALUE"""),"realaliensenjoyingliquidity")</f>
        <v>realaliensenjoyingliquidity</v>
      </c>
      <c r="B10688" s="2" t="str">
        <f ca="1">IFERROR(__xludf.DUMMYFUNCTION("""COMPUTED_VALUE"""),"$rael")</f>
        <v>$rael</v>
      </c>
      <c r="C10688" s="2" t="str">
        <f ca="1">IFERROR(__xludf.DUMMYFUNCTION("""COMPUTED_VALUE"""),"RealAliensEnjoyingLiquidity")</f>
        <v>RealAliensEnjoyingLiquidity</v>
      </c>
    </row>
    <row r="10689" spans="1:3" x14ac:dyDescent="0.25">
      <c r="A10689" s="2" t="str">
        <f ca="1">IFERROR(__xludf.DUMMYFUNCTION("""COMPUTED_VALUE"""),"real-big-coin")</f>
        <v>real-big-coin</v>
      </c>
      <c r="B10689" s="2" t="str">
        <f ca="1">IFERROR(__xludf.DUMMYFUNCTION("""COMPUTED_VALUE"""),"rbc")</f>
        <v>rbc</v>
      </c>
      <c r="C10689" s="2" t="str">
        <f ca="1">IFERROR(__xludf.DUMMYFUNCTION("""COMPUTED_VALUE"""),"Real BIG Coin")</f>
        <v>Real BIG Coin</v>
      </c>
    </row>
    <row r="10690" spans="1:3" x14ac:dyDescent="0.25">
      <c r="A10690" s="2" t="str">
        <f ca="1">IFERROR(__xludf.DUMMYFUNCTION("""COMPUTED_VALUE"""),"real-bridged-dai-real")</f>
        <v>real-bridged-dai-real</v>
      </c>
      <c r="B10690" s="2" t="str">
        <f ca="1">IFERROR(__xludf.DUMMYFUNCTION("""COMPUTED_VALUE"""),"dai")</f>
        <v>dai</v>
      </c>
      <c r="C10690" s="2" t="str">
        <f ca="1">IFERROR(__xludf.DUMMYFUNCTION("""COMPUTED_VALUE"""),"Re.al Bridged DAI (Re.al)")</f>
        <v>Re.al Bridged DAI (Re.al)</v>
      </c>
    </row>
    <row r="10691" spans="1:3" x14ac:dyDescent="0.25">
      <c r="A10691" s="2" t="str">
        <f ca="1">IFERROR(__xludf.DUMMYFUNCTION("""COMPUTED_VALUE"""),"real-ether")</f>
        <v>real-ether</v>
      </c>
      <c r="B10691" s="2" t="str">
        <f ca="1">IFERROR(__xludf.DUMMYFUNCTION("""COMPUTED_VALUE"""),"reeth")</f>
        <v>reeth</v>
      </c>
      <c r="C10691" s="2" t="str">
        <f ca="1">IFERROR(__xludf.DUMMYFUNCTION("""COMPUTED_VALUE"""),"Real Ether")</f>
        <v>Real Ether</v>
      </c>
    </row>
    <row r="10692" spans="1:3" x14ac:dyDescent="0.25">
      <c r="A10692" s="2" t="str">
        <f ca="1">IFERROR(__xludf.DUMMYFUNCTION("""COMPUTED_VALUE"""),"real-fast")</f>
        <v>real-fast</v>
      </c>
      <c r="B10692" s="2" t="str">
        <f ca="1">IFERROR(__xludf.DUMMYFUNCTION("""COMPUTED_VALUE"""),"speed")</f>
        <v>speed</v>
      </c>
      <c r="C10692" s="2" t="str">
        <f ca="1">IFERROR(__xludf.DUMMYFUNCTION("""COMPUTED_VALUE"""),"real fast")</f>
        <v>real fast</v>
      </c>
    </row>
    <row r="10693" spans="1:3" x14ac:dyDescent="0.25">
      <c r="A10693" s="2" t="str">
        <f ca="1">IFERROR(__xludf.DUMMYFUNCTION("""COMPUTED_VALUE"""),"realfevr")</f>
        <v>realfevr</v>
      </c>
      <c r="B10693" s="2" t="str">
        <f ca="1">IFERROR(__xludf.DUMMYFUNCTION("""COMPUTED_VALUE"""),"fevr")</f>
        <v>fevr</v>
      </c>
      <c r="C10693" s="2" t="str">
        <f ca="1">IFERROR(__xludf.DUMMYFUNCTION("""COMPUTED_VALUE"""),"RealFevr")</f>
        <v>RealFevr</v>
      </c>
    </row>
    <row r="10694" spans="1:3" x14ac:dyDescent="0.25">
      <c r="A10694" s="2" t="str">
        <f ca="1">IFERROR(__xludf.DUMMYFUNCTION("""COMPUTED_VALUE"""),"realfinance-network")</f>
        <v>realfinance-network</v>
      </c>
      <c r="B10694" s="2" t="str">
        <f ca="1">IFERROR(__xludf.DUMMYFUNCTION("""COMPUTED_VALUE"""),"refi")</f>
        <v>refi</v>
      </c>
      <c r="C10694" s="2" t="str">
        <f ca="1">IFERROR(__xludf.DUMMYFUNCTION("""COMPUTED_VALUE"""),"Realfinance Network")</f>
        <v>Realfinance Network</v>
      </c>
    </row>
    <row r="10695" spans="1:3" x14ac:dyDescent="0.25">
      <c r="A10695" s="2" t="str">
        <f ca="1">IFERROR(__xludf.DUMMYFUNCTION("""COMPUTED_VALUE"""),"realgoat")</f>
        <v>realgoat</v>
      </c>
      <c r="B10695" s="2" t="str">
        <f ca="1">IFERROR(__xludf.DUMMYFUNCTION("""COMPUTED_VALUE"""),"rgoat")</f>
        <v>rgoat</v>
      </c>
      <c r="C10695" s="2" t="str">
        <f ca="1">IFERROR(__xludf.DUMMYFUNCTION("""COMPUTED_VALUE"""),"RealGoat")</f>
        <v>RealGoat</v>
      </c>
    </row>
    <row r="10696" spans="1:3" x14ac:dyDescent="0.25">
      <c r="A10696" s="2" t="str">
        <f ca="1">IFERROR(__xludf.DUMMYFUNCTION("""COMPUTED_VALUE"""),"realio-network")</f>
        <v>realio-network</v>
      </c>
      <c r="B10696" s="2" t="str">
        <f ca="1">IFERROR(__xludf.DUMMYFUNCTION("""COMPUTED_VALUE"""),"rio")</f>
        <v>rio</v>
      </c>
      <c r="C10696" s="2" t="str">
        <f ca="1">IFERROR(__xludf.DUMMYFUNCTION("""COMPUTED_VALUE"""),"Realio")</f>
        <v>Realio</v>
      </c>
    </row>
    <row r="10697" spans="1:3" x14ac:dyDescent="0.25">
      <c r="A10697" s="2" t="str">
        <f ca="1">IFERROR(__xludf.DUMMYFUNCTION("""COMPUTED_VALUE"""),"realis-network")</f>
        <v>realis-network</v>
      </c>
      <c r="B10697" s="2" t="str">
        <f ca="1">IFERROR(__xludf.DUMMYFUNCTION("""COMPUTED_VALUE"""),"lis")</f>
        <v>lis</v>
      </c>
      <c r="C10697" s="2" t="str">
        <f ca="1">IFERROR(__xludf.DUMMYFUNCTION("""COMPUTED_VALUE"""),"Realis Network")</f>
        <v>Realis Network</v>
      </c>
    </row>
    <row r="10698" spans="1:3" x14ac:dyDescent="0.25">
      <c r="A10698" s="2" t="str">
        <f ca="1">IFERROR(__xludf.DUMMYFUNCTION("""COMPUTED_VALUE"""),"reality-metaverse")</f>
        <v>reality-metaverse</v>
      </c>
      <c r="B10698" s="2" t="str">
        <f ca="1">IFERROR(__xludf.DUMMYFUNCTION("""COMPUTED_VALUE"""),"rmv")</f>
        <v>rmv</v>
      </c>
      <c r="C10698" s="2" t="str">
        <f ca="1">IFERROR(__xludf.DUMMYFUNCTION("""COMPUTED_VALUE"""),"Reality Metaverse")</f>
        <v>Reality Metaverse</v>
      </c>
    </row>
    <row r="10699" spans="1:3" x14ac:dyDescent="0.25">
      <c r="A10699" s="2" t="str">
        <f ca="1">IFERROR(__xludf.DUMMYFUNCTION("""COMPUTED_VALUE"""),"reality-vr")</f>
        <v>reality-vr</v>
      </c>
      <c r="B10699" s="2" t="str">
        <f ca="1">IFERROR(__xludf.DUMMYFUNCTION("""COMPUTED_VALUE"""),"rvr")</f>
        <v>rvr</v>
      </c>
      <c r="C10699" s="2" t="str">
        <f ca="1">IFERROR(__xludf.DUMMYFUNCTION("""COMPUTED_VALUE"""),"Reality VR")</f>
        <v>Reality VR</v>
      </c>
    </row>
    <row r="10700" spans="1:3" x14ac:dyDescent="0.25">
      <c r="A10700" s="2" t="str">
        <f ca="1">IFERROR(__xludf.DUMMYFUNCTION("""COMPUTED_VALUE"""),"reallink")</f>
        <v>reallink</v>
      </c>
      <c r="B10700" s="2" t="str">
        <f ca="1">IFERROR(__xludf.DUMMYFUNCTION("""COMPUTED_VALUE"""),"real")</f>
        <v>real</v>
      </c>
      <c r="C10700" s="2" t="str">
        <f ca="1">IFERROR(__xludf.DUMMYFUNCTION("""COMPUTED_VALUE"""),"RealLink")</f>
        <v>RealLink</v>
      </c>
    </row>
    <row r="10701" spans="1:3" x14ac:dyDescent="0.25">
      <c r="A10701" s="2" t="str">
        <f ca="1">IFERROR(__xludf.DUMMYFUNCTION("""COMPUTED_VALUE"""),"realm")</f>
        <v>realm</v>
      </c>
      <c r="B10701" s="2" t="str">
        <f ca="1">IFERROR(__xludf.DUMMYFUNCTION("""COMPUTED_VALUE"""),"realm")</f>
        <v>realm</v>
      </c>
      <c r="C10701" s="2" t="str">
        <f ca="1">IFERROR(__xludf.DUMMYFUNCTION("""COMPUTED_VALUE"""),"Realm")</f>
        <v>Realm</v>
      </c>
    </row>
    <row r="10702" spans="1:3" x14ac:dyDescent="0.25">
      <c r="A10702" s="2" t="str">
        <f ca="1">IFERROR(__xludf.DUMMYFUNCTION("""COMPUTED_VALUE"""),"real-nigger-tate")</f>
        <v>real-nigger-tate</v>
      </c>
      <c r="B10702" s="2" t="str">
        <f ca="1">IFERROR(__xludf.DUMMYFUNCTION("""COMPUTED_VALUE"""),"rnt")</f>
        <v>rnt</v>
      </c>
      <c r="C10702" s="2" t="str">
        <f ca="1">IFERROR(__xludf.DUMMYFUNCTION("""COMPUTED_VALUE"""),"RNT")</f>
        <v>RNT</v>
      </c>
    </row>
    <row r="10703" spans="1:3" x14ac:dyDescent="0.25">
      <c r="A10703" s="2" t="str">
        <f ca="1">IFERROR(__xludf.DUMMYFUNCTION("""COMPUTED_VALUE"""),"real-realm")</f>
        <v>real-realm</v>
      </c>
      <c r="B10703" s="2" t="str">
        <f ca="1">IFERROR(__xludf.DUMMYFUNCTION("""COMPUTED_VALUE"""),"real")</f>
        <v>real</v>
      </c>
      <c r="C10703" s="2" t="str">
        <f ca="1">IFERROR(__xludf.DUMMYFUNCTION("""COMPUTED_VALUE"""),"Real Realm")</f>
        <v>Real Realm</v>
      </c>
    </row>
    <row r="10704" spans="1:3" x14ac:dyDescent="0.25">
      <c r="A10704" s="2" t="str">
        <f ca="1">IFERROR(__xludf.DUMMYFUNCTION("""COMPUTED_VALUE"""),"real-smurf-cat")</f>
        <v>real-smurf-cat</v>
      </c>
      <c r="B10704" s="2" t="str">
        <f ca="1">IFERROR(__xludf.DUMMYFUNCTION("""COMPUTED_VALUE"""),"smurfcat")</f>
        <v>smurfcat</v>
      </c>
      <c r="C10704" s="2" t="str">
        <f ca="1">IFERROR(__xludf.DUMMYFUNCTION("""COMPUTED_VALUE"""),"Real Smurf Cat")</f>
        <v>Real Smurf Cat</v>
      </c>
    </row>
    <row r="10705" spans="1:3" x14ac:dyDescent="0.25">
      <c r="A10705" s="2" t="str">
        <f ca="1">IFERROR(__xludf.DUMMYFUNCTION("""COMPUTED_VALUE"""),"real-smurf-cat-2")</f>
        <v>real-smurf-cat-2</v>
      </c>
      <c r="B10705" s="2" t="str">
        <f ca="1">IFERROR(__xludf.DUMMYFUNCTION("""COMPUTED_VALUE"""),"smurf")</f>
        <v>smurf</v>
      </c>
      <c r="C10705" s="2" t="str">
        <f ca="1">IFERROR(__xludf.DUMMYFUNCTION("""COMPUTED_VALUE"""),"Real Smurf Cat-шайлушай")</f>
        <v>Real Smurf Cat-шайлушай</v>
      </c>
    </row>
    <row r="10706" spans="1:3" x14ac:dyDescent="0.25">
      <c r="A10706" s="2" t="str">
        <f ca="1">IFERROR(__xludf.DUMMYFUNCTION("""COMPUTED_VALUE"""),"real-smurf-cat-bsc")</f>
        <v>real-smurf-cat-bsc</v>
      </c>
      <c r="B10706" s="2" t="str">
        <f ca="1">IFERROR(__xludf.DUMMYFUNCTION("""COMPUTED_VALUE"""),"шайлушай")</f>
        <v>шайлушай</v>
      </c>
      <c r="C10706" s="2" t="str">
        <f ca="1">IFERROR(__xludf.DUMMYFUNCTION("""COMPUTED_VALUE"""),"Real Smurf Cat BSC")</f>
        <v>Real Smurf Cat BSC</v>
      </c>
    </row>
    <row r="10707" spans="1:3" x14ac:dyDescent="0.25">
      <c r="A10707" s="2" t="str">
        <f ca="1">IFERROR(__xludf.DUMMYFUNCTION("""COMPUTED_VALUE"""),"real-sociedad-fan-token")</f>
        <v>real-sociedad-fan-token</v>
      </c>
      <c r="B10707" s="2" t="str">
        <f ca="1">IFERROR(__xludf.DUMMYFUNCTION("""COMPUTED_VALUE"""),"rso")</f>
        <v>rso</v>
      </c>
      <c r="C10707" s="2" t="str">
        <f ca="1">IFERROR(__xludf.DUMMYFUNCTION("""COMPUTED_VALUE"""),"Real Sociedad Fan Token")</f>
        <v>Real Sociedad Fan Token</v>
      </c>
    </row>
    <row r="10708" spans="1:3" x14ac:dyDescent="0.25">
      <c r="A10708" s="2" t="str">
        <f ca="1">IFERROR(__xludf.DUMMYFUNCTION("""COMPUTED_VALUE"""),"real-tok")</f>
        <v>real-tok</v>
      </c>
      <c r="B10708" s="2" t="str">
        <f ca="1">IFERROR(__xludf.DUMMYFUNCTION("""COMPUTED_VALUE"""),"rlto")</f>
        <v>rlto</v>
      </c>
      <c r="C10708" s="2" t="str">
        <f ca="1">IFERROR(__xludf.DUMMYFUNCTION("""COMPUTED_VALUE"""),"REAL-TOK")</f>
        <v>REAL-TOK</v>
      </c>
    </row>
    <row r="10709" spans="1:3" x14ac:dyDescent="0.25">
      <c r="A10709" s="2" t="str">
        <f ca="1">IFERROR(__xludf.DUMMYFUNCTION("""COMPUTED_VALUE"""),"realtoken-ecosystem-governance")</f>
        <v>realtoken-ecosystem-governance</v>
      </c>
      <c r="B10709" s="2" t="str">
        <f ca="1">IFERROR(__xludf.DUMMYFUNCTION("""COMPUTED_VALUE"""),"reg")</f>
        <v>reg</v>
      </c>
      <c r="C10709" s="2" t="str">
        <f ca="1">IFERROR(__xludf.DUMMYFUNCTION("""COMPUTED_VALUE"""),"RealToken Ecosystem Governance")</f>
        <v>RealToken Ecosystem Governance</v>
      </c>
    </row>
    <row r="10710" spans="1:3" x14ac:dyDescent="0.25">
      <c r="A10710" s="2" t="str">
        <f ca="1">IFERROR(__xludf.DUMMYFUNCTION("""COMPUTED_VALUE"""),"real-usd")</f>
        <v>real-usd</v>
      </c>
      <c r="B10710" s="2" t="str">
        <f ca="1">IFERROR(__xludf.DUMMYFUNCTION("""COMPUTED_VALUE"""),"usdr")</f>
        <v>usdr</v>
      </c>
      <c r="C10710" s="2" t="str">
        <f ca="1">IFERROR(__xludf.DUMMYFUNCTION("""COMPUTED_VALUE"""),"Real USD")</f>
        <v>Real USD</v>
      </c>
    </row>
    <row r="10711" spans="1:3" x14ac:dyDescent="0.25">
      <c r="A10711" s="2" t="str">
        <f ca="1">IFERROR(__xludf.DUMMYFUNCTION("""COMPUTED_VALUE"""),"real-us-t-bill")</f>
        <v>real-us-t-bill</v>
      </c>
      <c r="B10711" s="2" t="str">
        <f ca="1">IFERROR(__xludf.DUMMYFUNCTION("""COMPUTED_VALUE"""),"ustb")</f>
        <v>ustb</v>
      </c>
      <c r="C10711" s="2" t="str">
        <f ca="1">IFERROR(__xludf.DUMMYFUNCTION("""COMPUTED_VALUE"""),"Re.al US T-Bill")</f>
        <v>Re.al US T-Bill</v>
      </c>
    </row>
    <row r="10712" spans="1:3" x14ac:dyDescent="0.25">
      <c r="A10712" s="2" t="str">
        <f ca="1">IFERROR(__xludf.DUMMYFUNCTION("""COMPUTED_VALUE"""),"realvirm")</f>
        <v>realvirm</v>
      </c>
      <c r="B10712" s="2" t="str">
        <f ca="1">IFERROR(__xludf.DUMMYFUNCTION("""COMPUTED_VALUE"""),"rvm")</f>
        <v>rvm</v>
      </c>
      <c r="C10712" s="2" t="str">
        <f ca="1">IFERROR(__xludf.DUMMYFUNCTION("""COMPUTED_VALUE"""),"Realvirm")</f>
        <v>Realvirm</v>
      </c>
    </row>
    <row r="10713" spans="1:3" x14ac:dyDescent="0.25">
      <c r="A10713" s="2" t="str">
        <f ca="1">IFERROR(__xludf.DUMMYFUNCTION("""COMPUTED_VALUE"""),"real-world-abs")</f>
        <v>real-world-abs</v>
      </c>
      <c r="B10713" s="2" t="str">
        <f ca="1">IFERROR(__xludf.DUMMYFUNCTION("""COMPUTED_VALUE"""),"rwa")</f>
        <v>rwa</v>
      </c>
      <c r="C10713" s="2" t="str">
        <f ca="1">IFERROR(__xludf.DUMMYFUNCTION("""COMPUTED_VALUE"""),"Real World Abs")</f>
        <v>Real World Abs</v>
      </c>
    </row>
    <row r="10714" spans="1:3" x14ac:dyDescent="0.25">
      <c r="A10714" s="2" t="str">
        <f ca="1">IFERROR(__xludf.DUMMYFUNCTION("""COMPUTED_VALUE"""),"real-world-assets")</f>
        <v>real-world-assets</v>
      </c>
      <c r="B10714" s="2" t="str">
        <f ca="1">IFERROR(__xludf.DUMMYFUNCTION("""COMPUTED_VALUE"""),"rwa")</f>
        <v>rwa</v>
      </c>
      <c r="C10714" s="2" t="str">
        <f ca="1">IFERROR(__xludf.DUMMYFUNCTION("""COMPUTED_VALUE"""),"Real World Assets")</f>
        <v>Real World Assets</v>
      </c>
    </row>
    <row r="10715" spans="1:3" x14ac:dyDescent="0.25">
      <c r="A10715" s="2" t="str">
        <f ca="1">IFERROR(__xludf.DUMMYFUNCTION("""COMPUTED_VALUE"""),"realworldx")</f>
        <v>realworldx</v>
      </c>
      <c r="B10715" s="2" t="str">
        <f ca="1">IFERROR(__xludf.DUMMYFUNCTION("""COMPUTED_VALUE"""),"rwx")</f>
        <v>rwx</v>
      </c>
      <c r="C10715" s="2" t="str">
        <f ca="1">IFERROR(__xludf.DUMMYFUNCTION("""COMPUTED_VALUE"""),"RealWorldX")</f>
        <v>RealWorldX</v>
      </c>
    </row>
    <row r="10716" spans="1:3" x14ac:dyDescent="0.25">
      <c r="A10716" s="2" t="str">
        <f ca="1">IFERROR(__xludf.DUMMYFUNCTION("""COMPUTED_VALUE"""),"realy-metaverse")</f>
        <v>realy-metaverse</v>
      </c>
      <c r="B10716" s="2" t="str">
        <f ca="1">IFERROR(__xludf.DUMMYFUNCTION("""COMPUTED_VALUE"""),"real")</f>
        <v>real</v>
      </c>
      <c r="C10716" s="2" t="str">
        <f ca="1">IFERROR(__xludf.DUMMYFUNCTION("""COMPUTED_VALUE"""),"Realy Metaverse")</f>
        <v>Realy Metaverse</v>
      </c>
    </row>
    <row r="10717" spans="1:3" x14ac:dyDescent="0.25">
      <c r="A10717" s="2" t="str">
        <f ca="1">IFERROR(__xludf.DUMMYFUNCTION("""COMPUTED_VALUE"""),"reapchain")</f>
        <v>reapchain</v>
      </c>
      <c r="B10717" s="2" t="str">
        <f ca="1">IFERROR(__xludf.DUMMYFUNCTION("""COMPUTED_VALUE"""),"reap")</f>
        <v>reap</v>
      </c>
      <c r="C10717" s="2" t="str">
        <f ca="1">IFERROR(__xludf.DUMMYFUNCTION("""COMPUTED_VALUE"""),"ReapChain")</f>
        <v>ReapChain</v>
      </c>
    </row>
    <row r="10718" spans="1:3" x14ac:dyDescent="0.25">
      <c r="A10718" s="2" t="str">
        <f ca="1">IFERROR(__xludf.DUMMYFUNCTION("""COMPUTED_VALUE"""),"reaper-token")</f>
        <v>reaper-token</v>
      </c>
      <c r="B10718" s="2" t="str">
        <f ca="1">IFERROR(__xludf.DUMMYFUNCTION("""COMPUTED_VALUE"""),"reaper")</f>
        <v>reaper</v>
      </c>
      <c r="C10718" s="2" t="str">
        <f ca="1">IFERROR(__xludf.DUMMYFUNCTION("""COMPUTED_VALUE"""),"Reaper")</f>
        <v>Reaper</v>
      </c>
    </row>
    <row r="10719" spans="1:3" x14ac:dyDescent="0.25">
      <c r="A10719" s="2" t="str">
        <f ca="1">IFERROR(__xludf.DUMMYFUNCTION("""COMPUTED_VALUE"""),"rebase-base")</f>
        <v>rebase-base</v>
      </c>
      <c r="B10719" s="2" t="str">
        <f ca="1">IFERROR(__xludf.DUMMYFUNCTION("""COMPUTED_VALUE"""),"rebase")</f>
        <v>rebase</v>
      </c>
      <c r="C10719" s="2" t="str">
        <f ca="1">IFERROR(__xludf.DUMMYFUNCTION("""COMPUTED_VALUE"""),"Rebase")</f>
        <v>Rebase</v>
      </c>
    </row>
    <row r="10720" spans="1:3" x14ac:dyDescent="0.25">
      <c r="A10720" s="2" t="str">
        <f ca="1">IFERROR(__xludf.DUMMYFUNCTION("""COMPUTED_VALUE"""),"rebasechain")</f>
        <v>rebasechain</v>
      </c>
      <c r="B10720" s="2" t="str">
        <f ca="1">IFERROR(__xludf.DUMMYFUNCTION("""COMPUTED_VALUE"""),"base")</f>
        <v>base</v>
      </c>
      <c r="C10720" s="2" t="str">
        <f ca="1">IFERROR(__xludf.DUMMYFUNCTION("""COMPUTED_VALUE"""),"ReBaseChain")</f>
        <v>ReBaseChain</v>
      </c>
    </row>
    <row r="10721" spans="1:3" x14ac:dyDescent="0.25">
      <c r="A10721" s="2" t="str">
        <f ca="1">IFERROR(__xludf.DUMMYFUNCTION("""COMPUTED_VALUE"""),"rebase-gg-irl")</f>
        <v>rebase-gg-irl</v>
      </c>
      <c r="B10721" s="2" t="str">
        <f ca="1">IFERROR(__xludf.DUMMYFUNCTION("""COMPUTED_VALUE"""),"$irl")</f>
        <v>$irl</v>
      </c>
      <c r="C10721" s="2" t="str">
        <f ca="1">IFERROR(__xludf.DUMMYFUNCTION("""COMPUTED_VALUE"""),"Rebase GG IRL")</f>
        <v>Rebase GG IRL</v>
      </c>
    </row>
    <row r="10722" spans="1:3" x14ac:dyDescent="0.25">
      <c r="A10722" s="2" t="str">
        <f ca="1">IFERROR(__xludf.DUMMYFUNCTION("""COMPUTED_VALUE"""),"rebel-bots")</f>
        <v>rebel-bots</v>
      </c>
      <c r="B10722" s="2" t="str">
        <f ca="1">IFERROR(__xludf.DUMMYFUNCTION("""COMPUTED_VALUE"""),"rbls")</f>
        <v>rbls</v>
      </c>
      <c r="C10722" s="2" t="str">
        <f ca="1">IFERROR(__xludf.DUMMYFUNCTION("""COMPUTED_VALUE"""),"Rebel Bots")</f>
        <v>Rebel Bots</v>
      </c>
    </row>
    <row r="10723" spans="1:3" x14ac:dyDescent="0.25">
      <c r="A10723" s="2" t="str">
        <f ca="1">IFERROR(__xludf.DUMMYFUNCTION("""COMPUTED_VALUE"""),"rebel-cars")</f>
        <v>rebel-cars</v>
      </c>
      <c r="B10723" s="2" t="str">
        <f ca="1">IFERROR(__xludf.DUMMYFUNCTION("""COMPUTED_VALUE"""),"rc")</f>
        <v>rc</v>
      </c>
      <c r="C10723" s="2" t="str">
        <f ca="1">IFERROR(__xludf.DUMMYFUNCTION("""COMPUTED_VALUE"""),"Rebel Cars")</f>
        <v>Rebel Cars</v>
      </c>
    </row>
    <row r="10724" spans="1:3" x14ac:dyDescent="0.25">
      <c r="A10724" s="2" t="str">
        <f ca="1">IFERROR(__xludf.DUMMYFUNCTION("""COMPUTED_VALUE"""),"reboot")</f>
        <v>reboot</v>
      </c>
      <c r="B10724" s="2" t="str">
        <f ca="1">IFERROR(__xludf.DUMMYFUNCTION("""COMPUTED_VALUE"""),"gg")</f>
        <v>gg</v>
      </c>
      <c r="C10724" s="2" t="str">
        <f ca="1">IFERROR(__xludf.DUMMYFUNCTION("""COMPUTED_VALUE"""),"Reboot")</f>
        <v>Reboot</v>
      </c>
    </row>
    <row r="10725" spans="1:3" x14ac:dyDescent="0.25">
      <c r="A10725" s="2" t="str">
        <f ca="1">IFERROR(__xludf.DUMMYFUNCTION("""COMPUTED_VALUE"""),"reboot-world")</f>
        <v>reboot-world</v>
      </c>
      <c r="B10725" s="2" t="str">
        <f ca="1">IFERROR(__xludf.DUMMYFUNCTION("""COMPUTED_VALUE"""),"rbt")</f>
        <v>rbt</v>
      </c>
      <c r="C10725" s="2" t="str">
        <f ca="1">IFERROR(__xludf.DUMMYFUNCTION("""COMPUTED_VALUE"""),"Reboot World")</f>
        <v>Reboot World</v>
      </c>
    </row>
    <row r="10726" spans="1:3" x14ac:dyDescent="0.25">
      <c r="A10726" s="2" t="str">
        <f ca="1">IFERROR(__xludf.DUMMYFUNCTION("""COMPUTED_VALUE"""),"rebus")</f>
        <v>rebus</v>
      </c>
      <c r="B10726" s="2" t="str">
        <f ca="1">IFERROR(__xludf.DUMMYFUNCTION("""COMPUTED_VALUE"""),"rebus")</f>
        <v>rebus</v>
      </c>
      <c r="C10726" s="2" t="str">
        <f ca="1">IFERROR(__xludf.DUMMYFUNCTION("""COMPUTED_VALUE"""),"Rebus")</f>
        <v>Rebus</v>
      </c>
    </row>
    <row r="10727" spans="1:3" x14ac:dyDescent="0.25">
      <c r="A10727" s="2" t="str">
        <f ca="1">IFERROR(__xludf.DUMMYFUNCTION("""COMPUTED_VALUE"""),"recast1")</f>
        <v>recast1</v>
      </c>
      <c r="B10727" s="2" t="str">
        <f ca="1">IFERROR(__xludf.DUMMYFUNCTION("""COMPUTED_VALUE"""),"r1")</f>
        <v>r1</v>
      </c>
      <c r="C10727" s="2" t="str">
        <f ca="1">IFERROR(__xludf.DUMMYFUNCTION("""COMPUTED_VALUE"""),"Recast1")</f>
        <v>Recast1</v>
      </c>
    </row>
    <row r="10728" spans="1:3" x14ac:dyDescent="0.25">
      <c r="A10728" s="2" t="str">
        <f ca="1">IFERROR(__xludf.DUMMYFUNCTION("""COMPUTED_VALUE"""),"recharge")</f>
        <v>recharge</v>
      </c>
      <c r="B10728" s="2" t="str">
        <f ca="1">IFERROR(__xludf.DUMMYFUNCTION("""COMPUTED_VALUE"""),"rcg")</f>
        <v>rcg</v>
      </c>
      <c r="C10728" s="2" t="str">
        <f ca="1">IFERROR(__xludf.DUMMYFUNCTION("""COMPUTED_VALUE"""),"Recharge")</f>
        <v>Recharge</v>
      </c>
    </row>
    <row r="10729" spans="1:3" x14ac:dyDescent="0.25">
      <c r="A10729" s="2" t="str">
        <f ca="1">IFERROR(__xludf.DUMMYFUNCTION("""COMPUTED_VALUE"""),"recoverydao")</f>
        <v>recoverydao</v>
      </c>
      <c r="B10729" s="2" t="str">
        <f ca="1">IFERROR(__xludf.DUMMYFUNCTION("""COMPUTED_VALUE"""),"rec")</f>
        <v>rec</v>
      </c>
      <c r="C10729" s="2" t="str">
        <f ca="1">IFERROR(__xludf.DUMMYFUNCTION("""COMPUTED_VALUE"""),"RecoveryDAO")</f>
        <v>RecoveryDAO</v>
      </c>
    </row>
    <row r="10730" spans="1:3" x14ac:dyDescent="0.25">
      <c r="A10730" s="2" t="str">
        <f ca="1">IFERROR(__xludf.DUMMYFUNCTION("""COMPUTED_VALUE"""),"recovery-right-token")</f>
        <v>recovery-right-token</v>
      </c>
      <c r="B10730" s="2" t="str">
        <f ca="1">IFERROR(__xludf.DUMMYFUNCTION("""COMPUTED_VALUE"""),"rrt")</f>
        <v>rrt</v>
      </c>
      <c r="C10730" s="2" t="str">
        <f ca="1">IFERROR(__xludf.DUMMYFUNCTION("""COMPUTED_VALUE"""),"Recovery Right")</f>
        <v>Recovery Right</v>
      </c>
    </row>
    <row r="10731" spans="1:3" x14ac:dyDescent="0.25">
      <c r="A10731" s="2" t="str">
        <f ca="1">IFERROR(__xludf.DUMMYFUNCTION("""COMPUTED_VALUE"""),"rectangle-finance")</f>
        <v>rectangle-finance</v>
      </c>
      <c r="B10731" s="2" t="str">
        <f ca="1">IFERROR(__xludf.DUMMYFUNCTION("""COMPUTED_VALUE"""),"rtg")</f>
        <v>rtg</v>
      </c>
      <c r="C10731" s="2" t="str">
        <f ca="1">IFERROR(__xludf.DUMMYFUNCTION("""COMPUTED_VALUE"""),"Rectangle Finance")</f>
        <v>Rectangle Finance</v>
      </c>
    </row>
    <row r="10732" spans="1:3" x14ac:dyDescent="0.25">
      <c r="A10732" s="2" t="str">
        <f ca="1">IFERROR(__xludf.DUMMYFUNCTION("""COMPUTED_VALUE"""),"rectime")</f>
        <v>rectime</v>
      </c>
      <c r="B10732" s="2" t="str">
        <f ca="1">IFERROR(__xludf.DUMMYFUNCTION("""COMPUTED_VALUE"""),"rtime")</f>
        <v>rtime</v>
      </c>
      <c r="C10732" s="2" t="str">
        <f ca="1">IFERROR(__xludf.DUMMYFUNCTION("""COMPUTED_VALUE"""),"RecTime")</f>
        <v>RecTime</v>
      </c>
    </row>
    <row r="10733" spans="1:3" x14ac:dyDescent="0.25">
      <c r="A10733" s="2" t="str">
        <f ca="1">IFERROR(__xludf.DUMMYFUNCTION("""COMPUTED_VALUE"""),"recycle-impact-world-association")</f>
        <v>recycle-impact-world-association</v>
      </c>
      <c r="B10733" s="2" t="str">
        <f ca="1">IFERROR(__xludf.DUMMYFUNCTION("""COMPUTED_VALUE"""),"riwa")</f>
        <v>riwa</v>
      </c>
      <c r="C10733" s="2" t="str">
        <f ca="1">IFERROR(__xludf.DUMMYFUNCTION("""COMPUTED_VALUE"""),"Recycle Impact World Association")</f>
        <v>Recycle Impact World Association</v>
      </c>
    </row>
    <row r="10734" spans="1:3" x14ac:dyDescent="0.25">
      <c r="A10734" s="2" t="str">
        <f ca="1">IFERROR(__xludf.DUMMYFUNCTION("""COMPUTED_VALUE"""),"red")</f>
        <v>red</v>
      </c>
      <c r="B10734" s="2" t="str">
        <f ca="1">IFERROR(__xludf.DUMMYFUNCTION("""COMPUTED_VALUE"""),"red")</f>
        <v>red</v>
      </c>
      <c r="C10734" s="2" t="str">
        <f ca="1">IFERROR(__xludf.DUMMYFUNCTION("""COMPUTED_VALUE"""),"Red")</f>
        <v>Red</v>
      </c>
    </row>
    <row r="10735" spans="1:3" x14ac:dyDescent="0.25">
      <c r="A10735" s="2" t="str">
        <f ca="1">IFERROR(__xludf.DUMMYFUNCTION("""COMPUTED_VALUE"""),"redacted")</f>
        <v>redacted</v>
      </c>
      <c r="B10735" s="2" t="str">
        <f ca="1">IFERROR(__xludf.DUMMYFUNCTION("""COMPUTED_VALUE"""),"btrfly")</f>
        <v>btrfly</v>
      </c>
      <c r="C10735" s="2" t="str">
        <f ca="1">IFERROR(__xludf.DUMMYFUNCTION("""COMPUTED_VALUE"""),"Redacted")</f>
        <v>Redacted</v>
      </c>
    </row>
    <row r="10736" spans="1:3" x14ac:dyDescent="0.25">
      <c r="A10736" s="2" t="str">
        <f ca="1">IFERROR(__xludf.DUMMYFUNCTION("""COMPUTED_VALUE"""),"redbelly-network-token")</f>
        <v>redbelly-network-token</v>
      </c>
      <c r="B10736" s="2" t="str">
        <f ca="1">IFERROR(__xludf.DUMMYFUNCTION("""COMPUTED_VALUE"""),"rbnt")</f>
        <v>rbnt</v>
      </c>
      <c r="C10736" s="2" t="str">
        <f ca="1">IFERROR(__xludf.DUMMYFUNCTION("""COMPUTED_VALUE"""),"Redbelly Network Coin")</f>
        <v>Redbelly Network Coin</v>
      </c>
    </row>
    <row r="10737" spans="1:3" x14ac:dyDescent="0.25">
      <c r="A10737" s="2" t="str">
        <f ca="1">IFERROR(__xludf.DUMMYFUNCTION("""COMPUTED_VALUE"""),"reddcoin")</f>
        <v>reddcoin</v>
      </c>
      <c r="B10737" s="2" t="str">
        <f ca="1">IFERROR(__xludf.DUMMYFUNCTION("""COMPUTED_VALUE"""),"rdd")</f>
        <v>rdd</v>
      </c>
      <c r="C10737" s="2" t="str">
        <f ca="1">IFERROR(__xludf.DUMMYFUNCTION("""COMPUTED_VALUE"""),"Reddcoin")</f>
        <v>Reddcoin</v>
      </c>
    </row>
    <row r="10738" spans="1:3" x14ac:dyDescent="0.25">
      <c r="A10738" s="2" t="str">
        <f ca="1">IFERROR(__xludf.DUMMYFUNCTION("""COMPUTED_VALUE"""),"reddio-usdt")</f>
        <v>reddio-usdt</v>
      </c>
      <c r="B10738" s="2" t="str">
        <f ca="1">IFERROR(__xludf.DUMMYFUNCTION("""COMPUTED_VALUE"""),"rsvusdt")</f>
        <v>rsvusdt</v>
      </c>
      <c r="C10738" s="2" t="str">
        <f ca="1">IFERROR(__xludf.DUMMYFUNCTION("""COMPUTED_VALUE"""),"Reddio USDT")</f>
        <v>Reddio USDT</v>
      </c>
    </row>
    <row r="10739" spans="1:3" x14ac:dyDescent="0.25">
      <c r="A10739" s="2" t="str">
        <f ca="1">IFERROR(__xludf.DUMMYFUNCTION("""COMPUTED_VALUE"""),"reddit")</f>
        <v>reddit</v>
      </c>
      <c r="B10739" s="2" t="str">
        <f ca="1">IFERROR(__xludf.DUMMYFUNCTION("""COMPUTED_VALUE"""),"reddit")</f>
        <v>reddit</v>
      </c>
      <c r="C10739" s="2" t="str">
        <f ca="1">IFERROR(__xludf.DUMMYFUNCTION("""COMPUTED_VALUE"""),"Reddit")</f>
        <v>Reddit</v>
      </c>
    </row>
    <row r="10740" spans="1:3" x14ac:dyDescent="0.25">
      <c r="A10740" s="2" t="str">
        <f ca="1">IFERROR(__xludf.DUMMYFUNCTION("""COMPUTED_VALUE"""),"redecoin")</f>
        <v>redecoin</v>
      </c>
      <c r="B10740" s="2" t="str">
        <f ca="1">IFERROR(__xludf.DUMMYFUNCTION("""COMPUTED_VALUE"""),"redev2")</f>
        <v>redev2</v>
      </c>
      <c r="C10740" s="2" t="str">
        <f ca="1">IFERROR(__xludf.DUMMYFUNCTION("""COMPUTED_VALUE"""),"Redecoin")</f>
        <v>Redecoin</v>
      </c>
    </row>
    <row r="10741" spans="1:3" x14ac:dyDescent="0.25">
      <c r="A10741" s="2" t="str">
        <f ca="1">IFERROR(__xludf.DUMMYFUNCTION("""COMPUTED_VALUE"""),"redemption-token")</f>
        <v>redemption-token</v>
      </c>
      <c r="B10741" s="2" t="str">
        <f ca="1">IFERROR(__xludf.DUMMYFUNCTION("""COMPUTED_VALUE"""),"rdtn")</f>
        <v>rdtn</v>
      </c>
      <c r="C10741" s="2" t="str">
        <f ca="1">IFERROR(__xludf.DUMMYFUNCTION("""COMPUTED_VALUE"""),"Redemption Token")</f>
        <v>Redemption Token</v>
      </c>
    </row>
    <row r="10742" spans="1:3" x14ac:dyDescent="0.25">
      <c r="A10742" s="2" t="str">
        <f ca="1">IFERROR(__xludf.DUMMYFUNCTION("""COMPUTED_VALUE"""),"redfeg")</f>
        <v>redfeg</v>
      </c>
      <c r="B10742" s="2" t="str">
        <f ca="1">IFERROR(__xludf.DUMMYFUNCTION("""COMPUTED_VALUE"""),"redfeg")</f>
        <v>redfeg</v>
      </c>
      <c r="C10742" s="2" t="str">
        <f ca="1">IFERROR(__xludf.DUMMYFUNCTION("""COMPUTED_VALUE"""),"RedFeg")</f>
        <v>RedFeg</v>
      </c>
    </row>
    <row r="10743" spans="1:3" x14ac:dyDescent="0.25">
      <c r="A10743" s="2" t="str">
        <f ca="1">IFERROR(__xludf.DUMMYFUNCTION("""COMPUTED_VALUE"""),"redfox-labs-2")</f>
        <v>redfox-labs-2</v>
      </c>
      <c r="B10743" s="2" t="str">
        <f ca="1">IFERROR(__xludf.DUMMYFUNCTION("""COMPUTED_VALUE"""),"rfox")</f>
        <v>rfox</v>
      </c>
      <c r="C10743" s="2" t="str">
        <f ca="1">IFERROR(__xludf.DUMMYFUNCTION("""COMPUTED_VALUE"""),"RFOX")</f>
        <v>RFOX</v>
      </c>
    </row>
    <row r="10744" spans="1:3" x14ac:dyDescent="0.25">
      <c r="A10744" s="2" t="str">
        <f ca="1">IFERROR(__xludf.DUMMYFUNCTION("""COMPUTED_VALUE"""),"red-hat-games")</f>
        <v>red-hat-games</v>
      </c>
      <c r="B10744" s="2" t="str">
        <f ca="1">IFERROR(__xludf.DUMMYFUNCTION("""COMPUTED_VALUE"""),"agame")</f>
        <v>agame</v>
      </c>
      <c r="C10744" s="2" t="str">
        <f ca="1">IFERROR(__xludf.DUMMYFUNCTION("""COMPUTED_VALUE"""),"Red Hat Games")</f>
        <v>Red Hat Games</v>
      </c>
    </row>
    <row r="10745" spans="1:3" x14ac:dyDescent="0.25">
      <c r="A10745" s="2" t="str">
        <f ca="1">IFERROR(__xludf.DUMMYFUNCTION("""COMPUTED_VALUE"""),"red-pepe")</f>
        <v>red-pepe</v>
      </c>
      <c r="B10745" s="2" t="str">
        <f ca="1">IFERROR(__xludf.DUMMYFUNCTION("""COMPUTED_VALUE"""),"redpepe")</f>
        <v>redpepe</v>
      </c>
      <c r="C10745" s="2" t="str">
        <f ca="1">IFERROR(__xludf.DUMMYFUNCTION("""COMPUTED_VALUE"""),"Red Pepe")</f>
        <v>Red Pepe</v>
      </c>
    </row>
    <row r="10746" spans="1:3" x14ac:dyDescent="0.25">
      <c r="A10746" s="2" t="str">
        <f ca="1">IFERROR(__xludf.DUMMYFUNCTION("""COMPUTED_VALUE"""),"red-pepe-2")</f>
        <v>red-pepe-2</v>
      </c>
      <c r="B10746" s="2" t="str">
        <f ca="1">IFERROR(__xludf.DUMMYFUNCTION("""COMPUTED_VALUE"""),"rpepe")</f>
        <v>rpepe</v>
      </c>
      <c r="C10746" s="2" t="str">
        <f ca="1">IFERROR(__xludf.DUMMYFUNCTION("""COMPUTED_VALUE"""),"Red Pepe")</f>
        <v>Red Pepe</v>
      </c>
    </row>
    <row r="10747" spans="1:3" x14ac:dyDescent="0.25">
      <c r="A10747" s="2" t="str">
        <f ca="1">IFERROR(__xludf.DUMMYFUNCTION("""COMPUTED_VALUE"""),"red-pill-2")</f>
        <v>red-pill-2</v>
      </c>
      <c r="B10747" s="2" t="str">
        <f ca="1">IFERROR(__xludf.DUMMYFUNCTION("""COMPUTED_VALUE"""),"rpill")</f>
        <v>rpill</v>
      </c>
      <c r="C10747" s="2" t="str">
        <f ca="1">IFERROR(__xludf.DUMMYFUNCTION("""COMPUTED_VALUE"""),"Red Pill")</f>
        <v>Red Pill</v>
      </c>
    </row>
    <row r="10748" spans="1:3" x14ac:dyDescent="0.25">
      <c r="A10748" s="2" t="str">
        <f ca="1">IFERROR(__xludf.DUMMYFUNCTION("""COMPUTED_VALUE"""),"red-pulse")</f>
        <v>red-pulse</v>
      </c>
      <c r="B10748" s="2" t="str">
        <f ca="1">IFERROR(__xludf.DUMMYFUNCTION("""COMPUTED_VALUE"""),"phb")</f>
        <v>phb</v>
      </c>
      <c r="C10748" s="2" t="str">
        <f ca="1">IFERROR(__xludf.DUMMYFUNCTION("""COMPUTED_VALUE"""),"Phoenix Global [OLD]")</f>
        <v>Phoenix Global [OLD]</v>
      </c>
    </row>
    <row r="10749" spans="1:3" x14ac:dyDescent="0.25">
      <c r="A10749" s="2" t="str">
        <f ca="1">IFERROR(__xludf.DUMMYFUNCTION("""COMPUTED_VALUE"""),"redsonic-vault-ethereum")</f>
        <v>redsonic-vault-ethereum</v>
      </c>
      <c r="B10749" s="2" t="str">
        <f ca="1">IFERROR(__xludf.DUMMYFUNCTION("""COMPUTED_VALUE"""),"rsveth")</f>
        <v>rsveth</v>
      </c>
      <c r="C10749" s="2" t="str">
        <f ca="1">IFERROR(__xludf.DUMMYFUNCTION("""COMPUTED_VALUE"""),"Reddio Vault Ethereum")</f>
        <v>Reddio Vault Ethereum</v>
      </c>
    </row>
    <row r="10750" spans="1:3" x14ac:dyDescent="0.25">
      <c r="A10750" s="2" t="str">
        <f ca="1">IFERROR(__xludf.DUMMYFUNCTION("""COMPUTED_VALUE"""),"redsonic-vault-tether-usd")</f>
        <v>redsonic-vault-tether-usd</v>
      </c>
      <c r="B10750" s="2" t="str">
        <f ca="1">IFERROR(__xludf.DUMMYFUNCTION("""COMPUTED_VALUE"""),"rsvusdt")</f>
        <v>rsvusdt</v>
      </c>
      <c r="C10750" s="2" t="str">
        <f ca="1">IFERROR(__xludf.DUMMYFUNCTION("""COMPUTED_VALUE"""),"RedSonic Vault Tether USD")</f>
        <v>RedSonic Vault Tether USD</v>
      </c>
    </row>
    <row r="10751" spans="1:3" x14ac:dyDescent="0.25">
      <c r="A10751" s="2" t="str">
        <f ca="1">IFERROR(__xludf.DUMMYFUNCTION("""COMPUTED_VALUE"""),"redstone")</f>
        <v>redstone</v>
      </c>
      <c r="B10751" s="2" t="str">
        <f ca="1">IFERROR(__xludf.DUMMYFUNCTION("""COMPUTED_VALUE"""),"redstone")</f>
        <v>redstone</v>
      </c>
      <c r="C10751" s="2" t="str">
        <f ca="1">IFERROR(__xludf.DUMMYFUNCTION("""COMPUTED_VALUE"""),"RedStone")</f>
        <v>RedStone</v>
      </c>
    </row>
    <row r="10752" spans="1:3" x14ac:dyDescent="0.25">
      <c r="A10752" s="2" t="str">
        <f ca="1">IFERROR(__xludf.DUMMYFUNCTION("""COMPUTED_VALUE"""),"red-the-mal")</f>
        <v>red-the-mal</v>
      </c>
      <c r="B10752" s="2" t="str">
        <f ca="1">IFERROR(__xludf.DUMMYFUNCTION("""COMPUTED_VALUE"""),"red")</f>
        <v>red</v>
      </c>
      <c r="C10752" s="2" t="str">
        <f ca="1">IFERROR(__xludf.DUMMYFUNCTION("""COMPUTED_VALUE"""),"Red The Mal")</f>
        <v>Red The Mal</v>
      </c>
    </row>
    <row r="10753" spans="1:3" x14ac:dyDescent="0.25">
      <c r="A10753" s="2" t="str">
        <f ca="1">IFERROR(__xludf.DUMMYFUNCTION("""COMPUTED_VALUE"""),"red-token")</f>
        <v>red-token</v>
      </c>
      <c r="B10753" s="2" t="str">
        <f ca="1">IFERROR(__xludf.DUMMYFUNCTION("""COMPUTED_VALUE"""),"red")</f>
        <v>red</v>
      </c>
      <c r="C10753" s="2" t="str">
        <f ca="1">IFERROR(__xludf.DUMMYFUNCTION("""COMPUTED_VALUE"""),"RED TOKEN")</f>
        <v>RED TOKEN</v>
      </c>
    </row>
    <row r="10754" spans="1:3" x14ac:dyDescent="0.25">
      <c r="A10754" s="2" t="str">
        <f ca="1">IFERROR(__xludf.DUMMYFUNCTION("""COMPUTED_VALUE"""),"redux-vault")</f>
        <v>redux-vault</v>
      </c>
      <c r="B10754" s="2" t="str">
        <f ca="1">IFERROR(__xludf.DUMMYFUNCTION("""COMPUTED_VALUE"""),"redux")</f>
        <v>redux</v>
      </c>
      <c r="C10754" s="2" t="str">
        <f ca="1">IFERROR(__xludf.DUMMYFUNCTION("""COMPUTED_VALUE"""),"Redux Vault")</f>
        <v>Redux Vault</v>
      </c>
    </row>
    <row r="10755" spans="1:3" x14ac:dyDescent="0.25">
      <c r="A10755" s="2" t="str">
        <f ca="1">IFERROR(__xludf.DUMMYFUNCTION("""COMPUTED_VALUE"""),"reeeeeeeeeeeeeeeeeeeee")</f>
        <v>reeeeeeeeeeeeeeeeeeeee</v>
      </c>
      <c r="B10755" s="2" t="str">
        <f ca="1">IFERROR(__xludf.DUMMYFUNCTION("""COMPUTED_VALUE"""),"reee")</f>
        <v>reee</v>
      </c>
      <c r="C10755" s="2" t="str">
        <f ca="1">IFERROR(__xludf.DUMMYFUNCTION("""COMPUTED_VALUE"""),"reeeeeeeeeeeeeeeeeeeee")</f>
        <v>reeeeeeeeeeeeeeeeeeeee</v>
      </c>
    </row>
    <row r="10756" spans="1:3" x14ac:dyDescent="0.25">
      <c r="A10756" s="2" t="str">
        <f ca="1">IFERROR(__xludf.DUMMYFUNCTION("""COMPUTED_VALUE"""),"reef")</f>
        <v>reef</v>
      </c>
      <c r="B10756" s="2" t="str">
        <f ca="1">IFERROR(__xludf.DUMMYFUNCTION("""COMPUTED_VALUE"""),"reef")</f>
        <v>reef</v>
      </c>
      <c r="C10756" s="2" t="str">
        <f ca="1">IFERROR(__xludf.DUMMYFUNCTION("""COMPUTED_VALUE"""),"Reef")</f>
        <v>Reef</v>
      </c>
    </row>
    <row r="10757" spans="1:3" x14ac:dyDescent="0.25">
      <c r="A10757" s="2" t="str">
        <f ca="1">IFERROR(__xludf.DUMMYFUNCTION("""COMPUTED_VALUE"""),"reental")</f>
        <v>reental</v>
      </c>
      <c r="B10757" s="2" t="str">
        <f ca="1">IFERROR(__xludf.DUMMYFUNCTION("""COMPUTED_VALUE"""),"rnt")</f>
        <v>rnt</v>
      </c>
      <c r="C10757" s="2" t="str">
        <f ca="1">IFERROR(__xludf.DUMMYFUNCTION("""COMPUTED_VALUE"""),"Reental")</f>
        <v>Reental</v>
      </c>
    </row>
    <row r="10758" spans="1:3" x14ac:dyDescent="0.25">
      <c r="A10758" s="2" t="str">
        <f ca="1">IFERROR(__xludf.DUMMYFUNCTION("""COMPUTED_VALUE"""),"refereum")</f>
        <v>refereum</v>
      </c>
      <c r="B10758" s="2" t="str">
        <f ca="1">IFERROR(__xludf.DUMMYFUNCTION("""COMPUTED_VALUE"""),"rfr")</f>
        <v>rfr</v>
      </c>
      <c r="C10758" s="2" t="str">
        <f ca="1">IFERROR(__xludf.DUMMYFUNCTION("""COMPUTED_VALUE"""),"Refereum")</f>
        <v>Refereum</v>
      </c>
    </row>
    <row r="10759" spans="1:3" x14ac:dyDescent="0.25">
      <c r="A10759" s="2" t="str">
        <f ca="1">IFERROR(__xludf.DUMMYFUNCTION("""COMPUTED_VALUE"""),"ref-finance")</f>
        <v>ref-finance</v>
      </c>
      <c r="B10759" s="2" t="str">
        <f ca="1">IFERROR(__xludf.DUMMYFUNCTION("""COMPUTED_VALUE"""),"ref")</f>
        <v>ref</v>
      </c>
      <c r="C10759" s="2" t="str">
        <f ca="1">IFERROR(__xludf.DUMMYFUNCTION("""COMPUTED_VALUE"""),"Ref Finance")</f>
        <v>Ref Finance</v>
      </c>
    </row>
    <row r="10760" spans="1:3" x14ac:dyDescent="0.25">
      <c r="A10760" s="2" t="str">
        <f ca="1">IFERROR(__xludf.DUMMYFUNCTION("""COMPUTED_VALUE"""),"refinable")</f>
        <v>refinable</v>
      </c>
      <c r="B10760" s="2" t="str">
        <f ca="1">IFERROR(__xludf.DUMMYFUNCTION("""COMPUTED_VALUE"""),"fine")</f>
        <v>fine</v>
      </c>
      <c r="C10760" s="2" t="str">
        <f ca="1">IFERROR(__xludf.DUMMYFUNCTION("""COMPUTED_VALUE"""),"Refinable")</f>
        <v>Refinable</v>
      </c>
    </row>
    <row r="10761" spans="1:3" x14ac:dyDescent="0.25">
      <c r="A10761" s="2" t="str">
        <f ca="1">IFERROR(__xludf.DUMMYFUNCTION("""COMPUTED_VALUE"""),"refi-protocol")</f>
        <v>refi-protocol</v>
      </c>
      <c r="B10761" s="2" t="str">
        <f ca="1">IFERROR(__xludf.DUMMYFUNCTION("""COMPUTED_VALUE"""),"refi")</f>
        <v>refi</v>
      </c>
      <c r="C10761" s="2" t="str">
        <f ca="1">IFERROR(__xludf.DUMMYFUNCTION("""COMPUTED_VALUE"""),"ReFi Protocol")</f>
        <v>ReFi Protocol</v>
      </c>
    </row>
    <row r="10762" spans="1:3" x14ac:dyDescent="0.25">
      <c r="A10762" s="2" t="str">
        <f ca="1">IFERROR(__xludf.DUMMYFUNCTION("""COMPUTED_VALUE"""),"reflect")</f>
        <v>reflect</v>
      </c>
      <c r="B10762" s="2" t="str">
        <f ca="1">IFERROR(__xludf.DUMMYFUNCTION("""COMPUTED_VALUE"""),"$reflect")</f>
        <v>$reflect</v>
      </c>
      <c r="C10762" s="2" t="str">
        <f ca="1">IFERROR(__xludf.DUMMYFUNCTION("""COMPUTED_VALUE"""),"$Reflect")</f>
        <v>$Reflect</v>
      </c>
    </row>
    <row r="10763" spans="1:3" x14ac:dyDescent="0.25">
      <c r="A10763" s="2" t="str">
        <f ca="1">IFERROR(__xludf.DUMMYFUNCTION("""COMPUTED_VALUE"""),"reflect-audit")</f>
        <v>reflect-audit</v>
      </c>
      <c r="B10763" s="2" t="str">
        <f ca="1">IFERROR(__xludf.DUMMYFUNCTION("""COMPUTED_VALUE"""),"ref")</f>
        <v>ref</v>
      </c>
      <c r="C10763" s="2" t="str">
        <f ca="1">IFERROR(__xludf.DUMMYFUNCTION("""COMPUTED_VALUE"""),"Reflect Audit")</f>
        <v>Reflect Audit</v>
      </c>
    </row>
    <row r="10764" spans="1:3" x14ac:dyDescent="0.25">
      <c r="A10764" s="2" t="str">
        <f ca="1">IFERROR(__xludf.DUMMYFUNCTION("""COMPUTED_VALUE"""),"reflect-base")</f>
        <v>reflect-base</v>
      </c>
      <c r="B10764" s="2" t="str">
        <f ca="1">IFERROR(__xludf.DUMMYFUNCTION("""COMPUTED_VALUE"""),"rfl")</f>
        <v>rfl</v>
      </c>
      <c r="C10764" s="2" t="str">
        <f ca="1">IFERROR(__xludf.DUMMYFUNCTION("""COMPUTED_VALUE"""),"Reflect")</f>
        <v>Reflect</v>
      </c>
    </row>
    <row r="10765" spans="1:3" x14ac:dyDescent="0.25">
      <c r="A10765" s="2" t="str">
        <f ca="1">IFERROR(__xludf.DUMMYFUNCTION("""COMPUTED_VALUE"""),"reflecto")</f>
        <v>reflecto</v>
      </c>
      <c r="B10765" s="2" t="str">
        <f ca="1">IFERROR(__xludf.DUMMYFUNCTION("""COMPUTED_VALUE"""),"rto")</f>
        <v>rto</v>
      </c>
      <c r="C10765" s="2" t="str">
        <f ca="1">IFERROR(__xludf.DUMMYFUNCTION("""COMPUTED_VALUE"""),"Reflecto")</f>
        <v>Reflecto</v>
      </c>
    </row>
    <row r="10766" spans="1:3" x14ac:dyDescent="0.25">
      <c r="A10766" s="2" t="str">
        <f ca="1">IFERROR(__xludf.DUMMYFUNCTION("""COMPUTED_VALUE"""),"reflex")</f>
        <v>reflex</v>
      </c>
      <c r="B10766" s="2" t="str">
        <f ca="1">IFERROR(__xludf.DUMMYFUNCTION("""COMPUTED_VALUE"""),"rfx")</f>
        <v>rfx</v>
      </c>
      <c r="C10766" s="2" t="str">
        <f ca="1">IFERROR(__xludf.DUMMYFUNCTION("""COMPUTED_VALUE"""),"Reflex")</f>
        <v>Reflex</v>
      </c>
    </row>
    <row r="10767" spans="1:3" x14ac:dyDescent="0.25">
      <c r="A10767" s="2" t="str">
        <f ca="1">IFERROR(__xludf.DUMMYFUNCTION("""COMPUTED_VALUE"""),"reflexer-ungovernance-token")</f>
        <v>reflexer-ungovernance-token</v>
      </c>
      <c r="B10767" s="2" t="str">
        <f ca="1">IFERROR(__xludf.DUMMYFUNCTION("""COMPUTED_VALUE"""),"flx")</f>
        <v>flx</v>
      </c>
      <c r="C10767" s="2" t="str">
        <f ca="1">IFERROR(__xludf.DUMMYFUNCTION("""COMPUTED_VALUE"""),"Reflexer Ungovernance")</f>
        <v>Reflexer Ungovernance</v>
      </c>
    </row>
    <row r="10768" spans="1:3" x14ac:dyDescent="0.25">
      <c r="A10768" s="2" t="str">
        <f ca="1">IFERROR(__xludf.DUMMYFUNCTION("""COMPUTED_VALUE"""),"refluid")</f>
        <v>refluid</v>
      </c>
      <c r="B10768" s="2" t="str">
        <f ca="1">IFERROR(__xludf.DUMMYFUNCTION("""COMPUTED_VALUE"""),"rld")</f>
        <v>rld</v>
      </c>
      <c r="C10768" s="2" t="str">
        <f ca="1">IFERROR(__xludf.DUMMYFUNCTION("""COMPUTED_VALUE"""),"Refluid")</f>
        <v>Refluid</v>
      </c>
    </row>
    <row r="10769" spans="1:3" x14ac:dyDescent="0.25">
      <c r="A10769" s="2" t="str">
        <f ca="1">IFERROR(__xludf.DUMMYFUNCTION("""COMPUTED_VALUE"""),"reform-dao")</f>
        <v>reform-dao</v>
      </c>
      <c r="B10769" s="2" t="str">
        <f ca="1">IFERROR(__xludf.DUMMYFUNCTION("""COMPUTED_VALUE"""),"rfrm")</f>
        <v>rfrm</v>
      </c>
      <c r="C10769" s="2" t="str">
        <f ca="1">IFERROR(__xludf.DUMMYFUNCTION("""COMPUTED_VALUE"""),"Reform DAO")</f>
        <v>Reform DAO</v>
      </c>
    </row>
    <row r="10770" spans="1:3" x14ac:dyDescent="0.25">
      <c r="A10770" s="2" t="str">
        <f ca="1">IFERROR(__xludf.DUMMYFUNCTION("""COMPUTED_VALUE"""),"refund")</f>
        <v>refund</v>
      </c>
      <c r="B10770" s="2" t="str">
        <f ca="1">IFERROR(__xludf.DUMMYFUNCTION("""COMPUTED_VALUE"""),"rfd")</f>
        <v>rfd</v>
      </c>
      <c r="C10770" s="2" t="str">
        <f ca="1">IFERROR(__xludf.DUMMYFUNCTION("""COMPUTED_VALUE"""),"Refund")</f>
        <v>Refund</v>
      </c>
    </row>
    <row r="10771" spans="1:3" x14ac:dyDescent="0.25">
      <c r="A10771" s="2" t="str">
        <f ca="1">IFERROR(__xludf.DUMMYFUNCTION("""COMPUTED_VALUE"""),"refund-base")</f>
        <v>refund-base</v>
      </c>
      <c r="B10771" s="2" t="str">
        <f ca="1">IFERROR(__xludf.DUMMYFUNCTION("""COMPUTED_VALUE"""),"rfnd")</f>
        <v>rfnd</v>
      </c>
      <c r="C10771" s="2" t="str">
        <f ca="1">IFERROR(__xludf.DUMMYFUNCTION("""COMPUTED_VALUE"""),"Refund (Base)")</f>
        <v>Refund (Base)</v>
      </c>
    </row>
    <row r="10772" spans="1:3" x14ac:dyDescent="0.25">
      <c r="A10772" s="2" t="str">
        <f ca="1">IFERROR(__xludf.DUMMYFUNCTION("""COMPUTED_VALUE"""),"regen")</f>
        <v>regen</v>
      </c>
      <c r="B10772" s="2" t="str">
        <f ca="1">IFERROR(__xludf.DUMMYFUNCTION("""COMPUTED_VALUE"""),"regen")</f>
        <v>regen</v>
      </c>
      <c r="C10772" s="2" t="str">
        <f ca="1">IFERROR(__xludf.DUMMYFUNCTION("""COMPUTED_VALUE"""),"Regen")</f>
        <v>Regen</v>
      </c>
    </row>
    <row r="10773" spans="1:3" x14ac:dyDescent="0.25">
      <c r="A10773" s="2" t="str">
        <f ca="1">IFERROR(__xludf.DUMMYFUNCTION("""COMPUTED_VALUE"""),"regent-coin")</f>
        <v>regent-coin</v>
      </c>
      <c r="B10773" s="2" t="str">
        <f ca="1">IFERROR(__xludf.DUMMYFUNCTION("""COMPUTED_VALUE"""),"regent")</f>
        <v>regent</v>
      </c>
      <c r="C10773" s="2" t="str">
        <f ca="1">IFERROR(__xludf.DUMMYFUNCTION("""COMPUTED_VALUE"""),"Regent Coin")</f>
        <v>Regent Coin</v>
      </c>
    </row>
    <row r="10774" spans="1:3" x14ac:dyDescent="0.25">
      <c r="A10774" s="2" t="str">
        <f ca="1">IFERROR(__xludf.DUMMYFUNCTION("""COMPUTED_VALUE"""),"regularpresale")</f>
        <v>regularpresale</v>
      </c>
      <c r="B10774" s="2" t="str">
        <f ca="1">IFERROR(__xludf.DUMMYFUNCTION("""COMPUTED_VALUE"""),"regu")</f>
        <v>regu</v>
      </c>
      <c r="C10774" s="2" t="str">
        <f ca="1">IFERROR(__xludf.DUMMYFUNCTION("""COMPUTED_VALUE"""),"RegularPresale")</f>
        <v>RegularPresale</v>
      </c>
    </row>
    <row r="10775" spans="1:3" x14ac:dyDescent="0.25">
      <c r="A10775" s="2" t="str">
        <f ca="1">IFERROR(__xludf.DUMMYFUNCTION("""COMPUTED_VALUE"""),"reign-of-terror")</f>
        <v>reign-of-terror</v>
      </c>
      <c r="B10775" s="2" t="str">
        <f ca="1">IFERROR(__xludf.DUMMYFUNCTION("""COMPUTED_VALUE"""),"reign")</f>
        <v>reign</v>
      </c>
      <c r="C10775" s="2" t="str">
        <f ca="1">IFERROR(__xludf.DUMMYFUNCTION("""COMPUTED_VALUE"""),"Reign of Terror")</f>
        <v>Reign of Terror</v>
      </c>
    </row>
    <row r="10776" spans="1:3" x14ac:dyDescent="0.25">
      <c r="A10776" s="2" t="str">
        <f ca="1">IFERROR(__xludf.DUMMYFUNCTION("""COMPUTED_VALUE"""),"rei-network")</f>
        <v>rei-network</v>
      </c>
      <c r="B10776" s="2" t="str">
        <f ca="1">IFERROR(__xludf.DUMMYFUNCTION("""COMPUTED_VALUE"""),"rei")</f>
        <v>rei</v>
      </c>
      <c r="C10776" s="2" t="str">
        <f ca="1">IFERROR(__xludf.DUMMYFUNCTION("""COMPUTED_VALUE"""),"REI Network")</f>
        <v>REI Network</v>
      </c>
    </row>
    <row r="10777" spans="1:3" x14ac:dyDescent="0.25">
      <c r="A10777" s="2" t="str">
        <f ca="1">IFERROR(__xludf.DUMMYFUNCTION("""COMPUTED_VALUE"""),"rejuve-ai")</f>
        <v>rejuve-ai</v>
      </c>
      <c r="B10777" s="2" t="str">
        <f ca="1">IFERROR(__xludf.DUMMYFUNCTION("""COMPUTED_VALUE"""),"rjv")</f>
        <v>rjv</v>
      </c>
      <c r="C10777" s="3" t="str">
        <f ca="1">IFERROR(__xludf.DUMMYFUNCTION("""COMPUTED_VALUE"""),"Rejuve.AI")</f>
        <v>Rejuve.AI</v>
      </c>
    </row>
    <row r="10778" spans="1:3" x14ac:dyDescent="0.25">
      <c r="A10778" s="2" t="str">
        <f ca="1">IFERROR(__xludf.DUMMYFUNCTION("""COMPUTED_VALUE"""),"rekt-04bbe51a-e290-450a-afb5-b2b43b80b20e")</f>
        <v>rekt-04bbe51a-e290-450a-afb5-b2b43b80b20e</v>
      </c>
      <c r="B10778" s="2" t="str">
        <f ca="1">IFERROR(__xludf.DUMMYFUNCTION("""COMPUTED_VALUE"""),"rekt")</f>
        <v>rekt</v>
      </c>
      <c r="C10778" s="2" t="str">
        <f ca="1">IFERROR(__xludf.DUMMYFUNCTION("""COMPUTED_VALUE"""),"REKT")</f>
        <v>REKT</v>
      </c>
    </row>
    <row r="10779" spans="1:3" x14ac:dyDescent="0.25">
      <c r="A10779" s="2" t="str">
        <f ca="1">IFERROR(__xludf.DUMMYFUNCTION("""COMPUTED_VALUE"""),"rektcoin")</f>
        <v>rektcoin</v>
      </c>
      <c r="B10779" s="2" t="str">
        <f ca="1">IFERROR(__xludf.DUMMYFUNCTION("""COMPUTED_VALUE"""),"rekt")</f>
        <v>rekt</v>
      </c>
      <c r="C10779" s="2" t="str">
        <f ca="1">IFERROR(__xludf.DUMMYFUNCTION("""COMPUTED_VALUE"""),"$REKT")</f>
        <v>$REKT</v>
      </c>
    </row>
    <row r="10780" spans="1:3" x14ac:dyDescent="0.25">
      <c r="A10780" s="2" t="str">
        <f ca="1">IFERROR(__xludf.DUMMYFUNCTION("""COMPUTED_VALUE"""),"relation-native-token")</f>
        <v>relation-native-token</v>
      </c>
      <c r="B10780" s="2" t="str">
        <f ca="1">IFERROR(__xludf.DUMMYFUNCTION("""COMPUTED_VALUE"""),"rel")</f>
        <v>rel</v>
      </c>
      <c r="C10780" s="2" t="str">
        <f ca="1">IFERROR(__xludf.DUMMYFUNCTION("""COMPUTED_VALUE"""),"Relation Native Token")</f>
        <v>Relation Native Token</v>
      </c>
    </row>
    <row r="10781" spans="1:3" x14ac:dyDescent="0.25">
      <c r="A10781" s="2" t="str">
        <f ca="1">IFERROR(__xludf.DUMMYFUNCTION("""COMPUTED_VALUE"""),"relay-token")</f>
        <v>relay-token</v>
      </c>
      <c r="B10781" s="2" t="str">
        <f ca="1">IFERROR(__xludf.DUMMYFUNCTION("""COMPUTED_VALUE"""),"relay")</f>
        <v>relay</v>
      </c>
      <c r="C10781" s="2" t="str">
        <f ca="1">IFERROR(__xludf.DUMMYFUNCTION("""COMPUTED_VALUE"""),"Relay Chain")</f>
        <v>Relay Chain</v>
      </c>
    </row>
    <row r="10782" spans="1:3" x14ac:dyDescent="0.25">
      <c r="A10782" s="2" t="str">
        <f ca="1">IFERROR(__xludf.DUMMYFUNCTION("""COMPUTED_VALUE"""),"releap")</f>
        <v>releap</v>
      </c>
      <c r="B10782" s="2" t="str">
        <f ca="1">IFERROR(__xludf.DUMMYFUNCTION("""COMPUTED_VALUE"""),"reap")</f>
        <v>reap</v>
      </c>
      <c r="C10782" s="2" t="str">
        <f ca="1">IFERROR(__xludf.DUMMYFUNCTION("""COMPUTED_VALUE"""),"Releap")</f>
        <v>Releap</v>
      </c>
    </row>
    <row r="10783" spans="1:3" x14ac:dyDescent="0.25">
      <c r="A10783" s="2" t="str">
        <f ca="1">IFERROR(__xludf.DUMMYFUNCTION("""COMPUTED_VALUE"""),"relictumpro-genesis-token")</f>
        <v>relictumpro-genesis-token</v>
      </c>
      <c r="B10783" s="2" t="str">
        <f ca="1">IFERROR(__xludf.DUMMYFUNCTION("""COMPUTED_VALUE"""),"gtn")</f>
        <v>gtn</v>
      </c>
      <c r="C10783" s="2" t="str">
        <f ca="1">IFERROR(__xludf.DUMMYFUNCTION("""COMPUTED_VALUE"""),"RelictumPro Genesis Token")</f>
        <v>RelictumPro Genesis Token</v>
      </c>
    </row>
    <row r="10784" spans="1:3" x14ac:dyDescent="0.25">
      <c r="A10784" s="2" t="str">
        <f ca="1">IFERROR(__xludf.DUMMYFUNCTION("""COMPUTED_VALUE"""),"remilio")</f>
        <v>remilio</v>
      </c>
      <c r="B10784" s="2" t="str">
        <f ca="1">IFERROR(__xludf.DUMMYFUNCTION("""COMPUTED_VALUE"""),"remilio")</f>
        <v>remilio</v>
      </c>
      <c r="C10784" s="2" t="str">
        <f ca="1">IFERROR(__xludf.DUMMYFUNCTION("""COMPUTED_VALUE"""),"remilio")</f>
        <v>remilio</v>
      </c>
    </row>
    <row r="10785" spans="1:3" x14ac:dyDescent="0.25">
      <c r="A10785" s="2" t="str">
        <f ca="1">IFERROR(__xludf.DUMMYFUNCTION("""COMPUTED_VALUE"""),"remme")</f>
        <v>remme</v>
      </c>
      <c r="B10785" s="2" t="str">
        <f ca="1">IFERROR(__xludf.DUMMYFUNCTION("""COMPUTED_VALUE"""),"rem")</f>
        <v>rem</v>
      </c>
      <c r="C10785" s="2" t="str">
        <f ca="1">IFERROR(__xludf.DUMMYFUNCTION("""COMPUTED_VALUE"""),"Remme")</f>
        <v>Remme</v>
      </c>
    </row>
    <row r="10786" spans="1:3" x14ac:dyDescent="0.25">
      <c r="A10786" s="2" t="str">
        <f ca="1">IFERROR(__xludf.DUMMYFUNCTION("""COMPUTED_VALUE"""),"rena-finance")</f>
        <v>rena-finance</v>
      </c>
      <c r="B10786" s="2" t="str">
        <f ca="1">IFERROR(__xludf.DUMMYFUNCTION("""COMPUTED_VALUE"""),"rena")</f>
        <v>rena</v>
      </c>
      <c r="C10786" s="2" t="str">
        <f ca="1">IFERROR(__xludf.DUMMYFUNCTION("""COMPUTED_VALUE"""),"RENA Finance")</f>
        <v>RENA Finance</v>
      </c>
    </row>
    <row r="10787" spans="1:3" x14ac:dyDescent="0.25">
      <c r="A10787" s="2" t="str">
        <f ca="1">IFERROR(__xludf.DUMMYFUNCTION("""COMPUTED_VALUE"""),"renbtc")</f>
        <v>renbtc</v>
      </c>
      <c r="B10787" s="2" t="str">
        <f ca="1">IFERROR(__xludf.DUMMYFUNCTION("""COMPUTED_VALUE"""),"renbtc")</f>
        <v>renbtc</v>
      </c>
      <c r="C10787" s="2" t="str">
        <f ca="1">IFERROR(__xludf.DUMMYFUNCTION("""COMPUTED_VALUE"""),"renBTC")</f>
        <v>renBTC</v>
      </c>
    </row>
    <row r="10788" spans="1:3" x14ac:dyDescent="0.25">
      <c r="A10788" s="2" t="str">
        <f ca="1">IFERROR(__xludf.DUMMYFUNCTION("""COMPUTED_VALUE"""),"render-token")</f>
        <v>render-token</v>
      </c>
      <c r="B10788" s="2" t="str">
        <f ca="1">IFERROR(__xludf.DUMMYFUNCTION("""COMPUTED_VALUE"""),"render")</f>
        <v>render</v>
      </c>
      <c r="C10788" s="2" t="str">
        <f ca="1">IFERROR(__xludf.DUMMYFUNCTION("""COMPUTED_VALUE"""),"Render")</f>
        <v>Render</v>
      </c>
    </row>
    <row r="10789" spans="1:3" x14ac:dyDescent="0.25">
      <c r="A10789" s="2" t="str">
        <f ca="1">IFERROR(__xludf.DUMMYFUNCTION("""COMPUTED_VALUE"""),"rendy-ai")</f>
        <v>rendy-ai</v>
      </c>
      <c r="B10789" s="2" t="str">
        <f ca="1">IFERROR(__xludf.DUMMYFUNCTION("""COMPUTED_VALUE"""),"rendy")</f>
        <v>rendy</v>
      </c>
      <c r="C10789" s="2" t="str">
        <f ca="1">IFERROR(__xludf.DUMMYFUNCTION("""COMPUTED_VALUE"""),"Rendy AI")</f>
        <v>Rendy AI</v>
      </c>
    </row>
    <row r="10790" spans="1:3" x14ac:dyDescent="0.25">
      <c r="A10790" s="2" t="str">
        <f ca="1">IFERROR(__xludf.DUMMYFUNCTION("""COMPUTED_VALUE"""),"renec")</f>
        <v>renec</v>
      </c>
      <c r="B10790" s="2" t="str">
        <f ca="1">IFERROR(__xludf.DUMMYFUNCTION("""COMPUTED_VALUE"""),"renec")</f>
        <v>renec</v>
      </c>
      <c r="C10790" s="2" t="str">
        <f ca="1">IFERROR(__xludf.DUMMYFUNCTION("""COMPUTED_VALUE"""),"RENEC")</f>
        <v>RENEC</v>
      </c>
    </row>
    <row r="10791" spans="1:3" x14ac:dyDescent="0.25">
      <c r="A10791" s="2" t="str">
        <f ca="1">IFERROR(__xludf.DUMMYFUNCTION("""COMPUTED_VALUE"""),"renegade")</f>
        <v>renegade</v>
      </c>
      <c r="B10791" s="2" t="str">
        <f ca="1">IFERROR(__xludf.DUMMYFUNCTION("""COMPUTED_VALUE"""),"rngd")</f>
        <v>rngd</v>
      </c>
      <c r="C10791" s="2" t="str">
        <f ca="1">IFERROR(__xludf.DUMMYFUNCTION("""COMPUTED_VALUE"""),"Renegade")</f>
        <v>Renegade</v>
      </c>
    </row>
    <row r="10792" spans="1:3" x14ac:dyDescent="0.25">
      <c r="A10792" s="2" t="str">
        <f ca="1">IFERROR(__xludf.DUMMYFUNCTION("""COMPUTED_VALUE"""),"renewable-energy")</f>
        <v>renewable-energy</v>
      </c>
      <c r="B10792" s="2" t="str">
        <f ca="1">IFERROR(__xludf.DUMMYFUNCTION("""COMPUTED_VALUE"""),"ret")</f>
        <v>ret</v>
      </c>
      <c r="C10792" s="2" t="str">
        <f ca="1">IFERROR(__xludf.DUMMYFUNCTION("""COMPUTED_VALUE"""),"Renewable Energy")</f>
        <v>Renewable Energy</v>
      </c>
    </row>
    <row r="10793" spans="1:3" x14ac:dyDescent="0.25">
      <c r="A10793" s="2" t="str">
        <f ca="1">IFERROR(__xludf.DUMMYFUNCTION("""COMPUTED_VALUE"""),"renq-finance")</f>
        <v>renq-finance</v>
      </c>
      <c r="B10793" s="2" t="str">
        <f ca="1">IFERROR(__xludf.DUMMYFUNCTION("""COMPUTED_VALUE"""),"renq")</f>
        <v>renq</v>
      </c>
      <c r="C10793" s="2" t="str">
        <f ca="1">IFERROR(__xludf.DUMMYFUNCTION("""COMPUTED_VALUE"""),"Renq Finance")</f>
        <v>Renq Finance</v>
      </c>
    </row>
    <row r="10794" spans="1:3" x14ac:dyDescent="0.25">
      <c r="A10794" s="2" t="str">
        <f ca="1">IFERROR(__xludf.DUMMYFUNCTION("""COMPUTED_VALUE"""),"rentai")</f>
        <v>rentai</v>
      </c>
      <c r="B10794" s="2" t="str">
        <f ca="1">IFERROR(__xludf.DUMMYFUNCTION("""COMPUTED_VALUE"""),"rent")</f>
        <v>rent</v>
      </c>
      <c r="C10794" s="2" t="str">
        <f ca="1">IFERROR(__xludf.DUMMYFUNCTION("""COMPUTED_VALUE"""),"RentAI")</f>
        <v>RentAI</v>
      </c>
    </row>
    <row r="10795" spans="1:3" x14ac:dyDescent="0.25">
      <c r="A10795" s="2" t="str">
        <f ca="1">IFERROR(__xludf.DUMMYFUNCTION("""COMPUTED_VALUE"""),"rentberry")</f>
        <v>rentberry</v>
      </c>
      <c r="B10795" s="2" t="str">
        <f ca="1">IFERROR(__xludf.DUMMYFUNCTION("""COMPUTED_VALUE"""),"berry")</f>
        <v>berry</v>
      </c>
      <c r="C10795" s="2" t="str">
        <f ca="1">IFERROR(__xludf.DUMMYFUNCTION("""COMPUTED_VALUE"""),"Rentberry")</f>
        <v>Rentberry</v>
      </c>
    </row>
    <row r="10796" spans="1:3" x14ac:dyDescent="0.25">
      <c r="A10796" s="2" t="str">
        <f ca="1">IFERROR(__xludf.DUMMYFUNCTION("""COMPUTED_VALUE"""),"rentible")</f>
        <v>rentible</v>
      </c>
      <c r="B10796" s="2" t="str">
        <f ca="1">IFERROR(__xludf.DUMMYFUNCTION("""COMPUTED_VALUE"""),"rnb")</f>
        <v>rnb</v>
      </c>
      <c r="C10796" s="2" t="str">
        <f ca="1">IFERROR(__xludf.DUMMYFUNCTION("""COMPUTED_VALUE"""),"Rentible")</f>
        <v>Rentible</v>
      </c>
    </row>
    <row r="10797" spans="1:3" x14ac:dyDescent="0.25">
      <c r="A10797" s="2" t="str">
        <f ca="1">IFERROR(__xludf.DUMMYFUNCTION("""COMPUTED_VALUE"""),"renzo")</f>
        <v>renzo</v>
      </c>
      <c r="B10797" s="2" t="str">
        <f ca="1">IFERROR(__xludf.DUMMYFUNCTION("""COMPUTED_VALUE"""),"rez")</f>
        <v>rez</v>
      </c>
      <c r="C10797" s="2" t="str">
        <f ca="1">IFERROR(__xludf.DUMMYFUNCTION("""COMPUTED_VALUE"""),"Renzo")</f>
        <v>Renzo</v>
      </c>
    </row>
    <row r="10798" spans="1:3" x14ac:dyDescent="0.25">
      <c r="A10798" s="2" t="str">
        <f ca="1">IFERROR(__xludf.DUMMYFUNCTION("""COMPUTED_VALUE"""),"renzo-restaked-eigen")</f>
        <v>renzo-restaked-eigen</v>
      </c>
      <c r="B10798" s="2" t="str">
        <f ca="1">IFERROR(__xludf.DUMMYFUNCTION("""COMPUTED_VALUE"""),"ezeigen")</f>
        <v>ezeigen</v>
      </c>
      <c r="C10798" s="2" t="str">
        <f ca="1">IFERROR(__xludf.DUMMYFUNCTION("""COMPUTED_VALUE"""),"Renzo Restaked EIGEN")</f>
        <v>Renzo Restaked EIGEN</v>
      </c>
    </row>
    <row r="10799" spans="1:3" x14ac:dyDescent="0.25">
      <c r="A10799" s="2" t="str">
        <f ca="1">IFERROR(__xludf.DUMMYFUNCTION("""COMPUTED_VALUE"""),"renzo-restaked-eth")</f>
        <v>renzo-restaked-eth</v>
      </c>
      <c r="B10799" s="2" t="str">
        <f ca="1">IFERROR(__xludf.DUMMYFUNCTION("""COMPUTED_VALUE"""),"ezeth")</f>
        <v>ezeth</v>
      </c>
      <c r="C10799" s="2" t="str">
        <f ca="1">IFERROR(__xludf.DUMMYFUNCTION("""COMPUTED_VALUE"""),"Renzo Restaked ETH")</f>
        <v>Renzo Restaked ETH</v>
      </c>
    </row>
    <row r="10800" spans="1:3" x14ac:dyDescent="0.25">
      <c r="A10800" s="2" t="str">
        <f ca="1">IFERROR(__xludf.DUMMYFUNCTION("""COMPUTED_VALUE"""),"renzo-restaked-eth-fuse")</f>
        <v>renzo-restaked-eth-fuse</v>
      </c>
      <c r="B10800" s="2" t="str">
        <f ca="1">IFERROR(__xludf.DUMMYFUNCTION("""COMPUTED_VALUE"""),"ezeth")</f>
        <v>ezeth</v>
      </c>
      <c r="C10800" s="2" t="str">
        <f ca="1">IFERROR(__xludf.DUMMYFUNCTION("""COMPUTED_VALUE"""),"Renzo Restaked ETH (Fuse)")</f>
        <v>Renzo Restaked ETH (Fuse)</v>
      </c>
    </row>
    <row r="10801" spans="1:3" x14ac:dyDescent="0.25">
      <c r="A10801" s="2" t="str">
        <f ca="1">IFERROR(__xludf.DUMMYFUNCTION("""COMPUTED_VALUE"""),"renzo-restaked-lst")</f>
        <v>renzo-restaked-lst</v>
      </c>
      <c r="B10801" s="2" t="str">
        <f ca="1">IFERROR(__xludf.DUMMYFUNCTION("""COMPUTED_VALUE"""),"pzeth")</f>
        <v>pzeth</v>
      </c>
      <c r="C10801" s="2" t="str">
        <f ca="1">IFERROR(__xludf.DUMMYFUNCTION("""COMPUTED_VALUE"""),"Renzo Restaked LST")</f>
        <v>Renzo Restaked LST</v>
      </c>
    </row>
    <row r="10802" spans="1:3" x14ac:dyDescent="0.25">
      <c r="A10802" s="2" t="str">
        <f ca="1">IFERROR(__xludf.DUMMYFUNCTION("""COMPUTED_VALUE"""),"renzo-restaked-sol")</f>
        <v>renzo-restaked-sol</v>
      </c>
      <c r="B10802" s="2" t="str">
        <f ca="1">IFERROR(__xludf.DUMMYFUNCTION("""COMPUTED_VALUE"""),"ezsol")</f>
        <v>ezsol</v>
      </c>
      <c r="C10802" s="2" t="str">
        <f ca="1">IFERROR(__xludf.DUMMYFUNCTION("""COMPUTED_VALUE"""),"Renzo Restaked SOL")</f>
        <v>Renzo Restaked SOL</v>
      </c>
    </row>
    <row r="10803" spans="1:3" x14ac:dyDescent="0.25">
      <c r="A10803" s="2" t="str">
        <f ca="1">IFERROR(__xludf.DUMMYFUNCTION("""COMPUTED_VALUE"""),"replay")</f>
        <v>replay</v>
      </c>
      <c r="B10803" s="2" t="str">
        <f ca="1">IFERROR(__xludf.DUMMYFUNCTION("""COMPUTED_VALUE"""),"rplay")</f>
        <v>rplay</v>
      </c>
      <c r="C10803" s="2" t="str">
        <f ca="1">IFERROR(__xludf.DUMMYFUNCTION("""COMPUTED_VALUE"""),"Replay")</f>
        <v>Replay</v>
      </c>
    </row>
    <row r="10804" spans="1:3" x14ac:dyDescent="0.25">
      <c r="A10804" s="2" t="str">
        <f ca="1">IFERROR(__xludf.DUMMYFUNCTION("""COMPUTED_VALUE"""),"repost-dog")</f>
        <v>repost-dog</v>
      </c>
      <c r="B10804" s="2" t="str">
        <f ca="1">IFERROR(__xludf.DUMMYFUNCTION("""COMPUTED_VALUE"""),"rdog")</f>
        <v>rdog</v>
      </c>
      <c r="C10804" s="2" t="str">
        <f ca="1">IFERROR(__xludf.DUMMYFUNCTION("""COMPUTED_VALUE"""),"Repost Dog")</f>
        <v>Repost Dog</v>
      </c>
    </row>
    <row r="10805" spans="1:3" x14ac:dyDescent="0.25">
      <c r="A10805" s="2" t="str">
        <f ca="1">IFERROR(__xludf.DUMMYFUNCTION("""COMPUTED_VALUE"""),"reposwap")</f>
        <v>reposwap</v>
      </c>
      <c r="B10805" s="2" t="str">
        <f ca="1">IFERROR(__xludf.DUMMYFUNCTION("""COMPUTED_VALUE"""),"repx")</f>
        <v>repx</v>
      </c>
      <c r="C10805" s="2" t="str">
        <f ca="1">IFERROR(__xludf.DUMMYFUNCTION("""COMPUTED_VALUE"""),"RepoSwap")</f>
        <v>RepoSwap</v>
      </c>
    </row>
    <row r="10806" spans="1:3" x14ac:dyDescent="0.25">
      <c r="A10806" s="2" t="str">
        <f ca="1">IFERROR(__xludf.DUMMYFUNCTION("""COMPUTED_VALUE"""),"reptilianzuckerbidenbartcoin")</f>
        <v>reptilianzuckerbidenbartcoin</v>
      </c>
      <c r="B10806" s="2" t="str">
        <f ca="1">IFERROR(__xludf.DUMMYFUNCTION("""COMPUTED_VALUE"""),"bart")</f>
        <v>bart</v>
      </c>
      <c r="C10806" s="2" t="str">
        <f ca="1">IFERROR(__xludf.DUMMYFUNCTION("""COMPUTED_VALUE"""),"ReptilianZuckerBidenBartcoin")</f>
        <v>ReptilianZuckerBidenBartcoin</v>
      </c>
    </row>
    <row r="10807" spans="1:3" x14ac:dyDescent="0.25">
      <c r="A10807" s="2" t="str">
        <f ca="1">IFERROR(__xludf.DUMMYFUNCTION("""COMPUTED_VALUE"""),"republican")</f>
        <v>republican</v>
      </c>
      <c r="B10807" s="2" t="str">
        <f ca="1">IFERROR(__xludf.DUMMYFUNCTION("""COMPUTED_VALUE"""),"rep")</f>
        <v>rep</v>
      </c>
      <c r="C10807" s="2" t="str">
        <f ca="1">IFERROR(__xludf.DUMMYFUNCTION("""COMPUTED_VALUE"""),"Republican")</f>
        <v>Republican</v>
      </c>
    </row>
    <row r="10808" spans="1:3" x14ac:dyDescent="0.25">
      <c r="A10808" s="2" t="str">
        <f ca="1">IFERROR(__xludf.DUMMYFUNCTION("""COMPUTED_VALUE"""),"republic-credits")</f>
        <v>republic-credits</v>
      </c>
      <c r="B10808" s="2" t="str">
        <f ca="1">IFERROR(__xludf.DUMMYFUNCTION("""COMPUTED_VALUE"""),"rpc")</f>
        <v>rpc</v>
      </c>
      <c r="C10808" s="2" t="str">
        <f ca="1">IFERROR(__xludf.DUMMYFUNCTION("""COMPUTED_VALUE"""),"Republic Credits")</f>
        <v>Republic Credits</v>
      </c>
    </row>
    <row r="10809" spans="1:3" x14ac:dyDescent="0.25">
      <c r="A10809" s="2" t="str">
        <f ca="1">IFERROR(__xludf.DUMMYFUNCTION("""COMPUTED_VALUE"""),"republic-note")</f>
        <v>republic-note</v>
      </c>
      <c r="B10809" s="2" t="str">
        <f ca="1">IFERROR(__xludf.DUMMYFUNCTION("""COMPUTED_VALUE"""),"note")</f>
        <v>note</v>
      </c>
      <c r="C10809" s="2" t="str">
        <f ca="1">IFERROR(__xludf.DUMMYFUNCTION("""COMPUTED_VALUE"""),"Republic Note")</f>
        <v>Republic Note</v>
      </c>
    </row>
    <row r="10810" spans="1:3" x14ac:dyDescent="0.25">
      <c r="A10810" s="2" t="str">
        <f ca="1">IFERROR(__xludf.DUMMYFUNCTION("""COMPUTED_VALUE"""),"republic-protocol")</f>
        <v>republic-protocol</v>
      </c>
      <c r="B10810" s="2" t="str">
        <f ca="1">IFERROR(__xludf.DUMMYFUNCTION("""COMPUTED_VALUE"""),"ren")</f>
        <v>ren</v>
      </c>
      <c r="C10810" s="2" t="str">
        <f ca="1">IFERROR(__xludf.DUMMYFUNCTION("""COMPUTED_VALUE"""),"Ren")</f>
        <v>Ren</v>
      </c>
    </row>
    <row r="10811" spans="1:3" x14ac:dyDescent="0.25">
      <c r="A10811" s="2" t="str">
        <f ca="1">IFERROR(__xludf.DUMMYFUNCTION("""COMPUTED_VALUE"""),"republik")</f>
        <v>republik</v>
      </c>
      <c r="B10811" s="2" t="str">
        <f ca="1">IFERROR(__xludf.DUMMYFUNCTION("""COMPUTED_VALUE"""),"rpk")</f>
        <v>rpk</v>
      </c>
      <c r="C10811" s="2" t="str">
        <f ca="1">IFERROR(__xludf.DUMMYFUNCTION("""COMPUTED_VALUE"""),"RepubliK")</f>
        <v>RepubliK</v>
      </c>
    </row>
    <row r="10812" spans="1:3" x14ac:dyDescent="0.25">
      <c r="A10812" s="2" t="str">
        <f ca="1">IFERROR(__xludf.DUMMYFUNCTION("""COMPUTED_VALUE"""),"request-network")</f>
        <v>request-network</v>
      </c>
      <c r="B10812" s="2" t="str">
        <f ca="1">IFERROR(__xludf.DUMMYFUNCTION("""COMPUTED_VALUE"""),"req")</f>
        <v>req</v>
      </c>
      <c r="C10812" s="2" t="str">
        <f ca="1">IFERROR(__xludf.DUMMYFUNCTION("""COMPUTED_VALUE"""),"Request")</f>
        <v>Request</v>
      </c>
    </row>
    <row r="10813" spans="1:3" x14ac:dyDescent="0.25">
      <c r="A10813" s="2" t="str">
        <f ca="1">IFERROR(__xludf.DUMMYFUNCTION("""COMPUTED_VALUE"""),"rescue")</f>
        <v>rescue</v>
      </c>
      <c r="B10813" s="2" t="str">
        <f ca="1">IFERROR(__xludf.DUMMYFUNCTION("""COMPUTED_VALUE"""),"rescue")</f>
        <v>rescue</v>
      </c>
      <c r="C10813" s="2" t="str">
        <f ca="1">IFERROR(__xludf.DUMMYFUNCTION("""COMPUTED_VALUE"""),"Rescue")</f>
        <v>Rescue</v>
      </c>
    </row>
    <row r="10814" spans="1:3" x14ac:dyDescent="0.25">
      <c r="A10814" s="2" t="str">
        <f ca="1">IFERROR(__xludf.DUMMYFUNCTION("""COMPUTED_VALUE"""),"researchcoin")</f>
        <v>researchcoin</v>
      </c>
      <c r="B10814" s="2" t="str">
        <f ca="1">IFERROR(__xludf.DUMMYFUNCTION("""COMPUTED_VALUE"""),"rsc")</f>
        <v>rsc</v>
      </c>
      <c r="C10814" s="2" t="str">
        <f ca="1">IFERROR(__xludf.DUMMYFUNCTION("""COMPUTED_VALUE"""),"ResearchCoin")</f>
        <v>ResearchCoin</v>
      </c>
    </row>
    <row r="10815" spans="1:3" x14ac:dyDescent="0.25">
      <c r="A10815" s="2" t="str">
        <f ca="1">IFERROR(__xludf.DUMMYFUNCTION("""COMPUTED_VALUE"""),"reserveblock")</f>
        <v>reserveblock</v>
      </c>
      <c r="B10815" s="2" t="str">
        <f ca="1">IFERROR(__xludf.DUMMYFUNCTION("""COMPUTED_VALUE"""),"rbx")</f>
        <v>rbx</v>
      </c>
      <c r="C10815" s="2" t="str">
        <f ca="1">IFERROR(__xludf.DUMMYFUNCTION("""COMPUTED_VALUE"""),"ReserveBlock")</f>
        <v>ReserveBlock</v>
      </c>
    </row>
    <row r="10816" spans="1:3" x14ac:dyDescent="0.25">
      <c r="A10816" s="2" t="str">
        <f ca="1">IFERROR(__xludf.DUMMYFUNCTION("""COMPUTED_VALUE"""),"reserve-currency-dogs")</f>
        <v>reserve-currency-dogs</v>
      </c>
      <c r="B10816" s="2" t="str">
        <f ca="1">IFERROR(__xludf.DUMMYFUNCTION("""COMPUTED_VALUE"""),"rcd")</f>
        <v>rcd</v>
      </c>
      <c r="C10816" s="2" t="str">
        <f ca="1">IFERROR(__xludf.DUMMYFUNCTION("""COMPUTED_VALUE"""),"Reserve Currency Dogs")</f>
        <v>Reserve Currency Dogs</v>
      </c>
    </row>
    <row r="10817" spans="1:3" x14ac:dyDescent="0.25">
      <c r="A10817" s="2" t="str">
        <f ca="1">IFERROR(__xludf.DUMMYFUNCTION("""COMPUTED_VALUE"""),"reserve-protocol-eth-plus")</f>
        <v>reserve-protocol-eth-plus</v>
      </c>
      <c r="B10817" s="2" t="str">
        <f ca="1">IFERROR(__xludf.DUMMYFUNCTION("""COMPUTED_VALUE"""),"eth+")</f>
        <v>eth+</v>
      </c>
      <c r="C10817" s="2" t="str">
        <f ca="1">IFERROR(__xludf.DUMMYFUNCTION("""COMPUTED_VALUE"""),"ETHPlus")</f>
        <v>ETHPlus</v>
      </c>
    </row>
    <row r="10818" spans="1:3" x14ac:dyDescent="0.25">
      <c r="A10818" s="2" t="str">
        <f ca="1">IFERROR(__xludf.DUMMYFUNCTION("""COMPUTED_VALUE"""),"reserve-rights-token")</f>
        <v>reserve-rights-token</v>
      </c>
      <c r="B10818" s="2" t="str">
        <f ca="1">IFERROR(__xludf.DUMMYFUNCTION("""COMPUTED_VALUE"""),"rsr")</f>
        <v>rsr</v>
      </c>
      <c r="C10818" s="2" t="str">
        <f ca="1">IFERROR(__xludf.DUMMYFUNCTION("""COMPUTED_VALUE"""),"Reserve Rights")</f>
        <v>Reserve Rights</v>
      </c>
    </row>
    <row r="10819" spans="1:3" x14ac:dyDescent="0.25">
      <c r="A10819" s="2" t="str">
        <f ca="1">IFERROR(__xludf.DUMMYFUNCTION("""COMPUTED_VALUE"""),"rese-social")</f>
        <v>rese-social</v>
      </c>
      <c r="B10819" s="2" t="str">
        <f ca="1">IFERROR(__xludf.DUMMYFUNCTION("""COMPUTED_VALUE"""),"rese")</f>
        <v>rese</v>
      </c>
      <c r="C10819" s="2" t="str">
        <f ca="1">IFERROR(__xludf.DUMMYFUNCTION("""COMPUTED_VALUE"""),"Rese Social")</f>
        <v>Rese Social</v>
      </c>
    </row>
    <row r="10820" spans="1:3" x14ac:dyDescent="0.25">
      <c r="A10820" s="2" t="str">
        <f ca="1">IFERROR(__xludf.DUMMYFUNCTION("""COMPUTED_VALUE"""),"reset")</f>
        <v>reset</v>
      </c>
      <c r="B10820" s="2" t="str">
        <f ca="1">IFERROR(__xludf.DUMMYFUNCTION("""COMPUTED_VALUE"""),"reset")</f>
        <v>reset</v>
      </c>
      <c r="C10820" s="2" t="str">
        <f ca="1">IFERROR(__xludf.DUMMYFUNCTION("""COMPUTED_VALUE"""),"MetaReset")</f>
        <v>MetaReset</v>
      </c>
    </row>
    <row r="10821" spans="1:3" x14ac:dyDescent="0.25">
      <c r="A10821" s="2" t="str">
        <f ca="1">IFERROR(__xludf.DUMMYFUNCTION("""COMPUTED_VALUE"""),"resistance-dog")</f>
        <v>resistance-dog</v>
      </c>
      <c r="B10821" s="2" t="str">
        <f ca="1">IFERROR(__xludf.DUMMYFUNCTION("""COMPUTED_VALUE"""),"redo")</f>
        <v>redo</v>
      </c>
      <c r="C10821" s="2" t="str">
        <f ca="1">IFERROR(__xludf.DUMMYFUNCTION("""COMPUTED_VALUE"""),"Resistance Dog")</f>
        <v>Resistance Dog</v>
      </c>
    </row>
    <row r="10822" spans="1:3" x14ac:dyDescent="0.25">
      <c r="A10822" s="2" t="str">
        <f ca="1">IFERROR(__xludf.DUMMYFUNCTION("""COMPUTED_VALUE"""),"resistance-duck")</f>
        <v>resistance-duck</v>
      </c>
      <c r="B10822" s="2" t="str">
        <f ca="1">IFERROR(__xludf.DUMMYFUNCTION("""COMPUTED_VALUE"""),"redu")</f>
        <v>redu</v>
      </c>
      <c r="C10822" s="2" t="str">
        <f ca="1">IFERROR(__xludf.DUMMYFUNCTION("""COMPUTED_VALUE"""),"Resistance Duck")</f>
        <v>Resistance Duck</v>
      </c>
    </row>
    <row r="10823" spans="1:3" x14ac:dyDescent="0.25">
      <c r="A10823" s="2" t="str">
        <f ca="1">IFERROR(__xludf.DUMMYFUNCTION("""COMPUTED_VALUE"""),"resistance-girl")</f>
        <v>resistance-girl</v>
      </c>
      <c r="B10823" s="2" t="str">
        <f ca="1">IFERROR(__xludf.DUMMYFUNCTION("""COMPUTED_VALUE"""),"regi")</f>
        <v>regi</v>
      </c>
      <c r="C10823" s="2" t="str">
        <f ca="1">IFERROR(__xludf.DUMMYFUNCTION("""COMPUTED_VALUE"""),"Resistance Girl")</f>
        <v>Resistance Girl</v>
      </c>
    </row>
    <row r="10824" spans="1:3" x14ac:dyDescent="0.25">
      <c r="A10824" s="2" t="str">
        <f ca="1">IFERROR(__xludf.DUMMYFUNCTION("""COMPUTED_VALUE"""),"resistance-notcoin")</f>
        <v>resistance-notcoin</v>
      </c>
      <c r="B10824" s="2" t="str">
        <f ca="1">IFERROR(__xludf.DUMMYFUNCTION("""COMPUTED_VALUE"""),"reno")</f>
        <v>reno</v>
      </c>
      <c r="C10824" s="2" t="str">
        <f ca="1">IFERROR(__xludf.DUMMYFUNCTION("""COMPUTED_VALUE"""),"Resistance Notcoin")</f>
        <v>Resistance Notcoin</v>
      </c>
    </row>
    <row r="10825" spans="1:3" x14ac:dyDescent="0.25">
      <c r="A10825" s="2" t="str">
        <f ca="1">IFERROR(__xludf.DUMMYFUNCTION("""COMPUTED_VALUE"""),"resistor-ai")</f>
        <v>resistor-ai</v>
      </c>
      <c r="B10825" s="2" t="str">
        <f ca="1">IFERROR(__xludf.DUMMYFUNCTION("""COMPUTED_VALUE"""),"tor")</f>
        <v>tor</v>
      </c>
      <c r="C10825" s="2" t="str">
        <f ca="1">IFERROR(__xludf.DUMMYFUNCTION("""COMPUTED_VALUE"""),"Resistor AI")</f>
        <v>Resistor AI</v>
      </c>
    </row>
    <row r="10826" spans="1:3" x14ac:dyDescent="0.25">
      <c r="A10826" s="2" t="str">
        <f ca="1">IFERROR(__xludf.DUMMYFUNCTION("""COMPUTED_VALUE"""),"resolv-rlp")</f>
        <v>resolv-rlp</v>
      </c>
      <c r="B10826" s="2" t="str">
        <f ca="1">IFERROR(__xludf.DUMMYFUNCTION("""COMPUTED_VALUE"""),"rlp")</f>
        <v>rlp</v>
      </c>
      <c r="C10826" s="2" t="str">
        <f ca="1">IFERROR(__xludf.DUMMYFUNCTION("""COMPUTED_VALUE"""),"Resolv RLP")</f>
        <v>Resolv RLP</v>
      </c>
    </row>
    <row r="10827" spans="1:3" x14ac:dyDescent="0.25">
      <c r="A10827" s="2" t="str">
        <f ca="1">IFERROR(__xludf.DUMMYFUNCTION("""COMPUTED_VALUE"""),"resolv-usr")</f>
        <v>resolv-usr</v>
      </c>
      <c r="B10827" s="2" t="str">
        <f ca="1">IFERROR(__xludf.DUMMYFUNCTION("""COMPUTED_VALUE"""),"usr")</f>
        <v>usr</v>
      </c>
      <c r="C10827" s="2" t="str">
        <f ca="1">IFERROR(__xludf.DUMMYFUNCTION("""COMPUTED_VALUE"""),"Resolv USR")</f>
        <v>Resolv USR</v>
      </c>
    </row>
    <row r="10828" spans="1:3" x14ac:dyDescent="0.25">
      <c r="A10828" s="2" t="str">
        <f ca="1">IFERROR(__xludf.DUMMYFUNCTION("""COMPUTED_VALUE"""),"resource-protocol")</f>
        <v>resource-protocol</v>
      </c>
      <c r="B10828" s="2" t="str">
        <f ca="1">IFERROR(__xludf.DUMMYFUNCTION("""COMPUTED_VALUE"""),"source")</f>
        <v>source</v>
      </c>
      <c r="C10828" s="2" t="str">
        <f ca="1">IFERROR(__xludf.DUMMYFUNCTION("""COMPUTED_VALUE"""),"ReSource Protocol")</f>
        <v>ReSource Protocol</v>
      </c>
    </row>
    <row r="10829" spans="1:3" x14ac:dyDescent="0.25">
      <c r="A10829" s="2" t="str">
        <f ca="1">IFERROR(__xludf.DUMMYFUNCTION("""COMPUTED_VALUE"""),"restaked-swell-eth")</f>
        <v>restaked-swell-eth</v>
      </c>
      <c r="B10829" s="2" t="str">
        <f ca="1">IFERROR(__xludf.DUMMYFUNCTION("""COMPUTED_VALUE"""),"rsweth")</f>
        <v>rsweth</v>
      </c>
      <c r="C10829" s="2" t="str">
        <f ca="1">IFERROR(__xludf.DUMMYFUNCTION("""COMPUTED_VALUE"""),"Restaked Swell ETH")</f>
        <v>Restaked Swell ETH</v>
      </c>
    </row>
    <row r="10830" spans="1:3" x14ac:dyDescent="0.25">
      <c r="A10830" s="2" t="str">
        <f ca="1">IFERROR(__xludf.DUMMYFUNCTION("""COMPUTED_VALUE"""),"restake-finance")</f>
        <v>restake-finance</v>
      </c>
      <c r="B10830" s="2" t="str">
        <f ca="1">IFERROR(__xludf.DUMMYFUNCTION("""COMPUTED_VALUE"""),"rstk")</f>
        <v>rstk</v>
      </c>
      <c r="C10830" s="2" t="str">
        <f ca="1">IFERROR(__xludf.DUMMYFUNCTION("""COMPUTED_VALUE"""),"Restake Finance")</f>
        <v>Restake Finance</v>
      </c>
    </row>
    <row r="10831" spans="1:3" x14ac:dyDescent="0.25">
      <c r="A10831" s="2" t="str">
        <f ca="1">IFERROR(__xludf.DUMMYFUNCTION("""COMPUTED_VALUE"""),"restore-the-republic")</f>
        <v>restore-the-republic</v>
      </c>
      <c r="B10831" s="2" t="str">
        <f ca="1">IFERROR(__xludf.DUMMYFUNCTION("""COMPUTED_VALUE"""),"rtr")</f>
        <v>rtr</v>
      </c>
      <c r="C10831" s="2" t="str">
        <f ca="1">IFERROR(__xludf.DUMMYFUNCTION("""COMPUTED_VALUE"""),"Restore The Republic")</f>
        <v>Restore The Republic</v>
      </c>
    </row>
    <row r="10832" spans="1:3" x14ac:dyDescent="0.25">
      <c r="A10832" s="2" t="str">
        <f ca="1">IFERROR(__xludf.DUMMYFUNCTION("""COMPUTED_VALUE"""),"retafi")</f>
        <v>retafi</v>
      </c>
      <c r="B10832" s="2" t="str">
        <f ca="1">IFERROR(__xludf.DUMMYFUNCTION("""COMPUTED_VALUE"""),"rtk")</f>
        <v>rtk</v>
      </c>
      <c r="C10832" s="2" t="str">
        <f ca="1">IFERROR(__xludf.DUMMYFUNCTION("""COMPUTED_VALUE"""),"RetaFi")</f>
        <v>RetaFi</v>
      </c>
    </row>
    <row r="10833" spans="1:3" x14ac:dyDescent="0.25">
      <c r="A10833" s="2" t="str">
        <f ca="1">IFERROR(__xludf.DUMMYFUNCTION("""COMPUTED_VALUE"""),"retard-coin")</f>
        <v>retard-coin</v>
      </c>
      <c r="B10833" s="2" t="str">
        <f ca="1">IFERROR(__xludf.DUMMYFUNCTION("""COMPUTED_VALUE"""),"retard")</f>
        <v>retard</v>
      </c>
      <c r="C10833" s="2" t="str">
        <f ca="1">IFERROR(__xludf.DUMMYFUNCTION("""COMPUTED_VALUE"""),"Retard Coin")</f>
        <v>Retard Coin</v>
      </c>
    </row>
    <row r="10834" spans="1:3" x14ac:dyDescent="0.25">
      <c r="A10834" s="2" t="str">
        <f ca="1">IFERROR(__xludf.DUMMYFUNCTION("""COMPUTED_VALUE"""),"retardedapr")</f>
        <v>retardedapr</v>
      </c>
      <c r="B10834" s="2" t="str">
        <f ca="1">IFERROR(__xludf.DUMMYFUNCTION("""COMPUTED_VALUE"""),"rapr")</f>
        <v>rapr</v>
      </c>
      <c r="C10834" s="2" t="str">
        <f ca="1">IFERROR(__xludf.DUMMYFUNCTION("""COMPUTED_VALUE"""),"RetardedAPR")</f>
        <v>RetardedAPR</v>
      </c>
    </row>
    <row r="10835" spans="1:3" x14ac:dyDescent="0.25">
      <c r="A10835" s="2" t="str">
        <f ca="1">IFERROR(__xludf.DUMMYFUNCTION("""COMPUTED_VALUE"""),"retardio")</f>
        <v>retardio</v>
      </c>
      <c r="B10835" s="2" t="str">
        <f ca="1">IFERROR(__xludf.DUMMYFUNCTION("""COMPUTED_VALUE"""),"retardio")</f>
        <v>retardio</v>
      </c>
      <c r="C10835" s="2" t="str">
        <f ca="1">IFERROR(__xludf.DUMMYFUNCTION("""COMPUTED_VALUE"""),"RETARDIO")</f>
        <v>RETARDIO</v>
      </c>
    </row>
    <row r="10836" spans="1:3" x14ac:dyDescent="0.25">
      <c r="A10836" s="2" t="str">
        <f ca="1">IFERROR(__xludf.DUMMYFUNCTION("""COMPUTED_VALUE"""),"reth")</f>
        <v>reth</v>
      </c>
      <c r="B10836" s="2" t="str">
        <f ca="1">IFERROR(__xludf.DUMMYFUNCTION("""COMPUTED_VALUE"""),"reth")</f>
        <v>reth</v>
      </c>
      <c r="C10836" s="2" t="str">
        <f ca="1">IFERROR(__xludf.DUMMYFUNCTION("""COMPUTED_VALUE"""),"StaFi Staked ETH")</f>
        <v>StaFi Staked ETH</v>
      </c>
    </row>
    <row r="10837" spans="1:3" x14ac:dyDescent="0.25">
      <c r="A10837" s="2" t="str">
        <f ca="1">IFERROR(__xludf.DUMMYFUNCTION("""COMPUTED_VALUE"""),"reth2")</f>
        <v>reth2</v>
      </c>
      <c r="B10837" s="2" t="str">
        <f ca="1">IFERROR(__xludf.DUMMYFUNCTION("""COMPUTED_VALUE"""),"reth2")</f>
        <v>reth2</v>
      </c>
      <c r="C10837" s="2" t="str">
        <f ca="1">IFERROR(__xludf.DUMMYFUNCTION("""COMPUTED_VALUE"""),"rETH2")</f>
        <v>rETH2</v>
      </c>
    </row>
    <row r="10838" spans="1:3" x14ac:dyDescent="0.25">
      <c r="A10838" s="2" t="str">
        <f ca="1">IFERROR(__xludf.DUMMYFUNCTION("""COMPUTED_VALUE"""),"retik-finance")</f>
        <v>retik-finance</v>
      </c>
      <c r="B10838" s="2" t="str">
        <f ca="1">IFERROR(__xludf.DUMMYFUNCTION("""COMPUTED_VALUE"""),"retik")</f>
        <v>retik</v>
      </c>
      <c r="C10838" s="2" t="str">
        <f ca="1">IFERROR(__xludf.DUMMYFUNCTION("""COMPUTED_VALUE"""),"Retik Finance")</f>
        <v>Retik Finance</v>
      </c>
    </row>
    <row r="10839" spans="1:3" x14ac:dyDescent="0.25">
      <c r="A10839" s="2" t="str">
        <f ca="1">IFERROR(__xludf.DUMMYFUNCTION("""COMPUTED_VALUE"""),"retire-on-sol")</f>
        <v>retire-on-sol</v>
      </c>
      <c r="B10839" s="2" t="str">
        <f ca="1">IFERROR(__xludf.DUMMYFUNCTION("""COMPUTED_VALUE"""),"$retire")</f>
        <v>$retire</v>
      </c>
      <c r="C10839" s="2" t="str">
        <f ca="1">IFERROR(__xludf.DUMMYFUNCTION("""COMPUTED_VALUE"""),"Retire on Sol")</f>
        <v>Retire on Sol</v>
      </c>
    </row>
    <row r="10840" spans="1:3" x14ac:dyDescent="0.25">
      <c r="A10840" s="2" t="str">
        <f ca="1">IFERROR(__xludf.DUMMYFUNCTION("""COMPUTED_VALUE"""),"retrocraft")</f>
        <v>retrocraft</v>
      </c>
      <c r="B10840" s="2" t="str">
        <f ca="1">IFERROR(__xludf.DUMMYFUNCTION("""COMPUTED_VALUE"""),"retro")</f>
        <v>retro</v>
      </c>
      <c r="C10840" s="2" t="str">
        <f ca="1">IFERROR(__xludf.DUMMYFUNCTION("""COMPUTED_VALUE"""),"RetroCraft")</f>
        <v>RetroCraft</v>
      </c>
    </row>
    <row r="10841" spans="1:3" x14ac:dyDescent="0.25">
      <c r="A10841" s="2" t="str">
        <f ca="1">IFERROR(__xludf.DUMMYFUNCTION("""COMPUTED_VALUE"""),"retro-finance")</f>
        <v>retro-finance</v>
      </c>
      <c r="B10841" s="2" t="str">
        <f ca="1">IFERROR(__xludf.DUMMYFUNCTION("""COMPUTED_VALUE"""),"retro")</f>
        <v>retro</v>
      </c>
      <c r="C10841" s="2" t="str">
        <f ca="1">IFERROR(__xludf.DUMMYFUNCTION("""COMPUTED_VALUE"""),"Retro Finance")</f>
        <v>Retro Finance</v>
      </c>
    </row>
    <row r="10842" spans="1:3" x14ac:dyDescent="0.25">
      <c r="A10842" s="2" t="str">
        <f ca="1">IFERROR(__xludf.DUMMYFUNCTION("""COMPUTED_VALUE"""),"reunit-wallet")</f>
        <v>reunit-wallet</v>
      </c>
      <c r="B10842" s="2" t="str">
        <f ca="1">IFERROR(__xludf.DUMMYFUNCTION("""COMPUTED_VALUE"""),"reuni")</f>
        <v>reuni</v>
      </c>
      <c r="C10842" s="2" t="str">
        <f ca="1">IFERROR(__xludf.DUMMYFUNCTION("""COMPUTED_VALUE"""),"Reunit Wallet")</f>
        <v>Reunit Wallet</v>
      </c>
    </row>
    <row r="10843" spans="1:3" x14ac:dyDescent="0.25">
      <c r="A10843" s="2" t="str">
        <f ca="1">IFERROR(__xludf.DUMMYFUNCTION("""COMPUTED_VALUE"""),"rev3al")</f>
        <v>rev3al</v>
      </c>
      <c r="B10843" s="2" t="str">
        <f ca="1">IFERROR(__xludf.DUMMYFUNCTION("""COMPUTED_VALUE"""),"rev3l")</f>
        <v>rev3l</v>
      </c>
      <c r="C10843" s="2" t="str">
        <f ca="1">IFERROR(__xludf.DUMMYFUNCTION("""COMPUTED_VALUE"""),"REV3AL")</f>
        <v>REV3AL</v>
      </c>
    </row>
    <row r="10844" spans="1:3" x14ac:dyDescent="0.25">
      <c r="A10844" s="2" t="str">
        <f ca="1">IFERROR(__xludf.DUMMYFUNCTION("""COMPUTED_VALUE"""),"revain")</f>
        <v>revain</v>
      </c>
      <c r="B10844" s="2" t="str">
        <f ca="1">IFERROR(__xludf.DUMMYFUNCTION("""COMPUTED_VALUE"""),"rev")</f>
        <v>rev</v>
      </c>
      <c r="C10844" s="2" t="str">
        <f ca="1">IFERROR(__xludf.DUMMYFUNCTION("""COMPUTED_VALUE"""),"Revain")</f>
        <v>Revain</v>
      </c>
    </row>
    <row r="10845" spans="1:3" x14ac:dyDescent="0.25">
      <c r="A10845" s="2" t="str">
        <f ca="1">IFERROR(__xludf.DUMMYFUNCTION("""COMPUTED_VALUE"""),"revenue-coin")</f>
        <v>revenue-coin</v>
      </c>
      <c r="B10845" s="2" t="str">
        <f ca="1">IFERROR(__xludf.DUMMYFUNCTION("""COMPUTED_VALUE"""),"rvc")</f>
        <v>rvc</v>
      </c>
      <c r="C10845" s="2" t="str">
        <f ca="1">IFERROR(__xludf.DUMMYFUNCTION("""COMPUTED_VALUE"""),"Revenue Coin")</f>
        <v>Revenue Coin</v>
      </c>
    </row>
    <row r="10846" spans="1:3" x14ac:dyDescent="0.25">
      <c r="A10846" s="2" t="str">
        <f ca="1">IFERROR(__xludf.DUMMYFUNCTION("""COMPUTED_VALUE"""),"revenue-generating-usd")</f>
        <v>revenue-generating-usd</v>
      </c>
      <c r="B10846" s="2" t="str">
        <f ca="1">IFERROR(__xludf.DUMMYFUNCTION("""COMPUTED_VALUE"""),"rgusd")</f>
        <v>rgusd</v>
      </c>
      <c r="C10846" s="2" t="str">
        <f ca="1">IFERROR(__xludf.DUMMYFUNCTION("""COMPUTED_VALUE"""),"Revenue Generating USD")</f>
        <v>Revenue Generating USD</v>
      </c>
    </row>
    <row r="10847" spans="1:3" x14ac:dyDescent="0.25">
      <c r="A10847" s="2" t="str">
        <f ca="1">IFERROR(__xludf.DUMMYFUNCTION("""COMPUTED_VALUE"""),"revepe")</f>
        <v>revepe</v>
      </c>
      <c r="B10847" s="2" t="str">
        <f ca="1">IFERROR(__xludf.DUMMYFUNCTION("""COMPUTED_VALUE"""),"rev")</f>
        <v>rev</v>
      </c>
      <c r="C10847" s="2" t="str">
        <f ca="1">IFERROR(__xludf.DUMMYFUNCTION("""COMPUTED_VALUE"""),"REVEPE")</f>
        <v>REVEPE</v>
      </c>
    </row>
    <row r="10848" spans="1:3" x14ac:dyDescent="0.25">
      <c r="A10848" s="2" t="str">
        <f ca="1">IFERROR(__xludf.DUMMYFUNCTION("""COMPUTED_VALUE"""),"reversal")</f>
        <v>reversal</v>
      </c>
      <c r="B10848" s="2" t="str">
        <f ca="1">IFERROR(__xludf.DUMMYFUNCTION("""COMPUTED_VALUE"""),"rvsl")</f>
        <v>rvsl</v>
      </c>
      <c r="C10848" s="2" t="str">
        <f ca="1">IFERROR(__xludf.DUMMYFUNCTION("""COMPUTED_VALUE"""),"Reversal")</f>
        <v>Reversal</v>
      </c>
    </row>
    <row r="10849" spans="1:3" x14ac:dyDescent="0.25">
      <c r="A10849" s="2" t="str">
        <f ca="1">IFERROR(__xludf.DUMMYFUNCTION("""COMPUTED_VALUE"""),"revest-finance")</f>
        <v>revest-finance</v>
      </c>
      <c r="B10849" s="2" t="str">
        <f ca="1">IFERROR(__xludf.DUMMYFUNCTION("""COMPUTED_VALUE"""),"rvst")</f>
        <v>rvst</v>
      </c>
      <c r="C10849" s="2" t="str">
        <f ca="1">IFERROR(__xludf.DUMMYFUNCTION("""COMPUTED_VALUE"""),"Revest Finance")</f>
        <v>Revest Finance</v>
      </c>
    </row>
    <row r="10850" spans="1:3" x14ac:dyDescent="0.25">
      <c r="A10850" s="2" t="str">
        <f ca="1">IFERROR(__xludf.DUMMYFUNCTION("""COMPUTED_VALUE"""),"revolon")</f>
        <v>revolon</v>
      </c>
      <c r="B10850" s="2" t="str">
        <f ca="1">IFERROR(__xludf.DUMMYFUNCTION("""COMPUTED_VALUE"""),"rpm")</f>
        <v>rpm</v>
      </c>
      <c r="C10850" s="2" t="str">
        <f ca="1">IFERROR(__xludf.DUMMYFUNCTION("""COMPUTED_VALUE"""),"Revolon")</f>
        <v>Revolon</v>
      </c>
    </row>
    <row r="10851" spans="1:3" x14ac:dyDescent="0.25">
      <c r="A10851" s="2" t="str">
        <f ca="1">IFERROR(__xludf.DUMMYFUNCTION("""COMPUTED_VALUE"""),"revolotto")</f>
        <v>revolotto</v>
      </c>
      <c r="B10851" s="2" t="str">
        <f ca="1">IFERROR(__xludf.DUMMYFUNCTION("""COMPUTED_VALUE"""),"rvl")</f>
        <v>rvl</v>
      </c>
      <c r="C10851" s="2" t="str">
        <f ca="1">IFERROR(__xludf.DUMMYFUNCTION("""COMPUTED_VALUE"""),"Revolotto")</f>
        <v>Revolotto</v>
      </c>
    </row>
    <row r="10852" spans="1:3" x14ac:dyDescent="0.25">
      <c r="A10852" s="2" t="str">
        <f ca="1">IFERROR(__xludf.DUMMYFUNCTION("""COMPUTED_VALUE"""),"revolt-2-earn")</f>
        <v>revolt-2-earn</v>
      </c>
      <c r="B10852" s="2" t="str">
        <f ca="1">IFERROR(__xludf.DUMMYFUNCTION("""COMPUTED_VALUE"""),"rvlt")</f>
        <v>rvlt</v>
      </c>
      <c r="C10852" s="2" t="str">
        <f ca="1">IFERROR(__xludf.DUMMYFUNCTION("""COMPUTED_VALUE"""),"Revolt 2 Earn")</f>
        <v>Revolt 2 Earn</v>
      </c>
    </row>
    <row r="10853" spans="1:3" x14ac:dyDescent="0.25">
      <c r="A10853" s="2" t="str">
        <f ca="1">IFERROR(__xludf.DUMMYFUNCTION("""COMPUTED_VALUE"""),"revolve-games")</f>
        <v>revolve-games</v>
      </c>
      <c r="B10853" s="2" t="str">
        <f ca="1">IFERROR(__xludf.DUMMYFUNCTION("""COMPUTED_VALUE"""),"rpg")</f>
        <v>rpg</v>
      </c>
      <c r="C10853" s="2" t="str">
        <f ca="1">IFERROR(__xludf.DUMMYFUNCTION("""COMPUTED_VALUE"""),"Revolve Games")</f>
        <v>Revolve Games</v>
      </c>
    </row>
    <row r="10854" spans="1:3" x14ac:dyDescent="0.25">
      <c r="A10854" s="2" t="str">
        <f ca="1">IFERROR(__xludf.DUMMYFUNCTION("""COMPUTED_VALUE"""),"revomon-2")</f>
        <v>revomon-2</v>
      </c>
      <c r="B10854" s="2" t="str">
        <f ca="1">IFERROR(__xludf.DUMMYFUNCTION("""COMPUTED_VALUE"""),"revo")</f>
        <v>revo</v>
      </c>
      <c r="C10854" s="2" t="str">
        <f ca="1">IFERROR(__xludf.DUMMYFUNCTION("""COMPUTED_VALUE"""),"Revomon")</f>
        <v>Revomon</v>
      </c>
    </row>
    <row r="10855" spans="1:3" x14ac:dyDescent="0.25">
      <c r="A10855" s="2" t="str">
        <f ca="1">IFERROR(__xludf.DUMMYFUNCTION("""COMPUTED_VALUE"""),"revuto")</f>
        <v>revuto</v>
      </c>
      <c r="B10855" s="2" t="str">
        <f ca="1">IFERROR(__xludf.DUMMYFUNCTION("""COMPUTED_VALUE"""),"revu")</f>
        <v>revu</v>
      </c>
      <c r="C10855" s="2" t="str">
        <f ca="1">IFERROR(__xludf.DUMMYFUNCTION("""COMPUTED_VALUE"""),"Revuto")</f>
        <v>Revuto</v>
      </c>
    </row>
    <row r="10856" spans="1:3" x14ac:dyDescent="0.25">
      <c r="A10856" s="2" t="str">
        <f ca="1">IFERROR(__xludf.DUMMYFUNCTION("""COMPUTED_VALUE"""),"revv")</f>
        <v>revv</v>
      </c>
      <c r="B10856" s="2" t="str">
        <f ca="1">IFERROR(__xludf.DUMMYFUNCTION("""COMPUTED_VALUE"""),"revv")</f>
        <v>revv</v>
      </c>
      <c r="C10856" s="2" t="str">
        <f ca="1">IFERROR(__xludf.DUMMYFUNCTION("""COMPUTED_VALUE"""),"REVV")</f>
        <v>REVV</v>
      </c>
    </row>
    <row r="10857" spans="1:3" x14ac:dyDescent="0.25">
      <c r="A10857" s="2" t="str">
        <f ca="1">IFERROR(__xludf.DUMMYFUNCTION("""COMPUTED_VALUE"""),"reward")</f>
        <v>reward</v>
      </c>
      <c r="B10857" s="2" t="str">
        <f ca="1">IFERROR(__xludf.DUMMYFUNCTION("""COMPUTED_VALUE"""),"rwd")</f>
        <v>rwd</v>
      </c>
      <c r="C10857" s="2" t="str">
        <f ca="1">IFERROR(__xludf.DUMMYFUNCTION("""COMPUTED_VALUE"""),"REWARD")</f>
        <v>REWARD</v>
      </c>
    </row>
    <row r="10858" spans="1:3" x14ac:dyDescent="0.25">
      <c r="A10858" s="2" t="str">
        <f ca="1">IFERROR(__xludf.DUMMYFUNCTION("""COMPUTED_VALUE"""),"reward-protocol")</f>
        <v>reward-protocol</v>
      </c>
      <c r="B10858" s="2" t="str">
        <f ca="1">IFERROR(__xludf.DUMMYFUNCTION("""COMPUTED_VALUE"""),"rewd")</f>
        <v>rewd</v>
      </c>
      <c r="C10858" s="2" t="str">
        <f ca="1">IFERROR(__xludf.DUMMYFUNCTION("""COMPUTED_VALUE"""),"Reward Protocol")</f>
        <v>Reward Protocol</v>
      </c>
    </row>
    <row r="10859" spans="1:3" x14ac:dyDescent="0.25">
      <c r="A10859" s="2" t="str">
        <f ca="1">IFERROR(__xludf.DUMMYFUNCTION("""COMPUTED_VALUE"""),"rex-2")</f>
        <v>rex-2</v>
      </c>
      <c r="B10859" s="2" t="str">
        <f ca="1">IFERROR(__xludf.DUMMYFUNCTION("""COMPUTED_VALUE"""),"rex")</f>
        <v>rex</v>
      </c>
      <c r="C10859" s="2" t="str">
        <f ca="1">IFERROR(__xludf.DUMMYFUNCTION("""COMPUTED_VALUE"""),"Rex")</f>
        <v>Rex</v>
      </c>
    </row>
    <row r="10860" spans="1:3" x14ac:dyDescent="0.25">
      <c r="A10860" s="2" t="str">
        <f ca="1">IFERROR(__xludf.DUMMYFUNCTION("""COMPUTED_VALUE"""),"rex-token")</f>
        <v>rex-token</v>
      </c>
      <c r="B10860" s="2" t="str">
        <f ca="1">IFERROR(__xludf.DUMMYFUNCTION("""COMPUTED_VALUE"""),"xrx")</f>
        <v>xrx</v>
      </c>
      <c r="C10860" s="2" t="str">
        <f ca="1">IFERROR(__xludf.DUMMYFUNCTION("""COMPUTED_VALUE"""),"Rex")</f>
        <v>Rex</v>
      </c>
    </row>
    <row r="10861" spans="1:3" x14ac:dyDescent="0.25">
      <c r="A10861" s="2" t="str">
        <f ca="1">IFERROR(__xludf.DUMMYFUNCTION("""COMPUTED_VALUE"""),"rexwifhat")</f>
        <v>rexwifhat</v>
      </c>
      <c r="B10861" s="2" t="str">
        <f ca="1">IFERROR(__xludf.DUMMYFUNCTION("""COMPUTED_VALUE"""),"rexhat")</f>
        <v>rexhat</v>
      </c>
      <c r="C10861" s="2" t="str">
        <f ca="1">IFERROR(__xludf.DUMMYFUNCTION("""COMPUTED_VALUE"""),"Rexwifhat")</f>
        <v>Rexwifhat</v>
      </c>
    </row>
    <row r="10862" spans="1:3" x14ac:dyDescent="0.25">
      <c r="A10862" s="2" t="str">
        <f ca="1">IFERROR(__xludf.DUMMYFUNCTION("""COMPUTED_VALUE"""),"rexx-coin")</f>
        <v>rexx-coin</v>
      </c>
      <c r="B10862" s="2" t="str">
        <f ca="1">IFERROR(__xludf.DUMMYFUNCTION("""COMPUTED_VALUE"""),"rexx")</f>
        <v>rexx</v>
      </c>
      <c r="C10862" s="2" t="str">
        <f ca="1">IFERROR(__xludf.DUMMYFUNCTION("""COMPUTED_VALUE"""),"Rexx Coin")</f>
        <v>Rexx Coin</v>
      </c>
    </row>
    <row r="10863" spans="1:3" x14ac:dyDescent="0.25">
      <c r="A10863" s="2" t="str">
        <f ca="1">IFERROR(__xludf.DUMMYFUNCTION("""COMPUTED_VALUE"""),"rezolut")</f>
        <v>rezolut</v>
      </c>
      <c r="B10863" s="2" t="str">
        <f ca="1">IFERROR(__xludf.DUMMYFUNCTION("""COMPUTED_VALUE"""),"zolt")</f>
        <v>zolt</v>
      </c>
      <c r="C10863" s="2" t="str">
        <f ca="1">IFERROR(__xludf.DUMMYFUNCTION("""COMPUTED_VALUE"""),"Rezolut")</f>
        <v>Rezolut</v>
      </c>
    </row>
    <row r="10864" spans="1:3" x14ac:dyDescent="0.25">
      <c r="A10864" s="2" t="str">
        <f ca="1">IFERROR(__xludf.DUMMYFUNCTION("""COMPUTED_VALUE"""),"r-games")</f>
        <v>r-games</v>
      </c>
      <c r="B10864" s="2" t="str">
        <f ca="1">IFERROR(__xludf.DUMMYFUNCTION("""COMPUTED_VALUE"""),"rgame")</f>
        <v>rgame</v>
      </c>
      <c r="C10864" s="2" t="str">
        <f ca="1">IFERROR(__xludf.DUMMYFUNCTION("""COMPUTED_VALUE"""),"R Games")</f>
        <v>R Games</v>
      </c>
    </row>
    <row r="10865" spans="1:3" x14ac:dyDescent="0.25">
      <c r="A10865" s="2" t="str">
        <f ca="1">IFERROR(__xludf.DUMMYFUNCTION("""COMPUTED_VALUE"""),"rho")</f>
        <v>rho</v>
      </c>
      <c r="B10865" s="2" t="str">
        <f ca="1">IFERROR(__xludf.DUMMYFUNCTION("""COMPUTED_VALUE"""),"rho")</f>
        <v>rho</v>
      </c>
      <c r="C10865" s="2" t="str">
        <f ca="1">IFERROR(__xludf.DUMMYFUNCTION("""COMPUTED_VALUE"""),"RHO")</f>
        <v>RHO</v>
      </c>
    </row>
    <row r="10866" spans="1:3" x14ac:dyDescent="0.25">
      <c r="A10866" s="2" t="str">
        <f ca="1">IFERROR(__xludf.DUMMYFUNCTION("""COMPUTED_VALUE"""),"rho-token")</f>
        <v>rho-token</v>
      </c>
      <c r="B10866" s="2" t="str">
        <f ca="1">IFERROR(__xludf.DUMMYFUNCTION("""COMPUTED_VALUE"""),"rho")</f>
        <v>rho</v>
      </c>
      <c r="C10866" s="2" t="str">
        <f ca="1">IFERROR(__xludf.DUMMYFUNCTION("""COMPUTED_VALUE"""),"Rho")</f>
        <v>Rho</v>
      </c>
    </row>
    <row r="10867" spans="1:3" x14ac:dyDescent="0.25">
      <c r="A10867" s="2" t="str">
        <f ca="1">IFERROR(__xludf.DUMMYFUNCTION("""COMPUTED_VALUE"""),"rhythm")</f>
        <v>rhythm</v>
      </c>
      <c r="B10867" s="2" t="str">
        <f ca="1">IFERROR(__xludf.DUMMYFUNCTION("""COMPUTED_VALUE"""),"rhythm")</f>
        <v>rhythm</v>
      </c>
      <c r="C10867" s="2" t="str">
        <f ca="1">IFERROR(__xludf.DUMMYFUNCTION("""COMPUTED_VALUE"""),"Rhythm")</f>
        <v>Rhythm</v>
      </c>
    </row>
    <row r="10868" spans="1:3" x14ac:dyDescent="0.25">
      <c r="A10868" s="2" t="str">
        <f ca="1">IFERROR(__xludf.DUMMYFUNCTION("""COMPUTED_VALUE"""),"ribbit-2")</f>
        <v>ribbit-2</v>
      </c>
      <c r="B10868" s="2" t="str">
        <f ca="1">IFERROR(__xludf.DUMMYFUNCTION("""COMPUTED_VALUE"""),"rbt")</f>
        <v>rbt</v>
      </c>
      <c r="C10868" s="2" t="str">
        <f ca="1">IFERROR(__xludf.DUMMYFUNCTION("""COMPUTED_VALUE"""),"RIBBIT")</f>
        <v>RIBBIT</v>
      </c>
    </row>
    <row r="10869" spans="1:3" x14ac:dyDescent="0.25">
      <c r="A10869" s="2" t="str">
        <f ca="1">IFERROR(__xludf.DUMMYFUNCTION("""COMPUTED_VALUE"""),"ribbit-meme")</f>
        <v>ribbit-meme</v>
      </c>
      <c r="B10869" s="2" t="str">
        <f ca="1">IFERROR(__xludf.DUMMYFUNCTION("""COMPUTED_VALUE"""),"ribbit")</f>
        <v>ribbit</v>
      </c>
      <c r="C10869" s="2" t="str">
        <f ca="1">IFERROR(__xludf.DUMMYFUNCTION("""COMPUTED_VALUE"""),"Ribbit Meme")</f>
        <v>Ribbit Meme</v>
      </c>
    </row>
    <row r="10870" spans="1:3" x14ac:dyDescent="0.25">
      <c r="A10870" s="2" t="str">
        <f ca="1">IFERROR(__xludf.DUMMYFUNCTION("""COMPUTED_VALUE"""),"ribbon-finance")</f>
        <v>ribbon-finance</v>
      </c>
      <c r="B10870" s="2" t="str">
        <f ca="1">IFERROR(__xludf.DUMMYFUNCTION("""COMPUTED_VALUE"""),"rbn")</f>
        <v>rbn</v>
      </c>
      <c r="C10870" s="2" t="str">
        <f ca="1">IFERROR(__xludf.DUMMYFUNCTION("""COMPUTED_VALUE"""),"Ribbon Finance")</f>
        <v>Ribbon Finance</v>
      </c>
    </row>
    <row r="10871" spans="1:3" x14ac:dyDescent="0.25">
      <c r="A10871" s="2" t="str">
        <f ca="1">IFERROR(__xludf.DUMMYFUNCTION("""COMPUTED_VALUE"""),"ribus")</f>
        <v>ribus</v>
      </c>
      <c r="B10871" s="2" t="str">
        <f ca="1">IFERROR(__xludf.DUMMYFUNCTION("""COMPUTED_VALUE"""),"rib")</f>
        <v>rib</v>
      </c>
      <c r="C10871" s="2" t="str">
        <f ca="1">IFERROR(__xludf.DUMMYFUNCTION("""COMPUTED_VALUE"""),"Ribus")</f>
        <v>Ribus</v>
      </c>
    </row>
    <row r="10872" spans="1:3" x14ac:dyDescent="0.25">
      <c r="A10872" s="2" t="str">
        <f ca="1">IFERROR(__xludf.DUMMYFUNCTION("""COMPUTED_VALUE"""),"rich")</f>
        <v>rich</v>
      </c>
      <c r="B10872" s="2" t="str">
        <f ca="1">IFERROR(__xludf.DUMMYFUNCTION("""COMPUTED_VALUE"""),"rch")</f>
        <v>rch</v>
      </c>
      <c r="C10872" s="2" t="str">
        <f ca="1">IFERROR(__xludf.DUMMYFUNCTION("""COMPUTED_VALUE"""),"Rich")</f>
        <v>Rich</v>
      </c>
    </row>
    <row r="10873" spans="1:3" x14ac:dyDescent="0.25">
      <c r="A10873" s="2" t="str">
        <f ca="1">IFERROR(__xludf.DUMMYFUNCTION("""COMPUTED_VALUE"""),"richcity")</f>
        <v>richcity</v>
      </c>
      <c r="B10873" s="2" t="str">
        <f ca="1">IFERROR(__xludf.DUMMYFUNCTION("""COMPUTED_VALUE"""),"rich")</f>
        <v>rich</v>
      </c>
      <c r="C10873" s="2" t="str">
        <f ca="1">IFERROR(__xludf.DUMMYFUNCTION("""COMPUTED_VALUE"""),"RichCity")</f>
        <v>RichCity</v>
      </c>
    </row>
    <row r="10874" spans="1:3" x14ac:dyDescent="0.25">
      <c r="A10874" s="2" t="str">
        <f ca="1">IFERROR(__xludf.DUMMYFUNCTION("""COMPUTED_VALUE"""),"rich-on-sol")</f>
        <v>rich-on-sol</v>
      </c>
      <c r="B10874" s="2" t="str">
        <f ca="1">IFERROR(__xludf.DUMMYFUNCTION("""COMPUTED_VALUE"""),"rich")</f>
        <v>rich</v>
      </c>
      <c r="C10874" s="2" t="str">
        <f ca="1">IFERROR(__xludf.DUMMYFUNCTION("""COMPUTED_VALUE"""),"RICH on SOL")</f>
        <v>RICH on SOL</v>
      </c>
    </row>
    <row r="10875" spans="1:3" x14ac:dyDescent="0.25">
      <c r="A10875" s="2" t="str">
        <f ca="1">IFERROR(__xludf.DUMMYFUNCTION("""COMPUTED_VALUE"""),"richquack")</f>
        <v>richquack</v>
      </c>
      <c r="B10875" s="2" t="str">
        <f ca="1">IFERROR(__xludf.DUMMYFUNCTION("""COMPUTED_VALUE"""),"quack")</f>
        <v>quack</v>
      </c>
      <c r="C10875" s="2" t="str">
        <f ca="1">IFERROR(__xludf.DUMMYFUNCTION("""COMPUTED_VALUE"""),"Rich Quack")</f>
        <v>Rich Quack</v>
      </c>
    </row>
    <row r="10876" spans="1:3" x14ac:dyDescent="0.25">
      <c r="A10876" s="2" t="str">
        <f ca="1">IFERROR(__xludf.DUMMYFUNCTION("""COMPUTED_VALUE"""),"rich-rabbit")</f>
        <v>rich-rabbit</v>
      </c>
      <c r="B10876" s="2" t="str">
        <f ca="1">IFERROR(__xludf.DUMMYFUNCTION("""COMPUTED_VALUE"""),"rabbit")</f>
        <v>rabbit</v>
      </c>
      <c r="C10876" s="2" t="str">
        <f ca="1">IFERROR(__xludf.DUMMYFUNCTION("""COMPUTED_VALUE"""),"Rich Rabbit")</f>
        <v>Rich Rabbit</v>
      </c>
    </row>
    <row r="10877" spans="1:3" x14ac:dyDescent="0.25">
      <c r="A10877" s="2" t="str">
        <f ca="1">IFERROR(__xludf.DUMMYFUNCTION("""COMPUTED_VALUE"""),"ridotto")</f>
        <v>ridotto</v>
      </c>
      <c r="B10877" s="2" t="str">
        <f ca="1">IFERROR(__xludf.DUMMYFUNCTION("""COMPUTED_VALUE"""),"rdt")</f>
        <v>rdt</v>
      </c>
      <c r="C10877" s="2" t="str">
        <f ca="1">IFERROR(__xludf.DUMMYFUNCTION("""COMPUTED_VALUE"""),"Ridotto")</f>
        <v>Ridotto</v>
      </c>
    </row>
    <row r="10878" spans="1:3" x14ac:dyDescent="0.25">
      <c r="A10878" s="2" t="str">
        <f ca="1">IFERROR(__xludf.DUMMYFUNCTION("""COMPUTED_VALUE"""),"riecoin")</f>
        <v>riecoin</v>
      </c>
      <c r="B10878" s="2" t="str">
        <f ca="1">IFERROR(__xludf.DUMMYFUNCTION("""COMPUTED_VALUE"""),"ric")</f>
        <v>ric</v>
      </c>
      <c r="C10878" s="2" t="str">
        <f ca="1">IFERROR(__xludf.DUMMYFUNCTION("""COMPUTED_VALUE"""),"Riecoin")</f>
        <v>Riecoin</v>
      </c>
    </row>
    <row r="10879" spans="1:3" x14ac:dyDescent="0.25">
      <c r="A10879" s="2" t="str">
        <f ca="1">IFERROR(__xludf.DUMMYFUNCTION("""COMPUTED_VALUE"""),"rifi-united")</f>
        <v>rifi-united</v>
      </c>
      <c r="B10879" s="2" t="str">
        <f ca="1">IFERROR(__xludf.DUMMYFUNCTION("""COMPUTED_VALUE"""),"ru")</f>
        <v>ru</v>
      </c>
      <c r="C10879" s="2" t="str">
        <f ca="1">IFERROR(__xludf.DUMMYFUNCTION("""COMPUTED_VALUE"""),"RIFI United")</f>
        <v>RIFI United</v>
      </c>
    </row>
    <row r="10880" spans="1:3" x14ac:dyDescent="0.25">
      <c r="A10880" s="2" t="str">
        <f ca="1">IFERROR(__xludf.DUMMYFUNCTION("""COMPUTED_VALUE"""),"rif-token")</f>
        <v>rif-token</v>
      </c>
      <c r="B10880" s="2" t="str">
        <f ca="1">IFERROR(__xludf.DUMMYFUNCTION("""COMPUTED_VALUE"""),"rif")</f>
        <v>rif</v>
      </c>
      <c r="C10880" s="2" t="str">
        <f ca="1">IFERROR(__xludf.DUMMYFUNCTION("""COMPUTED_VALUE"""),"RSK Infrastructure Framework")</f>
        <v>RSK Infrastructure Framework</v>
      </c>
    </row>
    <row r="10881" spans="1:3" x14ac:dyDescent="0.25">
      <c r="A10881" s="2" t="str">
        <f ca="1">IFERROR(__xludf.DUMMYFUNCTION("""COMPUTED_VALUE"""),"rif-us-dollar")</f>
        <v>rif-us-dollar</v>
      </c>
      <c r="B10881" s="2" t="str">
        <f ca="1">IFERROR(__xludf.DUMMYFUNCTION("""COMPUTED_VALUE"""),"usdrif")</f>
        <v>usdrif</v>
      </c>
      <c r="C10881" s="2" t="str">
        <f ca="1">IFERROR(__xludf.DUMMYFUNCTION("""COMPUTED_VALUE"""),"RIF US Dollar")</f>
        <v>RIF US Dollar</v>
      </c>
    </row>
    <row r="10882" spans="1:3" x14ac:dyDescent="0.25">
      <c r="A10882" s="2" t="str">
        <f ca="1">IFERROR(__xludf.DUMMYFUNCTION("""COMPUTED_VALUE"""),"rigel-protocol")</f>
        <v>rigel-protocol</v>
      </c>
      <c r="B10882" s="2" t="str">
        <f ca="1">IFERROR(__xludf.DUMMYFUNCTION("""COMPUTED_VALUE"""),"rgp")</f>
        <v>rgp</v>
      </c>
      <c r="C10882" s="2" t="str">
        <f ca="1">IFERROR(__xludf.DUMMYFUNCTION("""COMPUTED_VALUE"""),"Rigel Protocol")</f>
        <v>Rigel Protocol</v>
      </c>
    </row>
    <row r="10883" spans="1:3" x14ac:dyDescent="0.25">
      <c r="A10883" s="2" t="str">
        <f ca="1">IFERROR(__xludf.DUMMYFUNCTION("""COMPUTED_VALUE"""),"rigoblock")</f>
        <v>rigoblock</v>
      </c>
      <c r="B10883" s="2" t="str">
        <f ca="1">IFERROR(__xludf.DUMMYFUNCTION("""COMPUTED_VALUE"""),"grg")</f>
        <v>grg</v>
      </c>
      <c r="C10883" s="2" t="str">
        <f ca="1">IFERROR(__xludf.DUMMYFUNCTION("""COMPUTED_VALUE"""),"RigoBlock")</f>
        <v>RigoBlock</v>
      </c>
    </row>
    <row r="10884" spans="1:3" x14ac:dyDescent="0.25">
      <c r="A10884" s="2" t="str">
        <f ca="1">IFERROR(__xludf.DUMMYFUNCTION("""COMPUTED_VALUE"""),"rikeza")</f>
        <v>rikeza</v>
      </c>
      <c r="B10884" s="2" t="str">
        <f ca="1">IFERROR(__xludf.DUMMYFUNCTION("""COMPUTED_VALUE"""),"rik")</f>
        <v>rik</v>
      </c>
      <c r="C10884" s="2" t="str">
        <f ca="1">IFERROR(__xludf.DUMMYFUNCTION("""COMPUTED_VALUE"""),"RIKEZA")</f>
        <v>RIKEZA</v>
      </c>
    </row>
    <row r="10885" spans="1:3" x14ac:dyDescent="0.25">
      <c r="A10885" s="2" t="str">
        <f ca="1">IFERROR(__xludf.DUMMYFUNCTION("""COMPUTED_VALUE"""),"rikkei-finance")</f>
        <v>rikkei-finance</v>
      </c>
      <c r="B10885" s="2" t="str">
        <f ca="1">IFERROR(__xludf.DUMMYFUNCTION("""COMPUTED_VALUE"""),"rifi")</f>
        <v>rifi</v>
      </c>
      <c r="C10885" s="2" t="str">
        <f ca="1">IFERROR(__xludf.DUMMYFUNCTION("""COMPUTED_VALUE"""),"Rikkei Finance")</f>
        <v>Rikkei Finance</v>
      </c>
    </row>
    <row r="10886" spans="1:3" x14ac:dyDescent="0.25">
      <c r="A10886" s="2" t="str">
        <f ca="1">IFERROR(__xludf.DUMMYFUNCTION("""COMPUTED_VALUE"""),"riku")</f>
        <v>riku</v>
      </c>
      <c r="B10886" s="2" t="str">
        <f ca="1">IFERROR(__xludf.DUMMYFUNCTION("""COMPUTED_VALUE"""),"riku")</f>
        <v>riku</v>
      </c>
      <c r="C10886" s="2" t="str">
        <f ca="1">IFERROR(__xludf.DUMMYFUNCTION("""COMPUTED_VALUE"""),"RIKU")</f>
        <v>RIKU</v>
      </c>
    </row>
    <row r="10887" spans="1:3" x14ac:dyDescent="0.25">
      <c r="A10887" s="2" t="str">
        <f ca="1">IFERROR(__xludf.DUMMYFUNCTION("""COMPUTED_VALUE"""),"riky-the-raccoon")</f>
        <v>riky-the-raccoon</v>
      </c>
      <c r="B10887" s="2" t="str">
        <f ca="1">IFERROR(__xludf.DUMMYFUNCTION("""COMPUTED_VALUE"""),"riky")</f>
        <v>riky</v>
      </c>
      <c r="C10887" s="2" t="str">
        <f ca="1">IFERROR(__xludf.DUMMYFUNCTION("""COMPUTED_VALUE"""),"Riky The Raccoon")</f>
        <v>Riky The Raccoon</v>
      </c>
    </row>
    <row r="10888" spans="1:3" x14ac:dyDescent="0.25">
      <c r="A10888" s="2" t="str">
        <f ca="1">IFERROR(__xludf.DUMMYFUNCTION("""COMPUTED_VALUE"""),"rilcoin")</f>
        <v>rilcoin</v>
      </c>
      <c r="B10888" s="2" t="str">
        <f ca="1">IFERROR(__xludf.DUMMYFUNCTION("""COMPUTED_VALUE"""),"ril")</f>
        <v>ril</v>
      </c>
      <c r="C10888" s="2" t="str">
        <f ca="1">IFERROR(__xludf.DUMMYFUNCTION("""COMPUTED_VALUE"""),"Rilcoin")</f>
        <v>Rilcoin</v>
      </c>
    </row>
    <row r="10889" spans="1:3" x14ac:dyDescent="0.25">
      <c r="A10889" s="2" t="str">
        <f ca="1">IFERROR(__xludf.DUMMYFUNCTION("""COMPUTED_VALUE"""),"rillafi")</f>
        <v>rillafi</v>
      </c>
      <c r="B10889" s="2" t="str">
        <f ca="1">IFERROR(__xludf.DUMMYFUNCTION("""COMPUTED_VALUE"""),"rilla")</f>
        <v>rilla</v>
      </c>
      <c r="C10889" s="2" t="str">
        <f ca="1">IFERROR(__xludf.DUMMYFUNCTION("""COMPUTED_VALUE"""),"RillaFi")</f>
        <v>RillaFi</v>
      </c>
    </row>
    <row r="10890" spans="1:3" x14ac:dyDescent="0.25">
      <c r="A10890" s="2" t="str">
        <f ca="1">IFERROR(__xludf.DUMMYFUNCTION("""COMPUTED_VALUE"""),"rimaunangis")</f>
        <v>rimaunangis</v>
      </c>
      <c r="B10890" s="2" t="str">
        <f ca="1">IFERROR(__xludf.DUMMYFUNCTION("""COMPUTED_VALUE"""),"rxt")</f>
        <v>rxt</v>
      </c>
      <c r="C10890" s="2" t="str">
        <f ca="1">IFERROR(__xludf.DUMMYFUNCTION("""COMPUTED_VALUE"""),"RIMAUNANGIS")</f>
        <v>RIMAUNANGIS</v>
      </c>
    </row>
    <row r="10891" spans="1:3" x14ac:dyDescent="0.25">
      <c r="A10891" s="2" t="str">
        <f ca="1">IFERROR(__xludf.DUMMYFUNCTION("""COMPUTED_VALUE"""),"ring-ai")</f>
        <v>ring-ai</v>
      </c>
      <c r="B10891" s="2" t="str">
        <f ca="1">IFERROR(__xludf.DUMMYFUNCTION("""COMPUTED_VALUE"""),"ring")</f>
        <v>ring</v>
      </c>
      <c r="C10891" s="2" t="str">
        <f ca="1">IFERROR(__xludf.DUMMYFUNCTION("""COMPUTED_VALUE"""),"Ring AI")</f>
        <v>Ring AI</v>
      </c>
    </row>
    <row r="10892" spans="1:3" x14ac:dyDescent="0.25">
      <c r="A10892" s="2" t="str">
        <f ca="1">IFERROR(__xludf.DUMMYFUNCTION("""COMPUTED_VALUE"""),"ring-protocol")</f>
        <v>ring-protocol</v>
      </c>
      <c r="B10892" s="2" t="str">
        <f ca="1">IFERROR(__xludf.DUMMYFUNCTION("""COMPUTED_VALUE"""),"ring")</f>
        <v>ring</v>
      </c>
      <c r="C10892" s="2" t="str">
        <f ca="1">IFERROR(__xludf.DUMMYFUNCTION("""COMPUTED_VALUE"""),"Ring Protocol")</f>
        <v>Ring Protocol</v>
      </c>
    </row>
    <row r="10893" spans="1:3" x14ac:dyDescent="0.25">
      <c r="A10893" s="2" t="str">
        <f ca="1">IFERROR(__xludf.DUMMYFUNCTION("""COMPUTED_VALUE"""),"rinia-inu")</f>
        <v>rinia-inu</v>
      </c>
      <c r="B10893" s="2" t="str">
        <f ca="1">IFERROR(__xludf.DUMMYFUNCTION("""COMPUTED_VALUE"""),"rinia")</f>
        <v>rinia</v>
      </c>
      <c r="C10893" s="2" t="str">
        <f ca="1">IFERROR(__xludf.DUMMYFUNCTION("""COMPUTED_VALUE"""),"Rinia Inu")</f>
        <v>Rinia Inu</v>
      </c>
    </row>
    <row r="10894" spans="1:3" x14ac:dyDescent="0.25">
      <c r="A10894" s="2" t="str">
        <f ca="1">IFERROR(__xludf.DUMMYFUNCTION("""COMPUTED_VALUE"""),"rintaro")</f>
        <v>rintaro</v>
      </c>
      <c r="B10894" s="2" t="str">
        <f ca="1">IFERROR(__xludf.DUMMYFUNCTION("""COMPUTED_VALUE"""),"rintaro")</f>
        <v>rintaro</v>
      </c>
      <c r="C10894" s="2" t="str">
        <f ca="1">IFERROR(__xludf.DUMMYFUNCTION("""COMPUTED_VALUE"""),"Rintaro")</f>
        <v>Rintaro</v>
      </c>
    </row>
    <row r="10895" spans="1:3" x14ac:dyDescent="0.25">
      <c r="A10895" s="2" t="str">
        <f ca="1">IFERROR(__xludf.DUMMYFUNCTION("""COMPUTED_VALUE"""),"rio-defi")</f>
        <v>rio-defi</v>
      </c>
      <c r="B10895" s="2" t="str">
        <f ca="1">IFERROR(__xludf.DUMMYFUNCTION("""COMPUTED_VALUE"""),"rfuel")</f>
        <v>rfuel</v>
      </c>
      <c r="C10895" s="2" t="str">
        <f ca="1">IFERROR(__xludf.DUMMYFUNCTION("""COMPUTED_VALUE"""),"RioDeFi")</f>
        <v>RioDeFi</v>
      </c>
    </row>
    <row r="10896" spans="1:3" x14ac:dyDescent="0.25">
      <c r="A10896" s="2" t="str">
        <f ca="1">IFERROR(__xludf.DUMMYFUNCTION("""COMPUTED_VALUE"""),"riot-racers")</f>
        <v>riot-racers</v>
      </c>
      <c r="B10896" s="2" t="str">
        <f ca="1">IFERROR(__xludf.DUMMYFUNCTION("""COMPUTED_VALUE"""),"riot")</f>
        <v>riot</v>
      </c>
      <c r="C10896" s="2" t="str">
        <f ca="1">IFERROR(__xludf.DUMMYFUNCTION("""COMPUTED_VALUE"""),"Riot Racers")</f>
        <v>Riot Racers</v>
      </c>
    </row>
    <row r="10897" spans="1:3" x14ac:dyDescent="0.25">
      <c r="A10897" s="2" t="str">
        <f ca="1">IFERROR(__xludf.DUMMYFUNCTION("""COMPUTED_VALUE"""),"ripio-credit-network")</f>
        <v>ripio-credit-network</v>
      </c>
      <c r="B10897" s="2" t="str">
        <f ca="1">IFERROR(__xludf.DUMMYFUNCTION("""COMPUTED_VALUE"""),"rcn")</f>
        <v>rcn</v>
      </c>
      <c r="C10897" s="2" t="str">
        <f ca="1">IFERROR(__xludf.DUMMYFUNCTION("""COMPUTED_VALUE"""),"Ripio Credit Network")</f>
        <v>Ripio Credit Network</v>
      </c>
    </row>
    <row r="10898" spans="1:3" x14ac:dyDescent="0.25">
      <c r="A10898" s="2" t="str">
        <f ca="1">IFERROR(__xludf.DUMMYFUNCTION("""COMPUTED_VALUE"""),"ripple")</f>
        <v>ripple</v>
      </c>
      <c r="B10898" s="2" t="str">
        <f ca="1">IFERROR(__xludf.DUMMYFUNCTION("""COMPUTED_VALUE"""),"xrp")</f>
        <v>xrp</v>
      </c>
      <c r="C10898" s="2" t="str">
        <f ca="1">IFERROR(__xludf.DUMMYFUNCTION("""COMPUTED_VALUE"""),"XRP")</f>
        <v>XRP</v>
      </c>
    </row>
    <row r="10899" spans="1:3" x14ac:dyDescent="0.25">
      <c r="A10899" s="2" t="str">
        <f ca="1">IFERROR(__xludf.DUMMYFUNCTION("""COMPUTED_VALUE"""),"ripple-usd")</f>
        <v>ripple-usd</v>
      </c>
      <c r="B10899" s="2" t="str">
        <f ca="1">IFERROR(__xludf.DUMMYFUNCTION("""COMPUTED_VALUE"""),"rlusd")</f>
        <v>rlusd</v>
      </c>
      <c r="C10899" s="2" t="str">
        <f ca="1">IFERROR(__xludf.DUMMYFUNCTION("""COMPUTED_VALUE"""),"Ripple USD")</f>
        <v>Ripple USD</v>
      </c>
    </row>
    <row r="10900" spans="1:3" x14ac:dyDescent="0.25">
      <c r="A10900" s="2" t="str">
        <f ca="1">IFERROR(__xludf.DUMMYFUNCTION("""COMPUTED_VALUE"""),"rise-of-the-warbots-mmac")</f>
        <v>rise-of-the-warbots-mmac</v>
      </c>
      <c r="B10900" s="2" t="str">
        <f ca="1">IFERROR(__xludf.DUMMYFUNCTION("""COMPUTED_VALUE"""),"mmac")</f>
        <v>mmac</v>
      </c>
      <c r="C10900" s="2" t="str">
        <f ca="1">IFERROR(__xludf.DUMMYFUNCTION("""COMPUTED_VALUE"""),"Rise of the Warbots MMAC")</f>
        <v>Rise of the Warbots MMAC</v>
      </c>
    </row>
    <row r="10901" spans="1:3" x14ac:dyDescent="0.25">
      <c r="A10901" s="2" t="str">
        <f ca="1">IFERROR(__xludf.DUMMYFUNCTION("""COMPUTED_VALUE"""),"riser")</f>
        <v>riser</v>
      </c>
      <c r="B10901" s="2" t="str">
        <f ca="1">IFERROR(__xludf.DUMMYFUNCTION("""COMPUTED_VALUE"""),"ris")</f>
        <v>ris</v>
      </c>
      <c r="C10901" s="2" t="str">
        <f ca="1">IFERROR(__xludf.DUMMYFUNCTION("""COMPUTED_VALUE"""),"Riser")</f>
        <v>Riser</v>
      </c>
    </row>
    <row r="10902" spans="1:3" x14ac:dyDescent="0.25">
      <c r="A10902" s="2" t="str">
        <f ca="1">IFERROR(__xludf.DUMMYFUNCTION("""COMPUTED_VALUE"""),"risitas")</f>
        <v>risitas</v>
      </c>
      <c r="B10902" s="2" t="str">
        <f ca="1">IFERROR(__xludf.DUMMYFUNCTION("""COMPUTED_VALUE"""),"risita")</f>
        <v>risita</v>
      </c>
      <c r="C10902" s="2" t="str">
        <f ca="1">IFERROR(__xludf.DUMMYFUNCTION("""COMPUTED_VALUE"""),"Risitas (OLD)")</f>
        <v>Risitas (OLD)</v>
      </c>
    </row>
    <row r="10903" spans="1:3" x14ac:dyDescent="0.25">
      <c r="A10903" s="2" t="str">
        <f ca="1">IFERROR(__xludf.DUMMYFUNCTION("""COMPUTED_VALUE"""),"risitas-2")</f>
        <v>risitas-2</v>
      </c>
      <c r="B10903" s="2" t="str">
        <f ca="1">IFERROR(__xludf.DUMMYFUNCTION("""COMPUTED_VALUE"""),"risita")</f>
        <v>risita</v>
      </c>
      <c r="C10903" s="2" t="str">
        <f ca="1">IFERROR(__xludf.DUMMYFUNCTION("""COMPUTED_VALUE"""),"Risitas")</f>
        <v>Risitas</v>
      </c>
    </row>
    <row r="10904" spans="1:3" x14ac:dyDescent="0.25">
      <c r="A10904" s="2" t="str">
        <f ca="1">IFERROR(__xludf.DUMMYFUNCTION("""COMPUTED_VALUE"""),"ritestream")</f>
        <v>ritestream</v>
      </c>
      <c r="B10904" s="2" t="str">
        <f ca="1">IFERROR(__xludf.DUMMYFUNCTION("""COMPUTED_VALUE"""),"rite")</f>
        <v>rite</v>
      </c>
      <c r="C10904" s="2" t="str">
        <f ca="1">IFERROR(__xludf.DUMMYFUNCTION("""COMPUTED_VALUE"""),"ritestream")</f>
        <v>ritestream</v>
      </c>
    </row>
    <row r="10905" spans="1:3" x14ac:dyDescent="0.25">
      <c r="A10905" s="2" t="str">
        <f ca="1">IFERROR(__xludf.DUMMYFUNCTION("""COMPUTED_VALUE"""),"rito")</f>
        <v>rito</v>
      </c>
      <c r="B10905" s="2" t="str">
        <f ca="1">IFERROR(__xludf.DUMMYFUNCTION("""COMPUTED_VALUE"""),"rito")</f>
        <v>rito</v>
      </c>
      <c r="C10905" s="2" t="str">
        <f ca="1">IFERROR(__xludf.DUMMYFUNCTION("""COMPUTED_VALUE"""),"Rito")</f>
        <v>Rito</v>
      </c>
    </row>
    <row r="10906" spans="1:3" x14ac:dyDescent="0.25">
      <c r="A10906" s="2" t="str">
        <f ca="1">IFERROR(__xludf.DUMMYFUNCTION("""COMPUTED_VALUE"""),"riverboat")</f>
        <v>riverboat</v>
      </c>
      <c r="B10906" s="2" t="str">
        <f ca="1">IFERROR(__xludf.DUMMYFUNCTION("""COMPUTED_VALUE"""),"rib")</f>
        <v>rib</v>
      </c>
      <c r="C10906" s="2" t="str">
        <f ca="1">IFERROR(__xludf.DUMMYFUNCTION("""COMPUTED_VALUE"""),"RiverBoat")</f>
        <v>RiverBoat</v>
      </c>
    </row>
    <row r="10907" spans="1:3" x14ac:dyDescent="0.25">
      <c r="A10907" s="2" t="str">
        <f ca="1">IFERROR(__xludf.DUMMYFUNCTION("""COMPUTED_VALUE"""),"riverex-welle")</f>
        <v>riverex-welle</v>
      </c>
      <c r="B10907" s="2" t="str">
        <f ca="1">IFERROR(__xludf.DUMMYFUNCTION("""COMPUTED_VALUE"""),"welle")</f>
        <v>welle</v>
      </c>
      <c r="C10907" s="2" t="str">
        <f ca="1">IFERROR(__xludf.DUMMYFUNCTION("""COMPUTED_VALUE"""),"Welle")</f>
        <v>Welle</v>
      </c>
    </row>
    <row r="10908" spans="1:3" x14ac:dyDescent="0.25">
      <c r="A10908" s="2" t="str">
        <f ca="1">IFERROR(__xludf.DUMMYFUNCTION("""COMPUTED_VALUE"""),"rivusdao")</f>
        <v>rivusdao</v>
      </c>
      <c r="B10908" s="2" t="str">
        <f ca="1">IFERROR(__xludf.DUMMYFUNCTION("""COMPUTED_VALUE"""),"rivus")</f>
        <v>rivus</v>
      </c>
      <c r="C10908" s="2" t="str">
        <f ca="1">IFERROR(__xludf.DUMMYFUNCTION("""COMPUTED_VALUE"""),"RivusDAO")</f>
        <v>RivusDAO</v>
      </c>
    </row>
    <row r="10909" spans="1:3" x14ac:dyDescent="0.25">
      <c r="A10909" s="2" t="str">
        <f ca="1">IFERROR(__xludf.DUMMYFUNCTION("""COMPUTED_VALUE"""),"rizo")</f>
        <v>rizo</v>
      </c>
      <c r="B10909" s="2" t="str">
        <f ca="1">IFERROR(__xludf.DUMMYFUNCTION("""COMPUTED_VALUE"""),"rizo")</f>
        <v>rizo</v>
      </c>
      <c r="C10909" s="2" t="str">
        <f ca="1">IFERROR(__xludf.DUMMYFUNCTION("""COMPUTED_VALUE"""),"Rizo")</f>
        <v>Rizo</v>
      </c>
    </row>
    <row r="10910" spans="1:3" x14ac:dyDescent="0.25">
      <c r="A10910" s="2" t="str">
        <f ca="1">IFERROR(__xludf.DUMMYFUNCTION("""COMPUTED_VALUE"""),"rizon")</f>
        <v>rizon</v>
      </c>
      <c r="B10910" s="2" t="str">
        <f ca="1">IFERROR(__xludf.DUMMYFUNCTION("""COMPUTED_VALUE"""),"atolo")</f>
        <v>atolo</v>
      </c>
      <c r="C10910" s="2" t="str">
        <f ca="1">IFERROR(__xludf.DUMMYFUNCTION("""COMPUTED_VALUE"""),"RIZON")</f>
        <v>RIZON</v>
      </c>
    </row>
    <row r="10911" spans="1:3" x14ac:dyDescent="0.25">
      <c r="A10911" s="2" t="str">
        <f ca="1">IFERROR(__xludf.DUMMYFUNCTION("""COMPUTED_VALUE"""),"rizz")</f>
        <v>rizz</v>
      </c>
      <c r="B10911" s="2" t="str">
        <f ca="1">IFERROR(__xludf.DUMMYFUNCTION("""COMPUTED_VALUE"""),"rizz")</f>
        <v>rizz</v>
      </c>
      <c r="C10911" s="2" t="str">
        <f ca="1">IFERROR(__xludf.DUMMYFUNCTION("""COMPUTED_VALUE"""),"RIZZ")</f>
        <v>RIZZ</v>
      </c>
    </row>
    <row r="10912" spans="1:3" x14ac:dyDescent="0.25">
      <c r="A10912" s="2" t="str">
        <f ca="1">IFERROR(__xludf.DUMMYFUNCTION("""COMPUTED_VALUE"""),"rizz-2")</f>
        <v>rizz-2</v>
      </c>
      <c r="B10912" s="2" t="str">
        <f ca="1">IFERROR(__xludf.DUMMYFUNCTION("""COMPUTED_VALUE"""),"rizz")</f>
        <v>rizz</v>
      </c>
      <c r="C10912" s="2" t="str">
        <f ca="1">IFERROR(__xludf.DUMMYFUNCTION("""COMPUTED_VALUE"""),"Rizz")</f>
        <v>Rizz</v>
      </c>
    </row>
    <row r="10913" spans="1:3" x14ac:dyDescent="0.25">
      <c r="A10913" s="2" t="str">
        <f ca="1">IFERROR(__xludf.DUMMYFUNCTION("""COMPUTED_VALUE"""),"rizz-solana")</f>
        <v>rizz-solana</v>
      </c>
      <c r="B10913" s="2" t="str">
        <f ca="1">IFERROR(__xludf.DUMMYFUNCTION("""COMPUTED_VALUE"""),"rizz")</f>
        <v>rizz</v>
      </c>
      <c r="C10913" s="2" t="str">
        <f ca="1">IFERROR(__xludf.DUMMYFUNCTION("""COMPUTED_VALUE"""),"RIZZ Solana")</f>
        <v>RIZZ Solana</v>
      </c>
    </row>
    <row r="10914" spans="1:3" x14ac:dyDescent="0.25">
      <c r="A10914" s="2" t="str">
        <f ca="1">IFERROR(__xludf.DUMMYFUNCTION("""COMPUTED_VALUE"""),"rizz-solomon")</f>
        <v>rizz-solomon</v>
      </c>
      <c r="B10914" s="2" t="str">
        <f ca="1">IFERROR(__xludf.DUMMYFUNCTION("""COMPUTED_VALUE"""),"rizz")</f>
        <v>rizz</v>
      </c>
      <c r="C10914" s="2" t="str">
        <f ca="1">IFERROR(__xludf.DUMMYFUNCTION("""COMPUTED_VALUE"""),"RIZZ Solomon")</f>
        <v>RIZZ Solomon</v>
      </c>
    </row>
    <row r="10915" spans="1:3" x14ac:dyDescent="0.25">
      <c r="A10915" s="2" t="str">
        <f ca="1">IFERROR(__xludf.DUMMYFUNCTION("""COMPUTED_VALUE"""),"rkey")</f>
        <v>rkey</v>
      </c>
      <c r="B10915" s="2" t="str">
        <f ca="1">IFERROR(__xludf.DUMMYFUNCTION("""COMPUTED_VALUE"""),"rkey")</f>
        <v>rkey</v>
      </c>
      <c r="C10915" s="2" t="str">
        <f ca="1">IFERROR(__xludf.DUMMYFUNCTION("""COMPUTED_VALUE"""),"Rkey")</f>
        <v>Rkey</v>
      </c>
    </row>
    <row r="10916" spans="1:3" x14ac:dyDescent="0.25">
      <c r="A10916" s="2" t="str">
        <f ca="1">IFERROR(__xludf.DUMMYFUNCTION("""COMPUTED_VALUE"""),"rloop")</f>
        <v>rloop</v>
      </c>
      <c r="B10916" s="2" t="str">
        <f ca="1">IFERROR(__xludf.DUMMYFUNCTION("""COMPUTED_VALUE"""),"rloop")</f>
        <v>rloop</v>
      </c>
      <c r="C10916" s="2" t="str">
        <f ca="1">IFERROR(__xludf.DUMMYFUNCTION("""COMPUTED_VALUE"""),"rLoop")</f>
        <v>rLoop</v>
      </c>
    </row>
    <row r="10917" spans="1:3" x14ac:dyDescent="0.25">
      <c r="A10917" s="2" t="str">
        <f ca="1">IFERROR(__xludf.DUMMYFUNCTION("""COMPUTED_VALUE"""),"rmrk")</f>
        <v>rmrk</v>
      </c>
      <c r="B10917" s="2" t="str">
        <f ca="1">IFERROR(__xludf.DUMMYFUNCTION("""COMPUTED_VALUE"""),"rmrk")</f>
        <v>rmrk</v>
      </c>
      <c r="C10917" s="2" t="str">
        <f ca="1">IFERROR(__xludf.DUMMYFUNCTION("""COMPUTED_VALUE"""),"RMRK")</f>
        <v>RMRK</v>
      </c>
    </row>
    <row r="10918" spans="1:3" x14ac:dyDescent="0.25">
      <c r="A10918" s="2" t="str">
        <f ca="1">IFERROR(__xludf.DUMMYFUNCTION("""COMPUTED_VALUE"""),"roach-rally")</f>
        <v>roach-rally</v>
      </c>
      <c r="B10918" s="2" t="str">
        <f ca="1">IFERROR(__xludf.DUMMYFUNCTION("""COMPUTED_VALUE"""),"roach")</f>
        <v>roach</v>
      </c>
      <c r="C10918" s="2" t="str">
        <f ca="1">IFERROR(__xludf.DUMMYFUNCTION("""COMPUTED_VALUE"""),"Roach Rally")</f>
        <v>Roach Rally</v>
      </c>
    </row>
    <row r="10919" spans="1:3" x14ac:dyDescent="0.25">
      <c r="A10919" s="2" t="str">
        <f ca="1">IFERROR(__xludf.DUMMYFUNCTION("""COMPUTED_VALUE"""),"roaland-core")</f>
        <v>roaland-core</v>
      </c>
      <c r="B10919" s="2" t="str">
        <f ca="1">IFERROR(__xludf.DUMMYFUNCTION("""COMPUTED_VALUE"""),"roa")</f>
        <v>roa</v>
      </c>
      <c r="C10919" s="2" t="str">
        <f ca="1">IFERROR(__xludf.DUMMYFUNCTION("""COMPUTED_VALUE"""),"ROACORE")</f>
        <v>ROACORE</v>
      </c>
    </row>
    <row r="10920" spans="1:3" x14ac:dyDescent="0.25">
      <c r="A10920" s="2" t="str">
        <f ca="1">IFERROR(__xludf.DUMMYFUNCTION("""COMPUTED_VALUE"""),"roaring-kitty")</f>
        <v>roaring-kitty</v>
      </c>
      <c r="B10920" s="2" t="str">
        <f ca="1">IFERROR(__xludf.DUMMYFUNCTION("""COMPUTED_VALUE"""),"roar")</f>
        <v>roar</v>
      </c>
      <c r="C10920" s="2" t="str">
        <f ca="1">IFERROR(__xludf.DUMMYFUNCTION("""COMPUTED_VALUE"""),"Roaring Kitty")</f>
        <v>Roaring Kitty</v>
      </c>
    </row>
    <row r="10921" spans="1:3" x14ac:dyDescent="0.25">
      <c r="A10921" s="2" t="str">
        <f ca="1">IFERROR(__xludf.DUMMYFUNCTION("""COMPUTED_VALUE"""),"roaring-kitty-sol")</f>
        <v>roaring-kitty-sol</v>
      </c>
      <c r="B10921" s="2" t="str">
        <f ca="1">IFERROR(__xludf.DUMMYFUNCTION("""COMPUTED_VALUE"""),"stonks")</f>
        <v>stonks</v>
      </c>
      <c r="C10921" s="2" t="str">
        <f ca="1">IFERROR(__xludf.DUMMYFUNCTION("""COMPUTED_VALUE"""),"Roaring Kitty (Sol)")</f>
        <v>Roaring Kitty (Sol)</v>
      </c>
    </row>
    <row r="10922" spans="1:3" x14ac:dyDescent="0.25">
      <c r="A10922" s="2" t="str">
        <f ca="1">IFERROR(__xludf.DUMMYFUNCTION("""COMPUTED_VALUE"""),"roaring-kitty-solana")</f>
        <v>roaring-kitty-solana</v>
      </c>
      <c r="B10922" s="2" t="str">
        <f ca="1">IFERROR(__xludf.DUMMYFUNCTION("""COMPUTED_VALUE"""),"kitty")</f>
        <v>kitty</v>
      </c>
      <c r="C10922" s="2" t="str">
        <f ca="1">IFERROR(__xludf.DUMMYFUNCTION("""COMPUTED_VALUE"""),"Roaring Kitty")</f>
        <v>Roaring Kitty</v>
      </c>
    </row>
    <row r="10923" spans="1:3" x14ac:dyDescent="0.25">
      <c r="A10923" s="2" t="str">
        <f ca="1">IFERROR(__xludf.DUMMYFUNCTION("""COMPUTED_VALUE"""),"roasthimjim")</f>
        <v>roasthimjim</v>
      </c>
      <c r="B10923" s="2" t="str">
        <f ca="1">IFERROR(__xludf.DUMMYFUNCTION("""COMPUTED_VALUE"""),"jim")</f>
        <v>jim</v>
      </c>
      <c r="C10923" s="2" t="str">
        <f ca="1">IFERROR(__xludf.DUMMYFUNCTION("""COMPUTED_VALUE"""),"Jim")</f>
        <v>Jim</v>
      </c>
    </row>
    <row r="10924" spans="1:3" x14ac:dyDescent="0.25">
      <c r="A10924" s="2" t="str">
        <f ca="1">IFERROR(__xludf.DUMMYFUNCTION("""COMPUTED_VALUE"""),"robin-on-cronos")</f>
        <v>robin-on-cronos</v>
      </c>
      <c r="B10924" s="2" t="str">
        <f ca="1">IFERROR(__xludf.DUMMYFUNCTION("""COMPUTED_VALUE"""),"robin")</f>
        <v>robin</v>
      </c>
      <c r="C10924" s="2" t="str">
        <f ca="1">IFERROR(__xludf.DUMMYFUNCTION("""COMPUTED_VALUE"""),"Robin on Cronos")</f>
        <v>Robin on Cronos</v>
      </c>
    </row>
    <row r="10925" spans="1:3" x14ac:dyDescent="0.25">
      <c r="A10925" s="2" t="str">
        <f ca="1">IFERROR(__xludf.DUMMYFUNCTION("""COMPUTED_VALUE"""),"robinos-2")</f>
        <v>robinos-2</v>
      </c>
      <c r="B10925" s="2" t="str">
        <f ca="1">IFERROR(__xludf.DUMMYFUNCTION("""COMPUTED_VALUE"""),"rbn")</f>
        <v>rbn</v>
      </c>
      <c r="C10925" s="2" t="str">
        <f ca="1">IFERROR(__xludf.DUMMYFUNCTION("""COMPUTED_VALUE"""),"Robinos")</f>
        <v>Robinos</v>
      </c>
    </row>
    <row r="10926" spans="1:3" x14ac:dyDescent="0.25">
      <c r="A10926" s="2" t="str">
        <f ca="1">IFERROR(__xludf.DUMMYFUNCTION("""COMPUTED_VALUE"""),"roboai-drc-20")</f>
        <v>roboai-drc-20</v>
      </c>
      <c r="B10926" s="2" t="str">
        <f ca="1">IFERROR(__xludf.DUMMYFUNCTION("""COMPUTED_VALUE"""),"rbai")</f>
        <v>rbai</v>
      </c>
      <c r="C10926" s="2" t="str">
        <f ca="1">IFERROR(__xludf.DUMMYFUNCTION("""COMPUTED_VALUE"""),"RoboAI (DRC-20)")</f>
        <v>RoboAI (DRC-20)</v>
      </c>
    </row>
    <row r="10927" spans="1:3" x14ac:dyDescent="0.25">
      <c r="A10927" s="2" t="str">
        <f ca="1">IFERROR(__xludf.DUMMYFUNCTION("""COMPUTED_VALUE"""),"robofi-token")</f>
        <v>robofi-token</v>
      </c>
      <c r="B10927" s="2" t="str">
        <f ca="1">IFERROR(__xludf.DUMMYFUNCTION("""COMPUTED_VALUE"""),"vics")</f>
        <v>vics</v>
      </c>
      <c r="C10927" s="2" t="str">
        <f ca="1">IFERROR(__xludf.DUMMYFUNCTION("""COMPUTED_VALUE"""),"RoboFi")</f>
        <v>RoboFi</v>
      </c>
    </row>
    <row r="10928" spans="1:3" x14ac:dyDescent="0.25">
      <c r="A10928" s="2" t="str">
        <f ca="1">IFERROR(__xludf.DUMMYFUNCTION("""COMPUTED_VALUE"""),"robohero-2")</f>
        <v>robohero-2</v>
      </c>
      <c r="B10928" s="2" t="str">
        <f ca="1">IFERROR(__xludf.DUMMYFUNCTION("""COMPUTED_VALUE"""),"robo")</f>
        <v>robo</v>
      </c>
      <c r="C10928" s="2" t="str">
        <f ca="1">IFERROR(__xludf.DUMMYFUNCTION("""COMPUTED_VALUE"""),"RoboHero")</f>
        <v>RoboHero</v>
      </c>
    </row>
    <row r="10929" spans="1:3" x14ac:dyDescent="0.25">
      <c r="A10929" s="2" t="str">
        <f ca="1">IFERROR(__xludf.DUMMYFUNCTION("""COMPUTED_VALUE"""),"robo-inu-finance")</f>
        <v>robo-inu-finance</v>
      </c>
      <c r="B10929" s="2" t="str">
        <f ca="1">IFERROR(__xludf.DUMMYFUNCTION("""COMPUTED_VALUE"""),"rbif")</f>
        <v>rbif</v>
      </c>
      <c r="C10929" s="2" t="str">
        <f ca="1">IFERROR(__xludf.DUMMYFUNCTION("""COMPUTED_VALUE"""),"Robo Inu Finance")</f>
        <v>Robo Inu Finance</v>
      </c>
    </row>
    <row r="10930" spans="1:3" x14ac:dyDescent="0.25">
      <c r="A10930" s="2" t="str">
        <f ca="1">IFERROR(__xludf.DUMMYFUNCTION("""COMPUTED_VALUE"""),"robokiden")</f>
        <v>robokiden</v>
      </c>
      <c r="B10930" s="2" t="str">
        <f ca="1">IFERROR(__xludf.DUMMYFUNCTION("""COMPUTED_VALUE"""),"kiden")</f>
        <v>kiden</v>
      </c>
      <c r="C10930" s="2" t="str">
        <f ca="1">IFERROR(__xludf.DUMMYFUNCTION("""COMPUTED_VALUE"""),"RoboKiden")</f>
        <v>RoboKiden</v>
      </c>
    </row>
    <row r="10931" spans="1:3" x14ac:dyDescent="0.25">
      <c r="A10931" s="2" t="str">
        <f ca="1">IFERROR(__xludf.DUMMYFUNCTION("""COMPUTED_VALUE"""),"robonomics-network")</f>
        <v>robonomics-network</v>
      </c>
      <c r="B10931" s="2" t="str">
        <f ca="1">IFERROR(__xludf.DUMMYFUNCTION("""COMPUTED_VALUE"""),"xrt")</f>
        <v>xrt</v>
      </c>
      <c r="C10931" s="2" t="str">
        <f ca="1">IFERROR(__xludf.DUMMYFUNCTION("""COMPUTED_VALUE"""),"Robonomics Network")</f>
        <v>Robonomics Network</v>
      </c>
    </row>
    <row r="10932" spans="1:3" x14ac:dyDescent="0.25">
      <c r="A10932" s="2" t="str">
        <f ca="1">IFERROR(__xludf.DUMMYFUNCTION("""COMPUTED_VALUE"""),"robotaxi")</f>
        <v>robotaxi</v>
      </c>
      <c r="B10932" s="2" t="str">
        <f ca="1">IFERROR(__xludf.DUMMYFUNCTION("""COMPUTED_VALUE"""),"taxi")</f>
        <v>taxi</v>
      </c>
      <c r="C10932" s="2" t="str">
        <f ca="1">IFERROR(__xludf.DUMMYFUNCTION("""COMPUTED_VALUE"""),"Robotaxi")</f>
        <v>Robotaxi</v>
      </c>
    </row>
    <row r="10933" spans="1:3" x14ac:dyDescent="0.25">
      <c r="A10933" s="2" t="str">
        <f ca="1">IFERROR(__xludf.DUMMYFUNCTION("""COMPUTED_VALUE"""),"robotrade")</f>
        <v>robotrade</v>
      </c>
      <c r="B10933" s="2" t="str">
        <f ca="1">IFERROR(__xludf.DUMMYFUNCTION("""COMPUTED_VALUE"""),"robo")</f>
        <v>robo</v>
      </c>
      <c r="C10933" s="2" t="str">
        <f ca="1">IFERROR(__xludf.DUMMYFUNCTION("""COMPUTED_VALUE"""),"Robotrade")</f>
        <v>Robotrade</v>
      </c>
    </row>
    <row r="10934" spans="1:3" x14ac:dyDescent="0.25">
      <c r="A10934" s="2" t="str">
        <f ca="1">IFERROR(__xludf.DUMMYFUNCTION("""COMPUTED_VALUE"""),"robots-farm")</f>
        <v>robots-farm</v>
      </c>
      <c r="B10934" s="2" t="str">
        <f ca="1">IFERROR(__xludf.DUMMYFUNCTION("""COMPUTED_VALUE"""),"rbf")</f>
        <v>rbf</v>
      </c>
      <c r="C10934" s="2" t="str">
        <f ca="1">IFERROR(__xludf.DUMMYFUNCTION("""COMPUTED_VALUE"""),"Robots.Farm")</f>
        <v>Robots.Farm</v>
      </c>
    </row>
    <row r="10935" spans="1:3" x14ac:dyDescent="0.25">
      <c r="A10935" s="2" t="str">
        <f ca="1">IFERROR(__xludf.DUMMYFUNCTION("""COMPUTED_VALUE"""),"robust-token")</f>
        <v>robust-token</v>
      </c>
      <c r="B10935" s="2" t="str">
        <f ca="1">IFERROR(__xludf.DUMMYFUNCTION("""COMPUTED_VALUE"""),"rbt")</f>
        <v>rbt</v>
      </c>
      <c r="C10935" s="2" t="str">
        <f ca="1">IFERROR(__xludf.DUMMYFUNCTION("""COMPUTED_VALUE"""),"Robust")</f>
        <v>Robust</v>
      </c>
    </row>
    <row r="10936" spans="1:3" x14ac:dyDescent="0.25">
      <c r="A10936" s="2" t="str">
        <f ca="1">IFERROR(__xludf.DUMMYFUNCTION("""COMPUTED_VALUE"""),"rock")</f>
        <v>rock</v>
      </c>
      <c r="B10936" s="2" t="str">
        <f ca="1">IFERROR(__xludf.DUMMYFUNCTION("""COMPUTED_VALUE"""),"rock")</f>
        <v>rock</v>
      </c>
      <c r="C10936" s="2" t="str">
        <f ca="1">IFERROR(__xludf.DUMMYFUNCTION("""COMPUTED_VALUE"""),"ROCK")</f>
        <v>ROCK</v>
      </c>
    </row>
    <row r="10937" spans="1:3" x14ac:dyDescent="0.25">
      <c r="A10937" s="2" t="str">
        <f ca="1">IFERROR(__xludf.DUMMYFUNCTION("""COMPUTED_VALUE"""),"rock-2")</f>
        <v>rock-2</v>
      </c>
      <c r="B10937" s="2" t="str">
        <f ca="1">IFERROR(__xludf.DUMMYFUNCTION("""COMPUTED_VALUE"""),"rock")</f>
        <v>rock</v>
      </c>
      <c r="C10937" s="2" t="str">
        <f ca="1">IFERROR(__xludf.DUMMYFUNCTION("""COMPUTED_VALUE"""),"Rock")</f>
        <v>Rock</v>
      </c>
    </row>
    <row r="10938" spans="1:3" x14ac:dyDescent="0.25">
      <c r="A10938" s="2" t="str">
        <f ca="1">IFERROR(__xludf.DUMMYFUNCTION("""COMPUTED_VALUE"""),"rock-3")</f>
        <v>rock-3</v>
      </c>
      <c r="B10938" s="2" t="str">
        <f ca="1">IFERROR(__xludf.DUMMYFUNCTION("""COMPUTED_VALUE"""),"rock")</f>
        <v>rock</v>
      </c>
      <c r="C10938" s="2" t="str">
        <f ca="1">IFERROR(__xludf.DUMMYFUNCTION("""COMPUTED_VALUE"""),"ROCK")</f>
        <v>ROCK</v>
      </c>
    </row>
    <row r="10939" spans="1:3" x14ac:dyDescent="0.25">
      <c r="A10939" s="2" t="str">
        <f ca="1">IFERROR(__xludf.DUMMYFUNCTION("""COMPUTED_VALUE"""),"rock-4")</f>
        <v>rock-4</v>
      </c>
      <c r="B10939" s="2" t="str">
        <f ca="1">IFERROR(__xludf.DUMMYFUNCTION("""COMPUTED_VALUE"""),"rock")</f>
        <v>rock</v>
      </c>
      <c r="C10939" s="2" t="str">
        <f ca="1">IFERROR(__xludf.DUMMYFUNCTION("""COMPUTED_VALUE"""),"ROCK")</f>
        <v>ROCK</v>
      </c>
    </row>
    <row r="10940" spans="1:3" x14ac:dyDescent="0.25">
      <c r="A10940" s="2" t="str">
        <f ca="1">IFERROR(__xludf.DUMMYFUNCTION("""COMPUTED_VALUE"""),"rock-dao")</f>
        <v>rock-dao</v>
      </c>
      <c r="B10940" s="2" t="str">
        <f ca="1">IFERROR(__xludf.DUMMYFUNCTION("""COMPUTED_VALUE"""),"rock")</f>
        <v>rock</v>
      </c>
      <c r="C10940" s="2" t="str">
        <f ca="1">IFERROR(__xludf.DUMMYFUNCTION("""COMPUTED_VALUE"""),"ROCK DAO")</f>
        <v>ROCK DAO</v>
      </c>
    </row>
    <row r="10941" spans="1:3" x14ac:dyDescent="0.25">
      <c r="A10941" s="2" t="str">
        <f ca="1">IFERROR(__xludf.DUMMYFUNCTION("""COMPUTED_VALUE"""),"rocket-2")</f>
        <v>rocket-2</v>
      </c>
      <c r="B10941" s="2" t="str">
        <f ca="1">IFERROR(__xludf.DUMMYFUNCTION("""COMPUTED_VALUE"""),"rocket")</f>
        <v>rocket</v>
      </c>
      <c r="C10941" s="2" t="str">
        <f ca="1">IFERROR(__xludf.DUMMYFUNCTION("""COMPUTED_VALUE"""),"ROCKET")</f>
        <v>ROCKET</v>
      </c>
    </row>
    <row r="10942" spans="1:3" x14ac:dyDescent="0.25">
      <c r="A10942" s="2" t="str">
        <f ca="1">IFERROR(__xludf.DUMMYFUNCTION("""COMPUTED_VALUE"""),"rocket-pool")</f>
        <v>rocket-pool</v>
      </c>
      <c r="B10942" s="2" t="str">
        <f ca="1">IFERROR(__xludf.DUMMYFUNCTION("""COMPUTED_VALUE"""),"rpl")</f>
        <v>rpl</v>
      </c>
      <c r="C10942" s="2" t="str">
        <f ca="1">IFERROR(__xludf.DUMMYFUNCTION("""COMPUTED_VALUE"""),"Rocket Pool")</f>
        <v>Rocket Pool</v>
      </c>
    </row>
    <row r="10943" spans="1:3" x14ac:dyDescent="0.25">
      <c r="A10943" s="2" t="str">
        <f ca="1">IFERROR(__xludf.DUMMYFUNCTION("""COMPUTED_VALUE"""),"rocket-pool-eth")</f>
        <v>rocket-pool-eth</v>
      </c>
      <c r="B10943" s="2" t="str">
        <f ca="1">IFERROR(__xludf.DUMMYFUNCTION("""COMPUTED_VALUE"""),"reth")</f>
        <v>reth</v>
      </c>
      <c r="C10943" s="2" t="str">
        <f ca="1">IFERROR(__xludf.DUMMYFUNCTION("""COMPUTED_VALUE"""),"Rocket Pool ETH")</f>
        <v>Rocket Pool ETH</v>
      </c>
    </row>
    <row r="10944" spans="1:3" x14ac:dyDescent="0.25">
      <c r="A10944" s="2" t="str">
        <f ca="1">IFERROR(__xludf.DUMMYFUNCTION("""COMPUTED_VALUE"""),"rocketswap")</f>
        <v>rocketswap</v>
      </c>
      <c r="B10944" s="2" t="str">
        <f ca="1">IFERROR(__xludf.DUMMYFUNCTION("""COMPUTED_VALUE"""),"rckt")</f>
        <v>rckt</v>
      </c>
      <c r="C10944" s="2" t="str">
        <f ca="1">IFERROR(__xludf.DUMMYFUNCTION("""COMPUTED_VALUE"""),"RocketSwap")</f>
        <v>RocketSwap</v>
      </c>
    </row>
    <row r="10945" spans="1:3" x14ac:dyDescent="0.25">
      <c r="A10945" s="2" t="str">
        <f ca="1">IFERROR(__xludf.DUMMYFUNCTION("""COMPUTED_VALUE"""),"rocketx")</f>
        <v>rocketx</v>
      </c>
      <c r="B10945" s="2" t="str">
        <f ca="1">IFERROR(__xludf.DUMMYFUNCTION("""COMPUTED_VALUE"""),"rvf")</f>
        <v>rvf</v>
      </c>
      <c r="C10945" s="2" t="str">
        <f ca="1">IFERROR(__xludf.DUMMYFUNCTION("""COMPUTED_VALUE"""),"RocketX Exchange")</f>
        <v>RocketX Exchange</v>
      </c>
    </row>
    <row r="10946" spans="1:3" x14ac:dyDescent="0.25">
      <c r="A10946" s="2" t="str">
        <f ca="1">IFERROR(__xludf.DUMMYFUNCTION("""COMPUTED_VALUE"""),"rocki")</f>
        <v>rocki</v>
      </c>
      <c r="B10946" s="2" t="str">
        <f ca="1">IFERROR(__xludf.DUMMYFUNCTION("""COMPUTED_VALUE"""),"rocki")</f>
        <v>rocki</v>
      </c>
      <c r="C10946" s="2" t="str">
        <f ca="1">IFERROR(__xludf.DUMMYFUNCTION("""COMPUTED_VALUE"""),"Rocki")</f>
        <v>Rocki</v>
      </c>
    </row>
    <row r="10947" spans="1:3" x14ac:dyDescent="0.25">
      <c r="A10947" s="2" t="str">
        <f ca="1">IFERROR(__xludf.DUMMYFUNCTION("""COMPUTED_VALUE"""),"rockstar")</f>
        <v>rockstar</v>
      </c>
      <c r="B10947" s="2" t="str">
        <f ca="1">IFERROR(__xludf.DUMMYFUNCTION("""COMPUTED_VALUE"""),"rr")</f>
        <v>rr</v>
      </c>
      <c r="C10947" s="2" t="str">
        <f ca="1">IFERROR(__xludf.DUMMYFUNCTION("""COMPUTED_VALUE"""),"Rockstar")</f>
        <v>Rockstar</v>
      </c>
    </row>
    <row r="10948" spans="1:3" x14ac:dyDescent="0.25">
      <c r="A10948" s="2" t="str">
        <f ca="1">IFERROR(__xludf.DUMMYFUNCTION("""COMPUTED_VALUE"""),"rockswap")</f>
        <v>rockswap</v>
      </c>
      <c r="B10948" s="2" t="str">
        <f ca="1">IFERROR(__xludf.DUMMYFUNCTION("""COMPUTED_VALUE"""),"rock")</f>
        <v>rock</v>
      </c>
      <c r="C10948" s="2" t="str">
        <f ca="1">IFERROR(__xludf.DUMMYFUNCTION("""COMPUTED_VALUE"""),"Rockswap")</f>
        <v>Rockswap</v>
      </c>
    </row>
    <row r="10949" spans="1:3" x14ac:dyDescent="0.25">
      <c r="A10949" s="2" t="str">
        <f ca="1">IFERROR(__xludf.DUMMYFUNCTION("""COMPUTED_VALUE"""),"rocky")</f>
        <v>rocky</v>
      </c>
      <c r="B10949" s="2" t="str">
        <f ca="1">IFERROR(__xludf.DUMMYFUNCTION("""COMPUTED_VALUE"""),"rocky")</f>
        <v>rocky</v>
      </c>
      <c r="C10949" s="2" t="str">
        <f ca="1">IFERROR(__xludf.DUMMYFUNCTION("""COMPUTED_VALUE"""),"Rocky")</f>
        <v>Rocky</v>
      </c>
    </row>
    <row r="10950" spans="1:3" x14ac:dyDescent="0.25">
      <c r="A10950" s="2" t="str">
        <f ca="1">IFERROR(__xludf.DUMMYFUNCTION("""COMPUTED_VALUE"""),"rocky-on-base")</f>
        <v>rocky-on-base</v>
      </c>
      <c r="B10950" s="2" t="str">
        <f ca="1">IFERROR(__xludf.DUMMYFUNCTION("""COMPUTED_VALUE"""),"$rocky")</f>
        <v>$rocky</v>
      </c>
      <c r="C10950" s="2" t="str">
        <f ca="1">IFERROR(__xludf.DUMMYFUNCTION("""COMPUTED_VALUE"""),"ROCKY")</f>
        <v>ROCKY</v>
      </c>
    </row>
    <row r="10951" spans="1:3" x14ac:dyDescent="0.25">
      <c r="A10951" s="2" t="str">
        <f ca="1">IFERROR(__xludf.DUMMYFUNCTION("""COMPUTED_VALUE"""),"rocky-the-dog")</f>
        <v>rocky-the-dog</v>
      </c>
      <c r="B10951" s="2" t="str">
        <f ca="1">IFERROR(__xludf.DUMMYFUNCTION("""COMPUTED_VALUE"""),"rocky")</f>
        <v>rocky</v>
      </c>
      <c r="C10951" s="2" t="str">
        <f ca="1">IFERROR(__xludf.DUMMYFUNCTION("""COMPUTED_VALUE"""),"Rocky the dog")</f>
        <v>Rocky the dog</v>
      </c>
    </row>
    <row r="10952" spans="1:3" x14ac:dyDescent="0.25">
      <c r="A10952" s="2" t="str">
        <f ca="1">IFERROR(__xludf.DUMMYFUNCTION("""COMPUTED_VALUE"""),"rocky-the-rock")</f>
        <v>rocky-the-rock</v>
      </c>
      <c r="B10952" s="2" t="str">
        <f ca="1">IFERROR(__xludf.DUMMYFUNCTION("""COMPUTED_VALUE"""),"rocky")</f>
        <v>rocky</v>
      </c>
      <c r="C10952" s="2" t="str">
        <f ca="1">IFERROR(__xludf.DUMMYFUNCTION("""COMPUTED_VALUE"""),"Rocky")</f>
        <v>Rocky</v>
      </c>
    </row>
    <row r="10953" spans="1:3" x14ac:dyDescent="0.25">
      <c r="A10953" s="2" t="str">
        <f ca="1">IFERROR(__xludf.DUMMYFUNCTION("""COMPUTED_VALUE"""),"roco-finance")</f>
        <v>roco-finance</v>
      </c>
      <c r="B10953" s="2" t="str">
        <f ca="1">IFERROR(__xludf.DUMMYFUNCTION("""COMPUTED_VALUE"""),"roco")</f>
        <v>roco</v>
      </c>
      <c r="C10953" s="2" t="str">
        <f ca="1">IFERROR(__xludf.DUMMYFUNCTION("""COMPUTED_VALUE"""),"Roco Finance")</f>
        <v>Roco Finance</v>
      </c>
    </row>
    <row r="10954" spans="1:3" x14ac:dyDescent="0.25">
      <c r="A10954" s="2" t="str">
        <f ca="1">IFERROR(__xludf.DUMMYFUNCTION("""COMPUTED_VALUE"""),"rod-ai")</f>
        <v>rod-ai</v>
      </c>
      <c r="B10954" s="2" t="str">
        <f ca="1">IFERROR(__xludf.DUMMYFUNCTION("""COMPUTED_VALUE"""),"rodai")</f>
        <v>rodai</v>
      </c>
      <c r="C10954" s="3" t="str">
        <f ca="1">IFERROR(__xludf.DUMMYFUNCTION("""COMPUTED_VALUE"""),"ROD.AI")</f>
        <v>ROD.AI</v>
      </c>
    </row>
    <row r="10955" spans="1:3" x14ac:dyDescent="0.25">
      <c r="A10955" s="2" t="str">
        <f ca="1">IFERROR(__xludf.DUMMYFUNCTION("""COMPUTED_VALUE"""),"rodeo-finance")</f>
        <v>rodeo-finance</v>
      </c>
      <c r="B10955" s="2" t="str">
        <f ca="1">IFERROR(__xludf.DUMMYFUNCTION("""COMPUTED_VALUE"""),"rdo")</f>
        <v>rdo</v>
      </c>
      <c r="C10955" s="2" t="str">
        <f ca="1">IFERROR(__xludf.DUMMYFUNCTION("""COMPUTED_VALUE"""),"Rodeo Finance")</f>
        <v>Rodeo Finance</v>
      </c>
    </row>
    <row r="10956" spans="1:3" x14ac:dyDescent="0.25">
      <c r="A10956" s="2" t="str">
        <f ca="1">IFERROR(__xludf.DUMMYFUNCTION("""COMPUTED_VALUE"""),"roger")</f>
        <v>roger</v>
      </c>
      <c r="B10956" s="2" t="str">
        <f ca="1">IFERROR(__xludf.DUMMYFUNCTION("""COMPUTED_VALUE"""),"roger")</f>
        <v>roger</v>
      </c>
      <c r="C10956" s="2" t="str">
        <f ca="1">IFERROR(__xludf.DUMMYFUNCTION("""COMPUTED_VALUE"""),"Roger")</f>
        <v>Roger</v>
      </c>
    </row>
    <row r="10957" spans="1:3" x14ac:dyDescent="0.25">
      <c r="A10957" s="2" t="str">
        <f ca="1">IFERROR(__xludf.DUMMYFUNCTION("""COMPUTED_VALUE"""),"rogin-ai")</f>
        <v>rogin-ai</v>
      </c>
      <c r="B10957" s="2" t="str">
        <f ca="1">IFERROR(__xludf.DUMMYFUNCTION("""COMPUTED_VALUE"""),"rog")</f>
        <v>rog</v>
      </c>
      <c r="C10957" s="2" t="str">
        <f ca="1">IFERROR(__xludf.DUMMYFUNCTION("""COMPUTED_VALUE"""),"ROGin AI")</f>
        <v>ROGin AI</v>
      </c>
    </row>
    <row r="10958" spans="1:3" x14ac:dyDescent="0.25">
      <c r="A10958" s="2" t="str">
        <f ca="1">IFERROR(__xludf.DUMMYFUNCTION("""COMPUTED_VALUE"""),"rogue-mav")</f>
        <v>rogue-mav</v>
      </c>
      <c r="B10958" s="2" t="str">
        <f ca="1">IFERROR(__xludf.DUMMYFUNCTION("""COMPUTED_VALUE"""),"rmav")</f>
        <v>rmav</v>
      </c>
      <c r="C10958" s="2" t="str">
        <f ca="1">IFERROR(__xludf.DUMMYFUNCTION("""COMPUTED_VALUE"""),"Rogue MAV")</f>
        <v>Rogue MAV</v>
      </c>
    </row>
    <row r="10959" spans="1:3" x14ac:dyDescent="0.25">
      <c r="A10959" s="2" t="str">
        <f ca="1">IFERROR(__xludf.DUMMYFUNCTION("""COMPUTED_VALUE"""),"roguex")</f>
        <v>roguex</v>
      </c>
      <c r="B10959" s="2" t="str">
        <f ca="1">IFERROR(__xludf.DUMMYFUNCTION("""COMPUTED_VALUE"""),"rox")</f>
        <v>rox</v>
      </c>
      <c r="C10959" s="2" t="str">
        <f ca="1">IFERROR(__xludf.DUMMYFUNCTION("""COMPUTED_VALUE"""),"Roguex")</f>
        <v>Roguex</v>
      </c>
    </row>
    <row r="10960" spans="1:3" x14ac:dyDescent="0.25">
      <c r="A10960" s="2" t="str">
        <f ca="1">IFERROR(__xludf.DUMMYFUNCTION("""COMPUTED_VALUE"""),"rok")</f>
        <v>rok</v>
      </c>
      <c r="B10960" s="2" t="str">
        <f ca="1">IFERROR(__xludf.DUMMYFUNCTION("""COMPUTED_VALUE"""),"rok")</f>
        <v>rok</v>
      </c>
      <c r="C10960" s="2" t="str">
        <f ca="1">IFERROR(__xludf.DUMMYFUNCTION("""COMPUTED_VALUE"""),"ROK")</f>
        <v>ROK</v>
      </c>
    </row>
    <row r="10961" spans="1:3" x14ac:dyDescent="0.25">
      <c r="A10961" s="2" t="str">
        <f ca="1">IFERROR(__xludf.DUMMYFUNCTION("""COMPUTED_VALUE"""),"roko-network")</f>
        <v>roko-network</v>
      </c>
      <c r="B10961" s="2" t="str">
        <f ca="1">IFERROR(__xludf.DUMMYFUNCTION("""COMPUTED_VALUE"""),"roko")</f>
        <v>roko</v>
      </c>
      <c r="C10961" s="2" t="str">
        <f ca="1">IFERROR(__xludf.DUMMYFUNCTION("""COMPUTED_VALUE"""),"Roko Network")</f>
        <v>Roko Network</v>
      </c>
    </row>
    <row r="10962" spans="1:3" x14ac:dyDescent="0.25">
      <c r="A10962" s="2" t="str">
        <f ca="1">IFERROR(__xludf.DUMMYFUNCTION("""COMPUTED_VALUE"""),"rollbit-coin")</f>
        <v>rollbit-coin</v>
      </c>
      <c r="B10962" s="2" t="str">
        <f ca="1">IFERROR(__xludf.DUMMYFUNCTION("""COMPUTED_VALUE"""),"rlb")</f>
        <v>rlb</v>
      </c>
      <c r="C10962" s="2" t="str">
        <f ca="1">IFERROR(__xludf.DUMMYFUNCTION("""COMPUTED_VALUE"""),"Rollbit Coin")</f>
        <v>Rollbit Coin</v>
      </c>
    </row>
    <row r="10963" spans="1:3" x14ac:dyDescent="0.25">
      <c r="A10963" s="2" t="str">
        <f ca="1">IFERROR(__xludf.DUMMYFUNCTION("""COMPUTED_VALUE"""),"rollium")</f>
        <v>rollium</v>
      </c>
      <c r="B10963" s="2" t="str">
        <f ca="1">IFERROR(__xludf.DUMMYFUNCTION("""COMPUTED_VALUE"""),"rlm")</f>
        <v>rlm</v>
      </c>
      <c r="C10963" s="2" t="str">
        <f ca="1">IFERROR(__xludf.DUMMYFUNCTION("""COMPUTED_VALUE"""),"MarbleVerse")</f>
        <v>MarbleVerse</v>
      </c>
    </row>
    <row r="10964" spans="1:3" x14ac:dyDescent="0.25">
      <c r="A10964" s="2" t="str">
        <f ca="1">IFERROR(__xludf.DUMMYFUNCTION("""COMPUTED_VALUE"""),"rome")</f>
        <v>rome</v>
      </c>
      <c r="B10964" s="2" t="str">
        <f ca="1">IFERROR(__xludf.DUMMYFUNCTION("""COMPUTED_VALUE"""),"rome")</f>
        <v>rome</v>
      </c>
      <c r="C10964" s="2" t="str">
        <f ca="1">IFERROR(__xludf.DUMMYFUNCTION("""COMPUTED_VALUE"""),"Rome")</f>
        <v>Rome</v>
      </c>
    </row>
    <row r="10965" spans="1:3" x14ac:dyDescent="0.25">
      <c r="A10965" s="2" t="str">
        <f ca="1">IFERROR(__xludf.DUMMYFUNCTION("""COMPUTED_VALUE"""),"romeo")</f>
        <v>romeo</v>
      </c>
      <c r="B10965" s="2" t="str">
        <f ca="1">IFERROR(__xludf.DUMMYFUNCTION("""COMPUTED_VALUE"""),"romeo")</f>
        <v>romeo</v>
      </c>
      <c r="C10965" s="2" t="str">
        <f ca="1">IFERROR(__xludf.DUMMYFUNCTION("""COMPUTED_VALUE"""),"Romeo")</f>
        <v>Romeo</v>
      </c>
    </row>
    <row r="10966" spans="1:3" x14ac:dyDescent="0.25">
      <c r="A10966" s="2" t="str">
        <f ca="1">IFERROR(__xludf.DUMMYFUNCTION("""COMPUTED_VALUE"""),"roncoin")</f>
        <v>roncoin</v>
      </c>
      <c r="B10966" s="2" t="str">
        <f ca="1">IFERROR(__xludf.DUMMYFUNCTION("""COMPUTED_VALUE"""),"ron")</f>
        <v>ron</v>
      </c>
      <c r="C10966" s="2" t="str">
        <f ca="1">IFERROR(__xludf.DUMMYFUNCTION("""COMPUTED_VALUE"""),"Roncoin")</f>
        <v>Roncoin</v>
      </c>
    </row>
    <row r="10967" spans="1:3" x14ac:dyDescent="0.25">
      <c r="A10967" s="2" t="str">
        <f ca="1">IFERROR(__xludf.DUMMYFUNCTION("""COMPUTED_VALUE"""),"rond")</f>
        <v>rond</v>
      </c>
      <c r="B10967" s="2" t="str">
        <f ca="1">IFERROR(__xludf.DUMMYFUNCTION("""COMPUTED_VALUE"""),"rond")</f>
        <v>rond</v>
      </c>
      <c r="C10967" s="2" t="str">
        <f ca="1">IFERROR(__xludf.DUMMYFUNCTION("""COMPUTED_VALUE"""),"ROND")</f>
        <v>ROND</v>
      </c>
    </row>
    <row r="10968" spans="1:3" x14ac:dyDescent="0.25">
      <c r="A10968" s="2" t="str">
        <f ca="1">IFERROR(__xludf.DUMMYFUNCTION("""COMPUTED_VALUE"""),"rong")</f>
        <v>rong</v>
      </c>
      <c r="B10968" s="2" t="str">
        <f ca="1">IFERROR(__xludf.DUMMYFUNCTION("""COMPUTED_VALUE"""),"rong")</f>
        <v>rong</v>
      </c>
      <c r="C10968" s="2" t="str">
        <f ca="1">IFERROR(__xludf.DUMMYFUNCTION("""COMPUTED_VALUE"""),"Rong")</f>
        <v>Rong</v>
      </c>
    </row>
    <row r="10969" spans="1:3" x14ac:dyDescent="0.25">
      <c r="A10969" s="2" t="str">
        <f ca="1">IFERROR(__xludf.DUMMYFUNCTION("""COMPUTED_VALUE"""),"ronin")</f>
        <v>ronin</v>
      </c>
      <c r="B10969" s="2" t="str">
        <f ca="1">IFERROR(__xludf.DUMMYFUNCTION("""COMPUTED_VALUE"""),"ron")</f>
        <v>ron</v>
      </c>
      <c r="C10969" s="2" t="str">
        <f ca="1">IFERROR(__xludf.DUMMYFUNCTION("""COMPUTED_VALUE"""),"Ronin")</f>
        <v>Ronin</v>
      </c>
    </row>
    <row r="10970" spans="1:3" x14ac:dyDescent="0.25">
      <c r="A10970" s="2" t="str">
        <f ca="1">IFERROR(__xludf.DUMMYFUNCTION("""COMPUTED_VALUE"""),"ronin-bridged-weth-ronin")</f>
        <v>ronin-bridged-weth-ronin</v>
      </c>
      <c r="B10970" s="2" t="str">
        <f ca="1">IFERROR(__xludf.DUMMYFUNCTION("""COMPUTED_VALUE"""),"weth")</f>
        <v>weth</v>
      </c>
      <c r="C10970" s="2" t="str">
        <f ca="1">IFERROR(__xludf.DUMMYFUNCTION("""COMPUTED_VALUE"""),"Ronin Bridged WETH (Ronin)")</f>
        <v>Ronin Bridged WETH (Ronin)</v>
      </c>
    </row>
    <row r="10971" spans="1:3" x14ac:dyDescent="0.25">
      <c r="A10971" s="2" t="str">
        <f ca="1">IFERROR(__xludf.DUMMYFUNCTION("""COMPUTED_VALUE"""),"ronnie")</f>
        <v>ronnie</v>
      </c>
      <c r="B10971" s="2" t="str">
        <f ca="1">IFERROR(__xludf.DUMMYFUNCTION("""COMPUTED_VALUE"""),"ronnie")</f>
        <v>ronnie</v>
      </c>
      <c r="C10971" s="2" t="str">
        <f ca="1">IFERROR(__xludf.DUMMYFUNCTION("""COMPUTED_VALUE"""),"Ronnie")</f>
        <v>Ronnie</v>
      </c>
    </row>
    <row r="10972" spans="1:3" x14ac:dyDescent="0.25">
      <c r="A10972" s="2" t="str">
        <f ca="1">IFERROR(__xludf.DUMMYFUNCTION("""COMPUTED_VALUE"""),"ronweasleytrumptoadn64inu")</f>
        <v>ronweasleytrumptoadn64inu</v>
      </c>
      <c r="B10972" s="2" t="str">
        <f ca="1">IFERROR(__xludf.DUMMYFUNCTION("""COMPUTED_VALUE"""),"bnb")</f>
        <v>bnb</v>
      </c>
      <c r="C10972" s="2" t="str">
        <f ca="1">IFERROR(__xludf.DUMMYFUNCTION("""COMPUTED_VALUE"""),"RonWeasleyTrumpToadN64Inu")</f>
        <v>RonWeasleyTrumpToadN64Inu</v>
      </c>
    </row>
    <row r="10973" spans="1:3" x14ac:dyDescent="0.25">
      <c r="A10973" s="2" t="str">
        <f ca="1">IFERROR(__xludf.DUMMYFUNCTION("""COMPUTED_VALUE"""),"roobee")</f>
        <v>roobee</v>
      </c>
      <c r="B10973" s="2" t="str">
        <f ca="1">IFERROR(__xludf.DUMMYFUNCTION("""COMPUTED_VALUE"""),"roobee")</f>
        <v>roobee</v>
      </c>
      <c r="C10973" s="2" t="str">
        <f ca="1">IFERROR(__xludf.DUMMYFUNCTION("""COMPUTED_VALUE"""),"Roobee")</f>
        <v>Roobee</v>
      </c>
    </row>
    <row r="10974" spans="1:3" x14ac:dyDescent="0.25">
      <c r="A10974" s="2" t="str">
        <f ca="1">IFERROR(__xludf.DUMMYFUNCTION("""COMPUTED_VALUE"""),"rook")</f>
        <v>rook</v>
      </c>
      <c r="B10974" s="2" t="str">
        <f ca="1">IFERROR(__xludf.DUMMYFUNCTION("""COMPUTED_VALUE"""),"rook")</f>
        <v>rook</v>
      </c>
      <c r="C10974" s="2" t="str">
        <f ca="1">IFERROR(__xludf.DUMMYFUNCTION("""COMPUTED_VALUE"""),"Rook")</f>
        <v>Rook</v>
      </c>
    </row>
    <row r="10975" spans="1:3" x14ac:dyDescent="0.25">
      <c r="A10975" s="2" t="str">
        <f ca="1">IFERROR(__xludf.DUMMYFUNCTION("""COMPUTED_VALUE"""),"roost")</f>
        <v>roost</v>
      </c>
      <c r="B10975" s="2" t="str">
        <f ca="1">IFERROR(__xludf.DUMMYFUNCTION("""COMPUTED_VALUE"""),"roost")</f>
        <v>roost</v>
      </c>
      <c r="C10975" s="2" t="str">
        <f ca="1">IFERROR(__xludf.DUMMYFUNCTION("""COMPUTED_VALUE"""),"Roost")</f>
        <v>Roost</v>
      </c>
    </row>
    <row r="10976" spans="1:3" x14ac:dyDescent="0.25">
      <c r="A10976" s="2" t="str">
        <f ca="1">IFERROR(__xludf.DUMMYFUNCTION("""COMPUTED_VALUE"""),"root-protocol")</f>
        <v>root-protocol</v>
      </c>
      <c r="B10976" s="2" t="str">
        <f ca="1">IFERROR(__xludf.DUMMYFUNCTION("""COMPUTED_VALUE"""),"isme")</f>
        <v>isme</v>
      </c>
      <c r="C10976" s="2" t="str">
        <f ca="1">IFERROR(__xludf.DUMMYFUNCTION("""COMPUTED_VALUE"""),"Root Protocol")</f>
        <v>Root Protocol</v>
      </c>
    </row>
    <row r="10977" spans="1:3" x14ac:dyDescent="0.25">
      <c r="A10977" s="2" t="str">
        <f ca="1">IFERROR(__xludf.DUMMYFUNCTION("""COMPUTED_VALUE"""),"rootstock")</f>
        <v>rootstock</v>
      </c>
      <c r="B10977" s="2" t="str">
        <f ca="1">IFERROR(__xludf.DUMMYFUNCTION("""COMPUTED_VALUE"""),"rbtc")</f>
        <v>rbtc</v>
      </c>
      <c r="C10977" s="2" t="str">
        <f ca="1">IFERROR(__xludf.DUMMYFUNCTION("""COMPUTED_VALUE"""),"Rootstock Smart Bitcoin")</f>
        <v>Rootstock Smart Bitcoin</v>
      </c>
    </row>
    <row r="10978" spans="1:3" x14ac:dyDescent="0.25">
      <c r="A10978" s="2" t="str">
        <f ca="1">IFERROR(__xludf.DUMMYFUNCTION("""COMPUTED_VALUE"""),"rope-token")</f>
        <v>rope-token</v>
      </c>
      <c r="B10978" s="2" t="str">
        <f ca="1">IFERROR(__xludf.DUMMYFUNCTION("""COMPUTED_VALUE"""),"rope")</f>
        <v>rope</v>
      </c>
      <c r="C10978" s="2" t="str">
        <f ca="1">IFERROR(__xludf.DUMMYFUNCTION("""COMPUTED_VALUE"""),"Rope Token")</f>
        <v>Rope Token</v>
      </c>
    </row>
    <row r="10979" spans="1:3" x14ac:dyDescent="0.25">
      <c r="A10979" s="2" t="str">
        <f ca="1">IFERROR(__xludf.DUMMYFUNCTION("""COMPUTED_VALUE"""),"rorschach")</f>
        <v>rorschach</v>
      </c>
      <c r="B10979" s="2" t="str">
        <f ca="1">IFERROR(__xludf.DUMMYFUNCTION("""COMPUTED_VALUE"""),"ror")</f>
        <v>ror</v>
      </c>
      <c r="C10979" s="2" t="str">
        <f ca="1">IFERROR(__xludf.DUMMYFUNCTION("""COMPUTED_VALUE"""),"Rorschach")</f>
        <v>Rorschach</v>
      </c>
    </row>
    <row r="10980" spans="1:3" x14ac:dyDescent="0.25">
      <c r="A10980" s="2" t="str">
        <f ca="1">IFERROR(__xludf.DUMMYFUNCTION("""COMPUTED_VALUE"""),"rosa-inu")</f>
        <v>rosa-inu</v>
      </c>
      <c r="B10980" s="2" t="str">
        <f ca="1">IFERROR(__xludf.DUMMYFUNCTION("""COMPUTED_VALUE"""),"rosa")</f>
        <v>rosa</v>
      </c>
      <c r="C10980" s="2" t="str">
        <f ca="1">IFERROR(__xludf.DUMMYFUNCTION("""COMPUTED_VALUE"""),"Rosa Inu")</f>
        <v>Rosa Inu</v>
      </c>
    </row>
    <row r="10981" spans="1:3" x14ac:dyDescent="0.25">
      <c r="A10981" s="2" t="str">
        <f ca="1">IFERROR(__xludf.DUMMYFUNCTION("""COMPUTED_VALUE"""),"rose")</f>
        <v>rose</v>
      </c>
      <c r="B10981" s="2" t="str">
        <f ca="1">IFERROR(__xludf.DUMMYFUNCTION("""COMPUTED_VALUE"""),"rose")</f>
        <v>rose</v>
      </c>
      <c r="C10981" s="2" t="str">
        <f ca="1">IFERROR(__xludf.DUMMYFUNCTION("""COMPUTED_VALUE"""),"Rose")</f>
        <v>Rose</v>
      </c>
    </row>
    <row r="10982" spans="1:3" x14ac:dyDescent="0.25">
      <c r="A10982" s="2" t="str">
        <f ca="1">IFERROR(__xludf.DUMMYFUNCTION("""COMPUTED_VALUE"""),"rosecoin")</f>
        <v>rosecoin</v>
      </c>
      <c r="B10982" s="2" t="str">
        <f ca="1">IFERROR(__xludf.DUMMYFUNCTION("""COMPUTED_VALUE"""),"rose")</f>
        <v>rose</v>
      </c>
      <c r="C10982" s="2" t="str">
        <f ca="1">IFERROR(__xludf.DUMMYFUNCTION("""COMPUTED_VALUE"""),"Rosecoin")</f>
        <v>Rosecoin</v>
      </c>
    </row>
    <row r="10983" spans="1:3" x14ac:dyDescent="0.25">
      <c r="A10983" s="2" t="str">
        <f ca="1">IFERROR(__xludf.DUMMYFUNCTION("""COMPUTED_VALUE"""),"rose-finance")</f>
        <v>rose-finance</v>
      </c>
      <c r="B10983" s="2" t="str">
        <f ca="1">IFERROR(__xludf.DUMMYFUNCTION("""COMPUTED_VALUE"""),"rose")</f>
        <v>rose</v>
      </c>
      <c r="C10983" s="2" t="str">
        <f ca="1">IFERROR(__xludf.DUMMYFUNCTION("""COMPUTED_VALUE"""),"Rose Finance")</f>
        <v>Rose Finance</v>
      </c>
    </row>
    <row r="10984" spans="1:3" x14ac:dyDescent="0.25">
      <c r="A10984" s="2" t="str">
        <f ca="1">IFERROR(__xludf.DUMMYFUNCTION("""COMPUTED_VALUE"""),"rosen-bridge")</f>
        <v>rosen-bridge</v>
      </c>
      <c r="B10984" s="2" t="str">
        <f ca="1">IFERROR(__xludf.DUMMYFUNCTION("""COMPUTED_VALUE"""),"rsn")</f>
        <v>rsn</v>
      </c>
      <c r="C10984" s="2" t="str">
        <f ca="1">IFERROR(__xludf.DUMMYFUNCTION("""COMPUTED_VALUE"""),"Rosen Bridge")</f>
        <v>Rosen Bridge</v>
      </c>
    </row>
    <row r="10985" spans="1:3" x14ac:dyDescent="0.25">
      <c r="A10985" s="2" t="str">
        <f ca="1">IFERROR(__xludf.DUMMYFUNCTION("""COMPUTED_VALUE"""),"roseon")</f>
        <v>roseon</v>
      </c>
      <c r="B10985" s="2" t="str">
        <f ca="1">IFERROR(__xludf.DUMMYFUNCTION("""COMPUTED_VALUE"""),"rosx")</f>
        <v>rosx</v>
      </c>
      <c r="C10985" s="2" t="str">
        <f ca="1">IFERROR(__xludf.DUMMYFUNCTION("""COMPUTED_VALUE"""),"Roseon")</f>
        <v>Roseon</v>
      </c>
    </row>
    <row r="10986" spans="1:3" x14ac:dyDescent="0.25">
      <c r="A10986" s="2" t="str">
        <f ca="1">IFERROR(__xludf.DUMMYFUNCTION("""COMPUTED_VALUE"""),"rosnet")</f>
        <v>rosnet</v>
      </c>
      <c r="B10986" s="2" t="str">
        <f ca="1">IFERROR(__xludf.DUMMYFUNCTION("""COMPUTED_VALUE"""),"rosnet")</f>
        <v>rosnet</v>
      </c>
      <c r="C10986" s="2" t="str">
        <f ca="1">IFERROR(__xludf.DUMMYFUNCTION("""COMPUTED_VALUE"""),"Rosnet")</f>
        <v>Rosnet</v>
      </c>
    </row>
    <row r="10987" spans="1:3" x14ac:dyDescent="0.25">
      <c r="A10987" s="2" t="str">
        <f ca="1">IFERROR(__xludf.DUMMYFUNCTION("""COMPUTED_VALUE"""),"rosy")</f>
        <v>rosy</v>
      </c>
      <c r="B10987" s="2" t="str">
        <f ca="1">IFERROR(__xludf.DUMMYFUNCTION("""COMPUTED_VALUE"""),"rosy")</f>
        <v>rosy</v>
      </c>
      <c r="C10987" s="2" t="str">
        <f ca="1">IFERROR(__xludf.DUMMYFUNCTION("""COMPUTED_VALUE"""),"Rosy")</f>
        <v>Rosy</v>
      </c>
    </row>
    <row r="10988" spans="1:3" x14ac:dyDescent="0.25">
      <c r="A10988" s="2" t="str">
        <f ca="1">IFERROR(__xludf.DUMMYFUNCTION("""COMPUTED_VALUE"""),"rotharium")</f>
        <v>rotharium</v>
      </c>
      <c r="B10988" s="2" t="str">
        <f ca="1">IFERROR(__xludf.DUMMYFUNCTION("""COMPUTED_VALUE"""),"rth")</f>
        <v>rth</v>
      </c>
      <c r="C10988" s="2" t="str">
        <f ca="1">IFERROR(__xludf.DUMMYFUNCTION("""COMPUTED_VALUE"""),"Rotharium")</f>
        <v>Rotharium</v>
      </c>
    </row>
    <row r="10989" spans="1:3" x14ac:dyDescent="0.25">
      <c r="A10989" s="2" t="str">
        <f ca="1">IFERROR(__xludf.DUMMYFUNCTION("""COMPUTED_VALUE"""),"round-x")</f>
        <v>round-x</v>
      </c>
      <c r="B10989" s="2" t="str">
        <f ca="1">IFERROR(__xludf.DUMMYFUNCTION("""COMPUTED_VALUE"""),"rndx")</f>
        <v>rndx</v>
      </c>
      <c r="C10989" s="2" t="str">
        <f ca="1">IFERROR(__xludf.DUMMYFUNCTION("""COMPUTED_VALUE"""),"Round X")</f>
        <v>Round X</v>
      </c>
    </row>
    <row r="10990" spans="1:3" x14ac:dyDescent="0.25">
      <c r="A10990" s="2" t="str">
        <f ca="1">IFERROR(__xludf.DUMMYFUNCTION("""COMPUTED_VALUE"""),"roup")</f>
        <v>roup</v>
      </c>
      <c r="B10990" s="2" t="str">
        <f ca="1">IFERROR(__xludf.DUMMYFUNCTION("""COMPUTED_VALUE"""),"roup")</f>
        <v>roup</v>
      </c>
      <c r="C10990" s="2" t="str">
        <f ca="1">IFERROR(__xludf.DUMMYFUNCTION("""COMPUTED_VALUE"""),"Roup (Ordinals)")</f>
        <v>Roup (Ordinals)</v>
      </c>
    </row>
    <row r="10991" spans="1:3" x14ac:dyDescent="0.25">
      <c r="A10991" s="2" t="str">
        <f ca="1">IFERROR(__xludf.DUMMYFUNCTION("""COMPUTED_VALUE"""),"roush-fenway-racing-fan-token")</f>
        <v>roush-fenway-racing-fan-token</v>
      </c>
      <c r="B10991" s="2" t="str">
        <f ca="1">IFERROR(__xludf.DUMMYFUNCTION("""COMPUTED_VALUE"""),"roush")</f>
        <v>roush</v>
      </c>
      <c r="C10991" s="2" t="str">
        <f ca="1">IFERROR(__xludf.DUMMYFUNCTION("""COMPUTED_VALUE"""),"Roush Fenway Racing Fan Token")</f>
        <v>Roush Fenway Racing Fan Token</v>
      </c>
    </row>
    <row r="10992" spans="1:3" x14ac:dyDescent="0.25">
      <c r="A10992" s="2" t="str">
        <f ca="1">IFERROR(__xludf.DUMMYFUNCTION("""COMPUTED_VALUE"""),"route")</f>
        <v>route</v>
      </c>
      <c r="B10992" s="2" t="str">
        <f ca="1">IFERROR(__xludf.DUMMYFUNCTION("""COMPUTED_VALUE"""),"route")</f>
        <v>route</v>
      </c>
      <c r="C10992" s="2" t="str">
        <f ca="1">IFERROR(__xludf.DUMMYFUNCTION("""COMPUTED_VALUE"""),"Router Protocol [OLD]")</f>
        <v>Router Protocol [OLD]</v>
      </c>
    </row>
    <row r="10993" spans="1:3" x14ac:dyDescent="0.25">
      <c r="A10993" s="2" t="str">
        <f ca="1">IFERROR(__xludf.DUMMYFUNCTION("""COMPUTED_VALUE"""),"router-protocol-2")</f>
        <v>router-protocol-2</v>
      </c>
      <c r="B10993" s="2" t="str">
        <f ca="1">IFERROR(__xludf.DUMMYFUNCTION("""COMPUTED_VALUE"""),"route")</f>
        <v>route</v>
      </c>
      <c r="C10993" s="2" t="str">
        <f ca="1">IFERROR(__xludf.DUMMYFUNCTION("""COMPUTED_VALUE"""),"Router Protocol")</f>
        <v>Router Protocol</v>
      </c>
    </row>
    <row r="10994" spans="1:3" x14ac:dyDescent="0.25">
      <c r="A10994" s="2" t="str">
        <f ca="1">IFERROR(__xludf.DUMMYFUNCTION("""COMPUTED_VALUE"""),"rover-staked-bitcoin")</f>
        <v>rover-staked-bitcoin</v>
      </c>
      <c r="B10994" s="2" t="str">
        <f ca="1">IFERROR(__xludf.DUMMYFUNCTION("""COMPUTED_VALUE"""),"rovbtc")</f>
        <v>rovbtc</v>
      </c>
      <c r="C10994" s="2" t="str">
        <f ca="1">IFERROR(__xludf.DUMMYFUNCTION("""COMPUTED_VALUE"""),"Rover Staked Bitcoin")</f>
        <v>Rover Staked Bitcoin</v>
      </c>
    </row>
    <row r="10995" spans="1:3" x14ac:dyDescent="0.25">
      <c r="A10995" s="2" t="str">
        <f ca="1">IFERROR(__xludf.DUMMYFUNCTION("""COMPUTED_VALUE"""),"rowan-coin")</f>
        <v>rowan-coin</v>
      </c>
      <c r="B10995" s="2" t="str">
        <f ca="1">IFERROR(__xludf.DUMMYFUNCTION("""COMPUTED_VALUE"""),"rwn")</f>
        <v>rwn</v>
      </c>
      <c r="C10995" s="2" t="str">
        <f ca="1">IFERROR(__xludf.DUMMYFUNCTION("""COMPUTED_VALUE"""),"Rowan Coin")</f>
        <v>Rowan Coin</v>
      </c>
    </row>
    <row r="10996" spans="1:3" x14ac:dyDescent="0.25">
      <c r="A10996" s="2" t="str">
        <f ca="1">IFERROR(__xludf.DUMMYFUNCTION("""COMPUTED_VALUE"""),"roxy-frog")</f>
        <v>roxy-frog</v>
      </c>
      <c r="B10996" s="2" t="str">
        <f ca="1">IFERROR(__xludf.DUMMYFUNCTION("""COMPUTED_VALUE"""),"roxy")</f>
        <v>roxy</v>
      </c>
      <c r="C10996" s="2" t="str">
        <f ca="1">IFERROR(__xludf.DUMMYFUNCTION("""COMPUTED_VALUE"""),"ROXY FROG")</f>
        <v>ROXY FROG</v>
      </c>
    </row>
    <row r="10997" spans="1:3" x14ac:dyDescent="0.25">
      <c r="A10997" s="2" t="str">
        <f ca="1">IFERROR(__xludf.DUMMYFUNCTION("""COMPUTED_VALUE"""),"royal")</f>
        <v>royal</v>
      </c>
      <c r="B10997" s="2" t="str">
        <f ca="1">IFERROR(__xludf.DUMMYFUNCTION("""COMPUTED_VALUE"""),"royal")</f>
        <v>royal</v>
      </c>
      <c r="C10997" s="2" t="str">
        <f ca="1">IFERROR(__xludf.DUMMYFUNCTION("""COMPUTED_VALUE"""),"ROYAL")</f>
        <v>ROYAL</v>
      </c>
    </row>
    <row r="10998" spans="1:3" x14ac:dyDescent="0.25">
      <c r="A10998" s="2" t="str">
        <f ca="1">IFERROR(__xludf.DUMMYFUNCTION("""COMPUTED_VALUE"""),"royal-finance-coin")</f>
        <v>royal-finance-coin</v>
      </c>
      <c r="B10998" s="2" t="str">
        <f ca="1">IFERROR(__xludf.DUMMYFUNCTION("""COMPUTED_VALUE"""),"rfc")</f>
        <v>rfc</v>
      </c>
      <c r="C10998" s="2" t="str">
        <f ca="1">IFERROR(__xludf.DUMMYFUNCTION("""COMPUTED_VALUE"""),"Royal Finance Coin")</f>
        <v>Royal Finance Coin</v>
      </c>
    </row>
    <row r="10999" spans="1:3" x14ac:dyDescent="0.25">
      <c r="A10999" s="2" t="str">
        <f ca="1">IFERROR(__xludf.DUMMYFUNCTION("""COMPUTED_VALUE"""),"royal-smart-future-token")</f>
        <v>royal-smart-future-token</v>
      </c>
      <c r="B10999" s="2" t="str">
        <f ca="1">IFERROR(__xludf.DUMMYFUNCTION("""COMPUTED_VALUE"""),"rsft")</f>
        <v>rsft</v>
      </c>
      <c r="C10999" s="2" t="str">
        <f ca="1">IFERROR(__xludf.DUMMYFUNCTION("""COMPUTED_VALUE"""),"ROYAL SMART FUTURE TOKEN")</f>
        <v>ROYAL SMART FUTURE TOKEN</v>
      </c>
    </row>
    <row r="11000" spans="1:3" x14ac:dyDescent="0.25">
      <c r="A11000" s="2" t="str">
        <f ca="1">IFERROR(__xludf.DUMMYFUNCTION("""COMPUTED_VALUE"""),"rpg-maker-ai")</f>
        <v>rpg-maker-ai</v>
      </c>
      <c r="B11000" s="2" t="str">
        <f ca="1">IFERROR(__xludf.DUMMYFUNCTION("""COMPUTED_VALUE"""),"rpgmai")</f>
        <v>rpgmai</v>
      </c>
      <c r="C11000" s="2" t="str">
        <f ca="1">IFERROR(__xludf.DUMMYFUNCTION("""COMPUTED_VALUE"""),"RPG Maker Ai")</f>
        <v>RPG Maker Ai</v>
      </c>
    </row>
    <row r="11001" spans="1:3" x14ac:dyDescent="0.25">
      <c r="A11001" s="2" t="str">
        <f ca="1">IFERROR(__xludf.DUMMYFUNCTION("""COMPUTED_VALUE"""),"r-snoofi")</f>
        <v>r-snoofi</v>
      </c>
      <c r="B11001" s="2" t="str">
        <f ca="1">IFERROR(__xludf.DUMMYFUNCTION("""COMPUTED_VALUE"""),"r/snoofi")</f>
        <v>r/snoofi</v>
      </c>
      <c r="C11001" s="2" t="str">
        <f ca="1">IFERROR(__xludf.DUMMYFUNCTION("""COMPUTED_VALUE"""),"r/snoofi")</f>
        <v>r/snoofi</v>
      </c>
    </row>
    <row r="11002" spans="1:3" x14ac:dyDescent="0.25">
      <c r="A11002" s="2" t="str">
        <f ca="1">IFERROR(__xludf.DUMMYFUNCTION("""COMPUTED_VALUE"""),"rss3")</f>
        <v>rss3</v>
      </c>
      <c r="B11002" s="2" t="str">
        <f ca="1">IFERROR(__xludf.DUMMYFUNCTION("""COMPUTED_VALUE"""),"rss3")</f>
        <v>rss3</v>
      </c>
      <c r="C11002" s="2" t="str">
        <f ca="1">IFERROR(__xludf.DUMMYFUNCTION("""COMPUTED_VALUE"""),"RSS3")</f>
        <v>RSS3</v>
      </c>
    </row>
    <row r="11003" spans="1:3" x14ac:dyDescent="0.25">
      <c r="A11003" s="2" t="str">
        <f ca="1">IFERROR(__xludf.DUMMYFUNCTION("""COMPUTED_VALUE"""),"rubber-ducky")</f>
        <v>rubber-ducky</v>
      </c>
      <c r="B11003" s="2" t="str">
        <f ca="1">IFERROR(__xludf.DUMMYFUNCTION("""COMPUTED_VALUE"""),"rubber")</f>
        <v>rubber</v>
      </c>
      <c r="C11003" s="2" t="str">
        <f ca="1">IFERROR(__xludf.DUMMYFUNCTION("""COMPUTED_VALUE"""),"Rubber Ducky")</f>
        <v>Rubber Ducky</v>
      </c>
    </row>
    <row r="11004" spans="1:3" x14ac:dyDescent="0.25">
      <c r="A11004" s="2" t="str">
        <f ca="1">IFERROR(__xludf.DUMMYFUNCTION("""COMPUTED_VALUE"""),"rubber-ducky-cult")</f>
        <v>rubber-ducky-cult</v>
      </c>
      <c r="B11004" s="2" t="str">
        <f ca="1">IFERROR(__xludf.DUMMYFUNCTION("""COMPUTED_VALUE"""),"$ducky")</f>
        <v>$ducky</v>
      </c>
      <c r="C11004" s="2" t="str">
        <f ca="1">IFERROR(__xludf.DUMMYFUNCTION("""COMPUTED_VALUE"""),"Rubber Ducky Cult")</f>
        <v>Rubber Ducky Cult</v>
      </c>
    </row>
    <row r="11005" spans="1:3" x14ac:dyDescent="0.25">
      <c r="A11005" s="2" t="str">
        <f ca="1">IFERROR(__xludf.DUMMYFUNCTION("""COMPUTED_VALUE"""),"rubic")</f>
        <v>rubic</v>
      </c>
      <c r="B11005" s="2" t="str">
        <f ca="1">IFERROR(__xludf.DUMMYFUNCTION("""COMPUTED_VALUE"""),"rbc")</f>
        <v>rbc</v>
      </c>
      <c r="C11005" s="2" t="str">
        <f ca="1">IFERROR(__xludf.DUMMYFUNCTION("""COMPUTED_VALUE"""),"Rubic")</f>
        <v>Rubic</v>
      </c>
    </row>
    <row r="11006" spans="1:3" x14ac:dyDescent="0.25">
      <c r="A11006" s="2" t="str">
        <f ca="1">IFERROR(__xludf.DUMMYFUNCTION("""COMPUTED_VALUE"""),"rubidium")</f>
        <v>rubidium</v>
      </c>
      <c r="B11006" s="2" t="str">
        <f ca="1">IFERROR(__xludf.DUMMYFUNCTION("""COMPUTED_VALUE"""),"rbd")</f>
        <v>rbd</v>
      </c>
      <c r="C11006" s="2" t="str">
        <f ca="1">IFERROR(__xludf.DUMMYFUNCTION("""COMPUTED_VALUE"""),"Rubidium")</f>
        <v>Rubidium</v>
      </c>
    </row>
    <row r="11007" spans="1:3" x14ac:dyDescent="0.25">
      <c r="A11007" s="2" t="str">
        <f ca="1">IFERROR(__xludf.DUMMYFUNCTION("""COMPUTED_VALUE"""),"rubix")</f>
        <v>rubix</v>
      </c>
      <c r="B11007" s="2" t="str">
        <f ca="1">IFERROR(__xludf.DUMMYFUNCTION("""COMPUTED_VALUE"""),"rbt")</f>
        <v>rbt</v>
      </c>
      <c r="C11007" s="2" t="str">
        <f ca="1">IFERROR(__xludf.DUMMYFUNCTION("""COMPUTED_VALUE"""),"Rubix")</f>
        <v>Rubix</v>
      </c>
    </row>
    <row r="11008" spans="1:3" x14ac:dyDescent="0.25">
      <c r="A11008" s="2" t="str">
        <f ca="1">IFERROR(__xludf.DUMMYFUNCTION("""COMPUTED_VALUE"""),"rublex")</f>
        <v>rublex</v>
      </c>
      <c r="B11008" s="2" t="str">
        <f ca="1">IFERROR(__xludf.DUMMYFUNCTION("""COMPUTED_VALUE"""),"rbl")</f>
        <v>rbl</v>
      </c>
      <c r="C11008" s="2" t="str">
        <f ca="1">IFERROR(__xludf.DUMMYFUNCTION("""COMPUTED_VALUE"""),"Rublex")</f>
        <v>Rublex</v>
      </c>
    </row>
    <row r="11009" spans="1:3" x14ac:dyDescent="0.25">
      <c r="A11009" s="2" t="str">
        <f ca="1">IFERROR(__xludf.DUMMYFUNCTION("""COMPUTED_VALUE"""),"ruburt-f-kenidy-jr")</f>
        <v>ruburt-f-kenidy-jr</v>
      </c>
      <c r="B11009" s="2" t="str">
        <f ca="1">IFERROR(__xludf.DUMMYFUNCTION("""COMPUTED_VALUE"""),"kenidy")</f>
        <v>kenidy</v>
      </c>
      <c r="C11009" s="2" t="str">
        <f ca="1">IFERROR(__xludf.DUMMYFUNCTION("""COMPUTED_VALUE"""),"Ruburt F Kenidy Jr")</f>
        <v>Ruburt F Kenidy Jr</v>
      </c>
    </row>
    <row r="11010" spans="1:3" x14ac:dyDescent="0.25">
      <c r="A11010" s="2" t="str">
        <f ca="1">IFERROR(__xludf.DUMMYFUNCTION("""COMPUTED_VALUE"""),"ruby-currency")</f>
        <v>ruby-currency</v>
      </c>
      <c r="B11010" s="2" t="str">
        <f ca="1">IFERROR(__xludf.DUMMYFUNCTION("""COMPUTED_VALUE"""),"rbc")</f>
        <v>rbc</v>
      </c>
      <c r="C11010" s="2" t="str">
        <f ca="1">IFERROR(__xludf.DUMMYFUNCTION("""COMPUTED_VALUE"""),"Ruby Currency")</f>
        <v>Ruby Currency</v>
      </c>
    </row>
    <row r="11011" spans="1:3" x14ac:dyDescent="0.25">
      <c r="A11011" s="2" t="str">
        <f ca="1">IFERROR(__xludf.DUMMYFUNCTION("""COMPUTED_VALUE"""),"ruby-play-network")</f>
        <v>ruby-play-network</v>
      </c>
      <c r="B11011" s="2" t="str">
        <f ca="1">IFERROR(__xludf.DUMMYFUNCTION("""COMPUTED_VALUE"""),"ruby")</f>
        <v>ruby</v>
      </c>
      <c r="C11011" s="2" t="str">
        <f ca="1">IFERROR(__xludf.DUMMYFUNCTION("""COMPUTED_VALUE"""),"Ruby Play Network")</f>
        <v>Ruby Play Network</v>
      </c>
    </row>
    <row r="11012" spans="1:3" x14ac:dyDescent="0.25">
      <c r="A11012" s="2" t="str">
        <f ca="1">IFERROR(__xludf.DUMMYFUNCTION("""COMPUTED_VALUE"""),"ruby-protocol")</f>
        <v>ruby-protocol</v>
      </c>
      <c r="B11012" s="2" t="str">
        <f ca="1">IFERROR(__xludf.DUMMYFUNCTION("""COMPUTED_VALUE"""),"ruby")</f>
        <v>ruby</v>
      </c>
      <c r="C11012" s="2" t="str">
        <f ca="1">IFERROR(__xludf.DUMMYFUNCTION("""COMPUTED_VALUE"""),"Ruby Protocol")</f>
        <v>Ruby Protocol</v>
      </c>
    </row>
    <row r="11013" spans="1:3" x14ac:dyDescent="0.25">
      <c r="A11013" s="2" t="str">
        <f ca="1">IFERROR(__xludf.DUMMYFUNCTION("""COMPUTED_VALUE"""),"rubypulse")</f>
        <v>rubypulse</v>
      </c>
      <c r="B11013" s="2" t="str">
        <f ca="1">IFERROR(__xludf.DUMMYFUNCTION("""COMPUTED_VALUE"""),"ruby")</f>
        <v>ruby</v>
      </c>
      <c r="C11013" s="2" t="str">
        <f ca="1">IFERROR(__xludf.DUMMYFUNCTION("""COMPUTED_VALUE"""),"RubyPulse")</f>
        <v>RubyPulse</v>
      </c>
    </row>
    <row r="11014" spans="1:3" x14ac:dyDescent="0.25">
      <c r="A11014" s="2" t="str">
        <f ca="1">IFERROR(__xludf.DUMMYFUNCTION("""COMPUTED_VALUE"""),"ruff")</f>
        <v>ruff</v>
      </c>
      <c r="B11014" s="2" t="str">
        <f ca="1">IFERROR(__xludf.DUMMYFUNCTION("""COMPUTED_VALUE"""),"ruff")</f>
        <v>ruff</v>
      </c>
      <c r="C11014" s="2" t="str">
        <f ca="1">IFERROR(__xludf.DUMMYFUNCTION("""COMPUTED_VALUE"""),"Ruff")</f>
        <v>Ruff</v>
      </c>
    </row>
    <row r="11015" spans="1:3" x14ac:dyDescent="0.25">
      <c r="A11015" s="2" t="str">
        <f ca="1">IFERROR(__xludf.DUMMYFUNCTION("""COMPUTED_VALUE"""),"rug-rugged-art")</f>
        <v>rug-rugged-art</v>
      </c>
      <c r="B11015" s="2" t="str">
        <f ca="1">IFERROR(__xludf.DUMMYFUNCTION("""COMPUTED_VALUE"""),"rug")</f>
        <v>rug</v>
      </c>
      <c r="C11015" s="2" t="str">
        <f ca="1">IFERROR(__xludf.DUMMYFUNCTION("""COMPUTED_VALUE"""),"Rug")</f>
        <v>Rug</v>
      </c>
    </row>
    <row r="11016" spans="1:3" x14ac:dyDescent="0.25">
      <c r="A11016" s="2" t="str">
        <f ca="1">IFERROR(__xludf.DUMMYFUNCTION("""COMPUTED_VALUE"""),"rug-world-assets")</f>
        <v>rug-world-assets</v>
      </c>
      <c r="B11016" s="2" t="str">
        <f ca="1">IFERROR(__xludf.DUMMYFUNCTION("""COMPUTED_VALUE"""),"rwa")</f>
        <v>rwa</v>
      </c>
      <c r="C11016" s="2" t="str">
        <f ca="1">IFERROR(__xludf.DUMMYFUNCTION("""COMPUTED_VALUE"""),"Rug World Assets")</f>
        <v>Rug World Assets</v>
      </c>
    </row>
    <row r="11017" spans="1:3" x14ac:dyDescent="0.25">
      <c r="A11017" s="2" t="str">
        <f ca="1">IFERROR(__xludf.DUMMYFUNCTION("""COMPUTED_VALUE"""),"rugzombie")</f>
        <v>rugzombie</v>
      </c>
      <c r="B11017" s="2" t="str">
        <f ca="1">IFERROR(__xludf.DUMMYFUNCTION("""COMPUTED_VALUE"""),"zmbe")</f>
        <v>zmbe</v>
      </c>
      <c r="C11017" s="2" t="str">
        <f ca="1">IFERROR(__xludf.DUMMYFUNCTION("""COMPUTED_VALUE"""),"RugZombie")</f>
        <v>RugZombie</v>
      </c>
    </row>
    <row r="11018" spans="1:3" x14ac:dyDescent="0.25">
      <c r="A11018" s="2" t="str">
        <f ca="1">IFERROR(__xludf.DUMMYFUNCTION("""COMPUTED_VALUE"""),"rumi-finance")</f>
        <v>rumi-finance</v>
      </c>
      <c r="B11018" s="2" t="str">
        <f ca="1">IFERROR(__xludf.DUMMYFUNCTION("""COMPUTED_VALUE"""),"rumi")</f>
        <v>rumi</v>
      </c>
      <c r="C11018" s="2" t="str">
        <f ca="1">IFERROR(__xludf.DUMMYFUNCTION("""COMPUTED_VALUE"""),"Rumi Finance")</f>
        <v>Rumi Finance</v>
      </c>
    </row>
    <row r="11019" spans="1:3" x14ac:dyDescent="0.25">
      <c r="A11019" s="2" t="str">
        <f ca="1">IFERROR(__xludf.DUMMYFUNCTION("""COMPUTED_VALUE"""),"run")</f>
        <v>run</v>
      </c>
      <c r="B11019" s="2" t="str">
        <f ca="1">IFERROR(__xludf.DUMMYFUNCTION("""COMPUTED_VALUE"""),"run")</f>
        <v>run</v>
      </c>
      <c r="C11019" s="2" t="str">
        <f ca="1">IFERROR(__xludf.DUMMYFUNCTION("""COMPUTED_VALUE"""),"Run")</f>
        <v>Run</v>
      </c>
    </row>
    <row r="11020" spans="1:3" x14ac:dyDescent="0.25">
      <c r="A11020" s="2" t="str">
        <f ca="1">IFERROR(__xludf.DUMMYFUNCTION("""COMPUTED_VALUE"""),"runblox")</f>
        <v>runblox</v>
      </c>
      <c r="B11020" s="2" t="str">
        <f ca="1">IFERROR(__xludf.DUMMYFUNCTION("""COMPUTED_VALUE"""),"rux")</f>
        <v>rux</v>
      </c>
      <c r="C11020" s="2" t="str">
        <f ca="1">IFERROR(__xludf.DUMMYFUNCTION("""COMPUTED_VALUE"""),"RunBlox")</f>
        <v>RunBlox</v>
      </c>
    </row>
    <row r="11021" spans="1:3" x14ac:dyDescent="0.25">
      <c r="A11021" s="2" t="str">
        <f ca="1">IFERROR(__xludf.DUMMYFUNCTION("""COMPUTED_VALUE"""),"runblox-arbitrum")</f>
        <v>runblox-arbitrum</v>
      </c>
      <c r="B11021" s="2" t="str">
        <f ca="1">IFERROR(__xludf.DUMMYFUNCTION("""COMPUTED_VALUE"""),"rux")</f>
        <v>rux</v>
      </c>
      <c r="C11021" s="2" t="str">
        <f ca="1">IFERROR(__xludf.DUMMYFUNCTION("""COMPUTED_VALUE"""),"RunBlox (Arbitrum)")</f>
        <v>RunBlox (Arbitrum)</v>
      </c>
    </row>
    <row r="11022" spans="1:3" x14ac:dyDescent="0.25">
      <c r="A11022" s="2" t="str">
        <f ca="1">IFERROR(__xludf.DUMMYFUNCTION("""COMPUTED_VALUE"""),"runbot")</f>
        <v>runbot</v>
      </c>
      <c r="B11022" s="2" t="str">
        <f ca="1">IFERROR(__xludf.DUMMYFUNCTION("""COMPUTED_VALUE"""),"rbot")</f>
        <v>rbot</v>
      </c>
      <c r="C11022" s="2" t="str">
        <f ca="1">IFERROR(__xludf.DUMMYFUNCTION("""COMPUTED_VALUE"""),"Runbot")</f>
        <v>Runbot</v>
      </c>
    </row>
    <row r="11023" spans="1:3" x14ac:dyDescent="0.25">
      <c r="A11023" s="2" t="str">
        <f ca="1">IFERROR(__xludf.DUMMYFUNCTION("""COMPUTED_VALUE"""),"runebound")</f>
        <v>runebound</v>
      </c>
      <c r="B11023" s="2" t="str">
        <f ca="1">IFERROR(__xludf.DUMMYFUNCTION("""COMPUTED_VALUE"""),"rune")</f>
        <v>rune</v>
      </c>
      <c r="C11023" s="2" t="str">
        <f ca="1">IFERROR(__xludf.DUMMYFUNCTION("""COMPUTED_VALUE"""),"Runebound")</f>
        <v>Runebound</v>
      </c>
    </row>
    <row r="11024" spans="1:3" x14ac:dyDescent="0.25">
      <c r="A11024" s="2" t="str">
        <f ca="1">IFERROR(__xludf.DUMMYFUNCTION("""COMPUTED_VALUE"""),"runechain")</f>
        <v>runechain</v>
      </c>
      <c r="B11024" s="2" t="str">
        <f ca="1">IFERROR(__xludf.DUMMYFUNCTION("""COMPUTED_VALUE"""),"runix")</f>
        <v>runix</v>
      </c>
      <c r="C11024" s="2" t="str">
        <f ca="1">IFERROR(__xludf.DUMMYFUNCTION("""COMPUTED_VALUE"""),"RuneChain")</f>
        <v>RuneChain</v>
      </c>
    </row>
    <row r="11025" spans="1:3" x14ac:dyDescent="0.25">
      <c r="A11025" s="2" t="str">
        <f ca="1">IFERROR(__xludf.DUMMYFUNCTION("""COMPUTED_VALUE"""),"runecoin")</f>
        <v>runecoin</v>
      </c>
      <c r="B11025" s="2" t="str">
        <f ca="1">IFERROR(__xludf.DUMMYFUNCTION("""COMPUTED_VALUE"""),"rsic")</f>
        <v>rsic</v>
      </c>
      <c r="C11025" s="2" t="str">
        <f ca="1">IFERROR(__xludf.DUMMYFUNCTION("""COMPUTED_VALUE"""),"RSIC•GENESIS•RUNE")</f>
        <v>RSIC•GENESIS•RUNE</v>
      </c>
    </row>
    <row r="11026" spans="1:3" x14ac:dyDescent="0.25">
      <c r="A11026" s="2" t="str">
        <f ca="1">IFERROR(__xludf.DUMMYFUNCTION("""COMPUTED_VALUE"""),"runemine")</f>
        <v>runemine</v>
      </c>
      <c r="B11026" s="2" t="str">
        <f ca="1">IFERROR(__xludf.DUMMYFUNCTION("""COMPUTED_VALUE"""),"mine")</f>
        <v>mine</v>
      </c>
      <c r="C11026" s="2" t="str">
        <f ca="1">IFERROR(__xludf.DUMMYFUNCTION("""COMPUTED_VALUE"""),"RuneMine")</f>
        <v>RuneMine</v>
      </c>
    </row>
    <row r="11027" spans="1:3" x14ac:dyDescent="0.25">
      <c r="A11027" s="2" t="str">
        <f ca="1">IFERROR(__xludf.DUMMYFUNCTION("""COMPUTED_VALUE"""),"rune-pups")</f>
        <v>rune-pups</v>
      </c>
      <c r="B11027" s="2" t="str">
        <f ca="1">IFERROR(__xludf.DUMMYFUNCTION("""COMPUTED_VALUE"""),"pups")</f>
        <v>pups</v>
      </c>
      <c r="C11027" s="2" t="str">
        <f ca="1">IFERROR(__xludf.DUMMYFUNCTION("""COMPUTED_VALUE"""),"PUPS•WORLD•PEACE")</f>
        <v>PUPS•WORLD•PEACE</v>
      </c>
    </row>
    <row r="11028" spans="1:3" x14ac:dyDescent="0.25">
      <c r="A11028" s="2" t="str">
        <f ca="1">IFERROR(__xludf.DUMMYFUNCTION("""COMPUTED_VALUE"""),"runesbot")</f>
        <v>runesbot</v>
      </c>
      <c r="B11028" s="2" t="str">
        <f ca="1">IFERROR(__xludf.DUMMYFUNCTION("""COMPUTED_VALUE"""),"rbot")</f>
        <v>rbot</v>
      </c>
      <c r="C11028" s="2" t="str">
        <f ca="1">IFERROR(__xludf.DUMMYFUNCTION("""COMPUTED_VALUE"""),"RunesBot")</f>
        <v>RunesBot</v>
      </c>
    </row>
    <row r="11029" spans="1:3" x14ac:dyDescent="0.25">
      <c r="A11029" s="2" t="str">
        <f ca="1">IFERROR(__xludf.DUMMYFUNCTION("""COMPUTED_VALUE"""),"runesbridge")</f>
        <v>runesbridge</v>
      </c>
      <c r="B11029" s="2" t="str">
        <f ca="1">IFERROR(__xludf.DUMMYFUNCTION("""COMPUTED_VALUE"""),"rb")</f>
        <v>rb</v>
      </c>
      <c r="C11029" s="2" t="str">
        <f ca="1">IFERROR(__xludf.DUMMYFUNCTION("""COMPUTED_VALUE"""),"RunesBridge")</f>
        <v>RunesBridge</v>
      </c>
    </row>
    <row r="11030" spans="1:3" x14ac:dyDescent="0.25">
      <c r="A11030" s="2" t="str">
        <f ca="1">IFERROR(__xludf.DUMMYFUNCTION("""COMPUTED_VALUE"""),"runescape-gold-runes")</f>
        <v>runescape-gold-runes</v>
      </c>
      <c r="B11030" s="2" t="str">
        <f ca="1">IFERROR(__xludf.DUMMYFUNCTION("""COMPUTED_VALUE"""),"$gold")</f>
        <v>$gold</v>
      </c>
      <c r="C11030" s="2" t="str">
        <f ca="1">IFERROR(__xludf.DUMMYFUNCTION("""COMPUTED_VALUE"""),"RUNESCAPE•GOLD (Runes)")</f>
        <v>RUNESCAPE•GOLD (Runes)</v>
      </c>
    </row>
    <row r="11031" spans="1:3" x14ac:dyDescent="0.25">
      <c r="A11031" s="2" t="str">
        <f ca="1">IFERROR(__xludf.DUMMYFUNCTION("""COMPUTED_VALUE"""),"runes-glyphs")</f>
        <v>runes-glyphs</v>
      </c>
      <c r="B11031" s="2" t="str">
        <f ca="1">IFERROR(__xludf.DUMMYFUNCTION("""COMPUTED_VALUE"""),"rg")</f>
        <v>rg</v>
      </c>
      <c r="C11031" s="2" t="str">
        <f ca="1">IFERROR(__xludf.DUMMYFUNCTION("""COMPUTED_VALUE"""),"Runes Glyphs")</f>
        <v>Runes Glyphs</v>
      </c>
    </row>
    <row r="11032" spans="1:3" x14ac:dyDescent="0.25">
      <c r="A11032" s="2" t="str">
        <f ca="1">IFERROR(__xludf.DUMMYFUNCTION("""COMPUTED_VALUE"""),"runesterminal")</f>
        <v>runesterminal</v>
      </c>
      <c r="B11032" s="2" t="str">
        <f ca="1">IFERROR(__xludf.DUMMYFUNCTION("""COMPUTED_VALUE"""),"runi")</f>
        <v>runi</v>
      </c>
      <c r="C11032" s="2" t="str">
        <f ca="1">IFERROR(__xludf.DUMMYFUNCTION("""COMPUTED_VALUE"""),"RunesTerminal")</f>
        <v>RunesTerminal</v>
      </c>
    </row>
    <row r="11033" spans="1:3" x14ac:dyDescent="0.25">
      <c r="A11033" s="2" t="str">
        <f ca="1">IFERROR(__xludf.DUMMYFUNCTION("""COMPUTED_VALUE"""),"runestone-bot")</f>
        <v>runestone-bot</v>
      </c>
      <c r="B11033" s="2" t="str">
        <f ca="1">IFERROR(__xludf.DUMMYFUNCTION("""COMPUTED_VALUE"""),"rsb")</f>
        <v>rsb</v>
      </c>
      <c r="C11033" s="2" t="str">
        <f ca="1">IFERROR(__xludf.DUMMYFUNCTION("""COMPUTED_VALUE"""),"RuneStone Bot")</f>
        <v>RuneStone Bot</v>
      </c>
    </row>
    <row r="11034" spans="1:3" x14ac:dyDescent="0.25">
      <c r="A11034" s="2" t="str">
        <f ca="1">IFERROR(__xludf.DUMMYFUNCTION("""COMPUTED_VALUE"""),"runes-x-bitcoin")</f>
        <v>runes-x-bitcoin</v>
      </c>
      <c r="B11034" s="2" t="str">
        <f ca="1">IFERROR(__xludf.DUMMYFUNCTION("""COMPUTED_VALUE"""),"✖")</f>
        <v>✖</v>
      </c>
      <c r="C11034" s="2" t="str">
        <f ca="1">IFERROR(__xludf.DUMMYFUNCTION("""COMPUTED_VALUE"""),"RUNES•X•BITCOIN")</f>
        <v>RUNES•X•BITCOIN</v>
      </c>
    </row>
    <row r="11035" spans="1:3" x14ac:dyDescent="0.25">
      <c r="A11035" s="2" t="str">
        <f ca="1">IFERROR(__xludf.DUMMYFUNCTION("""COMPUTED_VALUE"""),"runevm")</f>
        <v>runevm</v>
      </c>
      <c r="B11035" s="2" t="str">
        <f ca="1">IFERROR(__xludf.DUMMYFUNCTION("""COMPUTED_VALUE"""),"runevm")</f>
        <v>runevm</v>
      </c>
      <c r="C11035" s="2" t="str">
        <f ca="1">IFERROR(__xludf.DUMMYFUNCTION("""COMPUTED_VALUE"""),"RUNEVM")</f>
        <v>RUNEVM</v>
      </c>
    </row>
    <row r="11036" spans="1:3" x14ac:dyDescent="0.25">
      <c r="A11036" s="2" t="str">
        <f ca="1">IFERROR(__xludf.DUMMYFUNCTION("""COMPUTED_VALUE"""),"runic-chain")</f>
        <v>runic-chain</v>
      </c>
      <c r="B11036" s="2" t="str">
        <f ca="1">IFERROR(__xludf.DUMMYFUNCTION("""COMPUTED_VALUE"""),"runic")</f>
        <v>runic</v>
      </c>
      <c r="C11036" s="2" t="str">
        <f ca="1">IFERROR(__xludf.DUMMYFUNCTION("""COMPUTED_VALUE"""),"Runic Chain")</f>
        <v>Runic Chain</v>
      </c>
    </row>
    <row r="11037" spans="1:3" x14ac:dyDescent="0.25">
      <c r="A11037" s="2" t="str">
        <f ca="1">IFERROR(__xludf.DUMMYFUNCTION("""COMPUTED_VALUE"""),"runigun")</f>
        <v>runigun</v>
      </c>
      <c r="B11037" s="2" t="str">
        <f ca="1">IFERROR(__xludf.DUMMYFUNCTION("""COMPUTED_VALUE"""),"rng")</f>
        <v>rng</v>
      </c>
      <c r="C11037" s="2" t="str">
        <f ca="1">IFERROR(__xludf.DUMMYFUNCTION("""COMPUTED_VALUE"""),"RuniGun")</f>
        <v>RuniGun</v>
      </c>
    </row>
    <row r="11038" spans="1:3" x14ac:dyDescent="0.25">
      <c r="A11038" s="2" t="str">
        <f ca="1">IFERROR(__xludf.DUMMYFUNCTION("""COMPUTED_VALUE"""),"runner-2")</f>
        <v>runner-2</v>
      </c>
      <c r="B11038" s="2" t="str">
        <f ca="1">IFERROR(__xludf.DUMMYFUNCTION("""COMPUTED_VALUE"""),"runner")</f>
        <v>runner</v>
      </c>
      <c r="C11038" s="2" t="str">
        <f ca="1">IFERROR(__xludf.DUMMYFUNCTION("""COMPUTED_VALUE"""),"Runner")</f>
        <v>Runner</v>
      </c>
    </row>
    <row r="11039" spans="1:3" x14ac:dyDescent="0.25">
      <c r="A11039" s="2" t="str">
        <f ca="1">IFERROR(__xludf.DUMMYFUNCTION("""COMPUTED_VALUE"""),"rupee")</f>
        <v>rupee</v>
      </c>
      <c r="B11039" s="2" t="str">
        <f ca="1">IFERROR(__xludf.DUMMYFUNCTION("""COMPUTED_VALUE"""),"rup")</f>
        <v>rup</v>
      </c>
      <c r="C11039" s="2" t="str">
        <f ca="1">IFERROR(__xludf.DUMMYFUNCTION("""COMPUTED_VALUE"""),"Rupee")</f>
        <v>Rupee</v>
      </c>
    </row>
    <row r="11040" spans="1:3" x14ac:dyDescent="0.25">
      <c r="A11040" s="2" t="str">
        <f ca="1">IFERROR(__xludf.DUMMYFUNCTION("""COMPUTED_VALUE"""),"rupiah-token")</f>
        <v>rupiah-token</v>
      </c>
      <c r="B11040" s="2" t="str">
        <f ca="1">IFERROR(__xludf.DUMMYFUNCTION("""COMPUTED_VALUE"""),"idrt")</f>
        <v>idrt</v>
      </c>
      <c r="C11040" s="2" t="str">
        <f ca="1">IFERROR(__xludf.DUMMYFUNCTION("""COMPUTED_VALUE"""),"Rupiah Token")</f>
        <v>Rupiah Token</v>
      </c>
    </row>
    <row r="11041" spans="1:3" x14ac:dyDescent="0.25">
      <c r="A11041" s="2" t="str">
        <f ca="1">IFERROR(__xludf.DUMMYFUNCTION("""COMPUTED_VALUE"""),"rush-2")</f>
        <v>rush-2</v>
      </c>
      <c r="B11041" s="2" t="str">
        <f ca="1">IFERROR(__xludf.DUMMYFUNCTION("""COMPUTED_VALUE"""),"rush")</f>
        <v>rush</v>
      </c>
      <c r="C11041" s="2" t="str">
        <f ca="1">IFERROR(__xludf.DUMMYFUNCTION("""COMPUTED_VALUE"""),"RUSH")</f>
        <v>RUSH</v>
      </c>
    </row>
    <row r="11042" spans="1:3" x14ac:dyDescent="0.25">
      <c r="A11042" s="2" t="str">
        <f ca="1">IFERROR(__xludf.DUMMYFUNCTION("""COMPUTED_VALUE"""),"ruski-inu")</f>
        <v>ruski-inu</v>
      </c>
      <c r="B11042" s="2" t="str">
        <f ca="1">IFERROR(__xludf.DUMMYFUNCTION("""COMPUTED_VALUE"""),"ruski")</f>
        <v>ruski</v>
      </c>
      <c r="C11042" s="2" t="str">
        <f ca="1">IFERROR(__xludf.DUMMYFUNCTION("""COMPUTED_VALUE"""),"Ruski Inu")</f>
        <v>Ruski Inu</v>
      </c>
    </row>
    <row r="11043" spans="1:3" x14ac:dyDescent="0.25">
      <c r="A11043" s="2" t="str">
        <f ca="1">IFERROR(__xludf.DUMMYFUNCTION("""COMPUTED_VALUE"""),"rusty-robot-country-club")</f>
        <v>rusty-robot-country-club</v>
      </c>
      <c r="B11043" s="2" t="str">
        <f ca="1">IFERROR(__xludf.DUMMYFUNCTION("""COMPUTED_VALUE"""),"rust")</f>
        <v>rust</v>
      </c>
      <c r="C11043" s="2" t="str">
        <f ca="1">IFERROR(__xludf.DUMMYFUNCTION("""COMPUTED_VALUE"""),"Rusty Robot Country Club")</f>
        <v>Rusty Robot Country Club</v>
      </c>
    </row>
    <row r="11044" spans="1:3" x14ac:dyDescent="0.25">
      <c r="A11044" s="2" t="str">
        <f ca="1">IFERROR(__xludf.DUMMYFUNCTION("""COMPUTED_VALUE"""),"ruufcoin")</f>
        <v>ruufcoin</v>
      </c>
      <c r="B11044" s="2" t="str">
        <f ca="1">IFERROR(__xludf.DUMMYFUNCTION("""COMPUTED_VALUE"""),"ruuf")</f>
        <v>ruuf</v>
      </c>
      <c r="C11044" s="2" t="str">
        <f ca="1">IFERROR(__xludf.DUMMYFUNCTION("""COMPUTED_VALUE"""),"RuufCoin")</f>
        <v>RuufCoin</v>
      </c>
    </row>
    <row r="11045" spans="1:3" x14ac:dyDescent="0.25">
      <c r="A11045" s="2" t="str">
        <f ca="1">IFERROR(__xludf.DUMMYFUNCTION("""COMPUTED_VALUE"""),"rwa-ai")</f>
        <v>rwa-ai</v>
      </c>
      <c r="B11045" s="2" t="str">
        <f ca="1">IFERROR(__xludf.DUMMYFUNCTION("""COMPUTED_VALUE"""),"rwa")</f>
        <v>rwa</v>
      </c>
      <c r="C11045" s="2" t="str">
        <f ca="1">IFERROR(__xludf.DUMMYFUNCTION("""COMPUTED_VALUE"""),"RWA-AI")</f>
        <v>RWA-AI</v>
      </c>
    </row>
    <row r="11046" spans="1:3" x14ac:dyDescent="0.25">
      <c r="A11046" s="2" t="str">
        <f ca="1">IFERROR(__xludf.DUMMYFUNCTION("""COMPUTED_VALUE"""),"rwa-finance")</f>
        <v>rwa-finance</v>
      </c>
      <c r="B11046" s="2" t="str">
        <f ca="1">IFERROR(__xludf.DUMMYFUNCTION("""COMPUTED_VALUE"""),"rwas")</f>
        <v>rwas</v>
      </c>
      <c r="C11046" s="2" t="str">
        <f ca="1">IFERROR(__xludf.DUMMYFUNCTION("""COMPUTED_VALUE"""),"RWA Finance")</f>
        <v>RWA Finance</v>
      </c>
    </row>
    <row r="11047" spans="1:3" x14ac:dyDescent="0.25">
      <c r="A11047" s="2" t="str">
        <f ca="1">IFERROR(__xludf.DUMMYFUNCTION("""COMPUTED_VALUE"""),"rwax")</f>
        <v>rwax</v>
      </c>
      <c r="B11047" s="2" t="str">
        <f ca="1">IFERROR(__xludf.DUMMYFUNCTION("""COMPUTED_VALUE"""),"rwax")</f>
        <v>rwax</v>
      </c>
      <c r="C11047" s="2" t="str">
        <f ca="1">IFERROR(__xludf.DUMMYFUNCTION("""COMPUTED_VALUE"""),"RWAX")</f>
        <v>RWAX</v>
      </c>
    </row>
    <row r="11048" spans="1:3" x14ac:dyDescent="0.25">
      <c r="A11048" s="2" t="str">
        <f ca="1">IFERROR(__xludf.DUMMYFUNCTION("""COMPUTED_VALUE"""),"rxcgames")</f>
        <v>rxcgames</v>
      </c>
      <c r="B11048" s="2" t="str">
        <f ca="1">IFERROR(__xludf.DUMMYFUNCTION("""COMPUTED_VALUE"""),"rxcg")</f>
        <v>rxcg</v>
      </c>
      <c r="C11048" s="2" t="str">
        <f ca="1">IFERROR(__xludf.DUMMYFUNCTION("""COMPUTED_VALUE"""),"RXCGames")</f>
        <v>RXCGames</v>
      </c>
    </row>
    <row r="11049" spans="1:3" x14ac:dyDescent="0.25">
      <c r="A11049" s="2" t="str">
        <f ca="1">IFERROR(__xludf.DUMMYFUNCTION("""COMPUTED_VALUE"""),"ryi-unity")</f>
        <v>ryi-unity</v>
      </c>
      <c r="B11049" s="2" t="str">
        <f ca="1">IFERROR(__xludf.DUMMYFUNCTION("""COMPUTED_VALUE"""),"ryiu")</f>
        <v>ryiu</v>
      </c>
      <c r="C11049" s="2" t="str">
        <f ca="1">IFERROR(__xludf.DUMMYFUNCTION("""COMPUTED_VALUE"""),"RYI Unity")</f>
        <v>RYI Unity</v>
      </c>
    </row>
    <row r="11050" spans="1:3" x14ac:dyDescent="0.25">
      <c r="A11050" s="2" t="str">
        <f ca="1">IFERROR(__xludf.DUMMYFUNCTION("""COMPUTED_VALUE"""),"ryno-ai")</f>
        <v>ryno-ai</v>
      </c>
      <c r="B11050" s="2" t="str">
        <f ca="1">IFERROR(__xludf.DUMMYFUNCTION("""COMPUTED_VALUE"""),"ryno")</f>
        <v>ryno</v>
      </c>
      <c r="C11050" s="2" t="str">
        <f ca="1">IFERROR(__xludf.DUMMYFUNCTION("""COMPUTED_VALUE"""),"Ryno AI")</f>
        <v>Ryno AI</v>
      </c>
    </row>
    <row r="11051" spans="1:3" x14ac:dyDescent="0.25">
      <c r="A11051" s="2" t="str">
        <f ca="1">IFERROR(__xludf.DUMMYFUNCTION("""COMPUTED_VALUE"""),"ryo")</f>
        <v>ryo</v>
      </c>
      <c r="B11051" s="2" t="str">
        <f ca="1">IFERROR(__xludf.DUMMYFUNCTION("""COMPUTED_VALUE"""),"ryo")</f>
        <v>ryo</v>
      </c>
      <c r="C11051" s="2" t="str">
        <f ca="1">IFERROR(__xludf.DUMMYFUNCTION("""COMPUTED_VALUE"""),"Ryo Currency")</f>
        <v>Ryo Currency</v>
      </c>
    </row>
    <row r="11052" spans="1:3" x14ac:dyDescent="0.25">
      <c r="A11052" s="2" t="str">
        <f ca="1">IFERROR(__xludf.DUMMYFUNCTION("""COMPUTED_VALUE"""),"ryo-coin")</f>
        <v>ryo-coin</v>
      </c>
      <c r="B11052" s="2" t="str">
        <f ca="1">IFERROR(__xludf.DUMMYFUNCTION("""COMPUTED_VALUE"""),"ryo")</f>
        <v>ryo</v>
      </c>
      <c r="C11052" s="2" t="str">
        <f ca="1">IFERROR(__xludf.DUMMYFUNCTION("""COMPUTED_VALUE"""),"RYO Coin")</f>
        <v>RYO Coin</v>
      </c>
    </row>
    <row r="11053" spans="1:3" x14ac:dyDescent="0.25">
      <c r="A11053" s="2" t="str">
        <f ca="1">IFERROR(__xludf.DUMMYFUNCTION("""COMPUTED_VALUE"""),"ryoshi-research")</f>
        <v>ryoshi-research</v>
      </c>
      <c r="B11053" s="2" t="str">
        <f ca="1">IFERROR(__xludf.DUMMYFUNCTION("""COMPUTED_VALUE"""),"ryoshi")</f>
        <v>ryoshi</v>
      </c>
      <c r="C11053" s="2" t="str">
        <f ca="1">IFERROR(__xludf.DUMMYFUNCTION("""COMPUTED_VALUE"""),"Ryoshi Research")</f>
        <v>Ryoshi Research</v>
      </c>
    </row>
    <row r="11054" spans="1:3" x14ac:dyDescent="0.25">
      <c r="A11054" s="2" t="str">
        <f ca="1">IFERROR(__xludf.DUMMYFUNCTION("""COMPUTED_VALUE"""),"ryoshis-vision")</f>
        <v>ryoshis-vision</v>
      </c>
      <c r="B11054" s="2" t="str">
        <f ca="1">IFERROR(__xludf.DUMMYFUNCTION("""COMPUTED_VALUE"""),"ryoshi")</f>
        <v>ryoshi</v>
      </c>
      <c r="C11054" s="2" t="str">
        <f ca="1">IFERROR(__xludf.DUMMYFUNCTION("""COMPUTED_VALUE"""),"Ryoshis Vision")</f>
        <v>Ryoshis Vision</v>
      </c>
    </row>
    <row r="11055" spans="1:3" x14ac:dyDescent="0.25">
      <c r="A11055" s="2" t="str">
        <f ca="1">IFERROR(__xludf.DUMMYFUNCTION("""COMPUTED_VALUE"""),"ryoshi-token")</f>
        <v>ryoshi-token</v>
      </c>
      <c r="B11055" s="2" t="str">
        <f ca="1">IFERROR(__xludf.DUMMYFUNCTION("""COMPUTED_VALUE"""),"ryoshi")</f>
        <v>ryoshi</v>
      </c>
      <c r="C11055" s="2" t="str">
        <f ca="1">IFERROR(__xludf.DUMMYFUNCTION("""COMPUTED_VALUE"""),"Ryoshi")</f>
        <v>Ryoshi</v>
      </c>
    </row>
    <row r="11056" spans="1:3" x14ac:dyDescent="0.25">
      <c r="A11056" s="2" t="str">
        <f ca="1">IFERROR(__xludf.DUMMYFUNCTION("""COMPUTED_VALUE"""),"ryoshi-with-knife")</f>
        <v>ryoshi-with-knife</v>
      </c>
      <c r="B11056" s="2" t="str">
        <f ca="1">IFERROR(__xludf.DUMMYFUNCTION("""COMPUTED_VALUE"""),"ryoshi")</f>
        <v>ryoshi</v>
      </c>
      <c r="C11056" s="2" t="str">
        <f ca="1">IFERROR(__xludf.DUMMYFUNCTION("""COMPUTED_VALUE"""),"ryoshi with knife")</f>
        <v>ryoshi with knife</v>
      </c>
    </row>
    <row r="11057" spans="1:3" x14ac:dyDescent="0.25">
      <c r="A11057" s="2" t="str">
        <f ca="1">IFERROR(__xludf.DUMMYFUNCTION("""COMPUTED_VALUE"""),"ryujin")</f>
        <v>ryujin</v>
      </c>
      <c r="B11057" s="2" t="str">
        <f ca="1">IFERROR(__xludf.DUMMYFUNCTION("""COMPUTED_VALUE"""),"ryu")</f>
        <v>ryu</v>
      </c>
      <c r="C11057" s="2" t="str">
        <f ca="1">IFERROR(__xludf.DUMMYFUNCTION("""COMPUTED_VALUE"""),"RyuJin")</f>
        <v>RyuJin</v>
      </c>
    </row>
    <row r="11058" spans="1:3" x14ac:dyDescent="0.25">
      <c r="A11058" s="2" t="str">
        <f ca="1">IFERROR(__xludf.DUMMYFUNCTION("""COMPUTED_VALUE"""),"s")</f>
        <v>s</v>
      </c>
      <c r="B11058" s="2" t="str">
        <f ca="1">IFERROR(__xludf.DUMMYFUNCTION("""COMPUTED_VALUE"""),"s")</f>
        <v>s</v>
      </c>
      <c r="C11058" s="2" t="str">
        <f ca="1">IFERROR(__xludf.DUMMYFUNCTION("""COMPUTED_VALUE"""),"S")</f>
        <v>S</v>
      </c>
    </row>
    <row r="11059" spans="1:3" x14ac:dyDescent="0.25">
      <c r="A11059" s="2" t="str">
        <f ca="1">IFERROR(__xludf.DUMMYFUNCTION("""COMPUTED_VALUE"""),"s4fe")</f>
        <v>s4fe</v>
      </c>
      <c r="B11059" s="2" t="str">
        <f ca="1">IFERROR(__xludf.DUMMYFUNCTION("""COMPUTED_VALUE"""),"s4f")</f>
        <v>s4f</v>
      </c>
      <c r="C11059" s="2" t="str">
        <f ca="1">IFERROR(__xludf.DUMMYFUNCTION("""COMPUTED_VALUE"""),"S4FE")</f>
        <v>S4FE</v>
      </c>
    </row>
    <row r="11060" spans="1:3" x14ac:dyDescent="0.25">
      <c r="A11060" s="2" t="str">
        <f ca="1">IFERROR(__xludf.DUMMYFUNCTION("""COMPUTED_VALUE"""),"saakuru-labs")</f>
        <v>saakuru-labs</v>
      </c>
      <c r="B11060" s="2" t="str">
        <f ca="1">IFERROR(__xludf.DUMMYFUNCTION("""COMPUTED_VALUE"""),"skr")</f>
        <v>skr</v>
      </c>
      <c r="C11060" s="2" t="str">
        <f ca="1">IFERROR(__xludf.DUMMYFUNCTION("""COMPUTED_VALUE"""),"Saakuru")</f>
        <v>Saakuru</v>
      </c>
    </row>
    <row r="11061" spans="1:3" x14ac:dyDescent="0.25">
      <c r="A11061" s="2" t="str">
        <f ca="1">IFERROR(__xludf.DUMMYFUNCTION("""COMPUTED_VALUE"""),"sabai-ecovers")</f>
        <v>sabai-ecovers</v>
      </c>
      <c r="B11061" s="2" t="str">
        <f ca="1">IFERROR(__xludf.DUMMYFUNCTION("""COMPUTED_VALUE"""),"sabai")</f>
        <v>sabai</v>
      </c>
      <c r="C11061" s="2" t="str">
        <f ca="1">IFERROR(__xludf.DUMMYFUNCTION("""COMPUTED_VALUE"""),"Sabai Protocol")</f>
        <v>Sabai Protocol</v>
      </c>
    </row>
    <row r="11062" spans="1:3" x14ac:dyDescent="0.25">
      <c r="A11062" s="2" t="str">
        <f ca="1">IFERROR(__xludf.DUMMYFUNCTION("""COMPUTED_VALUE"""),"sabaka-inu")</f>
        <v>sabaka-inu</v>
      </c>
      <c r="B11062" s="2" t="str">
        <f ca="1">IFERROR(__xludf.DUMMYFUNCTION("""COMPUTED_VALUE"""),"sabaka inu")</f>
        <v>sabaka inu</v>
      </c>
      <c r="C11062" s="2" t="str">
        <f ca="1">IFERROR(__xludf.DUMMYFUNCTION("""COMPUTED_VALUE"""),"Sabaka Inu")</f>
        <v>Sabaka Inu</v>
      </c>
    </row>
    <row r="11063" spans="1:3" x14ac:dyDescent="0.25">
      <c r="A11063" s="2" t="str">
        <f ca="1">IFERROR(__xludf.DUMMYFUNCTION("""COMPUTED_VALUE"""),"saber")</f>
        <v>saber</v>
      </c>
      <c r="B11063" s="2" t="str">
        <f ca="1">IFERROR(__xludf.DUMMYFUNCTION("""COMPUTED_VALUE"""),"sbr")</f>
        <v>sbr</v>
      </c>
      <c r="C11063" s="2" t="str">
        <f ca="1">IFERROR(__xludf.DUMMYFUNCTION("""COMPUTED_VALUE"""),"Saber")</f>
        <v>Saber</v>
      </c>
    </row>
    <row r="11064" spans="1:3" x14ac:dyDescent="0.25">
      <c r="A11064" s="2" t="str">
        <f ca="1">IFERROR(__xludf.DUMMYFUNCTION("""COMPUTED_VALUE"""),"saber-2")</f>
        <v>saber-2</v>
      </c>
      <c r="B11064" s="2" t="str">
        <f ca="1">IFERROR(__xludf.DUMMYFUNCTION("""COMPUTED_VALUE"""),"saber")</f>
        <v>saber</v>
      </c>
      <c r="C11064" s="2" t="str">
        <f ca="1">IFERROR(__xludf.DUMMYFUNCTION("""COMPUTED_VALUE"""),"Saber")</f>
        <v>Saber</v>
      </c>
    </row>
    <row r="11065" spans="1:3" x14ac:dyDescent="0.25">
      <c r="A11065" s="2" t="str">
        <f ca="1">IFERROR(__xludf.DUMMYFUNCTION("""COMPUTED_VALUE"""),"sable")</f>
        <v>sable</v>
      </c>
      <c r="B11065" s="2" t="str">
        <f ca="1">IFERROR(__xludf.DUMMYFUNCTION("""COMPUTED_VALUE"""),"sable")</f>
        <v>sable</v>
      </c>
      <c r="C11065" s="2" t="str">
        <f ca="1">IFERROR(__xludf.DUMMYFUNCTION("""COMPUTED_VALUE"""),"Sable")</f>
        <v>Sable</v>
      </c>
    </row>
    <row r="11066" spans="1:3" x14ac:dyDescent="0.25">
      <c r="A11066" s="2" t="str">
        <f ca="1">IFERROR(__xludf.DUMMYFUNCTION("""COMPUTED_VALUE"""),"sacabam")</f>
        <v>sacabam</v>
      </c>
      <c r="B11066" s="2" t="str">
        <f ca="1">IFERROR(__xludf.DUMMYFUNCTION("""COMPUTED_VALUE"""),"scb")</f>
        <v>scb</v>
      </c>
      <c r="C11066" s="2" t="str">
        <f ca="1">IFERROR(__xludf.DUMMYFUNCTION("""COMPUTED_VALUE"""),"Sacabam")</f>
        <v>Sacabam</v>
      </c>
    </row>
    <row r="11067" spans="1:3" x14ac:dyDescent="0.25">
      <c r="A11067" s="2" t="str">
        <f ca="1">IFERROR(__xludf.DUMMYFUNCTION("""COMPUTED_VALUE"""),"sac-daddy")</f>
        <v>sac-daddy</v>
      </c>
      <c r="B11067" s="2" t="str">
        <f ca="1">IFERROR(__xludf.DUMMYFUNCTION("""COMPUTED_VALUE"""),"sac")</f>
        <v>sac</v>
      </c>
      <c r="C11067" s="2" t="str">
        <f ca="1">IFERROR(__xludf.DUMMYFUNCTION("""COMPUTED_VALUE"""),"Sac Daddy")</f>
        <v>Sac Daddy</v>
      </c>
    </row>
    <row r="11068" spans="1:3" x14ac:dyDescent="0.25">
      <c r="A11068" s="2" t="str">
        <f ca="1">IFERROR(__xludf.DUMMYFUNCTION("""COMPUTED_VALUE"""),"sad-ape")</f>
        <v>sad-ape</v>
      </c>
      <c r="B11068" s="2" t="str">
        <f ca="1">IFERROR(__xludf.DUMMYFUNCTION("""COMPUTED_VALUE"""),"sape")</f>
        <v>sape</v>
      </c>
      <c r="C11068" s="2" t="str">
        <f ca="1">IFERROR(__xludf.DUMMYFUNCTION("""COMPUTED_VALUE"""),"Sad Ape")</f>
        <v>Sad Ape</v>
      </c>
    </row>
    <row r="11069" spans="1:3" x14ac:dyDescent="0.25">
      <c r="A11069" s="2" t="str">
        <f ca="1">IFERROR(__xludf.DUMMYFUNCTION("""COMPUTED_VALUE"""),"saddy")</f>
        <v>saddy</v>
      </c>
      <c r="B11069" s="2" t="str">
        <f ca="1">IFERROR(__xludf.DUMMYFUNCTION("""COMPUTED_VALUE"""),"$saddy")</f>
        <v>$saddy</v>
      </c>
      <c r="C11069" s="2" t="str">
        <f ca="1">IFERROR(__xludf.DUMMYFUNCTION("""COMPUTED_VALUE"""),"$saddy")</f>
        <v>$saddy</v>
      </c>
    </row>
    <row r="11070" spans="1:3" x14ac:dyDescent="0.25">
      <c r="A11070" s="2" t="str">
        <f ca="1">IFERROR(__xludf.DUMMYFUNCTION("""COMPUTED_VALUE"""),"sad-hamster")</f>
        <v>sad-hamster</v>
      </c>
      <c r="B11070" s="2" t="str">
        <f ca="1">IFERROR(__xludf.DUMMYFUNCTION("""COMPUTED_VALUE"""),"hammy")</f>
        <v>hammy</v>
      </c>
      <c r="C11070" s="2" t="str">
        <f ca="1">IFERROR(__xludf.DUMMYFUNCTION("""COMPUTED_VALUE"""),"SAD HAMSTER")</f>
        <v>SAD HAMSTER</v>
      </c>
    </row>
    <row r="11071" spans="1:3" x14ac:dyDescent="0.25">
      <c r="A11071" s="2" t="str">
        <f ca="1">IFERROR(__xludf.DUMMYFUNCTION("""COMPUTED_VALUE"""),"sad-trombone")</f>
        <v>sad-trombone</v>
      </c>
      <c r="B11071" s="2" t="str">
        <f ca="1">IFERROR(__xludf.DUMMYFUNCTION("""COMPUTED_VALUE"""),"wompwomp")</f>
        <v>wompwomp</v>
      </c>
      <c r="C11071" s="2" t="str">
        <f ca="1">IFERROR(__xludf.DUMMYFUNCTION("""COMPUTED_VALUE"""),"sad trombone")</f>
        <v>sad trombone</v>
      </c>
    </row>
    <row r="11072" spans="1:3" x14ac:dyDescent="0.25">
      <c r="A11072" s="2" t="str">
        <f ca="1">IFERROR(__xludf.DUMMYFUNCTION("""COMPUTED_VALUE"""),"safcoin")</f>
        <v>safcoin</v>
      </c>
      <c r="B11072" s="2" t="str">
        <f ca="1">IFERROR(__xludf.DUMMYFUNCTION("""COMPUTED_VALUE"""),"saf")</f>
        <v>saf</v>
      </c>
      <c r="C11072" s="2" t="str">
        <f ca="1">IFERROR(__xludf.DUMMYFUNCTION("""COMPUTED_VALUE"""),"SafCoin")</f>
        <v>SafCoin</v>
      </c>
    </row>
    <row r="11073" spans="1:3" x14ac:dyDescent="0.25">
      <c r="A11073" s="2" t="str">
        <f ca="1">IFERROR(__xludf.DUMMYFUNCTION("""COMPUTED_VALUE"""),"safe")</f>
        <v>safe</v>
      </c>
      <c r="B11073" s="2" t="str">
        <f ca="1">IFERROR(__xludf.DUMMYFUNCTION("""COMPUTED_VALUE"""),"safe")</f>
        <v>safe</v>
      </c>
      <c r="C11073" s="2" t="str">
        <f ca="1">IFERROR(__xludf.DUMMYFUNCTION("""COMPUTED_VALUE"""),"Safe")</f>
        <v>Safe</v>
      </c>
    </row>
    <row r="11074" spans="1:3" x14ac:dyDescent="0.25">
      <c r="A11074" s="2" t="str">
        <f ca="1">IFERROR(__xludf.DUMMYFUNCTION("""COMPUTED_VALUE"""),"safe-anwang")</f>
        <v>safe-anwang</v>
      </c>
      <c r="B11074" s="2" t="str">
        <f ca="1">IFERROR(__xludf.DUMMYFUNCTION("""COMPUTED_VALUE"""),"safe")</f>
        <v>safe</v>
      </c>
      <c r="C11074" s="2" t="str">
        <f ca="1">IFERROR(__xludf.DUMMYFUNCTION("""COMPUTED_VALUE"""),"SAFE(AnWang)")</f>
        <v>SAFE(AnWang)</v>
      </c>
    </row>
    <row r="11075" spans="1:3" x14ac:dyDescent="0.25">
      <c r="A11075" s="2" t="str">
        <f ca="1">IFERROR(__xludf.DUMMYFUNCTION("""COMPUTED_VALUE"""),"safeblast")</f>
        <v>safeblast</v>
      </c>
      <c r="B11075" s="2" t="str">
        <f ca="1">IFERROR(__xludf.DUMMYFUNCTION("""COMPUTED_VALUE"""),"blast")</f>
        <v>blast</v>
      </c>
      <c r="C11075" s="2" t="str">
        <f ca="1">IFERROR(__xludf.DUMMYFUNCTION("""COMPUTED_VALUE"""),"SafeBlast")</f>
        <v>SafeBlast</v>
      </c>
    </row>
    <row r="11076" spans="1:3" x14ac:dyDescent="0.25">
      <c r="A11076" s="2" t="str">
        <f ca="1">IFERROR(__xludf.DUMMYFUNCTION("""COMPUTED_VALUE"""),"safebonk")</f>
        <v>safebonk</v>
      </c>
      <c r="B11076" s="2" t="str">
        <f ca="1">IFERROR(__xludf.DUMMYFUNCTION("""COMPUTED_VALUE"""),"sbonk")</f>
        <v>sbonk</v>
      </c>
      <c r="C11076" s="2" t="str">
        <f ca="1">IFERROR(__xludf.DUMMYFUNCTION("""COMPUTED_VALUE"""),"SafeBonk")</f>
        <v>SafeBonk</v>
      </c>
    </row>
    <row r="11077" spans="1:3" x14ac:dyDescent="0.25">
      <c r="A11077" s="2" t="str">
        <f ca="1">IFERROR(__xludf.DUMMYFUNCTION("""COMPUTED_VALUE"""),"safeclassic")</f>
        <v>safeclassic</v>
      </c>
      <c r="B11077" s="2" t="str">
        <f ca="1">IFERROR(__xludf.DUMMYFUNCTION("""COMPUTED_VALUE"""),"safeclassic")</f>
        <v>safeclassic</v>
      </c>
      <c r="C11077" s="2" t="str">
        <f ca="1">IFERROR(__xludf.DUMMYFUNCTION("""COMPUTED_VALUE"""),"SafeClassic")</f>
        <v>SafeClassic</v>
      </c>
    </row>
    <row r="11078" spans="1:3" x14ac:dyDescent="0.25">
      <c r="A11078" s="2" t="str">
        <f ca="1">IFERROR(__xludf.DUMMYFUNCTION("""COMPUTED_VALUE"""),"safe-coin-2")</f>
        <v>safe-coin-2</v>
      </c>
      <c r="B11078" s="2" t="str">
        <f ca="1">IFERROR(__xludf.DUMMYFUNCTION("""COMPUTED_VALUE"""),"safe")</f>
        <v>safe</v>
      </c>
      <c r="C11078" s="2" t="str">
        <f ca="1">IFERROR(__xludf.DUMMYFUNCTION("""COMPUTED_VALUE"""),"SafeCoin")</f>
        <v>SafeCoin</v>
      </c>
    </row>
    <row r="11079" spans="1:3" x14ac:dyDescent="0.25">
      <c r="A11079" s="2" t="str">
        <f ca="1">IFERROR(__xludf.DUMMYFUNCTION("""COMPUTED_VALUE"""),"safe-deal")</f>
        <v>safe-deal</v>
      </c>
      <c r="B11079" s="2" t="str">
        <f ca="1">IFERROR(__xludf.DUMMYFUNCTION("""COMPUTED_VALUE"""),"sfd")</f>
        <v>sfd</v>
      </c>
      <c r="C11079" s="2" t="str">
        <f ca="1">IFERROR(__xludf.DUMMYFUNCTION("""COMPUTED_VALUE"""),"SafeDeal")</f>
        <v>SafeDeal</v>
      </c>
    </row>
    <row r="11080" spans="1:3" x14ac:dyDescent="0.25">
      <c r="A11080" s="2" t="str">
        <f ca="1">IFERROR(__xludf.DUMMYFUNCTION("""COMPUTED_VALUE"""),"safegrok")</f>
        <v>safegrok</v>
      </c>
      <c r="B11080" s="2" t="str">
        <f ca="1">IFERROR(__xludf.DUMMYFUNCTION("""COMPUTED_VALUE"""),"safegrok")</f>
        <v>safegrok</v>
      </c>
      <c r="C11080" s="2" t="str">
        <f ca="1">IFERROR(__xludf.DUMMYFUNCTION("""COMPUTED_VALUE"""),"SafeGrok")</f>
        <v>SafeGrok</v>
      </c>
    </row>
    <row r="11081" spans="1:3" x14ac:dyDescent="0.25">
      <c r="A11081" s="2" t="str">
        <f ca="1">IFERROR(__xludf.DUMMYFUNCTION("""COMPUTED_VALUE"""),"safe-haven")</f>
        <v>safe-haven</v>
      </c>
      <c r="B11081" s="2" t="str">
        <f ca="1">IFERROR(__xludf.DUMMYFUNCTION("""COMPUTED_VALUE"""),"sha")</f>
        <v>sha</v>
      </c>
      <c r="C11081" s="2" t="str">
        <f ca="1">IFERROR(__xludf.DUMMYFUNCTION("""COMPUTED_VALUE"""),"Safe Haven")</f>
        <v>Safe Haven</v>
      </c>
    </row>
    <row r="11082" spans="1:3" x14ac:dyDescent="0.25">
      <c r="A11082" s="2" t="str">
        <f ca="1">IFERROR(__xludf.DUMMYFUNCTION("""COMPUTED_VALUE"""),"safelaunch")</f>
        <v>safelaunch</v>
      </c>
      <c r="B11082" s="2" t="str">
        <f ca="1">IFERROR(__xludf.DUMMYFUNCTION("""COMPUTED_VALUE"""),"sfex")</f>
        <v>sfex</v>
      </c>
      <c r="C11082" s="2" t="str">
        <f ca="1">IFERROR(__xludf.DUMMYFUNCTION("""COMPUTED_VALUE"""),"SafeLaunch")</f>
        <v>SafeLaunch</v>
      </c>
    </row>
    <row r="11083" spans="1:3" x14ac:dyDescent="0.25">
      <c r="A11083" s="2" t="str">
        <f ca="1">IFERROR(__xludf.DUMMYFUNCTION("""COMPUTED_VALUE"""),"safemars")</f>
        <v>safemars</v>
      </c>
      <c r="B11083" s="2" t="str">
        <f ca="1">IFERROR(__xludf.DUMMYFUNCTION("""COMPUTED_VALUE"""),"safemars")</f>
        <v>safemars</v>
      </c>
      <c r="C11083" s="2" t="str">
        <f ca="1">IFERROR(__xludf.DUMMYFUNCTION("""COMPUTED_VALUE"""),"Safemars")</f>
        <v>Safemars</v>
      </c>
    </row>
    <row r="11084" spans="1:3" x14ac:dyDescent="0.25">
      <c r="A11084" s="2" t="str">
        <f ca="1">IFERROR(__xludf.DUMMYFUNCTION("""COMPUTED_VALUE"""),"safemars-protocol")</f>
        <v>safemars-protocol</v>
      </c>
      <c r="B11084" s="2" t="str">
        <f ca="1">IFERROR(__xludf.DUMMYFUNCTION("""COMPUTED_VALUE"""),"smars")</f>
        <v>smars</v>
      </c>
      <c r="C11084" s="2" t="str">
        <f ca="1">IFERROR(__xludf.DUMMYFUNCTION("""COMPUTED_VALUE"""),"Safemars Protocol")</f>
        <v>Safemars Protocol</v>
      </c>
    </row>
    <row r="11085" spans="1:3" x14ac:dyDescent="0.25">
      <c r="A11085" s="2" t="str">
        <f ca="1">IFERROR(__xludf.DUMMYFUNCTION("""COMPUTED_VALUE"""),"safememe")</f>
        <v>safememe</v>
      </c>
      <c r="B11085" s="2" t="str">
        <f ca="1">IFERROR(__xludf.DUMMYFUNCTION("""COMPUTED_VALUE"""),"sme")</f>
        <v>sme</v>
      </c>
      <c r="C11085" s="2" t="str">
        <f ca="1">IFERROR(__xludf.DUMMYFUNCTION("""COMPUTED_VALUE"""),"SafeMeme")</f>
        <v>SafeMeme</v>
      </c>
    </row>
    <row r="11086" spans="1:3" x14ac:dyDescent="0.25">
      <c r="A11086" s="2" t="str">
        <f ca="1">IFERROR(__xludf.DUMMYFUNCTION("""COMPUTED_VALUE"""),"safeminecoin")</f>
        <v>safeminecoin</v>
      </c>
      <c r="B11086" s="2" t="str">
        <f ca="1">IFERROR(__xludf.DUMMYFUNCTION("""COMPUTED_VALUE"""),"smcn")</f>
        <v>smcn</v>
      </c>
      <c r="C11086" s="2" t="str">
        <f ca="1">IFERROR(__xludf.DUMMYFUNCTION("""COMPUTED_VALUE"""),"SafeMineCoin")</f>
        <v>SafeMineCoin</v>
      </c>
    </row>
    <row r="11087" spans="1:3" x14ac:dyDescent="0.25">
      <c r="A11087" s="2" t="str">
        <f ca="1">IFERROR(__xludf.DUMMYFUNCTION("""COMPUTED_VALUE"""),"safemoo")</f>
        <v>safemoo</v>
      </c>
      <c r="B11087" s="2" t="str">
        <f ca="1">IFERROR(__xludf.DUMMYFUNCTION("""COMPUTED_VALUE"""),"safemoo")</f>
        <v>safemoo</v>
      </c>
      <c r="C11087" s="2" t="str">
        <f ca="1">IFERROR(__xludf.DUMMYFUNCTION("""COMPUTED_VALUE"""),"SafeMoo")</f>
        <v>SafeMoo</v>
      </c>
    </row>
    <row r="11088" spans="1:3" x14ac:dyDescent="0.25">
      <c r="A11088" s="2" t="str">
        <f ca="1">IFERROR(__xludf.DUMMYFUNCTION("""COMPUTED_VALUE"""),"safemoon-2")</f>
        <v>safemoon-2</v>
      </c>
      <c r="B11088" s="2" t="str">
        <f ca="1">IFERROR(__xludf.DUMMYFUNCTION("""COMPUTED_VALUE"""),"sfm")</f>
        <v>sfm</v>
      </c>
      <c r="C11088" s="2" t="str">
        <f ca="1">IFERROR(__xludf.DUMMYFUNCTION("""COMPUTED_VALUE"""),"SafeMoon")</f>
        <v>SafeMoon</v>
      </c>
    </row>
    <row r="11089" spans="1:3" x14ac:dyDescent="0.25">
      <c r="A11089" s="2" t="str">
        <f ca="1">IFERROR(__xludf.DUMMYFUNCTION("""COMPUTED_VALUE"""),"safemoon-inu")</f>
        <v>safemoon-inu</v>
      </c>
      <c r="B11089" s="2" t="str">
        <f ca="1">IFERROR(__xludf.DUMMYFUNCTION("""COMPUTED_VALUE"""),"smi")</f>
        <v>smi</v>
      </c>
      <c r="C11089" s="2" t="str">
        <f ca="1">IFERROR(__xludf.DUMMYFUNCTION("""COMPUTED_VALUE"""),"SafeMoon Inu")</f>
        <v>SafeMoon Inu</v>
      </c>
    </row>
    <row r="11090" spans="1:3" x14ac:dyDescent="0.25">
      <c r="A11090" s="2" t="str">
        <f ca="1">IFERROR(__xludf.DUMMYFUNCTION("""COMPUTED_VALUE"""),"safemoon-zilla")</f>
        <v>safemoon-zilla</v>
      </c>
      <c r="B11090" s="2" t="str">
        <f ca="1">IFERROR(__xludf.DUMMYFUNCTION("""COMPUTED_VALUE"""),"sfz")</f>
        <v>sfz</v>
      </c>
      <c r="C11090" s="2" t="str">
        <f ca="1">IFERROR(__xludf.DUMMYFUNCTION("""COMPUTED_VALUE"""),"Safemoon Zilla")</f>
        <v>Safemoon Zilla</v>
      </c>
    </row>
    <row r="11091" spans="1:3" x14ac:dyDescent="0.25">
      <c r="A11091" s="2" t="str">
        <f ca="1">IFERROR(__xludf.DUMMYFUNCTION("""COMPUTED_VALUE"""),"safemuun")</f>
        <v>safemuun</v>
      </c>
      <c r="B11091" s="2" t="str">
        <f ca="1">IFERROR(__xludf.DUMMYFUNCTION("""COMPUTED_VALUE"""),"safemuun")</f>
        <v>safemuun</v>
      </c>
      <c r="C11091" s="2" t="str">
        <f ca="1">IFERROR(__xludf.DUMMYFUNCTION("""COMPUTED_VALUE"""),"Safemuun")</f>
        <v>Safemuun</v>
      </c>
    </row>
    <row r="11092" spans="1:3" x14ac:dyDescent="0.25">
      <c r="A11092" s="2" t="str">
        <f ca="1">IFERROR(__xludf.DUMMYFUNCTION("""COMPUTED_VALUE"""),"safe-nebula")</f>
        <v>safe-nebula</v>
      </c>
      <c r="B11092" s="2" t="str">
        <f ca="1">IFERROR(__xludf.DUMMYFUNCTION("""COMPUTED_VALUE"""),"snb")</f>
        <v>snb</v>
      </c>
      <c r="C11092" s="2" t="str">
        <f ca="1">IFERROR(__xludf.DUMMYFUNCTION("""COMPUTED_VALUE"""),"Safe Nebula")</f>
        <v>Safe Nebula</v>
      </c>
    </row>
    <row r="11093" spans="1:3" x14ac:dyDescent="0.25">
      <c r="A11093" s="2" t="str">
        <f ca="1">IFERROR(__xludf.DUMMYFUNCTION("""COMPUTED_VALUE"""),"safepal")</f>
        <v>safepal</v>
      </c>
      <c r="B11093" s="2" t="str">
        <f ca="1">IFERROR(__xludf.DUMMYFUNCTION("""COMPUTED_VALUE"""),"sfp")</f>
        <v>sfp</v>
      </c>
      <c r="C11093" s="2" t="str">
        <f ca="1">IFERROR(__xludf.DUMMYFUNCTION("""COMPUTED_VALUE"""),"SafePal")</f>
        <v>SafePal</v>
      </c>
    </row>
    <row r="11094" spans="1:3" x14ac:dyDescent="0.25">
      <c r="A11094" s="2" t="str">
        <f ca="1">IFERROR(__xludf.DUMMYFUNCTION("""COMPUTED_VALUE"""),"safereum")</f>
        <v>safereum</v>
      </c>
      <c r="B11094" s="2" t="str">
        <f ca="1">IFERROR(__xludf.DUMMYFUNCTION("""COMPUTED_VALUE"""),"safereum")</f>
        <v>safereum</v>
      </c>
      <c r="C11094" s="2" t="str">
        <f ca="1">IFERROR(__xludf.DUMMYFUNCTION("""COMPUTED_VALUE"""),"SAFEREUM")</f>
        <v>SAFEREUM</v>
      </c>
    </row>
    <row r="11095" spans="1:3" x14ac:dyDescent="0.25">
      <c r="A11095" s="2" t="str">
        <f ca="1">IFERROR(__xludf.DUMMYFUNCTION("""COMPUTED_VALUE"""),"safe-road-club")</f>
        <v>safe-road-club</v>
      </c>
      <c r="B11095" s="2" t="str">
        <f ca="1">IFERROR(__xludf.DUMMYFUNCTION("""COMPUTED_VALUE"""),"src")</f>
        <v>src</v>
      </c>
      <c r="C11095" s="2" t="str">
        <f ca="1">IFERROR(__xludf.DUMMYFUNCTION("""COMPUTED_VALUE"""),"Safe Road Club")</f>
        <v>Safe Road Club</v>
      </c>
    </row>
    <row r="11096" spans="1:3" x14ac:dyDescent="0.25">
      <c r="A11096" s="2" t="str">
        <f ca="1">IFERROR(__xludf.DUMMYFUNCTION("""COMPUTED_VALUE"""),"safestake")</f>
        <v>safestake</v>
      </c>
      <c r="B11096" s="2" t="str">
        <f ca="1">IFERROR(__xludf.DUMMYFUNCTION("""COMPUTED_VALUE"""),"dvt")</f>
        <v>dvt</v>
      </c>
      <c r="C11096" s="2" t="str">
        <f ca="1">IFERROR(__xludf.DUMMYFUNCTION("""COMPUTED_VALUE"""),"SafeStake")</f>
        <v>SafeStake</v>
      </c>
    </row>
    <row r="11097" spans="1:3" x14ac:dyDescent="0.25">
      <c r="A11097" s="2" t="str">
        <f ca="1">IFERROR(__xludf.DUMMYFUNCTION("""COMPUTED_VALUE"""),"safeswap-token")</f>
        <v>safeswap-token</v>
      </c>
      <c r="B11097" s="2" t="str">
        <f ca="1">IFERROR(__xludf.DUMMYFUNCTION("""COMPUTED_VALUE"""),"ssgtx")</f>
        <v>ssgtx</v>
      </c>
      <c r="C11097" s="2" t="str">
        <f ca="1">IFERROR(__xludf.DUMMYFUNCTION("""COMPUTED_VALUE"""),"Safeswap SSGTX")</f>
        <v>Safeswap SSGTX</v>
      </c>
    </row>
    <row r="11098" spans="1:3" x14ac:dyDescent="0.25">
      <c r="A11098" s="2" t="str">
        <f ca="1">IFERROR(__xludf.DUMMYFUNCTION("""COMPUTED_VALUE"""),"safe-token")</f>
        <v>safe-token</v>
      </c>
      <c r="B11098" s="2" t="str">
        <f ca="1">IFERROR(__xludf.DUMMYFUNCTION("""COMPUTED_VALUE"""),"safe")</f>
        <v>safe</v>
      </c>
      <c r="C11098" s="2" t="str">
        <f ca="1">IFERROR(__xludf.DUMMYFUNCTION("""COMPUTED_VALUE"""),"Safe")</f>
        <v>Safe</v>
      </c>
    </row>
    <row r="11099" spans="1:3" x14ac:dyDescent="0.25">
      <c r="A11099" s="2" t="str">
        <f ca="1">IFERROR(__xludf.DUMMYFUNCTION("""COMPUTED_VALUE"""),"safetrees")</f>
        <v>safetrees</v>
      </c>
      <c r="B11099" s="2" t="str">
        <f ca="1">IFERROR(__xludf.DUMMYFUNCTION("""COMPUTED_VALUE"""),"trees")</f>
        <v>trees</v>
      </c>
      <c r="C11099" s="2" t="str">
        <f ca="1">IFERROR(__xludf.DUMMYFUNCTION("""COMPUTED_VALUE"""),"Safetrees")</f>
        <v>Safetrees</v>
      </c>
    </row>
    <row r="11100" spans="1:3" x14ac:dyDescent="0.25">
      <c r="A11100" s="2" t="str">
        <f ca="1">IFERROR(__xludf.DUMMYFUNCTION("""COMPUTED_VALUE"""),"saffron-finance")</f>
        <v>saffron-finance</v>
      </c>
      <c r="B11100" s="2" t="str">
        <f ca="1">IFERROR(__xludf.DUMMYFUNCTION("""COMPUTED_VALUE"""),"sfi")</f>
        <v>sfi</v>
      </c>
      <c r="C11100" s="2" t="str">
        <f ca="1">IFERROR(__xludf.DUMMYFUNCTION("""COMPUTED_VALUE"""),"saffron.finance")</f>
        <v>saffron.finance</v>
      </c>
    </row>
    <row r="11101" spans="1:3" x14ac:dyDescent="0.25">
      <c r="A11101" s="2" t="str">
        <f ca="1">IFERROR(__xludf.DUMMYFUNCTION("""COMPUTED_VALUE"""),"safle")</f>
        <v>safle</v>
      </c>
      <c r="B11101" s="2" t="str">
        <f ca="1">IFERROR(__xludf.DUMMYFUNCTION("""COMPUTED_VALUE"""),"safle")</f>
        <v>safle</v>
      </c>
      <c r="C11101" s="2" t="str">
        <f ca="1">IFERROR(__xludf.DUMMYFUNCTION("""COMPUTED_VALUE"""),"Safle")</f>
        <v>Safle</v>
      </c>
    </row>
    <row r="11102" spans="1:3" x14ac:dyDescent="0.25">
      <c r="A11102" s="2" t="str">
        <f ca="1">IFERROR(__xludf.DUMMYFUNCTION("""COMPUTED_VALUE"""),"safuu")</f>
        <v>safuu</v>
      </c>
      <c r="B11102" s="2" t="str">
        <f ca="1">IFERROR(__xludf.DUMMYFUNCTION("""COMPUTED_VALUE"""),"safuu")</f>
        <v>safuu</v>
      </c>
      <c r="C11102" s="2" t="str">
        <f ca="1">IFERROR(__xludf.DUMMYFUNCTION("""COMPUTED_VALUE"""),"SAFUU")</f>
        <v>SAFUU</v>
      </c>
    </row>
    <row r="11103" spans="1:3" x14ac:dyDescent="0.25">
      <c r="A11103" s="2" t="str">
        <f ca="1">IFERROR(__xludf.DUMMYFUNCTION("""COMPUTED_VALUE"""),"saga-2")</f>
        <v>saga-2</v>
      </c>
      <c r="B11103" s="2" t="str">
        <f ca="1">IFERROR(__xludf.DUMMYFUNCTION("""COMPUTED_VALUE"""),"saga")</f>
        <v>saga</v>
      </c>
      <c r="C11103" s="2" t="str">
        <f ca="1">IFERROR(__xludf.DUMMYFUNCTION("""COMPUTED_VALUE"""),"Saga")</f>
        <v>Saga</v>
      </c>
    </row>
    <row r="11104" spans="1:3" x14ac:dyDescent="0.25">
      <c r="A11104" s="2" t="str">
        <f ca="1">IFERROR(__xludf.DUMMYFUNCTION("""COMPUTED_VALUE"""),"sagas-of-destiny")</f>
        <v>sagas-of-destiny</v>
      </c>
      <c r="B11104" s="2" t="str">
        <f ca="1">IFERROR(__xludf.DUMMYFUNCTION("""COMPUTED_VALUE"""),"sage")</f>
        <v>sage</v>
      </c>
      <c r="C11104" s="2" t="str">
        <f ca="1">IFERROR(__xludf.DUMMYFUNCTION("""COMPUTED_VALUE"""),"Sagas Of Destiny")</f>
        <v>Sagas Of Destiny</v>
      </c>
    </row>
    <row r="11105" spans="1:3" x14ac:dyDescent="0.25">
      <c r="A11105" s="2" t="str">
        <f ca="1">IFERROR(__xludf.DUMMYFUNCTION("""COMPUTED_VALUE"""),"sage-market")</f>
        <v>sage-market</v>
      </c>
      <c r="B11105" s="2" t="str">
        <f ca="1">IFERROR(__xludf.DUMMYFUNCTION("""COMPUTED_VALUE"""),"sage")</f>
        <v>sage</v>
      </c>
      <c r="C11105" s="2" t="str">
        <f ca="1">IFERROR(__xludf.DUMMYFUNCTION("""COMPUTED_VALUE"""),"Sage Market")</f>
        <v>Sage Market</v>
      </c>
    </row>
    <row r="11106" spans="1:3" x14ac:dyDescent="0.25">
      <c r="A11106" s="2" t="str">
        <f ca="1">IFERROR(__xludf.DUMMYFUNCTION("""COMPUTED_VALUE"""),"sage-universe")</f>
        <v>sage-universe</v>
      </c>
      <c r="B11106" s="2" t="str">
        <f ca="1">IFERROR(__xludf.DUMMYFUNCTION("""COMPUTED_VALUE"""),"sage")</f>
        <v>sage</v>
      </c>
      <c r="C11106" s="2" t="str">
        <f ca="1">IFERROR(__xludf.DUMMYFUNCTION("""COMPUTED_VALUE"""),"Sage Universe")</f>
        <v>Sage Universe</v>
      </c>
    </row>
    <row r="11107" spans="1:3" x14ac:dyDescent="0.25">
      <c r="A11107" s="2" t="str">
        <f ca="1">IFERROR(__xludf.DUMMYFUNCTION("""COMPUTED_VALUE"""),"sai")</f>
        <v>sai</v>
      </c>
      <c r="B11107" s="2" t="str">
        <f ca="1">IFERROR(__xludf.DUMMYFUNCTION("""COMPUTED_VALUE"""),"sai")</f>
        <v>sai</v>
      </c>
      <c r="C11107" s="2" t="str">
        <f ca="1">IFERROR(__xludf.DUMMYFUNCTION("""COMPUTED_VALUE"""),"Sai")</f>
        <v>Sai</v>
      </c>
    </row>
    <row r="11108" spans="1:3" x14ac:dyDescent="0.25">
      <c r="A11108" s="2" t="str">
        <f ca="1">IFERROR(__xludf.DUMMYFUNCTION("""COMPUTED_VALUE"""),"saiko-hamster")</f>
        <v>saiko-hamster</v>
      </c>
      <c r="B11108" s="2" t="str">
        <f ca="1">IFERROR(__xludf.DUMMYFUNCTION("""COMPUTED_VALUE"""),"$saiko")</f>
        <v>$saiko</v>
      </c>
      <c r="C11108" s="2" t="str">
        <f ca="1">IFERROR(__xludf.DUMMYFUNCTION("""COMPUTED_VALUE"""),"SAIKO•HAMSTER")</f>
        <v>SAIKO•HAMSTER</v>
      </c>
    </row>
    <row r="11109" spans="1:3" x14ac:dyDescent="0.25">
      <c r="A11109" s="2" t="str">
        <f ca="1">IFERROR(__xludf.DUMMYFUNCTION("""COMPUTED_VALUE"""),"sail-2")</f>
        <v>sail-2</v>
      </c>
      <c r="B11109" s="2" t="str">
        <f ca="1">IFERROR(__xludf.DUMMYFUNCTION("""COMPUTED_VALUE"""),"sail")</f>
        <v>sail</v>
      </c>
      <c r="C11109" s="2" t="str">
        <f ca="1">IFERROR(__xludf.DUMMYFUNCTION("""COMPUTED_VALUE"""),"Clipper SAIL")</f>
        <v>Clipper SAIL</v>
      </c>
    </row>
    <row r="11110" spans="1:3" x14ac:dyDescent="0.25">
      <c r="A11110" s="2" t="str">
        <f ca="1">IFERROR(__xludf.DUMMYFUNCTION("""COMPUTED_VALUE"""),"sail-dao")</f>
        <v>sail-dao</v>
      </c>
      <c r="B11110" s="2" t="str">
        <f ca="1">IFERROR(__xludf.DUMMYFUNCTION("""COMPUTED_VALUE"""),"sail")</f>
        <v>sail</v>
      </c>
      <c r="C11110" s="2" t="str">
        <f ca="1">IFERROR(__xludf.DUMMYFUNCTION("""COMPUTED_VALUE"""),"SAIL DAO")</f>
        <v>SAIL DAO</v>
      </c>
    </row>
    <row r="11111" spans="1:3" x14ac:dyDescent="0.25">
      <c r="A11111" s="2" t="str">
        <f ca="1">IFERROR(__xludf.DUMMYFUNCTION("""COMPUTED_VALUE"""),"sailing")</f>
        <v>sailing</v>
      </c>
      <c r="B11111" s="2" t="str">
        <f ca="1">IFERROR(__xludf.DUMMYFUNCTION("""COMPUTED_VALUE"""),"sails")</f>
        <v>sails</v>
      </c>
      <c r="C11111" s="2" t="str">
        <f ca="1">IFERROR(__xludf.DUMMYFUNCTION("""COMPUTED_VALUE"""),"Sailing")</f>
        <v>Sailing</v>
      </c>
    </row>
    <row r="11112" spans="1:3" x14ac:dyDescent="0.25">
      <c r="A11112" s="2" t="str">
        <f ca="1">IFERROR(__xludf.DUMMYFUNCTION("""COMPUTED_VALUE"""),"saitabit")</f>
        <v>saitabit</v>
      </c>
      <c r="B11112" s="2" t="str">
        <f ca="1">IFERROR(__xludf.DUMMYFUNCTION("""COMPUTED_VALUE"""),"saitabit")</f>
        <v>saitabit</v>
      </c>
      <c r="C11112" s="2" t="str">
        <f ca="1">IFERROR(__xludf.DUMMYFUNCTION("""COMPUTED_VALUE"""),"SaitaBit")</f>
        <v>SaitaBit</v>
      </c>
    </row>
    <row r="11113" spans="1:3" x14ac:dyDescent="0.25">
      <c r="A11113" s="2" t="str">
        <f ca="1">IFERROR(__xludf.DUMMYFUNCTION("""COMPUTED_VALUE"""),"saitachain-coin-2")</f>
        <v>saitachain-coin-2</v>
      </c>
      <c r="B11113" s="2" t="str">
        <f ca="1">IFERROR(__xludf.DUMMYFUNCTION("""COMPUTED_VALUE"""),"stc")</f>
        <v>stc</v>
      </c>
      <c r="C11113" s="2" t="str">
        <f ca="1">IFERROR(__xludf.DUMMYFUNCTION("""COMPUTED_VALUE"""),"SaitaChain Coin")</f>
        <v>SaitaChain Coin</v>
      </c>
    </row>
    <row r="11114" spans="1:3" x14ac:dyDescent="0.25">
      <c r="A11114" s="2" t="str">
        <f ca="1">IFERROR(__xludf.DUMMYFUNCTION("""COMPUTED_VALUE"""),"saitama-soltama")</f>
        <v>saitama-soltama</v>
      </c>
      <c r="B11114" s="2" t="str">
        <f ca="1">IFERROR(__xludf.DUMMYFUNCTION("""COMPUTED_VALUE"""),"soltama")</f>
        <v>soltama</v>
      </c>
      <c r="C11114" s="2" t="str">
        <f ca="1">IFERROR(__xludf.DUMMYFUNCTION("""COMPUTED_VALUE"""),"Saitama (SOLTAMA)")</f>
        <v>Saitama (SOLTAMA)</v>
      </c>
    </row>
    <row r="11115" spans="1:3" x14ac:dyDescent="0.25">
      <c r="A11115" s="2" t="str">
        <f ca="1">IFERROR(__xludf.DUMMYFUNCTION("""COMPUTED_VALUE"""),"saito")</f>
        <v>saito</v>
      </c>
      <c r="B11115" s="2" t="str">
        <f ca="1">IFERROR(__xludf.DUMMYFUNCTION("""COMPUTED_VALUE"""),"saito")</f>
        <v>saito</v>
      </c>
      <c r="C11115" s="2" t="str">
        <f ca="1">IFERROR(__xludf.DUMMYFUNCTION("""COMPUTED_VALUE"""),"Saito")</f>
        <v>Saito</v>
      </c>
    </row>
    <row r="11116" spans="1:3" x14ac:dyDescent="0.25">
      <c r="A11116" s="2" t="str">
        <f ca="1">IFERROR(__xludf.DUMMYFUNCTION("""COMPUTED_VALUE"""),"saiyan-pepe")</f>
        <v>saiyan-pepe</v>
      </c>
      <c r="B11116" s="2" t="str">
        <f ca="1">IFERROR(__xludf.DUMMYFUNCTION("""COMPUTED_VALUE"""),"spepe")</f>
        <v>spepe</v>
      </c>
      <c r="C11116" s="2" t="str">
        <f ca="1">IFERROR(__xludf.DUMMYFUNCTION("""COMPUTED_VALUE"""),"Saiyan PEPE")</f>
        <v>Saiyan PEPE</v>
      </c>
    </row>
    <row r="11117" spans="1:3" x14ac:dyDescent="0.25">
      <c r="A11117" s="2" t="str">
        <f ca="1">IFERROR(__xludf.DUMMYFUNCTION("""COMPUTED_VALUE"""),"sakai-vault")</f>
        <v>sakai-vault</v>
      </c>
      <c r="B11117" s="2" t="str">
        <f ca="1">IFERROR(__xludf.DUMMYFUNCTION("""COMPUTED_VALUE"""),"sakai")</f>
        <v>sakai</v>
      </c>
      <c r="C11117" s="2" t="str">
        <f ca="1">IFERROR(__xludf.DUMMYFUNCTION("""COMPUTED_VALUE"""),"Sakai Vault")</f>
        <v>Sakai Vault</v>
      </c>
    </row>
    <row r="11118" spans="1:3" x14ac:dyDescent="0.25">
      <c r="A11118" s="2" t="str">
        <f ca="1">IFERROR(__xludf.DUMMYFUNCTION("""COMPUTED_VALUE"""),"saka-vault")</f>
        <v>saka-vault</v>
      </c>
      <c r="B11118" s="2" t="str">
        <f ca="1">IFERROR(__xludf.DUMMYFUNCTION("""COMPUTED_VALUE"""),"saka")</f>
        <v>saka</v>
      </c>
      <c r="C11118" s="2" t="str">
        <f ca="1">IFERROR(__xludf.DUMMYFUNCTION("""COMPUTED_VALUE"""),"Saka Vault")</f>
        <v>Saka Vault</v>
      </c>
    </row>
    <row r="11119" spans="1:3" x14ac:dyDescent="0.25">
      <c r="A11119" s="2" t="str">
        <f ca="1">IFERROR(__xludf.DUMMYFUNCTION("""COMPUTED_VALUE"""),"sake-inu")</f>
        <v>sake-inu</v>
      </c>
      <c r="B11119" s="2" t="str">
        <f ca="1">IFERROR(__xludf.DUMMYFUNCTION("""COMPUTED_VALUE"""),"sake")</f>
        <v>sake</v>
      </c>
      <c r="C11119" s="2" t="str">
        <f ca="1">IFERROR(__xludf.DUMMYFUNCTION("""COMPUTED_VALUE"""),"Sake Inu")</f>
        <v>Sake Inu</v>
      </c>
    </row>
    <row r="11120" spans="1:3" x14ac:dyDescent="0.25">
      <c r="A11120" s="2" t="str">
        <f ca="1">IFERROR(__xludf.DUMMYFUNCTION("""COMPUTED_VALUE"""),"sake-token")</f>
        <v>sake-token</v>
      </c>
      <c r="B11120" s="2" t="str">
        <f ca="1">IFERROR(__xludf.DUMMYFUNCTION("""COMPUTED_VALUE"""),"sake")</f>
        <v>sake</v>
      </c>
      <c r="C11120" s="2" t="str">
        <f ca="1">IFERROR(__xludf.DUMMYFUNCTION("""COMPUTED_VALUE"""),"SakeSwap")</f>
        <v>SakeSwap</v>
      </c>
    </row>
    <row r="11121" spans="1:3" x14ac:dyDescent="0.25">
      <c r="A11121" s="2" t="str">
        <f ca="1">IFERROR(__xludf.DUMMYFUNCTION("""COMPUTED_VALUE"""),"sakura")</f>
        <v>sakura</v>
      </c>
      <c r="B11121" s="2" t="str">
        <f ca="1">IFERROR(__xludf.DUMMYFUNCTION("""COMPUTED_VALUE"""),"sku")</f>
        <v>sku</v>
      </c>
      <c r="C11121" s="2" t="str">
        <f ca="1">IFERROR(__xludf.DUMMYFUNCTION("""COMPUTED_VALUE"""),"Sakura")</f>
        <v>Sakura</v>
      </c>
    </row>
    <row r="11122" spans="1:3" x14ac:dyDescent="0.25">
      <c r="A11122" s="2" t="str">
        <f ca="1">IFERROR(__xludf.DUMMYFUNCTION("""COMPUTED_VALUE"""),"sakura-united-platform")</f>
        <v>sakura-united-platform</v>
      </c>
      <c r="B11122" s="2" t="str">
        <f ca="1">IFERROR(__xludf.DUMMYFUNCTION("""COMPUTED_VALUE"""),"sup")</f>
        <v>sup</v>
      </c>
      <c r="C11122" s="2" t="str">
        <f ca="1">IFERROR(__xludf.DUMMYFUNCTION("""COMPUTED_VALUE"""),"SAKURA UNITED PLATFORM")</f>
        <v>SAKURA UNITED PLATFORM</v>
      </c>
    </row>
    <row r="11123" spans="1:3" x14ac:dyDescent="0.25">
      <c r="A11123" s="2" t="str">
        <f ca="1">IFERROR(__xludf.DUMMYFUNCTION("""COMPUTED_VALUE"""),"salad")</f>
        <v>salad</v>
      </c>
      <c r="B11123" s="2" t="str">
        <f ca="1">IFERROR(__xludf.DUMMYFUNCTION("""COMPUTED_VALUE"""),"sald")</f>
        <v>sald</v>
      </c>
      <c r="C11123" s="2" t="str">
        <f ca="1">IFERROR(__xludf.DUMMYFUNCTION("""COMPUTED_VALUE"""),"Salad")</f>
        <v>Salad</v>
      </c>
    </row>
    <row r="11124" spans="1:3" x14ac:dyDescent="0.25">
      <c r="A11124" s="2" t="str">
        <f ca="1">IFERROR(__xludf.DUMMYFUNCTION("""COMPUTED_VALUE"""),"salamander")</f>
        <v>salamander</v>
      </c>
      <c r="B11124" s="2" t="str">
        <f ca="1">IFERROR(__xludf.DUMMYFUNCTION("""COMPUTED_VALUE"""),"sally")</f>
        <v>sally</v>
      </c>
      <c r="C11124" s="2" t="str">
        <f ca="1">IFERROR(__xludf.DUMMYFUNCTION("""COMPUTED_VALUE"""),"SALAMANDER")</f>
        <v>SALAMANDER</v>
      </c>
    </row>
    <row r="11125" spans="1:3" x14ac:dyDescent="0.25">
      <c r="A11125" s="2" t="str">
        <f ca="1">IFERROR(__xludf.DUMMYFUNCTION("""COMPUTED_VALUE"""),"salmon")</f>
        <v>salmon</v>
      </c>
      <c r="B11125" s="2" t="str">
        <f ca="1">IFERROR(__xludf.DUMMYFUNCTION("""COMPUTED_VALUE"""),"slm")</f>
        <v>slm</v>
      </c>
      <c r="C11125" s="2" t="str">
        <f ca="1">IFERROR(__xludf.DUMMYFUNCTION("""COMPUTED_VALUE"""),"Salmon")</f>
        <v>Salmon</v>
      </c>
    </row>
    <row r="11126" spans="1:3" x14ac:dyDescent="0.25">
      <c r="A11126" s="2" t="str">
        <f ca="1">IFERROR(__xludf.DUMMYFUNCTION("""COMPUTED_VALUE"""),"salsa-liquid-multiversx")</f>
        <v>salsa-liquid-multiversx</v>
      </c>
      <c r="B11126" s="2" t="str">
        <f ca="1">IFERROR(__xludf.DUMMYFUNCTION("""COMPUTED_VALUE"""),"legld")</f>
        <v>legld</v>
      </c>
      <c r="C11126" s="2" t="str">
        <f ca="1">IFERROR(__xludf.DUMMYFUNCTION("""COMPUTED_VALUE"""),"SALSA Liquid MultiversX")</f>
        <v>SALSA Liquid MultiversX</v>
      </c>
    </row>
    <row r="11127" spans="1:3" x14ac:dyDescent="0.25">
      <c r="A11127" s="2" t="str">
        <f ca="1">IFERROR(__xludf.DUMMYFUNCTION("""COMPUTED_VALUE"""),"salt")</f>
        <v>salt</v>
      </c>
      <c r="B11127" s="2" t="str">
        <f ca="1">IFERROR(__xludf.DUMMYFUNCTION("""COMPUTED_VALUE"""),"salt")</f>
        <v>salt</v>
      </c>
      <c r="C11127" s="2" t="str">
        <f ca="1">IFERROR(__xludf.DUMMYFUNCTION("""COMPUTED_VALUE"""),"SALT")</f>
        <v>SALT</v>
      </c>
    </row>
    <row r="11128" spans="1:3" x14ac:dyDescent="0.25">
      <c r="A11128" s="2" t="str">
        <f ca="1">IFERROR(__xludf.DUMMYFUNCTION("""COMPUTED_VALUE"""),"salt-bae-for-the-people")</f>
        <v>salt-bae-for-the-people</v>
      </c>
      <c r="B11128" s="2" t="str">
        <f ca="1">IFERROR(__xludf.DUMMYFUNCTION("""COMPUTED_VALUE"""),"sbae")</f>
        <v>sbae</v>
      </c>
      <c r="C11128" s="2" t="str">
        <f ca="1">IFERROR(__xludf.DUMMYFUNCTION("""COMPUTED_VALUE"""),"Salt Bae For The People")</f>
        <v>Salt Bae For The People</v>
      </c>
    </row>
    <row r="11129" spans="1:3" x14ac:dyDescent="0.25">
      <c r="A11129" s="2" t="str">
        <f ca="1">IFERROR(__xludf.DUMMYFUNCTION("""COMPUTED_VALUE"""),"salt-n-vinegar")</f>
        <v>salt-n-vinegar</v>
      </c>
      <c r="B11129" s="2" t="str">
        <f ca="1">IFERROR(__xludf.DUMMYFUNCTION("""COMPUTED_VALUE"""),"snv")</f>
        <v>snv</v>
      </c>
      <c r="C11129" s="2" t="str">
        <f ca="1">IFERROR(__xludf.DUMMYFUNCTION("""COMPUTED_VALUE"""),"Salt N Vinegar")</f>
        <v>Salt N Vinegar</v>
      </c>
    </row>
    <row r="11130" spans="1:3" x14ac:dyDescent="0.25">
      <c r="A11130" s="2" t="str">
        <f ca="1">IFERROR(__xludf.DUMMYFUNCTION("""COMPUTED_VALUE"""),"salty")</f>
        <v>salty</v>
      </c>
      <c r="B11130" s="2" t="str">
        <f ca="1">IFERROR(__xludf.DUMMYFUNCTION("""COMPUTED_VALUE"""),"salty")</f>
        <v>salty</v>
      </c>
      <c r="C11130" s="2" t="str">
        <f ca="1">IFERROR(__xludf.DUMMYFUNCTION("""COMPUTED_VALUE"""),"Salty")</f>
        <v>Salty</v>
      </c>
    </row>
    <row r="11131" spans="1:3" x14ac:dyDescent="0.25">
      <c r="A11131" s="2" t="str">
        <f ca="1">IFERROR(__xludf.DUMMYFUNCTION("""COMPUTED_VALUE"""),"salvium")</f>
        <v>salvium</v>
      </c>
      <c r="B11131" s="2" t="str">
        <f ca="1">IFERROR(__xludf.DUMMYFUNCTION("""COMPUTED_VALUE"""),"sal")</f>
        <v>sal</v>
      </c>
      <c r="C11131" s="2" t="str">
        <f ca="1">IFERROR(__xludf.DUMMYFUNCTION("""COMPUTED_VALUE"""),"Salvium")</f>
        <v>Salvium</v>
      </c>
    </row>
    <row r="11132" spans="1:3" x14ac:dyDescent="0.25">
      <c r="A11132" s="2" t="str">
        <f ca="1">IFERROR(__xludf.DUMMYFUNCTION("""COMPUTED_VALUE"""),"salvor")</f>
        <v>salvor</v>
      </c>
      <c r="B11132" s="2" t="str">
        <f ca="1">IFERROR(__xludf.DUMMYFUNCTION("""COMPUTED_VALUE"""),"art")</f>
        <v>art</v>
      </c>
      <c r="C11132" s="2" t="str">
        <f ca="1">IFERROR(__xludf.DUMMYFUNCTION("""COMPUTED_VALUE"""),"Salvor")</f>
        <v>Salvor</v>
      </c>
    </row>
    <row r="11133" spans="1:3" x14ac:dyDescent="0.25">
      <c r="A11133" s="2" t="str">
        <f ca="1">IFERROR(__xludf.DUMMYFUNCTION("""COMPUTED_VALUE"""),"sam-bankmeme-fried")</f>
        <v>sam-bankmeme-fried</v>
      </c>
      <c r="B11133" s="2" t="str">
        <f ca="1">IFERROR(__xludf.DUMMYFUNCTION("""COMPUTED_VALUE"""),"sbf")</f>
        <v>sbf</v>
      </c>
      <c r="C11133" s="2" t="str">
        <f ca="1">IFERROR(__xludf.DUMMYFUNCTION("""COMPUTED_VALUE"""),"Sam Bankmeme Fried")</f>
        <v>Sam Bankmeme Fried</v>
      </c>
    </row>
    <row r="11134" spans="1:3" x14ac:dyDescent="0.25">
      <c r="A11134" s="2" t="str">
        <f ca="1">IFERROR(__xludf.DUMMYFUNCTION("""COMPUTED_VALUE"""),"samo-wif-hat")</f>
        <v>samo-wif-hat</v>
      </c>
      <c r="B11134" s="2" t="str">
        <f ca="1">IFERROR(__xludf.DUMMYFUNCTION("""COMPUTED_VALUE"""),"samowif")</f>
        <v>samowif</v>
      </c>
      <c r="C11134" s="2" t="str">
        <f ca="1">IFERROR(__xludf.DUMMYFUNCTION("""COMPUTED_VALUE"""),"samo wif hat")</f>
        <v>samo wif hat</v>
      </c>
    </row>
    <row r="11135" spans="1:3" x14ac:dyDescent="0.25">
      <c r="A11135" s="2" t="str">
        <f ca="1">IFERROR(__xludf.DUMMYFUNCTION("""COMPUTED_VALUE"""),"samoyedcoin")</f>
        <v>samoyedcoin</v>
      </c>
      <c r="B11135" s="2" t="str">
        <f ca="1">IFERROR(__xludf.DUMMYFUNCTION("""COMPUTED_VALUE"""),"samo")</f>
        <v>samo</v>
      </c>
      <c r="C11135" s="2" t="str">
        <f ca="1">IFERROR(__xludf.DUMMYFUNCTION("""COMPUTED_VALUE"""),"Samoyedcoin")</f>
        <v>Samoyedcoin</v>
      </c>
    </row>
    <row r="11136" spans="1:3" x14ac:dyDescent="0.25">
      <c r="A11136" s="2" t="str">
        <f ca="1">IFERROR(__xludf.DUMMYFUNCTION("""COMPUTED_VALUE"""),"samsunspor-fan-token")</f>
        <v>samsunspor-fan-token</v>
      </c>
      <c r="B11136" s="2" t="str">
        <f ca="1">IFERROR(__xludf.DUMMYFUNCTION("""COMPUTED_VALUE"""),"sam")</f>
        <v>sam</v>
      </c>
      <c r="C11136" s="2" t="str">
        <f ca="1">IFERROR(__xludf.DUMMYFUNCTION("""COMPUTED_VALUE"""),"Samsunspor Fan Token")</f>
        <v>Samsunspor Fan Token</v>
      </c>
    </row>
    <row r="11137" spans="1:3" x14ac:dyDescent="0.25">
      <c r="A11137" s="2" t="str">
        <f ca="1">IFERROR(__xludf.DUMMYFUNCTION("""COMPUTED_VALUE"""),"samurai-cat")</f>
        <v>samurai-cat</v>
      </c>
      <c r="B11137" s="2" t="str">
        <f ca="1">IFERROR(__xludf.DUMMYFUNCTION("""COMPUTED_VALUE"""),"yuki")</f>
        <v>yuki</v>
      </c>
      <c r="C11137" s="2" t="str">
        <f ca="1">IFERROR(__xludf.DUMMYFUNCTION("""COMPUTED_VALUE"""),"Samurai Cat")</f>
        <v>Samurai Cat</v>
      </c>
    </row>
    <row r="11138" spans="1:3" x14ac:dyDescent="0.25">
      <c r="A11138" s="2" t="str">
        <f ca="1">IFERROR(__xludf.DUMMYFUNCTION("""COMPUTED_VALUE"""),"samurai-pizza-sats")</f>
        <v>samurai-pizza-sats</v>
      </c>
      <c r="B11138" s="2" t="str">
        <f ca="1">IFERROR(__xludf.DUMMYFUNCTION("""COMPUTED_VALUE"""),"pizza")</f>
        <v>pizza</v>
      </c>
      <c r="C11138" s="2" t="str">
        <f ca="1">IFERROR(__xludf.DUMMYFUNCTION("""COMPUTED_VALUE"""),"SAMURAI•PIZZA•SATS (Runes)")</f>
        <v>SAMURAI•PIZZA•SATS (Runes)</v>
      </c>
    </row>
    <row r="11139" spans="1:3" x14ac:dyDescent="0.25">
      <c r="A11139" s="2" t="str">
        <f ca="1">IFERROR(__xludf.DUMMYFUNCTION("""COMPUTED_VALUE"""),"samurai-starter")</f>
        <v>samurai-starter</v>
      </c>
      <c r="B11139" s="2" t="str">
        <f ca="1">IFERROR(__xludf.DUMMYFUNCTION("""COMPUTED_VALUE"""),"sam")</f>
        <v>sam</v>
      </c>
      <c r="C11139" s="2" t="str">
        <f ca="1">IFERROR(__xludf.DUMMYFUNCTION("""COMPUTED_VALUE"""),"Samurai Starter")</f>
        <v>Samurai Starter</v>
      </c>
    </row>
    <row r="11140" spans="1:3" x14ac:dyDescent="0.25">
      <c r="A11140" s="2" t="str">
        <f ca="1">IFERROR(__xludf.DUMMYFUNCTION("""COMPUTED_VALUE"""),"sanctum")</f>
        <v>sanctum</v>
      </c>
      <c r="B11140" s="2" t="str">
        <f ca="1">IFERROR(__xludf.DUMMYFUNCTION("""COMPUTED_VALUE"""),"sanctum")</f>
        <v>sanctum</v>
      </c>
      <c r="C11140" s="2" t="str">
        <f ca="1">IFERROR(__xludf.DUMMYFUNCTION("""COMPUTED_VALUE"""),"Sanctum")</f>
        <v>Sanctum</v>
      </c>
    </row>
    <row r="11141" spans="1:3" x14ac:dyDescent="0.25">
      <c r="A11141" s="2" t="str">
        <f ca="1">IFERROR(__xludf.DUMMYFUNCTION("""COMPUTED_VALUE"""),"sanctum-2")</f>
        <v>sanctum-2</v>
      </c>
      <c r="B11141" s="2" t="str">
        <f ca="1">IFERROR(__xludf.DUMMYFUNCTION("""COMPUTED_VALUE"""),"cloud")</f>
        <v>cloud</v>
      </c>
      <c r="C11141" s="2" t="str">
        <f ca="1">IFERROR(__xludf.DUMMYFUNCTION("""COMPUTED_VALUE"""),"Cloud")</f>
        <v>Cloud</v>
      </c>
    </row>
    <row r="11142" spans="1:3" x14ac:dyDescent="0.25">
      <c r="A11142" s="2" t="str">
        <f ca="1">IFERROR(__xludf.DUMMYFUNCTION("""COMPUTED_VALUE"""),"sandclock")</f>
        <v>sandclock</v>
      </c>
      <c r="B11142" s="2" t="str">
        <f ca="1">IFERROR(__xludf.DUMMYFUNCTION("""COMPUTED_VALUE"""),"quartz")</f>
        <v>quartz</v>
      </c>
      <c r="C11142" s="2" t="str">
        <f ca="1">IFERROR(__xludf.DUMMYFUNCTION("""COMPUTED_VALUE"""),"Sandclock")</f>
        <v>Sandclock</v>
      </c>
    </row>
    <row r="11143" spans="1:3" x14ac:dyDescent="0.25">
      <c r="A11143" s="2" t="str">
        <f ca="1">IFERROR(__xludf.DUMMYFUNCTION("""COMPUTED_VALUE"""),"sandwich-cat")</f>
        <v>sandwich-cat</v>
      </c>
      <c r="B11143" s="2" t="str">
        <f ca="1">IFERROR(__xludf.DUMMYFUNCTION("""COMPUTED_VALUE"""),"saca")</f>
        <v>saca</v>
      </c>
      <c r="C11143" s="2" t="str">
        <f ca="1">IFERROR(__xludf.DUMMYFUNCTION("""COMPUTED_VALUE"""),"Sandwich Cat")</f>
        <v>Sandwich Cat</v>
      </c>
    </row>
    <row r="11144" spans="1:3" x14ac:dyDescent="0.25">
      <c r="A11144" s="2" t="str">
        <f ca="1">IFERROR(__xludf.DUMMYFUNCTION("""COMPUTED_VALUE"""),"sandy")</f>
        <v>sandy</v>
      </c>
      <c r="B11144" s="2" t="str">
        <f ca="1">IFERROR(__xludf.DUMMYFUNCTION("""COMPUTED_VALUE"""),"sandy")</f>
        <v>sandy</v>
      </c>
      <c r="C11144" s="2" t="str">
        <f ca="1">IFERROR(__xludf.DUMMYFUNCTION("""COMPUTED_VALUE"""),"SANDY")</f>
        <v>SANDY</v>
      </c>
    </row>
    <row r="11145" spans="1:3" x14ac:dyDescent="0.25">
      <c r="A11145" s="2" t="str">
        <f ca="1">IFERROR(__xludf.DUMMYFUNCTION("""COMPUTED_VALUE"""),"sangkara")</f>
        <v>sangkara</v>
      </c>
      <c r="B11145" s="2" t="str">
        <f ca="1">IFERROR(__xludf.DUMMYFUNCTION("""COMPUTED_VALUE"""),"misa")</f>
        <v>misa</v>
      </c>
      <c r="C11145" s="2" t="str">
        <f ca="1">IFERROR(__xludf.DUMMYFUNCTION("""COMPUTED_VALUE"""),"Sangkara")</f>
        <v>Sangkara</v>
      </c>
    </row>
    <row r="11146" spans="1:3" x14ac:dyDescent="0.25">
      <c r="A11146" s="2" t="str">
        <f ca="1">IFERROR(__xludf.DUMMYFUNCTION("""COMPUTED_VALUE"""),"sanin-inu")</f>
        <v>sanin-inu</v>
      </c>
      <c r="B11146" s="2" t="str">
        <f ca="1">IFERROR(__xludf.DUMMYFUNCTION("""COMPUTED_VALUE"""),"sani")</f>
        <v>sani</v>
      </c>
      <c r="C11146" s="2" t="str">
        <f ca="1">IFERROR(__xludf.DUMMYFUNCTION("""COMPUTED_VALUE"""),"Sanin Inu")</f>
        <v>Sanin Inu</v>
      </c>
    </row>
    <row r="11147" spans="1:3" x14ac:dyDescent="0.25">
      <c r="A11147" s="2" t="str">
        <f ca="1">IFERROR(__xludf.DUMMYFUNCTION("""COMPUTED_VALUE"""),"sanko-bridged-usdc-sanko")</f>
        <v>sanko-bridged-usdc-sanko</v>
      </c>
      <c r="B11147" s="2" t="str">
        <f ca="1">IFERROR(__xludf.DUMMYFUNCTION("""COMPUTED_VALUE"""),"usdc")</f>
        <v>usdc</v>
      </c>
      <c r="C11147" s="2" t="str">
        <f ca="1">IFERROR(__xludf.DUMMYFUNCTION("""COMPUTED_VALUE"""),"Sanko Bridged USDC (Sanko)")</f>
        <v>Sanko Bridged USDC (Sanko)</v>
      </c>
    </row>
    <row r="11148" spans="1:3" x14ac:dyDescent="0.25">
      <c r="A11148" s="2" t="str">
        <f ca="1">IFERROR(__xludf.DUMMYFUNCTION("""COMPUTED_VALUE"""),"sanko-bridged-weth-sanko")</f>
        <v>sanko-bridged-weth-sanko</v>
      </c>
      <c r="B11148" s="2" t="str">
        <f ca="1">IFERROR(__xludf.DUMMYFUNCTION("""COMPUTED_VALUE"""),"weth")</f>
        <v>weth</v>
      </c>
      <c r="C11148" s="2" t="str">
        <f ca="1">IFERROR(__xludf.DUMMYFUNCTION("""COMPUTED_VALUE"""),"Sanko Bridged WETH (Sanko)")</f>
        <v>Sanko Bridged WETH (Sanko)</v>
      </c>
    </row>
    <row r="11149" spans="1:3" x14ac:dyDescent="0.25">
      <c r="A11149" s="2" t="str">
        <f ca="1">IFERROR(__xludf.DUMMYFUNCTION("""COMPUTED_VALUE"""),"sanshu")</f>
        <v>sanshu</v>
      </c>
      <c r="B11149" s="2" t="str">
        <f ca="1">IFERROR(__xludf.DUMMYFUNCTION("""COMPUTED_VALUE"""),"sanshu!")</f>
        <v>sanshu!</v>
      </c>
      <c r="C11149" s="2" t="str">
        <f ca="1">IFERROR(__xludf.DUMMYFUNCTION("""COMPUTED_VALUE"""),"SANSHU!")</f>
        <v>SANSHU!</v>
      </c>
    </row>
    <row r="11150" spans="1:3" x14ac:dyDescent="0.25">
      <c r="A11150" s="2" t="str">
        <f ca="1">IFERROR(__xludf.DUMMYFUNCTION("""COMPUTED_VALUE"""),"sanshu-inu")</f>
        <v>sanshu-inu</v>
      </c>
      <c r="B11150" s="2" t="str">
        <f ca="1">IFERROR(__xludf.DUMMYFUNCTION("""COMPUTED_VALUE"""),"sanshu")</f>
        <v>sanshu</v>
      </c>
      <c r="C11150" s="2" t="str">
        <f ca="1">IFERROR(__xludf.DUMMYFUNCTION("""COMPUTED_VALUE"""),"Sanshu Inu (OLD)")</f>
        <v>Sanshu Inu (OLD)</v>
      </c>
    </row>
    <row r="11151" spans="1:3" x14ac:dyDescent="0.25">
      <c r="A11151" s="2" t="str">
        <f ca="1">IFERROR(__xludf.DUMMYFUNCTION("""COMPUTED_VALUE"""),"santa-coin-2")</f>
        <v>santa-coin-2</v>
      </c>
      <c r="B11151" s="2" t="str">
        <f ca="1">IFERROR(__xludf.DUMMYFUNCTION("""COMPUTED_VALUE"""),"santa")</f>
        <v>santa</v>
      </c>
      <c r="C11151" s="2" t="str">
        <f ca="1">IFERROR(__xludf.DUMMYFUNCTION("""COMPUTED_VALUE"""),"Santa Coin")</f>
        <v>Santa Coin</v>
      </c>
    </row>
    <row r="11152" spans="1:3" x14ac:dyDescent="0.25">
      <c r="A11152" s="2" t="str">
        <f ca="1">IFERROR(__xludf.DUMMYFUNCTION("""COMPUTED_VALUE"""),"santa-grok")</f>
        <v>santa-grok</v>
      </c>
      <c r="B11152" s="2" t="str">
        <f ca="1">IFERROR(__xludf.DUMMYFUNCTION("""COMPUTED_VALUE"""),"santagrok")</f>
        <v>santagrok</v>
      </c>
      <c r="C11152" s="2" t="str">
        <f ca="1">IFERROR(__xludf.DUMMYFUNCTION("""COMPUTED_VALUE"""),"Santa Grok")</f>
        <v>Santa Grok</v>
      </c>
    </row>
    <row r="11153" spans="1:3" x14ac:dyDescent="0.25">
      <c r="A11153" s="2" t="str">
        <f ca="1">IFERROR(__xludf.DUMMYFUNCTION("""COMPUTED_VALUE"""),"santa-inu")</f>
        <v>santa-inu</v>
      </c>
      <c r="B11153" s="2" t="str">
        <f ca="1">IFERROR(__xludf.DUMMYFUNCTION("""COMPUTED_VALUE"""),"saninu")</f>
        <v>saninu</v>
      </c>
      <c r="C11153" s="2" t="str">
        <f ca="1">IFERROR(__xludf.DUMMYFUNCTION("""COMPUTED_VALUE"""),"Santa Inu")</f>
        <v>Santa Inu</v>
      </c>
    </row>
    <row r="11154" spans="1:3" x14ac:dyDescent="0.25">
      <c r="A11154" s="2" t="str">
        <f ca="1">IFERROR(__xludf.DUMMYFUNCTION("""COMPUTED_VALUE"""),"santiment-network-token")</f>
        <v>santiment-network-token</v>
      </c>
      <c r="B11154" s="2" t="str">
        <f ca="1">IFERROR(__xludf.DUMMYFUNCTION("""COMPUTED_VALUE"""),"san")</f>
        <v>san</v>
      </c>
      <c r="C11154" s="2" t="str">
        <f ca="1">IFERROR(__xludf.DUMMYFUNCTION("""COMPUTED_VALUE"""),"Santiment Network")</f>
        <v>Santiment Network</v>
      </c>
    </row>
    <row r="11155" spans="1:3" x14ac:dyDescent="0.25">
      <c r="A11155" s="2" t="str">
        <f ca="1">IFERROR(__xludf.DUMMYFUNCTION("""COMPUTED_VALUE"""),"santos-fc-fan-token")</f>
        <v>santos-fc-fan-token</v>
      </c>
      <c r="B11155" s="2" t="str">
        <f ca="1">IFERROR(__xludf.DUMMYFUNCTION("""COMPUTED_VALUE"""),"santos")</f>
        <v>santos</v>
      </c>
      <c r="C11155" s="2" t="str">
        <f ca="1">IFERROR(__xludf.DUMMYFUNCTION("""COMPUTED_VALUE"""),"Santos FC Fan Token")</f>
        <v>Santos FC Fan Token</v>
      </c>
    </row>
    <row r="11156" spans="1:3" x14ac:dyDescent="0.25">
      <c r="A11156" s="2" t="str">
        <f ca="1">IFERROR(__xludf.DUMMYFUNCTION("""COMPUTED_VALUE"""),"sao-paulo-fc-fan-token")</f>
        <v>sao-paulo-fc-fan-token</v>
      </c>
      <c r="B11156" s="2" t="str">
        <f ca="1">IFERROR(__xludf.DUMMYFUNCTION("""COMPUTED_VALUE"""),"spfc")</f>
        <v>spfc</v>
      </c>
      <c r="C11156" s="2" t="str">
        <f ca="1">IFERROR(__xludf.DUMMYFUNCTION("""COMPUTED_VALUE"""),"Sao Paulo FC Fan Token")</f>
        <v>Sao Paulo FC Fan Token</v>
      </c>
    </row>
    <row r="11157" spans="1:3" x14ac:dyDescent="0.25">
      <c r="A11157" s="2" t="str">
        <f ca="1">IFERROR(__xludf.DUMMYFUNCTION("""COMPUTED_VALUE"""),"sapiens")</f>
        <v>sapiens</v>
      </c>
      <c r="B11157" s="2" t="str">
        <f ca="1">IFERROR(__xludf.DUMMYFUNCTION("""COMPUTED_VALUE"""),"spn")</f>
        <v>spn</v>
      </c>
      <c r="C11157" s="2" t="str">
        <f ca="1">IFERROR(__xludf.DUMMYFUNCTION("""COMPUTED_VALUE"""),"Sapiens")</f>
        <v>Sapiens</v>
      </c>
    </row>
    <row r="11158" spans="1:3" x14ac:dyDescent="0.25">
      <c r="A11158" s="2" t="str">
        <f ca="1">IFERROR(__xludf.DUMMYFUNCTION("""COMPUTED_VALUE"""),"sapphire")</f>
        <v>sapphire</v>
      </c>
      <c r="B11158" s="2" t="str">
        <f ca="1">IFERROR(__xludf.DUMMYFUNCTION("""COMPUTED_VALUE"""),"sapp")</f>
        <v>sapp</v>
      </c>
      <c r="C11158" s="2" t="str">
        <f ca="1">IFERROR(__xludf.DUMMYFUNCTION("""COMPUTED_VALUE"""),"Sapphire")</f>
        <v>Sapphire</v>
      </c>
    </row>
    <row r="11159" spans="1:3" x14ac:dyDescent="0.25">
      <c r="A11159" s="2" t="str">
        <f ca="1">IFERROR(__xludf.DUMMYFUNCTION("""COMPUTED_VALUE"""),"sappy-seals-pixl")</f>
        <v>sappy-seals-pixl</v>
      </c>
      <c r="B11159" s="2" t="str">
        <f ca="1">IFERROR(__xludf.DUMMYFUNCTION("""COMPUTED_VALUE"""),"pixl")</f>
        <v>pixl</v>
      </c>
      <c r="C11159" s="2" t="str">
        <f ca="1">IFERROR(__xludf.DUMMYFUNCTION("""COMPUTED_VALUE"""),"PIXL")</f>
        <v>PIXL</v>
      </c>
    </row>
    <row r="11160" spans="1:3" x14ac:dyDescent="0.25">
      <c r="A11160" s="2" t="str">
        <f ca="1">IFERROR(__xludf.DUMMYFUNCTION("""COMPUTED_VALUE"""),"saracens-fan-token")</f>
        <v>saracens-fan-token</v>
      </c>
      <c r="B11160" s="2" t="str">
        <f ca="1">IFERROR(__xludf.DUMMYFUNCTION("""COMPUTED_VALUE"""),"sarries")</f>
        <v>sarries</v>
      </c>
      <c r="C11160" s="2" t="str">
        <f ca="1">IFERROR(__xludf.DUMMYFUNCTION("""COMPUTED_VALUE"""),"Saracens Fan Token")</f>
        <v>Saracens Fan Token</v>
      </c>
    </row>
    <row r="11161" spans="1:3" x14ac:dyDescent="0.25">
      <c r="A11161" s="2" t="str">
        <f ca="1">IFERROR(__xludf.DUMMYFUNCTION("""COMPUTED_VALUE"""),"sarcophagus")</f>
        <v>sarcophagus</v>
      </c>
      <c r="B11161" s="2" t="str">
        <f ca="1">IFERROR(__xludf.DUMMYFUNCTION("""COMPUTED_VALUE"""),"sarco")</f>
        <v>sarco</v>
      </c>
      <c r="C11161" s="2" t="str">
        <f ca="1">IFERROR(__xludf.DUMMYFUNCTION("""COMPUTED_VALUE"""),"Sarcophagus")</f>
        <v>Sarcophagus</v>
      </c>
    </row>
    <row r="11162" spans="1:3" x14ac:dyDescent="0.25">
      <c r="A11162" s="2" t="str">
        <f ca="1">IFERROR(__xludf.DUMMYFUNCTION("""COMPUTED_VALUE"""),"sardis-network")</f>
        <v>sardis-network</v>
      </c>
      <c r="B11162" s="2" t="str">
        <f ca="1">IFERROR(__xludf.DUMMYFUNCTION("""COMPUTED_VALUE"""),"srds")</f>
        <v>srds</v>
      </c>
      <c r="C11162" s="2" t="str">
        <f ca="1">IFERROR(__xludf.DUMMYFUNCTION("""COMPUTED_VALUE"""),"Sardis Network")</f>
        <v>Sardis Network</v>
      </c>
    </row>
    <row r="11163" spans="1:3" x14ac:dyDescent="0.25">
      <c r="A11163" s="2" t="str">
        <f ca="1">IFERROR(__xludf.DUMMYFUNCTION("""COMPUTED_VALUE"""),"saros-finance")</f>
        <v>saros-finance</v>
      </c>
      <c r="B11163" s="2" t="str">
        <f ca="1">IFERROR(__xludf.DUMMYFUNCTION("""COMPUTED_VALUE"""),"saros")</f>
        <v>saros</v>
      </c>
      <c r="C11163" s="2" t="str">
        <f ca="1">IFERROR(__xludf.DUMMYFUNCTION("""COMPUTED_VALUE"""),"Saros")</f>
        <v>Saros</v>
      </c>
    </row>
    <row r="11164" spans="1:3" x14ac:dyDescent="0.25">
      <c r="A11164" s="2" t="str">
        <f ca="1">IFERROR(__xludf.DUMMYFUNCTION("""COMPUTED_VALUE"""),"sasha-cat")</f>
        <v>sasha-cat</v>
      </c>
      <c r="B11164" s="2" t="str">
        <f ca="1">IFERROR(__xludf.DUMMYFUNCTION("""COMPUTED_VALUE"""),"sasha")</f>
        <v>sasha</v>
      </c>
      <c r="C11164" s="2" t="str">
        <f ca="1">IFERROR(__xludf.DUMMYFUNCTION("""COMPUTED_VALUE"""),"SASHA CAT")</f>
        <v>SASHA CAT</v>
      </c>
    </row>
    <row r="11165" spans="1:3" x14ac:dyDescent="0.25">
      <c r="A11165" s="2" t="str">
        <f ca="1">IFERROR(__xludf.DUMMYFUNCTION("""COMPUTED_VALUE"""),"sashimi")</f>
        <v>sashimi</v>
      </c>
      <c r="B11165" s="2" t="str">
        <f ca="1">IFERROR(__xludf.DUMMYFUNCTION("""COMPUTED_VALUE"""),"sashimi")</f>
        <v>sashimi</v>
      </c>
      <c r="C11165" s="2" t="str">
        <f ca="1">IFERROR(__xludf.DUMMYFUNCTION("""COMPUTED_VALUE"""),"Sashimi")</f>
        <v>Sashimi</v>
      </c>
    </row>
    <row r="11166" spans="1:3" x14ac:dyDescent="0.25">
      <c r="A11166" s="2" t="str">
        <f ca="1">IFERROR(__xludf.DUMMYFUNCTION("""COMPUTED_VALUE"""),"sassy-the-mf-sasquatch")</f>
        <v>sassy-the-mf-sasquatch</v>
      </c>
      <c r="B11166" s="2" t="str">
        <f ca="1">IFERROR(__xludf.DUMMYFUNCTION("""COMPUTED_VALUE"""),"sassymf")</f>
        <v>sassymf</v>
      </c>
      <c r="C11166" s="2" t="str">
        <f ca="1">IFERROR(__xludf.DUMMYFUNCTION("""COMPUTED_VALUE"""),"Sassy The MF Sasquatch")</f>
        <v>Sassy The MF Sasquatch</v>
      </c>
    </row>
    <row r="11167" spans="1:3" x14ac:dyDescent="0.25">
      <c r="A11167" s="2" t="str">
        <f ca="1">IFERROR(__xludf.DUMMYFUNCTION("""COMPUTED_VALUE"""),"satellite-doge-1")</f>
        <v>satellite-doge-1</v>
      </c>
      <c r="B11167" s="2" t="str">
        <f ca="1">IFERROR(__xludf.DUMMYFUNCTION("""COMPUTED_VALUE"""),"doge-1")</f>
        <v>doge-1</v>
      </c>
      <c r="C11167" s="2" t="str">
        <f ca="1">IFERROR(__xludf.DUMMYFUNCTION("""COMPUTED_VALUE"""),"Satellite Doge-1")</f>
        <v>Satellite Doge-1</v>
      </c>
    </row>
    <row r="11168" spans="1:3" x14ac:dyDescent="0.25">
      <c r="A11168" s="2" t="str">
        <f ca="1">IFERROR(__xludf.DUMMYFUNCTION("""COMPUTED_VALUE"""),"satellite-doge-1-mission")</f>
        <v>satellite-doge-1-mission</v>
      </c>
      <c r="B11168" s="2" t="str">
        <f ca="1">IFERROR(__xludf.DUMMYFUNCTION("""COMPUTED_VALUE"""),"doge-1")</f>
        <v>doge-1</v>
      </c>
      <c r="C11168" s="2" t="str">
        <f ca="1">IFERROR(__xludf.DUMMYFUNCTION("""COMPUTED_VALUE"""),"Satellite Doge-1 Mission")</f>
        <v>Satellite Doge-1 Mission</v>
      </c>
    </row>
    <row r="11169" spans="1:3" x14ac:dyDescent="0.25">
      <c r="A11169" s="2" t="str">
        <f ca="1">IFERROR(__xludf.DUMMYFUNCTION("""COMPUTED_VALUE"""),"sathosi-airlines-token")</f>
        <v>sathosi-airlines-token</v>
      </c>
      <c r="B11169" s="2" t="str">
        <f ca="1">IFERROR(__xludf.DUMMYFUNCTION("""COMPUTED_VALUE"""),"jet")</f>
        <v>jet</v>
      </c>
      <c r="C11169" s="2" t="str">
        <f ca="1">IFERROR(__xludf.DUMMYFUNCTION("""COMPUTED_VALUE"""),"Satoshi Airline")</f>
        <v>Satoshi Airline</v>
      </c>
    </row>
    <row r="11170" spans="1:3" x14ac:dyDescent="0.25">
      <c r="A11170" s="2" t="str">
        <f ca="1">IFERROR(__xludf.DUMMYFUNCTION("""COMPUTED_VALUE"""),"satin-exchange")</f>
        <v>satin-exchange</v>
      </c>
      <c r="B11170" s="2" t="str">
        <f ca="1">IFERROR(__xludf.DUMMYFUNCTION("""COMPUTED_VALUE"""),"satin")</f>
        <v>satin</v>
      </c>
      <c r="C11170" s="2" t="str">
        <f ca="1">IFERROR(__xludf.DUMMYFUNCTION("""COMPUTED_VALUE"""),"Satin Exchange")</f>
        <v>Satin Exchange</v>
      </c>
    </row>
    <row r="11171" spans="1:3" x14ac:dyDescent="0.25">
      <c r="A11171" s="2" t="str">
        <f ca="1">IFERROR(__xludf.DUMMYFUNCTION("""COMPUTED_VALUE"""),"satnode")</f>
        <v>satnode</v>
      </c>
      <c r="B11171" s="2" t="str">
        <f ca="1">IFERROR(__xludf.DUMMYFUNCTION("""COMPUTED_VALUE"""),"snd")</f>
        <v>snd</v>
      </c>
      <c r="C11171" s="2" t="str">
        <f ca="1">IFERROR(__xludf.DUMMYFUNCTION("""COMPUTED_VALUE"""),"SatNode")</f>
        <v>SatNode</v>
      </c>
    </row>
    <row r="11172" spans="1:3" x14ac:dyDescent="0.25">
      <c r="A11172" s="2" t="str">
        <f ca="1">IFERROR(__xludf.DUMMYFUNCTION("""COMPUTED_VALUE"""),"sato")</f>
        <v>sato</v>
      </c>
      <c r="B11172" s="2" t="str">
        <f ca="1">IFERROR(__xludf.DUMMYFUNCTION("""COMPUTED_VALUE"""),"sato")</f>
        <v>sato</v>
      </c>
      <c r="C11172" s="2" t="str">
        <f ca="1">IFERROR(__xludf.DUMMYFUNCTION("""COMPUTED_VALUE"""),"SATO")</f>
        <v>SATO</v>
      </c>
    </row>
    <row r="11173" spans="1:3" x14ac:dyDescent="0.25">
      <c r="A11173" s="2" t="str">
        <f ca="1">IFERROR(__xludf.DUMMYFUNCTION("""COMPUTED_VALUE"""),"sator")</f>
        <v>sator</v>
      </c>
      <c r="B11173" s="2" t="str">
        <f ca="1">IFERROR(__xludf.DUMMYFUNCTION("""COMPUTED_VALUE"""),"sao")</f>
        <v>sao</v>
      </c>
      <c r="C11173" s="2" t="str">
        <f ca="1">IFERROR(__xludf.DUMMYFUNCTION("""COMPUTED_VALUE"""),"Sator")</f>
        <v>Sator</v>
      </c>
    </row>
    <row r="11174" spans="1:3" x14ac:dyDescent="0.25">
      <c r="A11174" s="2" t="str">
        <f ca="1">IFERROR(__xludf.DUMMYFUNCTION("""COMPUTED_VALUE"""),"satoshe-network")</f>
        <v>satoshe-network</v>
      </c>
      <c r="B11174" s="2" t="str">
        <f ca="1">IFERROR(__xludf.DUMMYFUNCTION("""COMPUTED_VALUE"""),"soshe")</f>
        <v>soshe</v>
      </c>
      <c r="C11174" s="2" t="str">
        <f ca="1">IFERROR(__xludf.DUMMYFUNCTION("""COMPUTED_VALUE"""),"Satoshe Network")</f>
        <v>Satoshe Network</v>
      </c>
    </row>
    <row r="11175" spans="1:3" x14ac:dyDescent="0.25">
      <c r="A11175" s="2" t="str">
        <f ca="1">IFERROR(__xludf.DUMMYFUNCTION("""COMPUTED_VALUE"""),"satoshi-cash-network")</f>
        <v>satoshi-cash-network</v>
      </c>
      <c r="B11175" s="2" t="str">
        <f ca="1">IFERROR(__xludf.DUMMYFUNCTION("""COMPUTED_VALUE"""),"scash")</f>
        <v>scash</v>
      </c>
      <c r="C11175" s="2" t="str">
        <f ca="1">IFERROR(__xludf.DUMMYFUNCTION("""COMPUTED_VALUE"""),"Satoshi Cash Network")</f>
        <v>Satoshi Cash Network</v>
      </c>
    </row>
    <row r="11176" spans="1:3" x14ac:dyDescent="0.25">
      <c r="A11176" s="2" t="str">
        <f ca="1">IFERROR(__xludf.DUMMYFUNCTION("""COMPUTED_VALUE"""),"satoshi-finance")</f>
        <v>satoshi-finance</v>
      </c>
      <c r="B11176" s="2" t="str">
        <f ca="1">IFERROR(__xludf.DUMMYFUNCTION("""COMPUTED_VALUE"""),"sato")</f>
        <v>sato</v>
      </c>
      <c r="C11176" s="2" t="str">
        <f ca="1">IFERROR(__xludf.DUMMYFUNCTION("""COMPUTED_VALUE"""),"Satoshi Finance")</f>
        <v>Satoshi Finance</v>
      </c>
    </row>
    <row r="11177" spans="1:3" x14ac:dyDescent="0.25">
      <c r="A11177" s="2" t="str">
        <f ca="1">IFERROR(__xludf.DUMMYFUNCTION("""COMPUTED_VALUE"""),"satoshi-island")</f>
        <v>satoshi-island</v>
      </c>
      <c r="B11177" s="2" t="str">
        <f ca="1">IFERROR(__xludf.DUMMYFUNCTION("""COMPUTED_VALUE"""),"stc")</f>
        <v>stc</v>
      </c>
      <c r="C11177" s="2" t="str">
        <f ca="1">IFERROR(__xludf.DUMMYFUNCTION("""COMPUTED_VALUE"""),"Satoshi Island")</f>
        <v>Satoshi Island</v>
      </c>
    </row>
    <row r="11178" spans="1:3" x14ac:dyDescent="0.25">
      <c r="A11178" s="2" t="str">
        <f ca="1">IFERROR(__xludf.DUMMYFUNCTION("""COMPUTED_VALUE"""),"satoshi-nakamoto")</f>
        <v>satoshi-nakamoto</v>
      </c>
      <c r="B11178" s="2" t="str">
        <f ca="1">IFERROR(__xludf.DUMMYFUNCTION("""COMPUTED_VALUE"""),"satoshi")</f>
        <v>satoshi</v>
      </c>
      <c r="C11178" s="2" t="str">
        <f ca="1">IFERROR(__xludf.DUMMYFUNCTION("""COMPUTED_VALUE"""),"Satoshi Nakamoto")</f>
        <v>Satoshi Nakamoto</v>
      </c>
    </row>
    <row r="11179" spans="1:3" x14ac:dyDescent="0.25">
      <c r="A11179" s="2" t="str">
        <f ca="1">IFERROR(__xludf.DUMMYFUNCTION("""COMPUTED_VALUE"""),"satoshi-nakamoto-rune")</f>
        <v>satoshi-nakamoto-rune</v>
      </c>
      <c r="B11179" s="2" t="str">
        <f ca="1">IFERROR(__xludf.DUMMYFUNCTION("""COMPUTED_VALUE"""),"丰")</f>
        <v>丰</v>
      </c>
      <c r="C11179" s="2" t="str">
        <f ca="1">IFERROR(__xludf.DUMMYFUNCTION("""COMPUTED_VALUE"""),"SATOSHI•NAKAMOTO")</f>
        <v>SATOSHI•NAKAMOTO</v>
      </c>
    </row>
    <row r="11180" spans="1:3" x14ac:dyDescent="0.25">
      <c r="A11180" s="2" t="str">
        <f ca="1">IFERROR(__xludf.DUMMYFUNCTION("""COMPUTED_VALUE"""),"satoshi-nakamoto-sol")</f>
        <v>satoshi-nakamoto-sol</v>
      </c>
      <c r="B11180" s="2" t="str">
        <f ca="1">IFERROR(__xludf.DUMMYFUNCTION("""COMPUTED_VALUE"""),"$godfather")</f>
        <v>$godfather</v>
      </c>
      <c r="C11180" s="2" t="str">
        <f ca="1">IFERROR(__xludf.DUMMYFUNCTION("""COMPUTED_VALUE"""),"SATOSHI NAKAMOTO (SOL)")</f>
        <v>SATOSHI NAKAMOTO (SOL)</v>
      </c>
    </row>
    <row r="11181" spans="1:3" x14ac:dyDescent="0.25">
      <c r="A11181" s="2" t="str">
        <f ca="1">IFERROR(__xludf.DUMMYFUNCTION("""COMPUTED_VALUE"""),"satoshi-panda")</f>
        <v>satoshi-panda</v>
      </c>
      <c r="B11181" s="2" t="str">
        <f ca="1">IFERROR(__xludf.DUMMYFUNCTION("""COMPUTED_VALUE"""),"sap")</f>
        <v>sap</v>
      </c>
      <c r="C11181" s="2" t="str">
        <f ca="1">IFERROR(__xludf.DUMMYFUNCTION("""COMPUTED_VALUE"""),"Satoshi Panda")</f>
        <v>Satoshi Panda</v>
      </c>
    </row>
    <row r="11182" spans="1:3" x14ac:dyDescent="0.25">
      <c r="A11182" s="2" t="str">
        <f ca="1">IFERROR(__xludf.DUMMYFUNCTION("""COMPUTED_VALUE"""),"satoshi-rune-titan-runes")</f>
        <v>satoshi-rune-titan-runes</v>
      </c>
      <c r="B11182" s="2" t="str">
        <f ca="1">IFERROR(__xludf.DUMMYFUNCTION("""COMPUTED_VALUE"""),"titan")</f>
        <v>titan</v>
      </c>
      <c r="C11182" s="2" t="str">
        <f ca="1">IFERROR(__xludf.DUMMYFUNCTION("""COMPUTED_VALUE"""),"SATOSHI•RUNE•TITAN (Runes)")</f>
        <v>SATOSHI•RUNE•TITAN (Runes)</v>
      </c>
    </row>
    <row r="11183" spans="1:3" x14ac:dyDescent="0.25">
      <c r="A11183" s="2" t="str">
        <f ca="1">IFERROR(__xludf.DUMMYFUNCTION("""COMPUTED_VALUE"""),"satoshi-stablecoin")</f>
        <v>satoshi-stablecoin</v>
      </c>
      <c r="B11183" s="2" t="str">
        <f ca="1">IFERROR(__xludf.DUMMYFUNCTION("""COMPUTED_VALUE"""),"satusd")</f>
        <v>satusd</v>
      </c>
      <c r="C11183" s="2" t="str">
        <f ca="1">IFERROR(__xludf.DUMMYFUNCTION("""COMPUTED_VALUE"""),"Satoshi Stablecoin")</f>
        <v>Satoshi Stablecoin</v>
      </c>
    </row>
    <row r="11184" spans="1:3" x14ac:dyDescent="0.25">
      <c r="A11184" s="2" t="str">
        <f ca="1">IFERROR(__xludf.DUMMYFUNCTION("""COMPUTED_VALUE"""),"satoshis-vision")</f>
        <v>satoshis-vision</v>
      </c>
      <c r="B11184" s="2" t="str">
        <f ca="1">IFERROR(__xludf.DUMMYFUNCTION("""COMPUTED_VALUE"""),"sats")</f>
        <v>sats</v>
      </c>
      <c r="C11184" s="2" t="str">
        <f ca="1">IFERROR(__xludf.DUMMYFUNCTION("""COMPUTED_VALUE"""),"Satoshis Vision")</f>
        <v>Satoshis Vision</v>
      </c>
    </row>
    <row r="11185" spans="1:3" x14ac:dyDescent="0.25">
      <c r="A11185" s="2" t="str">
        <f ca="1">IFERROR(__xludf.DUMMYFUNCTION("""COMPUTED_VALUE"""),"satoshisync")</f>
        <v>satoshisync</v>
      </c>
      <c r="B11185" s="2" t="str">
        <f ca="1">IFERROR(__xludf.DUMMYFUNCTION("""COMPUTED_VALUE"""),"ssnc")</f>
        <v>ssnc</v>
      </c>
      <c r="C11185" s="2" t="str">
        <f ca="1">IFERROR(__xludf.DUMMYFUNCTION("""COMPUTED_VALUE"""),"SatoshiSync")</f>
        <v>SatoshiSync</v>
      </c>
    </row>
    <row r="11186" spans="1:3" x14ac:dyDescent="0.25">
      <c r="A11186" s="2" t="str">
        <f ca="1">IFERROR(__xludf.DUMMYFUNCTION("""COMPUTED_VALUE"""),"satoshivm")</f>
        <v>satoshivm</v>
      </c>
      <c r="B11186" s="2" t="str">
        <f ca="1">IFERROR(__xludf.DUMMYFUNCTION("""COMPUTED_VALUE"""),"savm")</f>
        <v>savm</v>
      </c>
      <c r="C11186" s="2" t="str">
        <f ca="1">IFERROR(__xludf.DUMMYFUNCTION("""COMPUTED_VALUE"""),"SatoshiVM")</f>
        <v>SatoshiVM</v>
      </c>
    </row>
    <row r="11187" spans="1:3" x14ac:dyDescent="0.25">
      <c r="A11187" s="2" t="str">
        <f ca="1">IFERROR(__xludf.DUMMYFUNCTION("""COMPUTED_VALUE"""),"satoxcoin")</f>
        <v>satoxcoin</v>
      </c>
      <c r="B11187" s="2" t="str">
        <f ca="1">IFERROR(__xludf.DUMMYFUNCTION("""COMPUTED_VALUE"""),"satox")</f>
        <v>satox</v>
      </c>
      <c r="C11187" s="2" t="str">
        <f ca="1">IFERROR(__xludf.DUMMYFUNCTION("""COMPUTED_VALUE"""),"Satoxcoin")</f>
        <v>Satoxcoin</v>
      </c>
    </row>
    <row r="11188" spans="1:3" x14ac:dyDescent="0.25">
      <c r="A11188" s="2" t="str">
        <f ca="1">IFERROR(__xludf.DUMMYFUNCTION("""COMPUTED_VALUE"""),"satozhi")</f>
        <v>satozhi</v>
      </c>
      <c r="B11188" s="2" t="str">
        <f ca="1">IFERROR(__xludf.DUMMYFUNCTION("""COMPUTED_VALUE"""),"satoz")</f>
        <v>satoz</v>
      </c>
      <c r="C11188" s="2" t="str">
        <f ca="1">IFERROR(__xludf.DUMMYFUNCTION("""COMPUTED_VALUE"""),"Satozhi")</f>
        <v>Satozhi</v>
      </c>
    </row>
    <row r="11189" spans="1:3" x14ac:dyDescent="0.25">
      <c r="A11189" s="2" t="str">
        <f ca="1">IFERROR(__xludf.DUMMYFUNCTION("""COMPUTED_VALUE"""),"satsbridge")</f>
        <v>satsbridge</v>
      </c>
      <c r="B11189" s="2" t="str">
        <f ca="1">IFERROR(__xludf.DUMMYFUNCTION("""COMPUTED_VALUE"""),"sabr")</f>
        <v>sabr</v>
      </c>
      <c r="C11189" s="2" t="str">
        <f ca="1">IFERROR(__xludf.DUMMYFUNCTION("""COMPUTED_VALUE"""),"SatsBridge")</f>
        <v>SatsBridge</v>
      </c>
    </row>
    <row r="11190" spans="1:3" x14ac:dyDescent="0.25">
      <c r="A11190" s="2" t="str">
        <f ca="1">IFERROR(__xludf.DUMMYFUNCTION("""COMPUTED_VALUE"""),"sats-hunters")</f>
        <v>sats-hunters</v>
      </c>
      <c r="B11190" s="2" t="str">
        <f ca="1">IFERROR(__xludf.DUMMYFUNCTION("""COMPUTED_VALUE"""),"shnt")</f>
        <v>shnt</v>
      </c>
      <c r="C11190" s="2" t="str">
        <f ca="1">IFERROR(__xludf.DUMMYFUNCTION("""COMPUTED_VALUE"""),"Sats Hunters")</f>
        <v>Sats Hunters</v>
      </c>
    </row>
    <row r="11191" spans="1:3" x14ac:dyDescent="0.25">
      <c r="A11191" s="2" t="str">
        <f ca="1">IFERROR(__xludf.DUMMYFUNCTION("""COMPUTED_VALUE"""),"sats-ordinals")</f>
        <v>sats-ordinals</v>
      </c>
      <c r="B11191" s="2" t="str">
        <f ca="1">IFERROR(__xludf.DUMMYFUNCTION("""COMPUTED_VALUE"""),"sats")</f>
        <v>sats</v>
      </c>
      <c r="C11191" s="2" t="str">
        <f ca="1">IFERROR(__xludf.DUMMYFUNCTION("""COMPUTED_VALUE"""),"SATS (Ordinals)")</f>
        <v>SATS (Ordinals)</v>
      </c>
    </row>
    <row r="11192" spans="1:3" x14ac:dyDescent="0.25">
      <c r="A11192" s="2" t="str">
        <f ca="1">IFERROR(__xludf.DUMMYFUNCTION("""COMPUTED_VALUE"""),"satt")</f>
        <v>satt</v>
      </c>
      <c r="B11192" s="2" t="str">
        <f ca="1">IFERROR(__xludf.DUMMYFUNCTION("""COMPUTED_VALUE"""),"satt")</f>
        <v>satt</v>
      </c>
      <c r="C11192" s="2" t="str">
        <f ca="1">IFERROR(__xludf.DUMMYFUNCTION("""COMPUTED_VALUE"""),"SaTT")</f>
        <v>SaTT</v>
      </c>
    </row>
    <row r="11193" spans="1:3" x14ac:dyDescent="0.25">
      <c r="A11193" s="2" t="str">
        <f ca="1">IFERROR(__xludf.DUMMYFUNCTION("""COMPUTED_VALUE"""),"saturna")</f>
        <v>saturna</v>
      </c>
      <c r="B11193" s="2" t="str">
        <f ca="1">IFERROR(__xludf.DUMMYFUNCTION("""COMPUTED_VALUE"""),"sat")</f>
        <v>sat</v>
      </c>
      <c r="C11193" s="2" t="str">
        <f ca="1">IFERROR(__xludf.DUMMYFUNCTION("""COMPUTED_VALUE"""),"Saturna")</f>
        <v>Saturna</v>
      </c>
    </row>
    <row r="11194" spans="1:3" x14ac:dyDescent="0.25">
      <c r="A11194" s="2" t="str">
        <f ca="1">IFERROR(__xludf.DUMMYFUNCTION("""COMPUTED_VALUE"""),"satushi-nukumutu")</f>
        <v>satushi-nukumutu</v>
      </c>
      <c r="B11194" s="2" t="str">
        <f ca="1">IFERROR(__xludf.DUMMYFUNCTION("""COMPUTED_VALUE"""),"$nukumutu")</f>
        <v>$nukumutu</v>
      </c>
      <c r="C11194" s="2" t="str">
        <f ca="1">IFERROR(__xludf.DUMMYFUNCTION("""COMPUTED_VALUE"""),"Satushi Nukumutu")</f>
        <v>Satushi Nukumutu</v>
      </c>
    </row>
    <row r="11195" spans="1:3" x14ac:dyDescent="0.25">
      <c r="A11195" s="2" t="str">
        <f ca="1">IFERROR(__xludf.DUMMYFUNCTION("""COMPUTED_VALUE"""),"sauce")</f>
        <v>sauce</v>
      </c>
      <c r="B11195" s="2" t="str">
        <f ca="1">IFERROR(__xludf.DUMMYFUNCTION("""COMPUTED_VALUE"""),"sauce")</f>
        <v>sauce</v>
      </c>
      <c r="C11195" s="2" t="str">
        <f ca="1">IFERROR(__xludf.DUMMYFUNCTION("""COMPUTED_VALUE"""),"SAUCE")</f>
        <v>SAUCE</v>
      </c>
    </row>
    <row r="11196" spans="1:3" x14ac:dyDescent="0.25">
      <c r="A11196" s="2" t="str">
        <f ca="1">IFERROR(__xludf.DUMMYFUNCTION("""COMPUTED_VALUE"""),"sauce-inu")</f>
        <v>sauce-inu</v>
      </c>
      <c r="B11196" s="2" t="str">
        <f ca="1">IFERROR(__xludf.DUMMYFUNCTION("""COMPUTED_VALUE"""),"sauceinu")</f>
        <v>sauceinu</v>
      </c>
      <c r="C11196" s="2" t="str">
        <f ca="1">IFERROR(__xludf.DUMMYFUNCTION("""COMPUTED_VALUE"""),"Sauce Inu")</f>
        <v>Sauce Inu</v>
      </c>
    </row>
    <row r="11197" spans="1:3" x14ac:dyDescent="0.25">
      <c r="A11197" s="2" t="str">
        <f ca="1">IFERROR(__xludf.DUMMYFUNCTION("""COMPUTED_VALUE"""),"saucerswap")</f>
        <v>saucerswap</v>
      </c>
      <c r="B11197" s="2" t="str">
        <f ca="1">IFERROR(__xludf.DUMMYFUNCTION("""COMPUTED_VALUE"""),"sauce")</f>
        <v>sauce</v>
      </c>
      <c r="C11197" s="2" t="str">
        <f ca="1">IFERROR(__xludf.DUMMYFUNCTION("""COMPUTED_VALUE"""),"SaucerSwap")</f>
        <v>SaucerSwap</v>
      </c>
    </row>
    <row r="11198" spans="1:3" x14ac:dyDescent="0.25">
      <c r="A11198" s="2" t="str">
        <f ca="1">IFERROR(__xludf.DUMMYFUNCTION("""COMPUTED_VALUE"""),"saudi-bonk")</f>
        <v>saudi-bonk</v>
      </c>
      <c r="B11198" s="2" t="str">
        <f ca="1">IFERROR(__xludf.DUMMYFUNCTION("""COMPUTED_VALUE"""),"saudibonk")</f>
        <v>saudibonk</v>
      </c>
      <c r="C11198" s="2" t="str">
        <f ca="1">IFERROR(__xludf.DUMMYFUNCTION("""COMPUTED_VALUE"""),"Saudi Bonk")</f>
        <v>Saudi Bonk</v>
      </c>
    </row>
    <row r="11199" spans="1:3" x14ac:dyDescent="0.25">
      <c r="A11199" s="2" t="str">
        <f ca="1">IFERROR(__xludf.DUMMYFUNCTION("""COMPUTED_VALUE"""),"saudi-pepe")</f>
        <v>saudi-pepe</v>
      </c>
      <c r="B11199" s="2" t="str">
        <f ca="1">IFERROR(__xludf.DUMMYFUNCTION("""COMPUTED_VALUE"""),"saudipepe")</f>
        <v>saudipepe</v>
      </c>
      <c r="C11199" s="2" t="str">
        <f ca="1">IFERROR(__xludf.DUMMYFUNCTION("""COMPUTED_VALUE"""),"SAUDI PEPE")</f>
        <v>SAUDI PEPE</v>
      </c>
    </row>
    <row r="11200" spans="1:3" x14ac:dyDescent="0.25">
      <c r="A11200" s="2" t="str">
        <f ca="1">IFERROR(__xludf.DUMMYFUNCTION("""COMPUTED_VALUE"""),"sausagers-meat")</f>
        <v>sausagers-meat</v>
      </c>
      <c r="B11200" s="2" t="str">
        <f ca="1">IFERROR(__xludf.DUMMYFUNCTION("""COMPUTED_VALUE"""),"meat")</f>
        <v>meat</v>
      </c>
      <c r="C11200" s="2" t="str">
        <f ca="1">IFERROR(__xludf.DUMMYFUNCTION("""COMPUTED_VALUE"""),"Meat")</f>
        <v>Meat</v>
      </c>
    </row>
    <row r="11201" spans="1:3" x14ac:dyDescent="0.25">
      <c r="A11201" s="2" t="str">
        <f ca="1">IFERROR(__xludf.DUMMYFUNCTION("""COMPUTED_VALUE"""),"savage")</f>
        <v>savage</v>
      </c>
      <c r="B11201" s="2" t="str">
        <f ca="1">IFERROR(__xludf.DUMMYFUNCTION("""COMPUTED_VALUE"""),"savg")</f>
        <v>savg</v>
      </c>
      <c r="C11201" s="2" t="str">
        <f ca="1">IFERROR(__xludf.DUMMYFUNCTION("""COMPUTED_VALUE"""),"SAVAGE")</f>
        <v>SAVAGE</v>
      </c>
    </row>
    <row r="11202" spans="1:3" x14ac:dyDescent="0.25">
      <c r="A11202" s="2" t="str">
        <f ca="1">IFERROR(__xludf.DUMMYFUNCTION("""COMPUTED_VALUE"""),"savanna")</f>
        <v>savanna</v>
      </c>
      <c r="B11202" s="2" t="str">
        <f ca="1">IFERROR(__xludf.DUMMYFUNCTION("""COMPUTED_VALUE"""),"svn")</f>
        <v>svn</v>
      </c>
      <c r="C11202" s="2" t="str">
        <f ca="1">IFERROR(__xludf.DUMMYFUNCTION("""COMPUTED_VALUE"""),"Savanna")</f>
        <v>Savanna</v>
      </c>
    </row>
    <row r="11203" spans="1:3" x14ac:dyDescent="0.25">
      <c r="A11203" s="2" t="str">
        <f ca="1">IFERROR(__xludf.DUMMYFUNCTION("""COMPUTED_VALUE"""),"save-baby-doge")</f>
        <v>save-baby-doge</v>
      </c>
      <c r="B11203" s="2" t="str">
        <f ca="1">IFERROR(__xludf.DUMMYFUNCTION("""COMPUTED_VALUE"""),"babydoge")</f>
        <v>babydoge</v>
      </c>
      <c r="C11203" s="2" t="str">
        <f ca="1">IFERROR(__xludf.DUMMYFUNCTION("""COMPUTED_VALUE"""),"Save Baby Doge")</f>
        <v>Save Baby Doge</v>
      </c>
    </row>
    <row r="11204" spans="1:3" x14ac:dyDescent="0.25">
      <c r="A11204" s="2" t="str">
        <f ca="1">IFERROR(__xludf.DUMMYFUNCTION("""COMPUTED_VALUE"""),"savedroid")</f>
        <v>savedroid</v>
      </c>
      <c r="B11204" s="2" t="str">
        <f ca="1">IFERROR(__xludf.DUMMYFUNCTION("""COMPUTED_VALUE"""),"svd")</f>
        <v>svd</v>
      </c>
      <c r="C11204" s="2" t="str">
        <f ca="1">IFERROR(__xludf.DUMMYFUNCTION("""COMPUTED_VALUE"""),"Savedroid")</f>
        <v>Savedroid</v>
      </c>
    </row>
    <row r="11205" spans="1:3" x14ac:dyDescent="0.25">
      <c r="A11205" s="2" t="str">
        <f ca="1">IFERROR(__xludf.DUMMYFUNCTION("""COMPUTED_VALUE"""),"savings-dai")</f>
        <v>savings-dai</v>
      </c>
      <c r="B11205" s="2" t="str">
        <f ca="1">IFERROR(__xludf.DUMMYFUNCTION("""COMPUTED_VALUE"""),"sdai")</f>
        <v>sdai</v>
      </c>
      <c r="C11205" s="2" t="str">
        <f ca="1">IFERROR(__xludf.DUMMYFUNCTION("""COMPUTED_VALUE"""),"Savings Dai")</f>
        <v>Savings Dai</v>
      </c>
    </row>
    <row r="11206" spans="1:3" x14ac:dyDescent="0.25">
      <c r="A11206" s="2" t="str">
        <f ca="1">IFERROR(__xludf.DUMMYFUNCTION("""COMPUTED_VALUE"""),"savings-usx")</f>
        <v>savings-usx</v>
      </c>
      <c r="B11206" s="2" t="str">
        <f ca="1">IFERROR(__xludf.DUMMYFUNCTION("""COMPUTED_VALUE"""),"susx")</f>
        <v>susx</v>
      </c>
      <c r="C11206" s="2" t="str">
        <f ca="1">IFERROR(__xludf.DUMMYFUNCTION("""COMPUTED_VALUE"""),"Savings USX")</f>
        <v>Savings USX</v>
      </c>
    </row>
    <row r="11207" spans="1:3" x14ac:dyDescent="0.25">
      <c r="A11207" s="2" t="str">
        <f ca="1">IFERROR(__xludf.DUMMYFUNCTION("""COMPUTED_VALUE"""),"savings-xdai")</f>
        <v>savings-xdai</v>
      </c>
      <c r="B11207" s="2" t="str">
        <f ca="1">IFERROR(__xludf.DUMMYFUNCTION("""COMPUTED_VALUE"""),"sdai")</f>
        <v>sdai</v>
      </c>
      <c r="C11207" s="2" t="str">
        <f ca="1">IFERROR(__xludf.DUMMYFUNCTION("""COMPUTED_VALUE"""),"Savings xDAI")</f>
        <v>Savings xDAI</v>
      </c>
    </row>
    <row r="11208" spans="1:3" x14ac:dyDescent="0.25">
      <c r="A11208" s="2" t="str">
        <f ca="1">IFERROR(__xludf.DUMMYFUNCTION("""COMPUTED_VALUE"""),"saycoin")</f>
        <v>saycoin</v>
      </c>
      <c r="B11208" s="2" t="str">
        <f ca="1">IFERROR(__xludf.DUMMYFUNCTION("""COMPUTED_VALUE"""),"say")</f>
        <v>say</v>
      </c>
      <c r="C11208" s="2" t="str">
        <f ca="1">IFERROR(__xludf.DUMMYFUNCTION("""COMPUTED_VALUE"""),"SAYCOIN")</f>
        <v>SAYCOIN</v>
      </c>
    </row>
    <row r="11209" spans="1:3" x14ac:dyDescent="0.25">
      <c r="A11209" s="2" t="str">
        <f ca="1">IFERROR(__xludf.DUMMYFUNCTION("""COMPUTED_VALUE"""),"sbtc")</f>
        <v>sbtc</v>
      </c>
      <c r="B11209" s="2" t="str">
        <f ca="1">IFERROR(__xludf.DUMMYFUNCTION("""COMPUTED_VALUE"""),"sbtc")</f>
        <v>sbtc</v>
      </c>
      <c r="C11209" s="2" t="str">
        <f ca="1">IFERROR(__xludf.DUMMYFUNCTION("""COMPUTED_VALUE"""),"sBTC")</f>
        <v>sBTC</v>
      </c>
    </row>
    <row r="11210" spans="1:3" x14ac:dyDescent="0.25">
      <c r="A11210" s="2" t="str">
        <f ca="1">IFERROR(__xludf.DUMMYFUNCTION("""COMPUTED_VALUE"""),"scales")</f>
        <v>scales</v>
      </c>
      <c r="B11210" s="2" t="str">
        <f ca="1">IFERROR(__xludf.DUMMYFUNCTION("""COMPUTED_VALUE"""),"scales")</f>
        <v>scales</v>
      </c>
      <c r="C11210" s="2" t="str">
        <f ca="1">IFERROR(__xludf.DUMMYFUNCTION("""COMPUTED_VALUE"""),"SCALES")</f>
        <v>SCALES</v>
      </c>
    </row>
    <row r="11211" spans="1:3" x14ac:dyDescent="0.25">
      <c r="A11211" s="2" t="str">
        <f ca="1">IFERROR(__xludf.DUMMYFUNCTION("""COMPUTED_VALUE"""),"scaleswap-token")</f>
        <v>scaleswap-token</v>
      </c>
      <c r="B11211" s="2" t="str">
        <f ca="1">IFERROR(__xludf.DUMMYFUNCTION("""COMPUTED_VALUE"""),"sca")</f>
        <v>sca</v>
      </c>
      <c r="C11211" s="2" t="str">
        <f ca="1">IFERROR(__xludf.DUMMYFUNCTION("""COMPUTED_VALUE"""),"Scaleswap")</f>
        <v>Scaleswap</v>
      </c>
    </row>
    <row r="11212" spans="1:3" x14ac:dyDescent="0.25">
      <c r="A11212" s="2" t="str">
        <f ca="1">IFERROR(__xludf.DUMMYFUNCTION("""COMPUTED_VALUE"""),"scaleton")</f>
        <v>scaleton</v>
      </c>
      <c r="B11212" s="2" t="str">
        <f ca="1">IFERROR(__xludf.DUMMYFUNCTION("""COMPUTED_VALUE"""),"scale")</f>
        <v>scale</v>
      </c>
      <c r="C11212" s="2" t="str">
        <f ca="1">IFERROR(__xludf.DUMMYFUNCTION("""COMPUTED_VALUE"""),"Scaleton")</f>
        <v>Scaleton</v>
      </c>
    </row>
    <row r="11213" spans="1:3" x14ac:dyDescent="0.25">
      <c r="A11213" s="2" t="str">
        <f ca="1">IFERROR(__xludf.DUMMYFUNCTION("""COMPUTED_VALUE"""),"scalex")</f>
        <v>scalex</v>
      </c>
      <c r="B11213" s="2" t="str">
        <f ca="1">IFERROR(__xludf.DUMMYFUNCTION("""COMPUTED_VALUE"""),"scalex")</f>
        <v>scalex</v>
      </c>
      <c r="C11213" s="2" t="str">
        <f ca="1">IFERROR(__xludf.DUMMYFUNCTION("""COMPUTED_VALUE"""),"SCALEX")</f>
        <v>SCALEX</v>
      </c>
    </row>
    <row r="11214" spans="1:3" x14ac:dyDescent="0.25">
      <c r="A11214" s="2" t="str">
        <f ca="1">IFERROR(__xludf.DUMMYFUNCTION("""COMPUTED_VALUE"""),"scalia-infrastructure")</f>
        <v>scalia-infrastructure</v>
      </c>
      <c r="B11214" s="2" t="str">
        <f ca="1">IFERROR(__xludf.DUMMYFUNCTION("""COMPUTED_VALUE"""),"scale")</f>
        <v>scale</v>
      </c>
      <c r="C11214" s="2" t="str">
        <f ca="1">IFERROR(__xludf.DUMMYFUNCTION("""COMPUTED_VALUE"""),"Scalia Infrastructure")</f>
        <v>Scalia Infrastructure</v>
      </c>
    </row>
    <row r="11215" spans="1:3" x14ac:dyDescent="0.25">
      <c r="A11215" s="2" t="str">
        <f ca="1">IFERROR(__xludf.DUMMYFUNCTION("""COMPUTED_VALUE"""),"scallop")</f>
        <v>scallop</v>
      </c>
      <c r="B11215" s="2" t="str">
        <f ca="1">IFERROR(__xludf.DUMMYFUNCTION("""COMPUTED_VALUE"""),"sclp")</f>
        <v>sclp</v>
      </c>
      <c r="C11215" s="2" t="str">
        <f ca="1">IFERROR(__xludf.DUMMYFUNCTION("""COMPUTED_VALUE"""),"Scallop")</f>
        <v>Scallop</v>
      </c>
    </row>
    <row r="11216" spans="1:3" x14ac:dyDescent="0.25">
      <c r="A11216" s="2" t="str">
        <f ca="1">IFERROR(__xludf.DUMMYFUNCTION("""COMPUTED_VALUE"""),"scallop-2")</f>
        <v>scallop-2</v>
      </c>
      <c r="B11216" s="2" t="str">
        <f ca="1">IFERROR(__xludf.DUMMYFUNCTION("""COMPUTED_VALUE"""),"sca")</f>
        <v>sca</v>
      </c>
      <c r="C11216" s="2" t="str">
        <f ca="1">IFERROR(__xludf.DUMMYFUNCTION("""COMPUTED_VALUE"""),"Scallop")</f>
        <v>Scallop</v>
      </c>
    </row>
    <row r="11217" spans="1:3" x14ac:dyDescent="0.25">
      <c r="A11217" s="2" t="str">
        <f ca="1">IFERROR(__xludf.DUMMYFUNCTION("""COMPUTED_VALUE"""),"scamfari")</f>
        <v>scamfari</v>
      </c>
      <c r="B11217" s="2" t="str">
        <f ca="1">IFERROR(__xludf.DUMMYFUNCTION("""COMPUTED_VALUE"""),"scm")</f>
        <v>scm</v>
      </c>
      <c r="C11217" s="2" t="str">
        <f ca="1">IFERROR(__xludf.DUMMYFUNCTION("""COMPUTED_VALUE"""),"ScamFari")</f>
        <v>ScamFari</v>
      </c>
    </row>
    <row r="11218" spans="1:3" x14ac:dyDescent="0.25">
      <c r="A11218" s="2" t="str">
        <f ca="1">IFERROR(__xludf.DUMMYFUNCTION("""COMPUTED_VALUE"""),"scapesmania")</f>
        <v>scapesmania</v>
      </c>
      <c r="B11218" s="2" t="str">
        <f ca="1">IFERROR(__xludf.DUMMYFUNCTION("""COMPUTED_VALUE"""),"$mania")</f>
        <v>$mania</v>
      </c>
      <c r="C11218" s="2" t="str">
        <f ca="1">IFERROR(__xludf.DUMMYFUNCTION("""COMPUTED_VALUE"""),"ScapesMania")</f>
        <v>ScapesMania</v>
      </c>
    </row>
    <row r="11219" spans="1:3" x14ac:dyDescent="0.25">
      <c r="A11219" s="2" t="str">
        <f ca="1">IFERROR(__xludf.DUMMYFUNCTION("""COMPUTED_VALUE"""),"scarab-tools")</f>
        <v>scarab-tools</v>
      </c>
      <c r="B11219" s="2" t="str">
        <f ca="1">IFERROR(__xludf.DUMMYFUNCTION("""COMPUTED_VALUE"""),"dung")</f>
        <v>dung</v>
      </c>
      <c r="C11219" s="2" t="str">
        <f ca="1">IFERROR(__xludf.DUMMYFUNCTION("""COMPUTED_VALUE"""),"Scarab Tools")</f>
        <v>Scarab Tools</v>
      </c>
    </row>
    <row r="11220" spans="1:3" x14ac:dyDescent="0.25">
      <c r="A11220" s="2" t="str">
        <f ca="1">IFERROR(__xludf.DUMMYFUNCTION("""COMPUTED_VALUE"""),"scarcity")</f>
        <v>scarcity</v>
      </c>
      <c r="B11220" s="2" t="str">
        <f ca="1">IFERROR(__xludf.DUMMYFUNCTION("""COMPUTED_VALUE"""),"scx")</f>
        <v>scx</v>
      </c>
      <c r="C11220" s="2" t="str">
        <f ca="1">IFERROR(__xludf.DUMMYFUNCTION("""COMPUTED_VALUE"""),"Scarcity")</f>
        <v>Scarcity</v>
      </c>
    </row>
    <row r="11221" spans="1:3" x14ac:dyDescent="0.25">
      <c r="A11221" s="2" t="str">
        <f ca="1">IFERROR(__xludf.DUMMYFUNCTION("""COMPUTED_VALUE"""),"scarcity-2")</f>
        <v>scarcity-2</v>
      </c>
      <c r="B11221" s="2" t="str">
        <f ca="1">IFERROR(__xludf.DUMMYFUNCTION("""COMPUTED_VALUE"""),"scarcity")</f>
        <v>scarcity</v>
      </c>
      <c r="C11221" s="2" t="str">
        <f ca="1">IFERROR(__xludf.DUMMYFUNCTION("""COMPUTED_VALUE"""),"SCARCITY")</f>
        <v>SCARCITY</v>
      </c>
    </row>
    <row r="11222" spans="1:3" x14ac:dyDescent="0.25">
      <c r="A11222" s="2" t="str">
        <f ca="1">IFERROR(__xludf.DUMMYFUNCTION("""COMPUTED_VALUE"""),"scart360")</f>
        <v>scart360</v>
      </c>
      <c r="B11222" s="2" t="str">
        <f ca="1">IFERROR(__xludf.DUMMYFUNCTION("""COMPUTED_VALUE"""),"scart")</f>
        <v>scart</v>
      </c>
      <c r="C11222" s="2" t="str">
        <f ca="1">IFERROR(__xludf.DUMMYFUNCTION("""COMPUTED_VALUE"""),"SCART360")</f>
        <v>SCART360</v>
      </c>
    </row>
    <row r="11223" spans="1:3" x14ac:dyDescent="0.25">
      <c r="A11223" s="2" t="str">
        <f ca="1">IFERROR(__xludf.DUMMYFUNCTION("""COMPUTED_VALUE"""),"scat")</f>
        <v>scat</v>
      </c>
      <c r="B11223" s="2" t="str">
        <f ca="1">IFERROR(__xludf.DUMMYFUNCTION("""COMPUTED_VALUE"""),"cat")</f>
        <v>cat</v>
      </c>
      <c r="C11223" s="2" t="str">
        <f ca="1">IFERROR(__xludf.DUMMYFUNCTION("""COMPUTED_VALUE"""),"Scat")</f>
        <v>Scat</v>
      </c>
    </row>
    <row r="11224" spans="1:3" x14ac:dyDescent="0.25">
      <c r="A11224" s="2" t="str">
        <f ca="1">IFERROR(__xludf.DUMMYFUNCTION("""COMPUTED_VALUE"""),"s-c-corinthians-fan-token")</f>
        <v>s-c-corinthians-fan-token</v>
      </c>
      <c r="B11224" s="2" t="str">
        <f ca="1">IFERROR(__xludf.DUMMYFUNCTION("""COMPUTED_VALUE"""),"sccp")</f>
        <v>sccp</v>
      </c>
      <c r="C11224" s="2" t="str">
        <f ca="1">IFERROR(__xludf.DUMMYFUNCTION("""COMPUTED_VALUE"""),"S.C. Corinthians Fan Token")</f>
        <v>S.C. Corinthians Fan Token</v>
      </c>
    </row>
    <row r="11225" spans="1:3" x14ac:dyDescent="0.25">
      <c r="A11225" s="2" t="str">
        <f ca="1">IFERROR(__xludf.DUMMYFUNCTION("""COMPUTED_VALUE"""),"sceptre-staked-flr")</f>
        <v>sceptre-staked-flr</v>
      </c>
      <c r="B11225" s="2" t="str">
        <f ca="1">IFERROR(__xludf.DUMMYFUNCTION("""COMPUTED_VALUE"""),"sflr")</f>
        <v>sflr</v>
      </c>
      <c r="C11225" s="2" t="str">
        <f ca="1">IFERROR(__xludf.DUMMYFUNCTION("""COMPUTED_VALUE"""),"Sceptre Staked FLR")</f>
        <v>Sceptre Staked FLR</v>
      </c>
    </row>
    <row r="11226" spans="1:3" x14ac:dyDescent="0.25">
      <c r="A11226" s="2" t="str">
        <f ca="1">IFERROR(__xludf.DUMMYFUNCTION("""COMPUTED_VALUE"""),"schizo")</f>
        <v>schizo</v>
      </c>
      <c r="B11226" s="2" t="str">
        <f ca="1">IFERROR(__xludf.DUMMYFUNCTION("""COMPUTED_VALUE"""),"schizo")</f>
        <v>schizo</v>
      </c>
      <c r="C11226" s="2" t="str">
        <f ca="1">IFERROR(__xludf.DUMMYFUNCTION("""COMPUTED_VALUE"""),"SCHIZO")</f>
        <v>SCHIZO</v>
      </c>
    </row>
    <row r="11227" spans="1:3" x14ac:dyDescent="0.25">
      <c r="A11227" s="2" t="str">
        <f ca="1">IFERROR(__xludf.DUMMYFUNCTION("""COMPUTED_VALUE"""),"school-hack-coin")</f>
        <v>school-hack-coin</v>
      </c>
      <c r="B11227" s="2" t="str">
        <f ca="1">IFERROR(__xludf.DUMMYFUNCTION("""COMPUTED_VALUE"""),"shc")</f>
        <v>shc</v>
      </c>
      <c r="C11227" s="2" t="str">
        <f ca="1">IFERROR(__xludf.DUMMYFUNCTION("""COMPUTED_VALUE"""),"School Hack Coin")</f>
        <v>School Hack Coin</v>
      </c>
    </row>
    <row r="11228" spans="1:3" x14ac:dyDescent="0.25">
      <c r="A11228" s="2" t="str">
        <f ca="1">IFERROR(__xludf.DUMMYFUNCTION("""COMPUTED_VALUE"""),"schrodi")</f>
        <v>schrodi</v>
      </c>
      <c r="B11228" s="2" t="str">
        <f ca="1">IFERROR(__xludf.DUMMYFUNCTION("""COMPUTED_VALUE"""),"schrodi")</f>
        <v>schrodi</v>
      </c>
      <c r="C11228" s="2" t="str">
        <f ca="1">IFERROR(__xludf.DUMMYFUNCTION("""COMPUTED_VALUE"""),"Schrodi")</f>
        <v>Schrodi</v>
      </c>
    </row>
    <row r="11229" spans="1:3" x14ac:dyDescent="0.25">
      <c r="A11229" s="2" t="str">
        <f ca="1">IFERROR(__xludf.DUMMYFUNCTION("""COMPUTED_VALUE"""),"schrodinger")</f>
        <v>schrodinger</v>
      </c>
      <c r="B11229" s="2" t="str">
        <f ca="1">IFERROR(__xludf.DUMMYFUNCTION("""COMPUTED_VALUE"""),"meow")</f>
        <v>meow</v>
      </c>
      <c r="C11229" s="2" t="str">
        <f ca="1">IFERROR(__xludf.DUMMYFUNCTION("""COMPUTED_VALUE"""),"Schrodinger")</f>
        <v>Schrodinger</v>
      </c>
    </row>
    <row r="11230" spans="1:3" x14ac:dyDescent="0.25">
      <c r="A11230" s="2" t="str">
        <f ca="1">IFERROR(__xludf.DUMMYFUNCTION("""COMPUTED_VALUE"""),"schrodinger-2")</f>
        <v>schrodinger-2</v>
      </c>
      <c r="B11230" s="2" t="str">
        <f ca="1">IFERROR(__xludf.DUMMYFUNCTION("""COMPUTED_VALUE"""),"sgr")</f>
        <v>sgr</v>
      </c>
      <c r="C11230" s="2" t="str">
        <f ca="1">IFERROR(__xludf.DUMMYFUNCTION("""COMPUTED_VALUE"""),"Schrodinger")</f>
        <v>Schrodinger</v>
      </c>
    </row>
    <row r="11231" spans="1:3" x14ac:dyDescent="0.25">
      <c r="A11231" s="2" t="str">
        <f ca="1">IFERROR(__xludf.DUMMYFUNCTION("""COMPUTED_VALUE"""),"scientia")</f>
        <v>scientia</v>
      </c>
      <c r="B11231" s="2" t="str">
        <f ca="1">IFERROR(__xludf.DUMMYFUNCTION("""COMPUTED_VALUE"""),"scie")</f>
        <v>scie</v>
      </c>
      <c r="C11231" s="2" t="str">
        <f ca="1">IFERROR(__xludf.DUMMYFUNCTION("""COMPUTED_VALUE"""),"Scientia")</f>
        <v>Scientia</v>
      </c>
    </row>
    <row r="11232" spans="1:3" x14ac:dyDescent="0.25">
      <c r="A11232" s="2" t="str">
        <f ca="1">IFERROR(__xludf.DUMMYFUNCTION("""COMPUTED_VALUE"""),"sc-internacional-fan-token")</f>
        <v>sc-internacional-fan-token</v>
      </c>
      <c r="B11232" s="2" t="str">
        <f ca="1">IFERROR(__xludf.DUMMYFUNCTION("""COMPUTED_VALUE"""),"saci")</f>
        <v>saci</v>
      </c>
      <c r="C11232" s="2" t="str">
        <f ca="1">IFERROR(__xludf.DUMMYFUNCTION("""COMPUTED_VALUE"""),"SC Internacional Fan Token")</f>
        <v>SC Internacional Fan Token</v>
      </c>
    </row>
    <row r="11233" spans="1:3" x14ac:dyDescent="0.25">
      <c r="A11233" s="2" t="str">
        <f ca="1">IFERROR(__xludf.DUMMYFUNCTION("""COMPUTED_VALUE"""),"scooter")</f>
        <v>scooter</v>
      </c>
      <c r="B11233" s="2" t="str">
        <f ca="1">IFERROR(__xludf.DUMMYFUNCTION("""COMPUTED_VALUE"""),"scooter")</f>
        <v>scooter</v>
      </c>
      <c r="C11233" s="2" t="str">
        <f ca="1">IFERROR(__xludf.DUMMYFUNCTION("""COMPUTED_VALUE"""),"Scooter")</f>
        <v>Scooter</v>
      </c>
    </row>
    <row r="11234" spans="1:3" x14ac:dyDescent="0.25">
      <c r="A11234" s="2" t="str">
        <f ca="1">IFERROR(__xludf.DUMMYFUNCTION("""COMPUTED_VALUE"""),"scopuly-token")</f>
        <v>scopuly-token</v>
      </c>
      <c r="B11234" s="2" t="str">
        <f ca="1">IFERROR(__xludf.DUMMYFUNCTION("""COMPUTED_VALUE"""),"scop")</f>
        <v>scop</v>
      </c>
      <c r="C11234" s="2" t="str">
        <f ca="1">IFERROR(__xludf.DUMMYFUNCTION("""COMPUTED_VALUE"""),"Scopuly")</f>
        <v>Scopuly</v>
      </c>
    </row>
    <row r="11235" spans="1:3" x14ac:dyDescent="0.25">
      <c r="A11235" s="2" t="str">
        <f ca="1">IFERROR(__xludf.DUMMYFUNCTION("""COMPUTED_VALUE"""),"scorai")</f>
        <v>scorai</v>
      </c>
      <c r="B11235" s="2" t="str">
        <f ca="1">IFERROR(__xludf.DUMMYFUNCTION("""COMPUTED_VALUE"""),"scorai")</f>
        <v>scorai</v>
      </c>
      <c r="C11235" s="2" t="str">
        <f ca="1">IFERROR(__xludf.DUMMYFUNCTION("""COMPUTED_VALUE"""),"Staking Compound ORAI")</f>
        <v>Staking Compound ORAI</v>
      </c>
    </row>
    <row r="11236" spans="1:3" x14ac:dyDescent="0.25">
      <c r="A11236" s="2" t="str">
        <f ca="1">IFERROR(__xludf.DUMMYFUNCTION("""COMPUTED_VALUE"""),"scorpion")</f>
        <v>scorpion</v>
      </c>
      <c r="B11236" s="2" t="str">
        <f ca="1">IFERROR(__xludf.DUMMYFUNCTION("""COMPUTED_VALUE"""),"scorp")</f>
        <v>scorp</v>
      </c>
      <c r="C11236" s="2" t="str">
        <f ca="1">IFERROR(__xludf.DUMMYFUNCTION("""COMPUTED_VALUE"""),"Scorpion")</f>
        <v>Scorpion</v>
      </c>
    </row>
    <row r="11237" spans="1:3" x14ac:dyDescent="0.25">
      <c r="A11237" s="2" t="str">
        <f ca="1">IFERROR(__xludf.DUMMYFUNCTION("""COMPUTED_VALUE"""),"scorum")</f>
        <v>scorum</v>
      </c>
      <c r="B11237" s="2" t="str">
        <f ca="1">IFERROR(__xludf.DUMMYFUNCTION("""COMPUTED_VALUE"""),"scr")</f>
        <v>scr</v>
      </c>
      <c r="C11237" s="2" t="str">
        <f ca="1">IFERROR(__xludf.DUMMYFUNCTION("""COMPUTED_VALUE"""),"Scorum Coin")</f>
        <v>Scorum Coin</v>
      </c>
    </row>
    <row r="11238" spans="1:3" x14ac:dyDescent="0.25">
      <c r="A11238" s="2" t="str">
        <f ca="1">IFERROR(__xludf.DUMMYFUNCTION("""COMPUTED_VALUE"""),"scottish")</f>
        <v>scottish</v>
      </c>
      <c r="B11238" s="2" t="str">
        <f ca="1">IFERROR(__xludf.DUMMYFUNCTION("""COMPUTED_VALUE"""),"$scot")</f>
        <v>$scot</v>
      </c>
      <c r="C11238" s="2" t="str">
        <f ca="1">IFERROR(__xludf.DUMMYFUNCTION("""COMPUTED_VALUE"""),"Scottish")</f>
        <v>Scottish</v>
      </c>
    </row>
    <row r="11239" spans="1:3" x14ac:dyDescent="0.25">
      <c r="A11239" s="2" t="str">
        <f ca="1">IFERROR(__xludf.DUMMYFUNCTION("""COMPUTED_VALUE"""),"scottyai")</f>
        <v>scottyai</v>
      </c>
      <c r="B11239" s="2" t="str">
        <f ca="1">IFERROR(__xludf.DUMMYFUNCTION("""COMPUTED_VALUE"""),"scotty")</f>
        <v>scotty</v>
      </c>
      <c r="C11239" s="2" t="str">
        <f ca="1">IFERROR(__xludf.DUMMYFUNCTION("""COMPUTED_VALUE"""),"ScottyTheAi")</f>
        <v>ScottyTheAi</v>
      </c>
    </row>
    <row r="11240" spans="1:3" x14ac:dyDescent="0.25">
      <c r="A11240" s="2" t="str">
        <f ca="1">IFERROR(__xludf.DUMMYFUNCTION("""COMPUTED_VALUE"""),"scotty-beam")</f>
        <v>scotty-beam</v>
      </c>
      <c r="B11240" s="2" t="str">
        <f ca="1">IFERROR(__xludf.DUMMYFUNCTION("""COMPUTED_VALUE"""),"scotty")</f>
        <v>scotty</v>
      </c>
      <c r="C11240" s="2" t="str">
        <f ca="1">IFERROR(__xludf.DUMMYFUNCTION("""COMPUTED_VALUE"""),"Scotty Beam")</f>
        <v>Scotty Beam</v>
      </c>
    </row>
    <row r="11241" spans="1:3" x14ac:dyDescent="0.25">
      <c r="A11241" s="2" t="str">
        <f ca="1">IFERROR(__xludf.DUMMYFUNCTION("""COMPUTED_VALUE"""),"scrap")</f>
        <v>scrap</v>
      </c>
      <c r="B11241" s="2" t="str">
        <f ca="1">IFERROR(__xludf.DUMMYFUNCTION("""COMPUTED_VALUE"""),"scrap")</f>
        <v>scrap</v>
      </c>
      <c r="C11241" s="2" t="str">
        <f ca="1">IFERROR(__xludf.DUMMYFUNCTION("""COMPUTED_VALUE"""),"Scrap")</f>
        <v>Scrap</v>
      </c>
    </row>
    <row r="11242" spans="1:3" x14ac:dyDescent="0.25">
      <c r="A11242" s="2" t="str">
        <f ca="1">IFERROR(__xludf.DUMMYFUNCTION("""COMPUTED_VALUE"""),"scrat")</f>
        <v>scrat</v>
      </c>
      <c r="B11242" s="2" t="str">
        <f ca="1">IFERROR(__xludf.DUMMYFUNCTION("""COMPUTED_VALUE"""),"scrat")</f>
        <v>scrat</v>
      </c>
      <c r="C11242" s="2" t="str">
        <f ca="1">IFERROR(__xludf.DUMMYFUNCTION("""COMPUTED_VALUE"""),"Scrat")</f>
        <v>Scrat</v>
      </c>
    </row>
    <row r="11243" spans="1:3" x14ac:dyDescent="0.25">
      <c r="A11243" s="2" t="str">
        <f ca="1">IFERROR(__xludf.DUMMYFUNCTION("""COMPUTED_VALUE"""),"scream")</f>
        <v>scream</v>
      </c>
      <c r="B11243" s="2" t="str">
        <f ca="1">IFERROR(__xludf.DUMMYFUNCTION("""COMPUTED_VALUE"""),"scream")</f>
        <v>scream</v>
      </c>
      <c r="C11243" s="2" t="str">
        <f ca="1">IFERROR(__xludf.DUMMYFUNCTION("""COMPUTED_VALUE"""),"Scream")</f>
        <v>Scream</v>
      </c>
    </row>
    <row r="11244" spans="1:3" x14ac:dyDescent="0.25">
      <c r="A11244" s="2" t="str">
        <f ca="1">IFERROR(__xludf.DUMMYFUNCTION("""COMPUTED_VALUE"""),"screaming-hyrax")</f>
        <v>screaming-hyrax</v>
      </c>
      <c r="B11244" s="2" t="str">
        <f ca="1">IFERROR(__xludf.DUMMYFUNCTION("""COMPUTED_VALUE"""),"$mama")</f>
        <v>$mama</v>
      </c>
      <c r="C11244" s="2" t="str">
        <f ca="1">IFERROR(__xludf.DUMMYFUNCTION("""COMPUTED_VALUE"""),"Screaming Hyrax")</f>
        <v>Screaming Hyrax</v>
      </c>
    </row>
    <row r="11245" spans="1:3" x14ac:dyDescent="0.25">
      <c r="A11245" s="2" t="str">
        <f ca="1">IFERROR(__xludf.DUMMYFUNCTION("""COMPUTED_VALUE"""),"scribes")</f>
        <v>scribes</v>
      </c>
      <c r="B11245" s="2" t="str">
        <f ca="1">IFERROR(__xludf.DUMMYFUNCTION("""COMPUTED_VALUE"""),"scribes")</f>
        <v>scribes</v>
      </c>
      <c r="C11245" s="2" t="str">
        <f ca="1">IFERROR(__xludf.DUMMYFUNCTION("""COMPUTED_VALUE"""),"Scribes")</f>
        <v>Scribes</v>
      </c>
    </row>
    <row r="11246" spans="1:3" x14ac:dyDescent="0.25">
      <c r="A11246" s="2" t="str">
        <f ca="1">IFERROR(__xludf.DUMMYFUNCTION("""COMPUTED_VALUE"""),"script-network")</f>
        <v>script-network</v>
      </c>
      <c r="B11246" s="2" t="str">
        <f ca="1">IFERROR(__xludf.DUMMYFUNCTION("""COMPUTED_VALUE"""),"scpt")</f>
        <v>scpt</v>
      </c>
      <c r="C11246" s="2" t="str">
        <f ca="1">IFERROR(__xludf.DUMMYFUNCTION("""COMPUTED_VALUE"""),"Script Network")</f>
        <v>Script Network</v>
      </c>
    </row>
    <row r="11247" spans="1:3" x14ac:dyDescent="0.25">
      <c r="A11247" s="2" t="str">
        <f ca="1">IFERROR(__xludf.DUMMYFUNCTION("""COMPUTED_VALUE"""),"script-network-spay")</f>
        <v>script-network-spay</v>
      </c>
      <c r="B11247" s="2" t="str">
        <f ca="1">IFERROR(__xludf.DUMMYFUNCTION("""COMPUTED_VALUE"""),"spay")</f>
        <v>spay</v>
      </c>
      <c r="C11247" s="2" t="str">
        <f ca="1">IFERROR(__xludf.DUMMYFUNCTION("""COMPUTED_VALUE"""),"Script Network SPAY")</f>
        <v>Script Network SPAY</v>
      </c>
    </row>
    <row r="11248" spans="1:3" x14ac:dyDescent="0.25">
      <c r="A11248" s="2" t="str">
        <f ca="1">IFERROR(__xludf.DUMMYFUNCTION("""COMPUTED_VALUE"""),"scriv")</f>
        <v>scriv</v>
      </c>
      <c r="B11248" s="2" t="str">
        <f ca="1">IFERROR(__xludf.DUMMYFUNCTION("""COMPUTED_VALUE"""),"scriv")</f>
        <v>scriv</v>
      </c>
      <c r="C11248" s="2" t="str">
        <f ca="1">IFERROR(__xludf.DUMMYFUNCTION("""COMPUTED_VALUE"""),"SCRIV")</f>
        <v>SCRIV</v>
      </c>
    </row>
    <row r="11249" spans="1:3" x14ac:dyDescent="0.25">
      <c r="A11249" s="2" t="str">
        <f ca="1">IFERROR(__xludf.DUMMYFUNCTION("""COMPUTED_VALUE"""),"scroll")</f>
        <v>scroll</v>
      </c>
      <c r="B11249" s="2" t="str">
        <f ca="1">IFERROR(__xludf.DUMMYFUNCTION("""COMPUTED_VALUE"""),"scr")</f>
        <v>scr</v>
      </c>
      <c r="C11249" s="2" t="str">
        <f ca="1">IFERROR(__xludf.DUMMYFUNCTION("""COMPUTED_VALUE"""),"Scroll")</f>
        <v>Scroll</v>
      </c>
    </row>
    <row r="11250" spans="1:3" x14ac:dyDescent="0.25">
      <c r="A11250" s="2" t="str">
        <f ca="1">IFERROR(__xludf.DUMMYFUNCTION("""COMPUTED_VALUE"""),"scrolly-the-map")</f>
        <v>scrolly-the-map</v>
      </c>
      <c r="B11250" s="2" t="str">
        <f ca="1">IFERROR(__xludf.DUMMYFUNCTION("""COMPUTED_VALUE"""),"scrolly")</f>
        <v>scrolly</v>
      </c>
      <c r="C11250" s="2" t="str">
        <f ca="1">IFERROR(__xludf.DUMMYFUNCTION("""COMPUTED_VALUE"""),"Scrolly the map")</f>
        <v>Scrolly the map</v>
      </c>
    </row>
    <row r="11251" spans="1:3" x14ac:dyDescent="0.25">
      <c r="A11251" s="2" t="str">
        <f ca="1">IFERROR(__xludf.DUMMYFUNCTION("""COMPUTED_VALUE"""),"scry-info")</f>
        <v>scry-info</v>
      </c>
      <c r="B11251" s="2" t="str">
        <f ca="1">IFERROR(__xludf.DUMMYFUNCTION("""COMPUTED_VALUE"""),"ddd")</f>
        <v>ddd</v>
      </c>
      <c r="C11251" s="3" t="str">
        <f ca="1">IFERROR(__xludf.DUMMYFUNCTION("""COMPUTED_VALUE"""),"Scry.info")</f>
        <v>Scry.info</v>
      </c>
    </row>
    <row r="11252" spans="1:3" x14ac:dyDescent="0.25">
      <c r="A11252" s="2" t="str">
        <f ca="1">IFERROR(__xludf.DUMMYFUNCTION("""COMPUTED_VALUE"""),"scuba-dog")</f>
        <v>scuba-dog</v>
      </c>
      <c r="B11252" s="2" t="str">
        <f ca="1">IFERROR(__xludf.DUMMYFUNCTION("""COMPUTED_VALUE"""),"scuba")</f>
        <v>scuba</v>
      </c>
      <c r="C11252" s="2" t="str">
        <f ca="1">IFERROR(__xludf.DUMMYFUNCTION("""COMPUTED_VALUE"""),"Scuba Dog")</f>
        <v>Scuba Dog</v>
      </c>
    </row>
    <row r="11253" spans="1:3" x14ac:dyDescent="0.25">
      <c r="A11253" s="2" t="str">
        <f ca="1">IFERROR(__xludf.DUMMYFUNCTION("""COMPUTED_VALUE"""),"sdoge")</f>
        <v>sdoge</v>
      </c>
      <c r="B11253" s="2" t="str">
        <f ca="1">IFERROR(__xludf.DUMMYFUNCTION("""COMPUTED_VALUE"""),"sdoge")</f>
        <v>sdoge</v>
      </c>
      <c r="C11253" s="2" t="str">
        <f ca="1">IFERROR(__xludf.DUMMYFUNCTION("""COMPUTED_VALUE"""),"SDOGE")</f>
        <v>SDOGE</v>
      </c>
    </row>
    <row r="11254" spans="1:3" x14ac:dyDescent="0.25">
      <c r="A11254" s="2" t="str">
        <f ca="1">IFERROR(__xludf.DUMMYFUNCTION("""COMPUTED_VALUE"""),"s-d-o-g-e-on-tron")</f>
        <v>s-d-o-g-e-on-tron</v>
      </c>
      <c r="B11254" s="2" t="str">
        <f ca="1">IFERROR(__xludf.DUMMYFUNCTION("""COMPUTED_VALUE"""),"sdoge")</f>
        <v>sdoge</v>
      </c>
      <c r="C11254" s="2" t="str">
        <f ca="1">IFERROR(__xludf.DUMMYFUNCTION("""COMPUTED_VALUE"""),"S.D.O.G.E on Tron")</f>
        <v>S.D.O.G.E on Tron</v>
      </c>
    </row>
    <row r="11255" spans="1:3" x14ac:dyDescent="0.25">
      <c r="A11255" s="2" t="str">
        <f ca="1">IFERROR(__xludf.DUMMYFUNCTION("""COMPUTED_VALUE"""),"sdola")</f>
        <v>sdola</v>
      </c>
      <c r="B11255" s="2" t="str">
        <f ca="1">IFERROR(__xludf.DUMMYFUNCTION("""COMPUTED_VALUE"""),"sdola")</f>
        <v>sdola</v>
      </c>
      <c r="C11255" s="2" t="str">
        <f ca="1">IFERROR(__xludf.DUMMYFUNCTION("""COMPUTED_VALUE"""),"sDOLA")</f>
        <v>sDOLA</v>
      </c>
    </row>
    <row r="11256" spans="1:3" x14ac:dyDescent="0.25">
      <c r="A11256" s="2" t="str">
        <f ca="1">IFERROR(__xludf.DUMMYFUNCTION("""COMPUTED_VALUE"""),"sdrive-app")</f>
        <v>sdrive-app</v>
      </c>
      <c r="B11256" s="2" t="str">
        <f ca="1">IFERROR(__xludf.DUMMYFUNCTION("""COMPUTED_VALUE"""),"scoin")</f>
        <v>scoin</v>
      </c>
      <c r="C11256" s="2" t="str">
        <f ca="1">IFERROR(__xludf.DUMMYFUNCTION("""COMPUTED_VALUE"""),"SCOIN")</f>
        <v>SCOIN</v>
      </c>
    </row>
    <row r="11257" spans="1:3" x14ac:dyDescent="0.25">
      <c r="A11257" s="2" t="str">
        <f ca="1">IFERROR(__xludf.DUMMYFUNCTION("""COMPUTED_VALUE"""),"seahorses")</f>
        <v>seahorses</v>
      </c>
      <c r="B11257" s="2" t="str">
        <f ca="1">IFERROR(__xludf.DUMMYFUNCTION("""COMPUTED_VALUE"""),"seah")</f>
        <v>seah</v>
      </c>
      <c r="C11257" s="2" t="str">
        <f ca="1">IFERROR(__xludf.DUMMYFUNCTION("""COMPUTED_VALUE"""),"Seahorses")</f>
        <v>Seahorses</v>
      </c>
    </row>
    <row r="11258" spans="1:3" x14ac:dyDescent="0.25">
      <c r="A11258" s="2" t="str">
        <f ca="1">IFERROR(__xludf.DUMMYFUNCTION("""COMPUTED_VALUE"""),"seal-2")</f>
        <v>seal-2</v>
      </c>
      <c r="B11258" s="2" t="str">
        <f ca="1">IFERROR(__xludf.DUMMYFUNCTION("""COMPUTED_VALUE"""),"seal")</f>
        <v>seal</v>
      </c>
      <c r="C11258" s="2" t="str">
        <f ca="1">IFERROR(__xludf.DUMMYFUNCTION("""COMPUTED_VALUE"""),"Seal")</f>
        <v>Seal</v>
      </c>
    </row>
    <row r="11259" spans="1:3" x14ac:dyDescent="0.25">
      <c r="A11259" s="2" t="str">
        <f ca="1">IFERROR(__xludf.DUMMYFUNCTION("""COMPUTED_VALUE"""),"sealink-network")</f>
        <v>sealink-network</v>
      </c>
      <c r="B11259" s="2" t="str">
        <f ca="1">IFERROR(__xludf.DUMMYFUNCTION("""COMPUTED_VALUE"""),"slk")</f>
        <v>slk</v>
      </c>
      <c r="C11259" s="2" t="str">
        <f ca="1">IFERROR(__xludf.DUMMYFUNCTION("""COMPUTED_VALUE"""),"Sealink Network")</f>
        <v>Sealink Network</v>
      </c>
    </row>
    <row r="11260" spans="1:3" x14ac:dyDescent="0.25">
      <c r="A11260" s="2" t="str">
        <f ca="1">IFERROR(__xludf.DUMMYFUNCTION("""COMPUTED_VALUE"""),"seal-sol")</f>
        <v>seal-sol</v>
      </c>
      <c r="B11260" s="2" t="str">
        <f ca="1">IFERROR(__xludf.DUMMYFUNCTION("""COMPUTED_VALUE"""),"seal")</f>
        <v>seal</v>
      </c>
      <c r="C11260" s="2" t="str">
        <f ca="1">IFERROR(__xludf.DUMMYFUNCTION("""COMPUTED_VALUE"""),"Seal")</f>
        <v>Seal</v>
      </c>
    </row>
    <row r="11261" spans="1:3" x14ac:dyDescent="0.25">
      <c r="A11261" s="2" t="str">
        <f ca="1">IFERROR(__xludf.DUMMYFUNCTION("""COMPUTED_VALUE"""),"sealwifhat")</f>
        <v>sealwifhat</v>
      </c>
      <c r="B11261" s="2" t="str">
        <f ca="1">IFERROR(__xludf.DUMMYFUNCTION("""COMPUTED_VALUE"""),"si")</f>
        <v>si</v>
      </c>
      <c r="C11261" s="2" t="str">
        <f ca="1">IFERROR(__xludf.DUMMYFUNCTION("""COMPUTED_VALUE"""),"sealwifhat")</f>
        <v>sealwifhat</v>
      </c>
    </row>
    <row r="11262" spans="1:3" x14ac:dyDescent="0.25">
      <c r="A11262" s="2" t="str">
        <f ca="1">IFERROR(__xludf.DUMMYFUNCTION("""COMPUTED_VALUE"""),"seamans-token")</f>
        <v>seamans-token</v>
      </c>
      <c r="B11262" s="2" t="str">
        <f ca="1">IFERROR(__xludf.DUMMYFUNCTION("""COMPUTED_VALUE"""),"seat")</f>
        <v>seat</v>
      </c>
      <c r="C11262" s="2" t="str">
        <f ca="1">IFERROR(__xludf.DUMMYFUNCTION("""COMPUTED_VALUE"""),"Seamans Token")</f>
        <v>Seamans Token</v>
      </c>
    </row>
    <row r="11263" spans="1:3" x14ac:dyDescent="0.25">
      <c r="A11263" s="2" t="str">
        <f ca="1">IFERROR(__xludf.DUMMYFUNCTION("""COMPUTED_VALUE"""),"seamless-protocol")</f>
        <v>seamless-protocol</v>
      </c>
      <c r="B11263" s="2" t="str">
        <f ca="1">IFERROR(__xludf.DUMMYFUNCTION("""COMPUTED_VALUE"""),"seam")</f>
        <v>seam</v>
      </c>
      <c r="C11263" s="2" t="str">
        <f ca="1">IFERROR(__xludf.DUMMYFUNCTION("""COMPUTED_VALUE"""),"Seamless Protocol")</f>
        <v>Seamless Protocol</v>
      </c>
    </row>
    <row r="11264" spans="1:3" x14ac:dyDescent="0.25">
      <c r="A11264" s="2" t="str">
        <f ca="1">IFERROR(__xludf.DUMMYFUNCTION("""COMPUTED_VALUE"""),"seamoon-protocol")</f>
        <v>seamoon-protocol</v>
      </c>
      <c r="B11264" s="2" t="str">
        <f ca="1">IFERROR(__xludf.DUMMYFUNCTION("""COMPUTED_VALUE"""),"smp")</f>
        <v>smp</v>
      </c>
      <c r="C11264" s="2" t="str">
        <f ca="1">IFERROR(__xludf.DUMMYFUNCTION("""COMPUTED_VALUE"""),"Seamoon Protocol")</f>
        <v>Seamoon Protocol</v>
      </c>
    </row>
    <row r="11265" spans="1:3" x14ac:dyDescent="0.25">
      <c r="A11265" s="2" t="str">
        <f ca="1">IFERROR(__xludf.DUMMYFUNCTION("""COMPUTED_VALUE"""),"seapad")</f>
        <v>seapad</v>
      </c>
      <c r="B11265" s="2" t="str">
        <f ca="1">IFERROR(__xludf.DUMMYFUNCTION("""COMPUTED_VALUE"""),"spt")</f>
        <v>spt</v>
      </c>
      <c r="C11265" s="2" t="str">
        <f ca="1">IFERROR(__xludf.DUMMYFUNCTION("""COMPUTED_VALUE"""),"SeaPad")</f>
        <v>SeaPad</v>
      </c>
    </row>
    <row r="11266" spans="1:3" x14ac:dyDescent="0.25">
      <c r="A11266" s="2" t="str">
        <f ca="1">IFERROR(__xludf.DUMMYFUNCTION("""COMPUTED_VALUE"""),"sea-pearl")</f>
        <v>sea-pearl</v>
      </c>
      <c r="B11266" s="2" t="str">
        <f ca="1">IFERROR(__xludf.DUMMYFUNCTION("""COMPUTED_VALUE"""),"sprl")</f>
        <v>sprl</v>
      </c>
      <c r="C11266" s="2" t="str">
        <f ca="1">IFERROR(__xludf.DUMMYFUNCTION("""COMPUTED_VALUE"""),"Sea Pearl")</f>
        <v>Sea Pearl</v>
      </c>
    </row>
    <row r="11267" spans="1:3" x14ac:dyDescent="0.25">
      <c r="A11267" s="2" t="str">
        <f ca="1">IFERROR(__xludf.DUMMYFUNCTION("""COMPUTED_VALUE"""),"search")</f>
        <v>search</v>
      </c>
      <c r="B11267" s="2" t="str">
        <f ca="1">IFERROR(__xludf.DUMMYFUNCTION("""COMPUTED_VALUE"""),"0xsearch")</f>
        <v>0xsearch</v>
      </c>
      <c r="C11267" s="2" t="str">
        <f ca="1">IFERROR(__xludf.DUMMYFUNCTION("""COMPUTED_VALUE"""),"Search")</f>
        <v>Search</v>
      </c>
    </row>
    <row r="11268" spans="1:3" x14ac:dyDescent="0.25">
      <c r="A11268" s="2" t="str">
        <f ca="1">IFERROR(__xludf.DUMMYFUNCTION("""COMPUTED_VALUE"""),"seatlabnft")</f>
        <v>seatlabnft</v>
      </c>
      <c r="B11268" s="2" t="str">
        <f ca="1">IFERROR(__xludf.DUMMYFUNCTION("""COMPUTED_VALUE"""),"seat")</f>
        <v>seat</v>
      </c>
      <c r="C11268" s="2" t="str">
        <f ca="1">IFERROR(__xludf.DUMMYFUNCTION("""COMPUTED_VALUE"""),"SeatlabNFT")</f>
        <v>SeatlabNFT</v>
      </c>
    </row>
    <row r="11269" spans="1:3" x14ac:dyDescent="0.25">
      <c r="A11269" s="2" t="str">
        <f ca="1">IFERROR(__xludf.DUMMYFUNCTION("""COMPUTED_VALUE"""),"seba")</f>
        <v>seba</v>
      </c>
      <c r="B11269" s="2" t="str">
        <f ca="1">IFERROR(__xludf.DUMMYFUNCTION("""COMPUTED_VALUE"""),"seba")</f>
        <v>seba</v>
      </c>
      <c r="C11269" s="2" t="str">
        <f ca="1">IFERROR(__xludf.DUMMYFUNCTION("""COMPUTED_VALUE"""),"Seba")</f>
        <v>Seba</v>
      </c>
    </row>
    <row r="11270" spans="1:3" x14ac:dyDescent="0.25">
      <c r="A11270" s="2" t="str">
        <f ca="1">IFERROR(__xludf.DUMMYFUNCTION("""COMPUTED_VALUE"""),"sebra-ai")</f>
        <v>sebra-ai</v>
      </c>
      <c r="B11270" s="2" t="str">
        <f ca="1">IFERROR(__xludf.DUMMYFUNCTION("""COMPUTED_VALUE"""),"brain")</f>
        <v>brain</v>
      </c>
      <c r="C11270" s="2" t="str">
        <f ca="1">IFERROR(__xludf.DUMMYFUNCTION("""COMPUTED_VALUE"""),"Sebra AI")</f>
        <v>Sebra AI</v>
      </c>
    </row>
    <row r="11271" spans="1:3" x14ac:dyDescent="0.25">
      <c r="A11271" s="2" t="str">
        <f ca="1">IFERROR(__xludf.DUMMYFUNCTION("""COMPUTED_VALUE"""),"sechain")</f>
        <v>sechain</v>
      </c>
      <c r="B11271" s="2" t="str">
        <f ca="1">IFERROR(__xludf.DUMMYFUNCTION("""COMPUTED_VALUE"""),"snn")</f>
        <v>snn</v>
      </c>
      <c r="C11271" s="2" t="str">
        <f ca="1">IFERROR(__xludf.DUMMYFUNCTION("""COMPUTED_VALUE"""),"SeChain")</f>
        <v>SeChain</v>
      </c>
    </row>
    <row r="11272" spans="1:3" x14ac:dyDescent="0.25">
      <c r="A11272" s="2" t="str">
        <f ca="1">IFERROR(__xludf.DUMMYFUNCTION("""COMPUTED_VALUE"""),"second-world-games")</f>
        <v>second-world-games</v>
      </c>
      <c r="B11272" s="2" t="str">
        <f ca="1">IFERROR(__xludf.DUMMYFUNCTION("""COMPUTED_VALUE"""),"swio")</f>
        <v>swio</v>
      </c>
      <c r="C11272" s="2" t="str">
        <f ca="1">IFERROR(__xludf.DUMMYFUNCTION("""COMPUTED_VALUE"""),"Second World Games")</f>
        <v>Second World Games</v>
      </c>
    </row>
    <row r="11273" spans="1:3" x14ac:dyDescent="0.25">
      <c r="A11273" s="2" t="str">
        <f ca="1">IFERROR(__xludf.DUMMYFUNCTION("""COMPUTED_VALUE"""),"secret")</f>
        <v>secret</v>
      </c>
      <c r="B11273" s="2" t="str">
        <f ca="1">IFERROR(__xludf.DUMMYFUNCTION("""COMPUTED_VALUE"""),"scrt")</f>
        <v>scrt</v>
      </c>
      <c r="C11273" s="2" t="str">
        <f ca="1">IFERROR(__xludf.DUMMYFUNCTION("""COMPUTED_VALUE"""),"Secret")</f>
        <v>Secret</v>
      </c>
    </row>
    <row r="11274" spans="1:3" x14ac:dyDescent="0.25">
      <c r="A11274" s="2" t="str">
        <f ca="1">IFERROR(__xludf.DUMMYFUNCTION("""COMPUTED_VALUE"""),"secret-block-hide")</f>
        <v>secret-block-hide</v>
      </c>
      <c r="B11274" s="2" t="str">
        <f ca="1">IFERROR(__xludf.DUMMYFUNCTION("""COMPUTED_VALUE"""),"hide")</f>
        <v>hide</v>
      </c>
      <c r="C11274" s="2" t="str">
        <f ca="1">IFERROR(__xludf.DUMMYFUNCTION("""COMPUTED_VALUE"""),"Hide Coin")</f>
        <v>Hide Coin</v>
      </c>
    </row>
    <row r="11275" spans="1:3" x14ac:dyDescent="0.25">
      <c r="A11275" s="2" t="str">
        <f ca="1">IFERROR(__xludf.DUMMYFUNCTION("""COMPUTED_VALUE"""),"secret-erc20")</f>
        <v>secret-erc20</v>
      </c>
      <c r="B11275" s="2" t="str">
        <f ca="1">IFERROR(__xludf.DUMMYFUNCTION("""COMPUTED_VALUE"""),"wscrt")</f>
        <v>wscrt</v>
      </c>
      <c r="C11275" s="2" t="str">
        <f ca="1">IFERROR(__xludf.DUMMYFUNCTION("""COMPUTED_VALUE"""),"Secret (ERC20)")</f>
        <v>Secret (ERC20)</v>
      </c>
    </row>
    <row r="11276" spans="1:3" x14ac:dyDescent="0.25">
      <c r="A11276" s="2" t="str">
        <f ca="1">IFERROR(__xludf.DUMMYFUNCTION("""COMPUTED_VALUE"""),"secret-skellies-society")</f>
        <v>secret-skellies-society</v>
      </c>
      <c r="B11276" s="2" t="str">
        <f ca="1">IFERROR(__xludf.DUMMYFUNCTION("""COMPUTED_VALUE"""),"$crypt")</f>
        <v>$crypt</v>
      </c>
      <c r="C11276" s="2" t="str">
        <f ca="1">IFERROR(__xludf.DUMMYFUNCTION("""COMPUTED_VALUE"""),"Secret Skellies Society")</f>
        <v>Secret Skellies Society</v>
      </c>
    </row>
    <row r="11277" spans="1:3" x14ac:dyDescent="0.25">
      <c r="A11277" s="2" t="str">
        <f ca="1">IFERROR(__xludf.DUMMYFUNCTION("""COMPUTED_VALUE"""),"secret-society")</f>
        <v>secret-society</v>
      </c>
      <c r="B11277" s="2" t="str">
        <f ca="1">IFERROR(__xludf.DUMMYFUNCTION("""COMPUTED_VALUE"""),"ss")</f>
        <v>ss</v>
      </c>
      <c r="C11277" s="2" t="str">
        <f ca="1">IFERROR(__xludf.DUMMYFUNCTION("""COMPUTED_VALUE"""),"Secret Society")</f>
        <v>Secret Society</v>
      </c>
    </row>
    <row r="11278" spans="1:3" x14ac:dyDescent="0.25">
      <c r="A11278" s="2" t="str">
        <f ca="1">IFERROR(__xludf.DUMMYFUNCTION("""COMPUTED_VALUE"""),"secretum")</f>
        <v>secretum</v>
      </c>
      <c r="B11278" s="2" t="str">
        <f ca="1">IFERROR(__xludf.DUMMYFUNCTION("""COMPUTED_VALUE"""),"ser")</f>
        <v>ser</v>
      </c>
      <c r="C11278" s="2" t="str">
        <f ca="1">IFERROR(__xludf.DUMMYFUNCTION("""COMPUTED_VALUE"""),"Secretum")</f>
        <v>Secretum</v>
      </c>
    </row>
    <row r="11279" spans="1:3" x14ac:dyDescent="0.25">
      <c r="A11279" s="2" t="str">
        <f ca="1">IFERROR(__xludf.DUMMYFUNCTION("""COMPUTED_VALUE"""),"sect-bot")</f>
        <v>sect-bot</v>
      </c>
      <c r="B11279" s="2" t="str">
        <f ca="1">IFERROR(__xludf.DUMMYFUNCTION("""COMPUTED_VALUE"""),"sect")</f>
        <v>sect</v>
      </c>
      <c r="C11279" s="2" t="str">
        <f ca="1">IFERROR(__xludf.DUMMYFUNCTION("""COMPUTED_VALUE"""),"SECT BOT")</f>
        <v>SECT BOT</v>
      </c>
    </row>
    <row r="11280" spans="1:3" x14ac:dyDescent="0.25">
      <c r="A11280" s="2" t="str">
        <f ca="1">IFERROR(__xludf.DUMMYFUNCTION("""COMPUTED_VALUE"""),"sector")</f>
        <v>sector</v>
      </c>
      <c r="B11280" s="2" t="str">
        <f ca="1">IFERROR(__xludf.DUMMYFUNCTION("""COMPUTED_VALUE"""),"sect")</f>
        <v>sect</v>
      </c>
      <c r="C11280" s="2" t="str">
        <f ca="1">IFERROR(__xludf.DUMMYFUNCTION("""COMPUTED_VALUE"""),"Sector")</f>
        <v>Sector</v>
      </c>
    </row>
    <row r="11281" spans="1:3" x14ac:dyDescent="0.25">
      <c r="A11281" s="2" t="str">
        <f ca="1">IFERROR(__xludf.DUMMYFUNCTION("""COMPUTED_VALUE"""),"securechain-ai")</f>
        <v>securechain-ai</v>
      </c>
      <c r="B11281" s="2" t="str">
        <f ca="1">IFERROR(__xludf.DUMMYFUNCTION("""COMPUTED_VALUE"""),"scai")</f>
        <v>scai</v>
      </c>
      <c r="C11281" s="2" t="str">
        <f ca="1">IFERROR(__xludf.DUMMYFUNCTION("""COMPUTED_VALUE"""),"SecureChain AI")</f>
        <v>SecureChain AI</v>
      </c>
    </row>
    <row r="11282" spans="1:3" x14ac:dyDescent="0.25">
      <c r="A11282" s="2" t="str">
        <f ca="1">IFERROR(__xludf.DUMMYFUNCTION("""COMPUTED_VALUE"""),"secured-moonrat-token")</f>
        <v>secured-moonrat-token</v>
      </c>
      <c r="B11282" s="2" t="str">
        <f ca="1">IFERROR(__xludf.DUMMYFUNCTION("""COMPUTED_VALUE"""),"smrat")</f>
        <v>smrat</v>
      </c>
      <c r="C11282" s="2" t="str">
        <f ca="1">IFERROR(__xludf.DUMMYFUNCTION("""COMPUTED_VALUE"""),"Secured MoonRat")</f>
        <v>Secured MoonRat</v>
      </c>
    </row>
    <row r="11283" spans="1:3" x14ac:dyDescent="0.25">
      <c r="A11283" s="2" t="str">
        <f ca="1">IFERROR(__xludf.DUMMYFUNCTION("""COMPUTED_VALUE"""),"secured-on-blockchain-2")</f>
        <v>secured-on-blockchain-2</v>
      </c>
      <c r="B11283" s="2" t="str">
        <f ca="1">IFERROR(__xludf.DUMMYFUNCTION("""COMPUTED_VALUE"""),"sob")</f>
        <v>sob</v>
      </c>
      <c r="C11283" s="2" t="str">
        <f ca="1">IFERROR(__xludf.DUMMYFUNCTION("""COMPUTED_VALUE"""),"Secured On Blockchain")</f>
        <v>Secured On Blockchain</v>
      </c>
    </row>
    <row r="11284" spans="1:3" x14ac:dyDescent="0.25">
      <c r="A11284" s="2" t="str">
        <f ca="1">IFERROR(__xludf.DUMMYFUNCTION("""COMPUTED_VALUE"""),"seda-2")</f>
        <v>seda-2</v>
      </c>
      <c r="B11284" s="2" t="str">
        <f ca="1">IFERROR(__xludf.DUMMYFUNCTION("""COMPUTED_VALUE"""),"seda")</f>
        <v>seda</v>
      </c>
      <c r="C11284" s="2" t="str">
        <f ca="1">IFERROR(__xludf.DUMMYFUNCTION("""COMPUTED_VALUE"""),"SEDA")</f>
        <v>SEDA</v>
      </c>
    </row>
    <row r="11285" spans="1:3" x14ac:dyDescent="0.25">
      <c r="A11285" s="2" t="str">
        <f ca="1">IFERROR(__xludf.DUMMYFUNCTION("""COMPUTED_VALUE"""),"sedra-coin")</f>
        <v>sedra-coin</v>
      </c>
      <c r="B11285" s="2" t="str">
        <f ca="1">IFERROR(__xludf.DUMMYFUNCTION("""COMPUTED_VALUE"""),"sdr")</f>
        <v>sdr</v>
      </c>
      <c r="C11285" s="2" t="str">
        <f ca="1">IFERROR(__xludf.DUMMYFUNCTION("""COMPUTED_VALUE"""),"Sedra Coin")</f>
        <v>Sedra Coin</v>
      </c>
    </row>
    <row r="11286" spans="1:3" x14ac:dyDescent="0.25">
      <c r="A11286" s="2" t="str">
        <f ca="1">IFERROR(__xludf.DUMMYFUNCTION("""COMPUTED_VALUE"""),"seed-2")</f>
        <v>seed-2</v>
      </c>
      <c r="B11286" s="2" t="str">
        <f ca="1">IFERROR(__xludf.DUMMYFUNCTION("""COMPUTED_VALUE"""),"seed")</f>
        <v>seed</v>
      </c>
      <c r="C11286" s="2" t="str">
        <f ca="1">IFERROR(__xludf.DUMMYFUNCTION("""COMPUTED_VALUE"""),"SEED")</f>
        <v>SEED</v>
      </c>
    </row>
    <row r="11287" spans="1:3" x14ac:dyDescent="0.25">
      <c r="A11287" s="2" t="str">
        <f ca="1">IFERROR(__xludf.DUMMYFUNCTION("""COMPUTED_VALUE"""),"seeded-network")</f>
        <v>seeded-network</v>
      </c>
      <c r="B11287" s="2" t="str">
        <f ca="1">IFERROR(__xludf.DUMMYFUNCTION("""COMPUTED_VALUE"""),"seeded")</f>
        <v>seeded</v>
      </c>
      <c r="C11287" s="2" t="str">
        <f ca="1">IFERROR(__xludf.DUMMYFUNCTION("""COMPUTED_VALUE"""),"Seeded Network")</f>
        <v>Seeded Network</v>
      </c>
    </row>
    <row r="11288" spans="1:3" x14ac:dyDescent="0.25">
      <c r="A11288" s="2" t="str">
        <f ca="1">IFERROR(__xludf.DUMMYFUNCTION("""COMPUTED_VALUE"""),"seedify-fund")</f>
        <v>seedify-fund</v>
      </c>
      <c r="B11288" s="2" t="str">
        <f ca="1">IFERROR(__xludf.DUMMYFUNCTION("""COMPUTED_VALUE"""),"sfund")</f>
        <v>sfund</v>
      </c>
      <c r="C11288" s="2" t="str">
        <f ca="1">IFERROR(__xludf.DUMMYFUNCTION("""COMPUTED_VALUE"""),"Seedify.fund")</f>
        <v>Seedify.fund</v>
      </c>
    </row>
    <row r="11289" spans="1:3" x14ac:dyDescent="0.25">
      <c r="A11289" s="2" t="str">
        <f ca="1">IFERROR(__xludf.DUMMYFUNCTION("""COMPUTED_VALUE"""),"seedlaunch")</f>
        <v>seedlaunch</v>
      </c>
      <c r="B11289" s="2" t="str">
        <f ca="1">IFERROR(__xludf.DUMMYFUNCTION("""COMPUTED_VALUE"""),"slt")</f>
        <v>slt</v>
      </c>
      <c r="C11289" s="2" t="str">
        <f ca="1">IFERROR(__xludf.DUMMYFUNCTION("""COMPUTED_VALUE"""),"SeedLaunch")</f>
        <v>SeedLaunch</v>
      </c>
    </row>
    <row r="11290" spans="1:3" x14ac:dyDescent="0.25">
      <c r="A11290" s="2" t="str">
        <f ca="1">IFERROR(__xludf.DUMMYFUNCTION("""COMPUTED_VALUE"""),"seed-photo")</f>
        <v>seed-photo</v>
      </c>
      <c r="B11290" s="2" t="str">
        <f ca="1">IFERROR(__xludf.DUMMYFUNCTION("""COMPUTED_VALUE"""),"seed")</f>
        <v>seed</v>
      </c>
      <c r="C11290" s="2" t="str">
        <f ca="1">IFERROR(__xludf.DUMMYFUNCTION("""COMPUTED_VALUE"""),"Seed.Photo")</f>
        <v>Seed.Photo</v>
      </c>
    </row>
    <row r="11291" spans="1:3" x14ac:dyDescent="0.25">
      <c r="A11291" s="2" t="str">
        <f ca="1">IFERROR(__xludf.DUMMYFUNCTION("""COMPUTED_VALUE"""),"seek-tiger")</f>
        <v>seek-tiger</v>
      </c>
      <c r="B11291" s="2" t="str">
        <f ca="1">IFERROR(__xludf.DUMMYFUNCTION("""COMPUTED_VALUE"""),"sti")</f>
        <v>sti</v>
      </c>
      <c r="C11291" s="2" t="str">
        <f ca="1">IFERROR(__xludf.DUMMYFUNCTION("""COMPUTED_VALUE"""),"Seek Tiger")</f>
        <v>Seek Tiger</v>
      </c>
    </row>
    <row r="11292" spans="1:3" x14ac:dyDescent="0.25">
      <c r="A11292" s="2" t="str">
        <f ca="1">IFERROR(__xludf.DUMMYFUNCTION("""COMPUTED_VALUE"""),"segment")</f>
        <v>segment</v>
      </c>
      <c r="B11292" s="2" t="str">
        <f ca="1">IFERROR(__xludf.DUMMYFUNCTION("""COMPUTED_VALUE"""),"sef")</f>
        <v>sef</v>
      </c>
      <c r="C11292" s="2" t="str">
        <f ca="1">IFERROR(__xludf.DUMMYFUNCTION("""COMPUTED_VALUE"""),"Segment Finance")</f>
        <v>Segment Finance</v>
      </c>
    </row>
    <row r="11293" spans="1:3" x14ac:dyDescent="0.25">
      <c r="A11293" s="2" t="str">
        <f ca="1">IFERROR(__xludf.DUMMYFUNCTION("""COMPUTED_VALUE"""),"seifmoon")</f>
        <v>seifmoon</v>
      </c>
      <c r="B11293" s="2" t="str">
        <f ca="1">IFERROR(__xludf.DUMMYFUNCTION("""COMPUTED_VALUE"""),"$seif")</f>
        <v>$seif</v>
      </c>
      <c r="C11293" s="2" t="str">
        <f ca="1">IFERROR(__xludf.DUMMYFUNCTION("""COMPUTED_VALUE"""),"Seifmoon")</f>
        <v>Seifmoon</v>
      </c>
    </row>
    <row r="11294" spans="1:3" x14ac:dyDescent="0.25">
      <c r="A11294" s="2" t="str">
        <f ca="1">IFERROR(__xludf.DUMMYFUNCTION("""COMPUTED_VALUE"""),"seigniorage-shares")</f>
        <v>seigniorage-shares</v>
      </c>
      <c r="B11294" s="2" t="str">
        <f ca="1">IFERROR(__xludf.DUMMYFUNCTION("""COMPUTED_VALUE"""),"share")</f>
        <v>share</v>
      </c>
      <c r="C11294" s="2" t="str">
        <f ca="1">IFERROR(__xludf.DUMMYFUNCTION("""COMPUTED_VALUE"""),"Seigniorage Shares")</f>
        <v>Seigniorage Shares</v>
      </c>
    </row>
    <row r="11295" spans="1:3" x14ac:dyDescent="0.25">
      <c r="A11295" s="2" t="str">
        <f ca="1">IFERROR(__xludf.DUMMYFUNCTION("""COMPUTED_VALUE"""),"sei-network")</f>
        <v>sei-network</v>
      </c>
      <c r="B11295" s="2" t="str">
        <f ca="1">IFERROR(__xludf.DUMMYFUNCTION("""COMPUTED_VALUE"""),"sei")</f>
        <v>sei</v>
      </c>
      <c r="C11295" s="2" t="str">
        <f ca="1">IFERROR(__xludf.DUMMYFUNCTION("""COMPUTED_VALUE"""),"Sei")</f>
        <v>Sei</v>
      </c>
    </row>
    <row r="11296" spans="1:3" x14ac:dyDescent="0.25">
      <c r="A11296" s="2" t="str">
        <f ca="1">IFERROR(__xludf.DUMMYFUNCTION("""COMPUTED_VALUE"""),"seipex-credits")</f>
        <v>seipex-credits</v>
      </c>
      <c r="B11296" s="2" t="str">
        <f ca="1">IFERROR(__xludf.DUMMYFUNCTION("""COMPUTED_VALUE"""),"spex")</f>
        <v>spex</v>
      </c>
      <c r="C11296" s="2" t="str">
        <f ca="1">IFERROR(__xludf.DUMMYFUNCTION("""COMPUTED_VALUE"""),"Seipex Credits")</f>
        <v>Seipex Credits</v>
      </c>
    </row>
    <row r="11297" spans="1:3" x14ac:dyDescent="0.25">
      <c r="A11297" s="2" t="str">
        <f ca="1">IFERROR(__xludf.DUMMYFUNCTION("""COMPUTED_VALUE"""),"seiren-games-network")</f>
        <v>seiren-games-network</v>
      </c>
      <c r="B11297" s="2" t="str">
        <f ca="1">IFERROR(__xludf.DUMMYFUNCTION("""COMPUTED_VALUE"""),"serg")</f>
        <v>serg</v>
      </c>
      <c r="C11297" s="2" t="str">
        <f ca="1">IFERROR(__xludf.DUMMYFUNCTION("""COMPUTED_VALUE"""),"Seiren Games Network")</f>
        <v>Seiren Games Network</v>
      </c>
    </row>
    <row r="11298" spans="1:3" x14ac:dyDescent="0.25">
      <c r="A11298" s="2" t="str">
        <f ca="1">IFERROR(__xludf.DUMMYFUNCTION("""COMPUTED_VALUE"""),"seiwhale")</f>
        <v>seiwhale</v>
      </c>
      <c r="B11298" s="2" t="str">
        <f ca="1">IFERROR(__xludf.DUMMYFUNCTION("""COMPUTED_VALUE"""),"sei")</f>
        <v>sei</v>
      </c>
      <c r="C11298" s="2" t="str">
        <f ca="1">IFERROR(__xludf.DUMMYFUNCTION("""COMPUTED_VALUE"""),"SeiWhale")</f>
        <v>SeiWhale</v>
      </c>
    </row>
    <row r="11299" spans="1:3" x14ac:dyDescent="0.25">
      <c r="A11299" s="2" t="str">
        <f ca="1">IFERROR(__xludf.DUMMYFUNCTION("""COMPUTED_VALUE"""),"seiyan")</f>
        <v>seiyan</v>
      </c>
      <c r="B11299" s="2" t="str">
        <f ca="1">IFERROR(__xludf.DUMMYFUNCTION("""COMPUTED_VALUE"""),"seiyan")</f>
        <v>seiyan</v>
      </c>
      <c r="C11299" s="2" t="str">
        <f ca="1">IFERROR(__xludf.DUMMYFUNCTION("""COMPUTED_VALUE"""),"SEIYAN")</f>
        <v>SEIYAN</v>
      </c>
    </row>
    <row r="11300" spans="1:3" x14ac:dyDescent="0.25">
      <c r="A11300" s="2" t="str">
        <f ca="1">IFERROR(__xludf.DUMMYFUNCTION("""COMPUTED_VALUE"""),"sekai-dao")</f>
        <v>sekai-dao</v>
      </c>
      <c r="B11300" s="2" t="str">
        <f ca="1">IFERROR(__xludf.DUMMYFUNCTION("""COMPUTED_VALUE"""),"sekai")</f>
        <v>sekai</v>
      </c>
      <c r="C11300" s="2" t="str">
        <f ca="1">IFERROR(__xludf.DUMMYFUNCTION("""COMPUTED_VALUE"""),"Sekai DAO")</f>
        <v>Sekai DAO</v>
      </c>
    </row>
    <row r="11301" spans="1:3" x14ac:dyDescent="0.25">
      <c r="A11301" s="2" t="str">
        <f ca="1">IFERROR(__xludf.DUMMYFUNCTION("""COMPUTED_VALUE"""),"sekai-glory")</f>
        <v>sekai-glory</v>
      </c>
      <c r="B11301" s="2" t="str">
        <f ca="1">IFERROR(__xludf.DUMMYFUNCTION("""COMPUTED_VALUE"""),"glory")</f>
        <v>glory</v>
      </c>
      <c r="C11301" s="2" t="str">
        <f ca="1">IFERROR(__xludf.DUMMYFUNCTION("""COMPUTED_VALUE"""),"Sekai Glory")</f>
        <v>Sekai Glory</v>
      </c>
    </row>
    <row r="11302" spans="1:3" x14ac:dyDescent="0.25">
      <c r="A11302" s="2" t="str">
        <f ca="1">IFERROR(__xludf.DUMMYFUNCTION("""COMPUTED_VALUE"""),"sekuritance")</f>
        <v>sekuritance</v>
      </c>
      <c r="B11302" s="2" t="str">
        <f ca="1">IFERROR(__xludf.DUMMYFUNCTION("""COMPUTED_VALUE"""),"skrt")</f>
        <v>skrt</v>
      </c>
      <c r="C11302" s="2" t="str">
        <f ca="1">IFERROR(__xludf.DUMMYFUNCTION("""COMPUTED_VALUE"""),"Sekuritance")</f>
        <v>Sekuritance</v>
      </c>
    </row>
    <row r="11303" spans="1:3" x14ac:dyDescent="0.25">
      <c r="A11303" s="2" t="str">
        <f ca="1">IFERROR(__xludf.DUMMYFUNCTION("""COMPUTED_VALUE"""),"sekuya-2")</f>
        <v>sekuya-2</v>
      </c>
      <c r="B11303" s="2" t="str">
        <f ca="1">IFERROR(__xludf.DUMMYFUNCTION("""COMPUTED_VALUE"""),"skya")</f>
        <v>skya</v>
      </c>
      <c r="C11303" s="2" t="str">
        <f ca="1">IFERROR(__xludf.DUMMYFUNCTION("""COMPUTED_VALUE"""),"Sekuya Multiverse")</f>
        <v>Sekuya Multiverse</v>
      </c>
    </row>
    <row r="11304" spans="1:3" x14ac:dyDescent="0.25">
      <c r="A11304" s="2" t="str">
        <f ca="1">IFERROR(__xludf.DUMMYFUNCTION("""COMPUTED_VALUE"""),"self-chain")</f>
        <v>self-chain</v>
      </c>
      <c r="B11304" s="2" t="str">
        <f ca="1">IFERROR(__xludf.DUMMYFUNCTION("""COMPUTED_VALUE"""),"slf")</f>
        <v>slf</v>
      </c>
      <c r="C11304" s="2" t="str">
        <f ca="1">IFERROR(__xludf.DUMMYFUNCTION("""COMPUTED_VALUE"""),"Self Chain")</f>
        <v>Self Chain</v>
      </c>
    </row>
    <row r="11305" spans="1:3" x14ac:dyDescent="0.25">
      <c r="A11305" s="2" t="str">
        <f ca="1">IFERROR(__xludf.DUMMYFUNCTION("""COMPUTED_VALUE"""),"selfcrypto")</f>
        <v>selfcrypto</v>
      </c>
      <c r="B11305" s="2" t="str">
        <f ca="1">IFERROR(__xludf.DUMMYFUNCTION("""COMPUTED_VALUE"""),"self")</f>
        <v>self</v>
      </c>
      <c r="C11305" s="2" t="str">
        <f ca="1">IFERROR(__xludf.DUMMYFUNCTION("""COMPUTED_VALUE"""),"SELFCrypto")</f>
        <v>SELFCrypto</v>
      </c>
    </row>
    <row r="11306" spans="1:3" x14ac:dyDescent="0.25">
      <c r="A11306" s="2" t="str">
        <f ca="1">IFERROR(__xludf.DUMMYFUNCTION("""COMPUTED_VALUE"""),"selfiedogcoin")</f>
        <v>selfiedogcoin</v>
      </c>
      <c r="B11306" s="2" t="str">
        <f ca="1">IFERROR(__xludf.DUMMYFUNCTION("""COMPUTED_VALUE"""),"selfie")</f>
        <v>selfie</v>
      </c>
      <c r="C11306" s="2" t="str">
        <f ca="1">IFERROR(__xludf.DUMMYFUNCTION("""COMPUTED_VALUE"""),"SelfieDogCoin")</f>
        <v>SelfieDogCoin</v>
      </c>
    </row>
    <row r="11307" spans="1:3" x14ac:dyDescent="0.25">
      <c r="A11307" s="2" t="str">
        <f ca="1">IFERROR(__xludf.DUMMYFUNCTION("""COMPUTED_VALUE"""),"selfiesteve")</f>
        <v>selfiesteve</v>
      </c>
      <c r="B11307" s="2" t="str">
        <f ca="1">IFERROR(__xludf.DUMMYFUNCTION("""COMPUTED_VALUE"""),"sse")</f>
        <v>sse</v>
      </c>
      <c r="C11307" s="2" t="str">
        <f ca="1">IFERROR(__xludf.DUMMYFUNCTION("""COMPUTED_VALUE"""),"SelfieSteve")</f>
        <v>SelfieSteve</v>
      </c>
    </row>
    <row r="11308" spans="1:3" x14ac:dyDescent="0.25">
      <c r="A11308" s="2" t="str">
        <f ca="1">IFERROR(__xludf.DUMMYFUNCTION("""COMPUTED_VALUE"""),"selfkey")</f>
        <v>selfkey</v>
      </c>
      <c r="B11308" s="2" t="str">
        <f ca="1">IFERROR(__xludf.DUMMYFUNCTION("""COMPUTED_VALUE"""),"key")</f>
        <v>key</v>
      </c>
      <c r="C11308" s="2" t="str">
        <f ca="1">IFERROR(__xludf.DUMMYFUNCTION("""COMPUTED_VALUE"""),"SelfKey")</f>
        <v>SelfKey</v>
      </c>
    </row>
    <row r="11309" spans="1:3" x14ac:dyDescent="0.25">
      <c r="A11309" s="2" t="str">
        <f ca="1">IFERROR(__xludf.DUMMYFUNCTION("""COMPUTED_VALUE"""),"selfkey-2")</f>
        <v>selfkey-2</v>
      </c>
      <c r="B11309" s="2" t="str">
        <f ca="1">IFERROR(__xludf.DUMMYFUNCTION("""COMPUTED_VALUE"""),"self")</f>
        <v>self</v>
      </c>
      <c r="C11309" s="2" t="str">
        <f ca="1">IFERROR(__xludf.DUMMYFUNCTION("""COMPUTED_VALUE"""),"SelfKey")</f>
        <v>SelfKey</v>
      </c>
    </row>
    <row r="11310" spans="1:3" x14ac:dyDescent="0.25">
      <c r="A11310" s="2" t="str">
        <f ca="1">IFERROR(__xludf.DUMMYFUNCTION("""COMPUTED_VALUE"""),"self-operating-ai")</f>
        <v>self-operating-ai</v>
      </c>
      <c r="B11310" s="2" t="str">
        <f ca="1">IFERROR(__xludf.DUMMYFUNCTION("""COMPUTED_VALUE"""),"soai")</f>
        <v>soai</v>
      </c>
      <c r="C11310" s="2" t="str">
        <f ca="1">IFERROR(__xludf.DUMMYFUNCTION("""COMPUTED_VALUE"""),"Self Operating AI")</f>
        <v>Self Operating AI</v>
      </c>
    </row>
    <row r="11311" spans="1:3" x14ac:dyDescent="0.25">
      <c r="A11311" s="2" t="str">
        <f ca="1">IFERROR(__xludf.DUMMYFUNCTION("""COMPUTED_VALUE"""),"self-token")</f>
        <v>self-token</v>
      </c>
      <c r="B11311" s="2" t="str">
        <f ca="1">IFERROR(__xludf.DUMMYFUNCTION("""COMPUTED_VALUE"""),"self")</f>
        <v>self</v>
      </c>
      <c r="C11311" s="2" t="str">
        <f ca="1">IFERROR(__xludf.DUMMYFUNCTION("""COMPUTED_VALUE"""),"Self Token")</f>
        <v>Self Token</v>
      </c>
    </row>
    <row r="11312" spans="1:3" x14ac:dyDescent="0.25">
      <c r="A11312" s="2" t="str">
        <f ca="1">IFERROR(__xludf.DUMMYFUNCTION("""COMPUTED_VALUE"""),"selo")</f>
        <v>selo</v>
      </c>
      <c r="B11312" s="2" t="str">
        <f ca="1">IFERROR(__xludf.DUMMYFUNCTION("""COMPUTED_VALUE"""),"selo")</f>
        <v>selo</v>
      </c>
      <c r="C11312" s="2" t="str">
        <f ca="1">IFERROR(__xludf.DUMMYFUNCTION("""COMPUTED_VALUE"""),"Selo")</f>
        <v>Selo</v>
      </c>
    </row>
    <row r="11313" spans="1:3" x14ac:dyDescent="0.25">
      <c r="A11313" s="2" t="str">
        <f ca="1">IFERROR(__xludf.DUMMYFUNCTION("""COMPUTED_VALUE"""),"sempsunai2-0")</f>
        <v>sempsunai2-0</v>
      </c>
      <c r="B11313" s="2" t="str">
        <f ca="1">IFERROR(__xludf.DUMMYFUNCTION("""COMPUTED_VALUE"""),"smai2.0")</f>
        <v>smai2.0</v>
      </c>
      <c r="C11313" s="2" t="str">
        <f ca="1">IFERROR(__xludf.DUMMYFUNCTION("""COMPUTED_VALUE"""),"SempsunAi2.0")</f>
        <v>SempsunAi2.0</v>
      </c>
    </row>
    <row r="11314" spans="1:3" x14ac:dyDescent="0.25">
      <c r="A11314" s="2" t="str">
        <f ca="1">IFERROR(__xludf.DUMMYFUNCTION("""COMPUTED_VALUE"""),"senate")</f>
        <v>senate</v>
      </c>
      <c r="B11314" s="2" t="str">
        <f ca="1">IFERROR(__xludf.DUMMYFUNCTION("""COMPUTED_VALUE"""),"senate")</f>
        <v>senate</v>
      </c>
      <c r="C11314" s="2" t="str">
        <f ca="1">IFERROR(__xludf.DUMMYFUNCTION("""COMPUTED_VALUE"""),"SENATE")</f>
        <v>SENATE</v>
      </c>
    </row>
    <row r="11315" spans="1:3" x14ac:dyDescent="0.25">
      <c r="A11315" s="2" t="str">
        <f ca="1">IFERROR(__xludf.DUMMYFUNCTION("""COMPUTED_VALUE"""),"send-2")</f>
        <v>send-2</v>
      </c>
      <c r="B11315" s="2" t="str">
        <f ca="1">IFERROR(__xludf.DUMMYFUNCTION("""COMPUTED_VALUE"""),"send")</f>
        <v>send</v>
      </c>
      <c r="C11315" s="2" t="str">
        <f ca="1">IFERROR(__xludf.DUMMYFUNCTION("""COMPUTED_VALUE"""),"Send")</f>
        <v>Send</v>
      </c>
    </row>
    <row r="11316" spans="1:3" x14ac:dyDescent="0.25">
      <c r="A11316" s="2" t="str">
        <f ca="1">IFERROR(__xludf.DUMMYFUNCTION("""COMPUTED_VALUE"""),"sendcrypto")</f>
        <v>sendcrypto</v>
      </c>
      <c r="B11316" s="2" t="str">
        <f ca="1">IFERROR(__xludf.DUMMYFUNCTION("""COMPUTED_VALUE"""),"sendc")</f>
        <v>sendc</v>
      </c>
      <c r="C11316" s="2" t="str">
        <f ca="1">IFERROR(__xludf.DUMMYFUNCTION("""COMPUTED_VALUE"""),"SendCrypto")</f>
        <v>SendCrypto</v>
      </c>
    </row>
    <row r="11317" spans="1:3" x14ac:dyDescent="0.25">
      <c r="A11317" s="2" t="str">
        <f ca="1">IFERROR(__xludf.DUMMYFUNCTION("""COMPUTED_VALUE"""),"sendex-ai")</f>
        <v>sendex-ai</v>
      </c>
      <c r="B11317" s="2" t="str">
        <f ca="1">IFERROR(__xludf.DUMMYFUNCTION("""COMPUTED_VALUE"""),"sendex")</f>
        <v>sendex</v>
      </c>
      <c r="C11317" s="2" t="str">
        <f ca="1">IFERROR(__xludf.DUMMYFUNCTION("""COMPUTED_VALUE"""),"Sendex AI")</f>
        <v>Sendex AI</v>
      </c>
    </row>
    <row r="11318" spans="1:3" x14ac:dyDescent="0.25">
      <c r="A11318" s="2" t="str">
        <f ca="1">IFERROR(__xludf.DUMMYFUNCTION("""COMPUTED_VALUE"""),"sendit")</f>
        <v>sendit</v>
      </c>
      <c r="B11318" s="2" t="str">
        <f ca="1">IFERROR(__xludf.DUMMYFUNCTION("""COMPUTED_VALUE"""),"sendit")</f>
        <v>sendit</v>
      </c>
      <c r="C11318" s="2" t="str">
        <f ca="1">IFERROR(__xludf.DUMMYFUNCTION("""COMPUTED_VALUE"""),"Sendit")</f>
        <v>Sendit</v>
      </c>
    </row>
    <row r="11319" spans="1:3" x14ac:dyDescent="0.25">
      <c r="A11319" s="2" t="str">
        <f ca="1">IFERROR(__xludf.DUMMYFUNCTION("""COMPUTED_VALUE"""),"sendpicks")</f>
        <v>sendpicks</v>
      </c>
      <c r="B11319" s="2" t="str">
        <f ca="1">IFERROR(__xludf.DUMMYFUNCTION("""COMPUTED_VALUE"""),"send")</f>
        <v>send</v>
      </c>
      <c r="C11319" s="2" t="str">
        <f ca="1">IFERROR(__xludf.DUMMYFUNCTION("""COMPUTED_VALUE"""),"Sendpicks")</f>
        <v>Sendpicks</v>
      </c>
    </row>
    <row r="11320" spans="1:3" x14ac:dyDescent="0.25">
      <c r="A11320" s="2" t="str">
        <f ca="1">IFERROR(__xludf.DUMMYFUNCTION("""COMPUTED_VALUE"""),"send-token")</f>
        <v>send-token</v>
      </c>
      <c r="B11320" s="2" t="str">
        <f ca="1">IFERROR(__xludf.DUMMYFUNCTION("""COMPUTED_VALUE"""),"send")</f>
        <v>send</v>
      </c>
      <c r="C11320" s="2" t="str">
        <f ca="1">IFERROR(__xludf.DUMMYFUNCTION("""COMPUTED_VALUE"""),"/send")</f>
        <v>/send</v>
      </c>
    </row>
    <row r="11321" spans="1:3" x14ac:dyDescent="0.25">
      <c r="A11321" s="2" t="str">
        <f ca="1">IFERROR(__xludf.DUMMYFUNCTION("""COMPUTED_VALUE"""),"senk")</f>
        <v>senk</v>
      </c>
      <c r="B11321" s="2" t="str">
        <f ca="1">IFERROR(__xludf.DUMMYFUNCTION("""COMPUTED_VALUE"""),"senk")</f>
        <v>senk</v>
      </c>
      <c r="C11321" s="2" t="str">
        <f ca="1">IFERROR(__xludf.DUMMYFUNCTION("""COMPUTED_VALUE"""),"SENK")</f>
        <v>SENK</v>
      </c>
    </row>
    <row r="11322" spans="1:3" x14ac:dyDescent="0.25">
      <c r="A11322" s="2" t="str">
        <f ca="1">IFERROR(__xludf.DUMMYFUNCTION("""COMPUTED_VALUE"""),"sensay")</f>
        <v>sensay</v>
      </c>
      <c r="B11322" s="2" t="str">
        <f ca="1">IFERROR(__xludf.DUMMYFUNCTION("""COMPUTED_VALUE"""),"snsy")</f>
        <v>snsy</v>
      </c>
      <c r="C11322" s="2" t="str">
        <f ca="1">IFERROR(__xludf.DUMMYFUNCTION("""COMPUTED_VALUE"""),"Sensay")</f>
        <v>Sensay</v>
      </c>
    </row>
    <row r="11323" spans="1:3" x14ac:dyDescent="0.25">
      <c r="A11323" s="2" t="str">
        <f ca="1">IFERROR(__xludf.DUMMYFUNCTION("""COMPUTED_VALUE"""),"sense4fit")</f>
        <v>sense4fit</v>
      </c>
      <c r="B11323" s="2" t="str">
        <f ca="1">IFERROR(__xludf.DUMMYFUNCTION("""COMPUTED_VALUE"""),"sfit")</f>
        <v>sfit</v>
      </c>
      <c r="C11323" s="2" t="str">
        <f ca="1">IFERROR(__xludf.DUMMYFUNCTION("""COMPUTED_VALUE"""),"Sense4FIT")</f>
        <v>Sense4FIT</v>
      </c>
    </row>
    <row r="11324" spans="1:3" x14ac:dyDescent="0.25">
      <c r="A11324" s="2" t="str">
        <f ca="1">IFERROR(__xludf.DUMMYFUNCTION("""COMPUTED_VALUE"""),"sensei-dog")</f>
        <v>sensei-dog</v>
      </c>
      <c r="B11324" s="2" t="str">
        <f ca="1">IFERROR(__xludf.DUMMYFUNCTION("""COMPUTED_VALUE"""),"sensei")</f>
        <v>sensei</v>
      </c>
      <c r="C11324" s="2" t="str">
        <f ca="1">IFERROR(__xludf.DUMMYFUNCTION("""COMPUTED_VALUE"""),"Sensei Dog")</f>
        <v>Sensei Dog</v>
      </c>
    </row>
    <row r="11325" spans="1:3" x14ac:dyDescent="0.25">
      <c r="A11325" s="2" t="str">
        <f ca="1">IFERROR(__xludf.DUMMYFUNCTION("""COMPUTED_VALUE"""),"sensi")</f>
        <v>sensi</v>
      </c>
      <c r="B11325" s="2" t="str">
        <f ca="1">IFERROR(__xludf.DUMMYFUNCTION("""COMPUTED_VALUE"""),"sensi")</f>
        <v>sensi</v>
      </c>
      <c r="C11325" s="2" t="str">
        <f ca="1">IFERROR(__xludf.DUMMYFUNCTION("""COMPUTED_VALUE"""),"Sensi")</f>
        <v>Sensi</v>
      </c>
    </row>
    <row r="11326" spans="1:3" x14ac:dyDescent="0.25">
      <c r="A11326" s="2" t="str">
        <f ca="1">IFERROR(__xludf.DUMMYFUNCTION("""COMPUTED_VALUE"""),"sensitrust")</f>
        <v>sensitrust</v>
      </c>
      <c r="B11326" s="2" t="str">
        <f ca="1">IFERROR(__xludf.DUMMYFUNCTION("""COMPUTED_VALUE"""),"sets")</f>
        <v>sets</v>
      </c>
      <c r="C11326" s="2" t="str">
        <f ca="1">IFERROR(__xludf.DUMMYFUNCTION("""COMPUTED_VALUE"""),"Sensitrust")</f>
        <v>Sensitrust</v>
      </c>
    </row>
    <row r="11327" spans="1:3" x14ac:dyDescent="0.25">
      <c r="A11327" s="2" t="str">
        <f ca="1">IFERROR(__xludf.DUMMYFUNCTION("""COMPUTED_VALUE"""),"senso")</f>
        <v>senso</v>
      </c>
      <c r="B11327" s="2" t="str">
        <f ca="1">IFERROR(__xludf.DUMMYFUNCTION("""COMPUTED_VALUE"""),"senso")</f>
        <v>senso</v>
      </c>
      <c r="C11327" s="2" t="str">
        <f ca="1">IFERROR(__xludf.DUMMYFUNCTION("""COMPUTED_VALUE"""),"SENSO")</f>
        <v>SENSO</v>
      </c>
    </row>
    <row r="11328" spans="1:3" x14ac:dyDescent="0.25">
      <c r="A11328" s="2" t="str">
        <f ca="1">IFERROR(__xludf.DUMMYFUNCTION("""COMPUTED_VALUE"""),"senspark")</f>
        <v>senspark</v>
      </c>
      <c r="B11328" s="2" t="str">
        <f ca="1">IFERROR(__xludf.DUMMYFUNCTION("""COMPUTED_VALUE"""),"sen")</f>
        <v>sen</v>
      </c>
      <c r="C11328" s="2" t="str">
        <f ca="1">IFERROR(__xludf.DUMMYFUNCTION("""COMPUTED_VALUE"""),"Senspark (BNB)")</f>
        <v>Senspark (BNB)</v>
      </c>
    </row>
    <row r="11329" spans="1:3" x14ac:dyDescent="0.25">
      <c r="A11329" s="2" t="str">
        <f ca="1">IFERROR(__xludf.DUMMYFUNCTION("""COMPUTED_VALUE"""),"senspark-matic")</f>
        <v>senspark-matic</v>
      </c>
      <c r="B11329" s="2" t="str">
        <f ca="1">IFERROR(__xludf.DUMMYFUNCTION("""COMPUTED_VALUE"""),"sen")</f>
        <v>sen</v>
      </c>
      <c r="C11329" s="2" t="str">
        <f ca="1">IFERROR(__xludf.DUMMYFUNCTION("""COMPUTED_VALUE"""),"Senspark (POL)")</f>
        <v>Senspark (POL)</v>
      </c>
    </row>
    <row r="11330" spans="1:3" x14ac:dyDescent="0.25">
      <c r="A11330" s="2" t="str">
        <f ca="1">IFERROR(__xludf.DUMMYFUNCTION("""COMPUTED_VALUE"""),"sentimentai")</f>
        <v>sentimentai</v>
      </c>
      <c r="B11330" s="2" t="str">
        <f ca="1">IFERROR(__xludf.DUMMYFUNCTION("""COMPUTED_VALUE"""),"sent")</f>
        <v>sent</v>
      </c>
      <c r="C11330" s="2" t="str">
        <f ca="1">IFERROR(__xludf.DUMMYFUNCTION("""COMPUTED_VALUE"""),"SentimentAI")</f>
        <v>SentimentAI</v>
      </c>
    </row>
    <row r="11331" spans="1:3" x14ac:dyDescent="0.25">
      <c r="A11331" s="2" t="str">
        <f ca="1">IFERROR(__xludf.DUMMYFUNCTION("""COMPUTED_VALUE"""),"sentiment-token")</f>
        <v>sentiment-token</v>
      </c>
      <c r="B11331" s="2" t="str">
        <f ca="1">IFERROR(__xludf.DUMMYFUNCTION("""COMPUTED_VALUE"""),"sent")</f>
        <v>sent</v>
      </c>
      <c r="C11331" s="2" t="str">
        <f ca="1">IFERROR(__xludf.DUMMYFUNCTION("""COMPUTED_VALUE"""),"Sentiment")</f>
        <v>Sentiment</v>
      </c>
    </row>
    <row r="11332" spans="1:3" x14ac:dyDescent="0.25">
      <c r="A11332" s="2" t="str">
        <f ca="1">IFERROR(__xludf.DUMMYFUNCTION("""COMPUTED_VALUE"""),"sentinel")</f>
        <v>sentinel</v>
      </c>
      <c r="B11332" s="2" t="str">
        <f ca="1">IFERROR(__xludf.DUMMYFUNCTION("""COMPUTED_VALUE"""),"dvpn")</f>
        <v>dvpn</v>
      </c>
      <c r="C11332" s="2" t="str">
        <f ca="1">IFERROR(__xludf.DUMMYFUNCTION("""COMPUTED_VALUE"""),"Sentinel")</f>
        <v>Sentinel</v>
      </c>
    </row>
    <row r="11333" spans="1:3" x14ac:dyDescent="0.25">
      <c r="A11333" s="2" t="str">
        <f ca="1">IFERROR(__xludf.DUMMYFUNCTION("""COMPUTED_VALUE"""),"sentinel-ai")</f>
        <v>sentinel-ai</v>
      </c>
      <c r="B11333" s="2" t="str">
        <f ca="1">IFERROR(__xludf.DUMMYFUNCTION("""COMPUTED_VALUE"""),"senai")</f>
        <v>senai</v>
      </c>
      <c r="C11333" s="2" t="str">
        <f ca="1">IFERROR(__xludf.DUMMYFUNCTION("""COMPUTED_VALUE"""),"Sentinel AI")</f>
        <v>Sentinel AI</v>
      </c>
    </row>
    <row r="11334" spans="1:3" x14ac:dyDescent="0.25">
      <c r="A11334" s="2" t="str">
        <f ca="1">IFERROR(__xludf.DUMMYFUNCTION("""COMPUTED_VALUE"""),"sentinel-bot-ai")</f>
        <v>sentinel-bot-ai</v>
      </c>
      <c r="B11334" s="2" t="str">
        <f ca="1">IFERROR(__xludf.DUMMYFUNCTION("""COMPUTED_VALUE"""),"snt")</f>
        <v>snt</v>
      </c>
      <c r="C11334" s="2" t="str">
        <f ca="1">IFERROR(__xludf.DUMMYFUNCTION("""COMPUTED_VALUE"""),"Sentinel Bot Ai")</f>
        <v>Sentinel Bot Ai</v>
      </c>
    </row>
    <row r="11335" spans="1:3" x14ac:dyDescent="0.25">
      <c r="A11335" s="2" t="str">
        <f ca="1">IFERROR(__xludf.DUMMYFUNCTION("""COMPUTED_VALUE"""),"sentinel-chain")</f>
        <v>sentinel-chain</v>
      </c>
      <c r="B11335" s="2" t="str">
        <f ca="1">IFERROR(__xludf.DUMMYFUNCTION("""COMPUTED_VALUE"""),"senc")</f>
        <v>senc</v>
      </c>
      <c r="C11335" s="2" t="str">
        <f ca="1">IFERROR(__xludf.DUMMYFUNCTION("""COMPUTED_VALUE"""),"Sentinel Chain")</f>
        <v>Sentinel Chain</v>
      </c>
    </row>
    <row r="11336" spans="1:3" x14ac:dyDescent="0.25">
      <c r="A11336" s="2" t="str">
        <f ca="1">IFERROR(__xludf.DUMMYFUNCTION("""COMPUTED_VALUE"""),"sentinel-group")</f>
        <v>sentinel-group</v>
      </c>
      <c r="B11336" s="2" t="str">
        <f ca="1">IFERROR(__xludf.DUMMYFUNCTION("""COMPUTED_VALUE"""),"dvpn")</f>
        <v>dvpn</v>
      </c>
      <c r="C11336" s="2" t="str">
        <f ca="1">IFERROR(__xludf.DUMMYFUNCTION("""COMPUTED_VALUE"""),"Sentinel [OLD]")</f>
        <v>Sentinel [OLD]</v>
      </c>
    </row>
    <row r="11337" spans="1:3" x14ac:dyDescent="0.25">
      <c r="A11337" s="2" t="str">
        <f ca="1">IFERROR(__xludf.DUMMYFUNCTION("""COMPUTED_VALUE"""),"sentinel-protocol")</f>
        <v>sentinel-protocol</v>
      </c>
      <c r="B11337" s="2" t="str">
        <f ca="1">IFERROR(__xludf.DUMMYFUNCTION("""COMPUTED_VALUE"""),"upp")</f>
        <v>upp</v>
      </c>
      <c r="C11337" s="2" t="str">
        <f ca="1">IFERROR(__xludf.DUMMYFUNCTION("""COMPUTED_VALUE"""),"Sentinel Protocol")</f>
        <v>Sentinel Protocol</v>
      </c>
    </row>
    <row r="11338" spans="1:3" x14ac:dyDescent="0.25">
      <c r="A11338" s="2" t="str">
        <f ca="1">IFERROR(__xludf.DUMMYFUNCTION("""COMPUTED_VALUE"""),"sentre")</f>
        <v>sentre</v>
      </c>
      <c r="B11338" s="2" t="str">
        <f ca="1">IFERROR(__xludf.DUMMYFUNCTION("""COMPUTED_VALUE"""),"sntr")</f>
        <v>sntr</v>
      </c>
      <c r="C11338" s="2" t="str">
        <f ca="1">IFERROR(__xludf.DUMMYFUNCTION("""COMPUTED_VALUE"""),"Sentre")</f>
        <v>Sentre</v>
      </c>
    </row>
    <row r="11339" spans="1:3" x14ac:dyDescent="0.25">
      <c r="A11339" s="2" t="str">
        <f ca="1">IFERROR(__xludf.DUMMYFUNCTION("""COMPUTED_VALUE"""),"seor-network")</f>
        <v>seor-network</v>
      </c>
      <c r="B11339" s="2" t="str">
        <f ca="1">IFERROR(__xludf.DUMMYFUNCTION("""COMPUTED_VALUE"""),"seor")</f>
        <v>seor</v>
      </c>
      <c r="C11339" s="2" t="str">
        <f ca="1">IFERROR(__xludf.DUMMYFUNCTION("""COMPUTED_VALUE"""),"SEOR Network")</f>
        <v>SEOR Network</v>
      </c>
    </row>
    <row r="11340" spans="1:3" x14ac:dyDescent="0.25">
      <c r="A11340" s="2" t="str">
        <f ca="1">IFERROR(__xludf.DUMMYFUNCTION("""COMPUTED_VALUE"""),"serbian-dancing-lady")</f>
        <v>serbian-dancing-lady</v>
      </c>
      <c r="B11340" s="2" t="str">
        <f ca="1">IFERROR(__xludf.DUMMYFUNCTION("""COMPUTED_VALUE"""),"сербскаяле")</f>
        <v>сербскаяле</v>
      </c>
      <c r="C11340" s="2" t="str">
        <f ca="1">IFERROR(__xludf.DUMMYFUNCTION("""COMPUTED_VALUE"""),"SERBIAN DANCING LADY")</f>
        <v>SERBIAN DANCING LADY</v>
      </c>
    </row>
    <row r="11341" spans="1:3" x14ac:dyDescent="0.25">
      <c r="A11341" s="2" t="str">
        <f ca="1">IFERROR(__xludf.DUMMYFUNCTION("""COMPUTED_VALUE"""),"serenity-shield")</f>
        <v>serenity-shield</v>
      </c>
      <c r="B11341" s="2" t="str">
        <f ca="1">IFERROR(__xludf.DUMMYFUNCTION("""COMPUTED_VALUE"""),"sersh")</f>
        <v>sersh</v>
      </c>
      <c r="C11341" s="2" t="str">
        <f ca="1">IFERROR(__xludf.DUMMYFUNCTION("""COMPUTED_VALUE"""),"Serenity Shield")</f>
        <v>Serenity Shield</v>
      </c>
    </row>
    <row r="11342" spans="1:3" x14ac:dyDescent="0.25">
      <c r="A11342" s="2" t="str">
        <f ca="1">IFERROR(__xludf.DUMMYFUNCTION("""COMPUTED_VALUE"""),"serious-coin")</f>
        <v>serious-coin</v>
      </c>
      <c r="B11342" s="2" t="str">
        <f ca="1">IFERROR(__xludf.DUMMYFUNCTION("""COMPUTED_VALUE"""),"$serious")</f>
        <v>$serious</v>
      </c>
      <c r="C11342" s="2" t="str">
        <f ca="1">IFERROR(__xludf.DUMMYFUNCTION("""COMPUTED_VALUE"""),"Serious Coin")</f>
        <v>Serious Coin</v>
      </c>
    </row>
    <row r="11343" spans="1:3" x14ac:dyDescent="0.25">
      <c r="A11343" s="2" t="str">
        <f ca="1">IFERROR(__xludf.DUMMYFUNCTION("""COMPUTED_VALUE"""),"serum")</f>
        <v>serum</v>
      </c>
      <c r="B11343" s="2" t="str">
        <f ca="1">IFERROR(__xludf.DUMMYFUNCTION("""COMPUTED_VALUE"""),"srm")</f>
        <v>srm</v>
      </c>
      <c r="C11343" s="2" t="str">
        <f ca="1">IFERROR(__xludf.DUMMYFUNCTION("""COMPUTED_VALUE"""),"Serum")</f>
        <v>Serum</v>
      </c>
    </row>
    <row r="11344" spans="1:3" x14ac:dyDescent="0.25">
      <c r="A11344" s="2" t="str">
        <f ca="1">IFERROR(__xludf.DUMMYFUNCTION("""COMPUTED_VALUE"""),"seth")</f>
        <v>seth</v>
      </c>
      <c r="B11344" s="2" t="str">
        <f ca="1">IFERROR(__xludf.DUMMYFUNCTION("""COMPUTED_VALUE"""),"seth")</f>
        <v>seth</v>
      </c>
      <c r="C11344" s="2" t="str">
        <f ca="1">IFERROR(__xludf.DUMMYFUNCTION("""COMPUTED_VALUE"""),"sETH")</f>
        <v>sETH</v>
      </c>
    </row>
    <row r="11345" spans="1:3" x14ac:dyDescent="0.25">
      <c r="A11345" s="2" t="str">
        <f ca="1">IFERROR(__xludf.DUMMYFUNCTION("""COMPUTED_VALUE"""),"seth2")</f>
        <v>seth2</v>
      </c>
      <c r="B11345" s="2" t="str">
        <f ca="1">IFERROR(__xludf.DUMMYFUNCTION("""COMPUTED_VALUE"""),"seth2")</f>
        <v>seth2</v>
      </c>
      <c r="C11345" s="2" t="str">
        <f ca="1">IFERROR(__xludf.DUMMYFUNCTION("""COMPUTED_VALUE"""),"sETH2")</f>
        <v>sETH2</v>
      </c>
    </row>
    <row r="11346" spans="1:3" x14ac:dyDescent="0.25">
      <c r="A11346" s="2" t="str">
        <f ca="1">IFERROR(__xludf.DUMMYFUNCTION("""COMPUTED_VALUE"""),"settled-ethxy-token")</f>
        <v>settled-ethxy-token</v>
      </c>
      <c r="B11346" s="2" t="str">
        <f ca="1">IFERROR(__xludf.DUMMYFUNCTION("""COMPUTED_VALUE"""),"sexy")</f>
        <v>sexy</v>
      </c>
      <c r="C11346" s="2" t="str">
        <f ca="1">IFERROR(__xludf.DUMMYFUNCTION("""COMPUTED_VALUE"""),"Settled EthXY Token")</f>
        <v>Settled EthXY Token</v>
      </c>
    </row>
    <row r="11347" spans="1:3" x14ac:dyDescent="0.25">
      <c r="A11347" s="2" t="str">
        <f ca="1">IFERROR(__xludf.DUMMYFUNCTION("""COMPUTED_VALUE"""),"seur")</f>
        <v>seur</v>
      </c>
      <c r="B11347" s="2" t="str">
        <f ca="1">IFERROR(__xludf.DUMMYFUNCTION("""COMPUTED_VALUE"""),"seur")</f>
        <v>seur</v>
      </c>
      <c r="C11347" s="2" t="str">
        <f ca="1">IFERROR(__xludf.DUMMYFUNCTION("""COMPUTED_VALUE"""),"sEUR")</f>
        <v>sEUR</v>
      </c>
    </row>
    <row r="11348" spans="1:3" x14ac:dyDescent="0.25">
      <c r="A11348" s="2" t="str">
        <f ca="1">IFERROR(__xludf.DUMMYFUNCTION("""COMPUTED_VALUE"""),"seven-deuce")</f>
        <v>seven-deuce</v>
      </c>
      <c r="B11348" s="2" t="str">
        <f ca="1">IFERROR(__xludf.DUMMYFUNCTION("""COMPUTED_VALUE"""),"sdt")</f>
        <v>sdt</v>
      </c>
      <c r="C11348" s="2" t="str">
        <f ca="1">IFERROR(__xludf.DUMMYFUNCTION("""COMPUTED_VALUE"""),"Seven Deuce")</f>
        <v>Seven Deuce</v>
      </c>
    </row>
    <row r="11349" spans="1:3" x14ac:dyDescent="0.25">
      <c r="A11349" s="2" t="str">
        <f ca="1">IFERROR(__xludf.DUMMYFUNCTION("""COMPUTED_VALUE"""),"sevilla-fan-token")</f>
        <v>sevilla-fan-token</v>
      </c>
      <c r="B11349" s="2" t="str">
        <f ca="1">IFERROR(__xludf.DUMMYFUNCTION("""COMPUTED_VALUE"""),"sevilla")</f>
        <v>sevilla</v>
      </c>
      <c r="C11349" s="2" t="str">
        <f ca="1">IFERROR(__xludf.DUMMYFUNCTION("""COMPUTED_VALUE"""),"Sevilla Fan Token")</f>
        <v>Sevilla Fan Token</v>
      </c>
    </row>
    <row r="11350" spans="1:3" x14ac:dyDescent="0.25">
      <c r="A11350" s="2" t="str">
        <f ca="1">IFERROR(__xludf.DUMMYFUNCTION("""COMPUTED_VALUE"""),"sexone")</f>
        <v>sexone</v>
      </c>
      <c r="B11350" s="2" t="str">
        <f ca="1">IFERROR(__xludf.DUMMYFUNCTION("""COMPUTED_VALUE"""),"sex")</f>
        <v>sex</v>
      </c>
      <c r="C11350" s="2" t="str">
        <f ca="1">IFERROR(__xludf.DUMMYFUNCTION("""COMPUTED_VALUE"""),"Sexone")</f>
        <v>Sexone</v>
      </c>
    </row>
    <row r="11351" spans="1:3" x14ac:dyDescent="0.25">
      <c r="A11351" s="2" t="str">
        <f ca="1">IFERROR(__xludf.DUMMYFUNCTION("""COMPUTED_VALUE"""),"s-finance")</f>
        <v>s-finance</v>
      </c>
      <c r="B11351" s="2" t="str">
        <f ca="1">IFERROR(__xludf.DUMMYFUNCTION("""COMPUTED_VALUE"""),"sfg")</f>
        <v>sfg</v>
      </c>
      <c r="C11351" s="2" t="str">
        <f ca="1">IFERROR(__xludf.DUMMYFUNCTION("""COMPUTED_VALUE"""),"S.Finance")</f>
        <v>S.Finance</v>
      </c>
    </row>
    <row r="11352" spans="1:3" x14ac:dyDescent="0.25">
      <c r="A11352" s="2" t="str">
        <f ca="1">IFERROR(__xludf.DUMMYFUNCTION("""COMPUTED_VALUE"""),"sfortuna-token")</f>
        <v>sfortuna-token</v>
      </c>
      <c r="B11352" s="2" t="str">
        <f ca="1">IFERROR(__xludf.DUMMYFUNCTION("""COMPUTED_VALUE"""),"sfort")</f>
        <v>sfort</v>
      </c>
      <c r="C11352" s="2" t="str">
        <f ca="1">IFERROR(__xludf.DUMMYFUNCTION("""COMPUTED_VALUE"""),"sFortuna Token")</f>
        <v>sFortuna Token</v>
      </c>
    </row>
    <row r="11353" spans="1:3" x14ac:dyDescent="0.25">
      <c r="A11353" s="2" t="str">
        <f ca="1">IFERROR(__xludf.DUMMYFUNCTION("""COMPUTED_VALUE"""),"sgn-sho-ga-nai-sgn-runes")</f>
        <v>sgn-sho-ga-nai-sgn-runes</v>
      </c>
      <c r="B11353" s="2" t="str">
        <f ca="1">IFERROR(__xludf.DUMMYFUNCTION("""COMPUTED_VALUE"""),"🤷")</f>
        <v>🤷</v>
      </c>
      <c r="C11353" s="2" t="str">
        <f ca="1">IFERROR(__xludf.DUMMYFUNCTION("""COMPUTED_VALUE"""),"SGN•SHO•GA•NAI•SGN (Runes)")</f>
        <v>SGN•SHO•GA•NAI•SGN (Runes)</v>
      </c>
    </row>
    <row r="11354" spans="1:3" x14ac:dyDescent="0.25">
      <c r="A11354" s="2" t="str">
        <f ca="1">IFERROR(__xludf.DUMMYFUNCTION("""COMPUTED_VALUE"""),"shack")</f>
        <v>shack</v>
      </c>
      <c r="B11354" s="2" t="str">
        <f ca="1">IFERROR(__xludf.DUMMYFUNCTION("""COMPUTED_VALUE"""),"shack")</f>
        <v>shack</v>
      </c>
      <c r="C11354" s="2" t="str">
        <f ca="1">IFERROR(__xludf.DUMMYFUNCTION("""COMPUTED_VALUE"""),"Shack")</f>
        <v>Shack</v>
      </c>
    </row>
    <row r="11355" spans="1:3" x14ac:dyDescent="0.25">
      <c r="A11355" s="2" t="str">
        <f ca="1">IFERROR(__xludf.DUMMYFUNCTION("""COMPUTED_VALUE"""),"shackleford")</f>
        <v>shackleford</v>
      </c>
      <c r="B11355" s="2" t="str">
        <f ca="1">IFERROR(__xludf.DUMMYFUNCTION("""COMPUTED_VALUE"""),"shack")</f>
        <v>shack</v>
      </c>
      <c r="C11355" s="2" t="str">
        <f ca="1">IFERROR(__xludf.DUMMYFUNCTION("""COMPUTED_VALUE"""),"Shackleford")</f>
        <v>Shackleford</v>
      </c>
    </row>
    <row r="11356" spans="1:3" x14ac:dyDescent="0.25">
      <c r="A11356" s="2" t="str">
        <f ca="1">IFERROR(__xludf.DUMMYFUNCTION("""COMPUTED_VALUE"""),"shade-protocol")</f>
        <v>shade-protocol</v>
      </c>
      <c r="B11356" s="2" t="str">
        <f ca="1">IFERROR(__xludf.DUMMYFUNCTION("""COMPUTED_VALUE"""),"shd")</f>
        <v>shd</v>
      </c>
      <c r="C11356" s="2" t="str">
        <f ca="1">IFERROR(__xludf.DUMMYFUNCTION("""COMPUTED_VALUE"""),"Shade Protocol")</f>
        <v>Shade Protocol</v>
      </c>
    </row>
    <row r="11357" spans="1:3" x14ac:dyDescent="0.25">
      <c r="A11357" s="2" t="str">
        <f ca="1">IFERROR(__xludf.DUMMYFUNCTION("""COMPUTED_VALUE"""),"shadowcats")</f>
        <v>shadowcats</v>
      </c>
      <c r="B11357" s="2" t="str">
        <f ca="1">IFERROR(__xludf.DUMMYFUNCTION("""COMPUTED_VALUE"""),"shadowcats")</f>
        <v>shadowcats</v>
      </c>
      <c r="C11357" s="2" t="str">
        <f ca="1">IFERROR(__xludf.DUMMYFUNCTION("""COMPUTED_VALUE"""),"Shadowcats")</f>
        <v>Shadowcats</v>
      </c>
    </row>
    <row r="11358" spans="1:3" x14ac:dyDescent="0.25">
      <c r="A11358" s="2" t="str">
        <f ca="1">IFERROR(__xludf.DUMMYFUNCTION("""COMPUTED_VALUE"""),"shadowfi-2")</f>
        <v>shadowfi-2</v>
      </c>
      <c r="B11358" s="2" t="str">
        <f ca="1">IFERROR(__xludf.DUMMYFUNCTION("""COMPUTED_VALUE"""),"sdg")</f>
        <v>sdg</v>
      </c>
      <c r="C11358" s="2" t="str">
        <f ca="1">IFERROR(__xludf.DUMMYFUNCTION("""COMPUTED_VALUE"""),"ShadowGold")</f>
        <v>ShadowGold</v>
      </c>
    </row>
    <row r="11359" spans="1:3" x14ac:dyDescent="0.25">
      <c r="A11359" s="2" t="str">
        <f ca="1">IFERROR(__xludf.DUMMYFUNCTION("""COMPUTED_VALUE"""),"shadowladys-dn404")</f>
        <v>shadowladys-dn404</v>
      </c>
      <c r="B11359" s="2" t="str">
        <f ca="1">IFERROR(__xludf.DUMMYFUNCTION("""COMPUTED_VALUE"""),"$shadow")</f>
        <v>$shadow</v>
      </c>
      <c r="C11359" s="2" t="str">
        <f ca="1">IFERROR(__xludf.DUMMYFUNCTION("""COMPUTED_VALUE"""),"Shadowladys DN404")</f>
        <v>Shadowladys DN404</v>
      </c>
    </row>
    <row r="11360" spans="1:3" x14ac:dyDescent="0.25">
      <c r="A11360" s="2" t="str">
        <f ca="1">IFERROR(__xludf.DUMMYFUNCTION("""COMPUTED_VALUE"""),"shadow-node")</f>
        <v>shadow-node</v>
      </c>
      <c r="B11360" s="2" t="str">
        <f ca="1">IFERROR(__xludf.DUMMYFUNCTION("""COMPUTED_VALUE"""),"svpn")</f>
        <v>svpn</v>
      </c>
      <c r="C11360" s="2" t="str">
        <f ca="1">IFERROR(__xludf.DUMMYFUNCTION("""COMPUTED_VALUE"""),"Shadow Node")</f>
        <v>Shadow Node</v>
      </c>
    </row>
    <row r="11361" spans="1:3" x14ac:dyDescent="0.25">
      <c r="A11361" s="2" t="str">
        <f ca="1">IFERROR(__xludf.DUMMYFUNCTION("""COMPUTED_VALUE"""),"shadowswap-token")</f>
        <v>shadowswap-token</v>
      </c>
      <c r="B11361" s="2" t="str">
        <f ca="1">IFERROR(__xludf.DUMMYFUNCTION("""COMPUTED_VALUE"""),"shdw")</f>
        <v>shdw</v>
      </c>
      <c r="C11361" s="2" t="str">
        <f ca="1">IFERROR(__xludf.DUMMYFUNCTION("""COMPUTED_VALUE"""),"ShadowSwap Token")</f>
        <v>ShadowSwap Token</v>
      </c>
    </row>
    <row r="11362" spans="1:3" x14ac:dyDescent="0.25">
      <c r="A11362" s="2" t="str">
        <f ca="1">IFERROR(__xludf.DUMMYFUNCTION("""COMPUTED_VALUE"""),"shadowtokens-bridged-usdc-elastos")</f>
        <v>shadowtokens-bridged-usdc-elastos</v>
      </c>
      <c r="B11362" s="2" t="str">
        <f ca="1">IFERROR(__xludf.DUMMYFUNCTION("""COMPUTED_VALUE"""),"ethusdc")</f>
        <v>ethusdc</v>
      </c>
      <c r="C11362" s="2" t="str">
        <f ca="1">IFERROR(__xludf.DUMMYFUNCTION("""COMPUTED_VALUE"""),"ShadowTokens Bridged USDC (Elastos)")</f>
        <v>ShadowTokens Bridged USDC (Elastos)</v>
      </c>
    </row>
    <row r="11363" spans="1:3" x14ac:dyDescent="0.25">
      <c r="A11363" s="2" t="str">
        <f ca="1">IFERROR(__xludf.DUMMYFUNCTION("""COMPUTED_VALUE"""),"shadowtokens-bridged-weth-elastos-smart-chain")</f>
        <v>shadowtokens-bridged-weth-elastos-smart-chain</v>
      </c>
      <c r="B11363" s="2" t="str">
        <f ca="1">IFERROR(__xludf.DUMMYFUNCTION("""COMPUTED_VALUE"""),"weth")</f>
        <v>weth</v>
      </c>
      <c r="C11363" s="2" t="str">
        <f ca="1">IFERROR(__xludf.DUMMYFUNCTION("""COMPUTED_VALUE"""),"ShadowTokens Bridged WETH (Elastos Smart Chain)")</f>
        <v>ShadowTokens Bridged WETH (Elastos Smart Chain)</v>
      </c>
    </row>
    <row r="11364" spans="1:3" x14ac:dyDescent="0.25">
      <c r="A11364" s="2" t="str">
        <f ca="1">IFERROR(__xludf.DUMMYFUNCTION("""COMPUTED_VALUE"""),"shadow-wizard-money-gang")</f>
        <v>shadow-wizard-money-gang</v>
      </c>
      <c r="B11364" s="2" t="str">
        <f ca="1">IFERROR(__xludf.DUMMYFUNCTION("""COMPUTED_VALUE"""),"gang")</f>
        <v>gang</v>
      </c>
      <c r="C11364" s="2" t="str">
        <f ca="1">IFERROR(__xludf.DUMMYFUNCTION("""COMPUTED_VALUE"""),"Shadow Wizard Money Gang")</f>
        <v>Shadow Wizard Money Gang</v>
      </c>
    </row>
    <row r="11365" spans="1:3" x14ac:dyDescent="0.25">
      <c r="A11365" s="2" t="str">
        <f ca="1">IFERROR(__xludf.DUMMYFUNCTION("""COMPUTED_VALUE"""),"shakaka")</f>
        <v>shakaka</v>
      </c>
      <c r="B11365" s="2" t="str">
        <f ca="1">IFERROR(__xludf.DUMMYFUNCTION("""COMPUTED_VALUE"""),"shkk")</f>
        <v>shkk</v>
      </c>
      <c r="C11365" s="2" t="str">
        <f ca="1">IFERROR(__xludf.DUMMYFUNCTION("""COMPUTED_VALUE"""),"Shakaka")</f>
        <v>Shakaka</v>
      </c>
    </row>
    <row r="11366" spans="1:3" x14ac:dyDescent="0.25">
      <c r="A11366" s="2" t="str">
        <f ca="1">IFERROR(__xludf.DUMMYFUNCTION("""COMPUTED_VALUE"""),"shakita-inu")</f>
        <v>shakita-inu</v>
      </c>
      <c r="B11366" s="2" t="str">
        <f ca="1">IFERROR(__xludf.DUMMYFUNCTION("""COMPUTED_VALUE"""),"shak")</f>
        <v>shak</v>
      </c>
      <c r="C11366" s="2" t="str">
        <f ca="1">IFERROR(__xludf.DUMMYFUNCTION("""COMPUTED_VALUE"""),"Shakita Inu")</f>
        <v>Shakita Inu</v>
      </c>
    </row>
    <row r="11367" spans="1:3" x14ac:dyDescent="0.25">
      <c r="A11367" s="2" t="str">
        <f ca="1">IFERROR(__xludf.DUMMYFUNCTION("""COMPUTED_VALUE"""),"shambala")</f>
        <v>shambala</v>
      </c>
      <c r="B11367" s="2" t="str">
        <f ca="1">IFERROR(__xludf.DUMMYFUNCTION("""COMPUTED_VALUE"""),"bala")</f>
        <v>bala</v>
      </c>
      <c r="C11367" s="2" t="str">
        <f ca="1">IFERROR(__xludf.DUMMYFUNCTION("""COMPUTED_VALUE"""),"Shambala")</f>
        <v>Shambala</v>
      </c>
    </row>
    <row r="11368" spans="1:3" x14ac:dyDescent="0.25">
      <c r="A11368" s="2" t="str">
        <f ca="1">IFERROR(__xludf.DUMMYFUNCTION("""COMPUTED_VALUE"""),"shanghai-inu")</f>
        <v>shanghai-inu</v>
      </c>
      <c r="B11368" s="2" t="str">
        <f ca="1">IFERROR(__xludf.DUMMYFUNCTION("""COMPUTED_VALUE"""),"shang")</f>
        <v>shang</v>
      </c>
      <c r="C11368" s="2" t="str">
        <f ca="1">IFERROR(__xludf.DUMMYFUNCTION("""COMPUTED_VALUE"""),"Shanghai Inu")</f>
        <v>Shanghai Inu</v>
      </c>
    </row>
    <row r="11369" spans="1:3" x14ac:dyDescent="0.25">
      <c r="A11369" s="2" t="str">
        <f ca="1">IFERROR(__xludf.DUMMYFUNCTION("""COMPUTED_VALUE"""),"shanum")</f>
        <v>shanum</v>
      </c>
      <c r="B11369" s="2" t="str">
        <f ca="1">IFERROR(__xludf.DUMMYFUNCTION("""COMPUTED_VALUE"""),"shan")</f>
        <v>shan</v>
      </c>
      <c r="C11369" s="2" t="str">
        <f ca="1">IFERROR(__xludf.DUMMYFUNCTION("""COMPUTED_VALUE"""),"Shanum")</f>
        <v>Shanum</v>
      </c>
    </row>
    <row r="11370" spans="1:3" x14ac:dyDescent="0.25">
      <c r="A11370" s="2" t="str">
        <f ca="1">IFERROR(__xludf.DUMMYFUNCTION("""COMPUTED_VALUE"""),"shapeshift-fox-token")</f>
        <v>shapeshift-fox-token</v>
      </c>
      <c r="B11370" s="2" t="str">
        <f ca="1">IFERROR(__xludf.DUMMYFUNCTION("""COMPUTED_VALUE"""),"fox")</f>
        <v>fox</v>
      </c>
      <c r="C11370" s="2" t="str">
        <f ca="1">IFERROR(__xludf.DUMMYFUNCTION("""COMPUTED_VALUE"""),"ShapeShift FOX")</f>
        <v>ShapeShift FOX</v>
      </c>
    </row>
    <row r="11371" spans="1:3" x14ac:dyDescent="0.25">
      <c r="A11371" s="2" t="str">
        <f ca="1">IFERROR(__xludf.DUMMYFUNCTION("""COMPUTED_VALUE"""),"sharbi")</f>
        <v>sharbi</v>
      </c>
      <c r="B11371" s="2" t="str">
        <f ca="1">IFERROR(__xludf.DUMMYFUNCTION("""COMPUTED_VALUE"""),"$sharbi")</f>
        <v>$sharbi</v>
      </c>
      <c r="C11371" s="2" t="str">
        <f ca="1">IFERROR(__xludf.DUMMYFUNCTION("""COMPUTED_VALUE"""),"Sharbi")</f>
        <v>Sharbi</v>
      </c>
    </row>
    <row r="11372" spans="1:3" x14ac:dyDescent="0.25">
      <c r="A11372" s="2" t="str">
        <f ca="1">IFERROR(__xludf.DUMMYFUNCTION("""COMPUTED_VALUE"""),"shardeum")</f>
        <v>shardeum</v>
      </c>
      <c r="B11372" s="2" t="str">
        <f ca="1">IFERROR(__xludf.DUMMYFUNCTION("""COMPUTED_VALUE"""),"shm")</f>
        <v>shm</v>
      </c>
      <c r="C11372" s="2" t="str">
        <f ca="1">IFERROR(__xludf.DUMMYFUNCTION("""COMPUTED_VALUE"""),"Shardeum")</f>
        <v>Shardeum</v>
      </c>
    </row>
    <row r="11373" spans="1:3" x14ac:dyDescent="0.25">
      <c r="A11373" s="2" t="str">
        <f ca="1">IFERROR(__xludf.DUMMYFUNCTION("""COMPUTED_VALUE"""),"shard-of-notcoin-nft-bond")</f>
        <v>shard-of-notcoin-nft-bond</v>
      </c>
      <c r="B11373" s="2" t="str">
        <f ca="1">IFERROR(__xludf.DUMMYFUNCTION("""COMPUTED_VALUE"""),"wnot")</f>
        <v>wnot</v>
      </c>
      <c r="C11373" s="2" t="str">
        <f ca="1">IFERROR(__xludf.DUMMYFUNCTION("""COMPUTED_VALUE"""),"Shard of Notcoin NFT bond")</f>
        <v>Shard of Notcoin NFT bond</v>
      </c>
    </row>
    <row r="11374" spans="1:3" x14ac:dyDescent="0.25">
      <c r="A11374" s="2" t="str">
        <f ca="1">IFERROR(__xludf.DUMMYFUNCTION("""COMPUTED_VALUE"""),"shards")</f>
        <v>shards</v>
      </c>
      <c r="B11374" s="2" t="str">
        <f ca="1">IFERROR(__xludf.DUMMYFUNCTION("""COMPUTED_VALUE"""),"shards")</f>
        <v>shards</v>
      </c>
      <c r="C11374" s="2" t="str">
        <f ca="1">IFERROR(__xludf.DUMMYFUNCTION("""COMPUTED_VALUE"""),"Shards")</f>
        <v>Shards</v>
      </c>
    </row>
    <row r="11375" spans="1:3" x14ac:dyDescent="0.25">
      <c r="A11375" s="2" t="str">
        <f ca="1">IFERROR(__xludf.DUMMYFUNCTION("""COMPUTED_VALUE"""),"shardus")</f>
        <v>shardus</v>
      </c>
      <c r="B11375" s="2" t="str">
        <f ca="1">IFERROR(__xludf.DUMMYFUNCTION("""COMPUTED_VALUE"""),"ult")</f>
        <v>ult</v>
      </c>
      <c r="C11375" s="2" t="str">
        <f ca="1">IFERROR(__xludf.DUMMYFUNCTION("""COMPUTED_VALUE"""),"Shardus")</f>
        <v>Shardus</v>
      </c>
    </row>
    <row r="11376" spans="1:3" x14ac:dyDescent="0.25">
      <c r="A11376" s="2" t="str">
        <f ca="1">IFERROR(__xludf.DUMMYFUNCTION("""COMPUTED_VALUE"""),"sharedstake-governance-token")</f>
        <v>sharedstake-governance-token</v>
      </c>
      <c r="B11376" s="2" t="str">
        <f ca="1">IFERROR(__xludf.DUMMYFUNCTION("""COMPUTED_VALUE"""),"sgtv2")</f>
        <v>sgtv2</v>
      </c>
      <c r="C11376" s="2" t="str">
        <f ca="1">IFERROR(__xludf.DUMMYFUNCTION("""COMPUTED_VALUE"""),"SharedStake Governance v2")</f>
        <v>SharedStake Governance v2</v>
      </c>
    </row>
    <row r="11377" spans="1:3" x14ac:dyDescent="0.25">
      <c r="A11377" s="2" t="str">
        <f ca="1">IFERROR(__xludf.DUMMYFUNCTION("""COMPUTED_VALUE"""),"share-on-crypto")</f>
        <v>share-on-crypto</v>
      </c>
      <c r="B11377" s="2" t="str">
        <f ca="1">IFERROR(__xludf.DUMMYFUNCTION("""COMPUTED_VALUE"""),"share")</f>
        <v>share</v>
      </c>
      <c r="C11377" s="2" t="str">
        <f ca="1">IFERROR(__xludf.DUMMYFUNCTION("""COMPUTED_VALUE"""),"SHARE")</f>
        <v>SHARE</v>
      </c>
    </row>
    <row r="11378" spans="1:3" x14ac:dyDescent="0.25">
      <c r="A11378" s="2" t="str">
        <f ca="1">IFERROR(__xludf.DUMMYFUNCTION("""COMPUTED_VALUE"""),"sharering")</f>
        <v>sharering</v>
      </c>
      <c r="B11378" s="2" t="str">
        <f ca="1">IFERROR(__xludf.DUMMYFUNCTION("""COMPUTED_VALUE"""),"shr")</f>
        <v>shr</v>
      </c>
      <c r="C11378" s="2" t="str">
        <f ca="1">IFERROR(__xludf.DUMMYFUNCTION("""COMPUTED_VALUE"""),"Share")</f>
        <v>Share</v>
      </c>
    </row>
    <row r="11379" spans="1:3" x14ac:dyDescent="0.25">
      <c r="A11379" s="2" t="str">
        <f ca="1">IFERROR(__xludf.DUMMYFUNCTION("""COMPUTED_VALUE"""),"shares-finance")</f>
        <v>shares-finance</v>
      </c>
      <c r="B11379" s="2" t="str">
        <f ca="1">IFERROR(__xludf.DUMMYFUNCTION("""COMPUTED_VALUE"""),"shares")</f>
        <v>shares</v>
      </c>
      <c r="C11379" s="2" t="str">
        <f ca="1">IFERROR(__xludf.DUMMYFUNCTION("""COMPUTED_VALUE"""),"shares.finance")</f>
        <v>shares.finance</v>
      </c>
    </row>
    <row r="11380" spans="1:3" x14ac:dyDescent="0.25">
      <c r="A11380" s="2" t="str">
        <f ca="1">IFERROR(__xludf.DUMMYFUNCTION("""COMPUTED_VALUE"""),"sharetheshaka")</f>
        <v>sharetheshaka</v>
      </c>
      <c r="B11380" s="2" t="str">
        <f ca="1">IFERROR(__xludf.DUMMYFUNCTION("""COMPUTED_VALUE"""),"$shaka")</f>
        <v>$shaka</v>
      </c>
      <c r="C11380" s="2" t="str">
        <f ca="1">IFERROR(__xludf.DUMMYFUNCTION("""COMPUTED_VALUE"""),"Shaka")</f>
        <v>Shaka</v>
      </c>
    </row>
    <row r="11381" spans="1:3" x14ac:dyDescent="0.25">
      <c r="A11381" s="2" t="str">
        <f ca="1">IFERROR(__xludf.DUMMYFUNCTION("""COMPUTED_VALUE"""),"shark-2")</f>
        <v>shark-2</v>
      </c>
      <c r="B11381" s="2" t="str">
        <f ca="1">IFERROR(__xludf.DUMMYFUNCTION("""COMPUTED_VALUE"""),"shark")</f>
        <v>shark</v>
      </c>
      <c r="C11381" s="2" t="str">
        <f ca="1">IFERROR(__xludf.DUMMYFUNCTION("""COMPUTED_VALUE"""),"Shark")</f>
        <v>Shark</v>
      </c>
    </row>
    <row r="11382" spans="1:3" x14ac:dyDescent="0.25">
      <c r="A11382" s="2" t="str">
        <f ca="1">IFERROR(__xludf.DUMMYFUNCTION("""COMPUTED_VALUE"""),"sharkbee")</f>
        <v>sharkbee</v>
      </c>
      <c r="B11382" s="2" t="str">
        <f ca="1">IFERROR(__xludf.DUMMYFUNCTION("""COMPUTED_VALUE"""),"sbee")</f>
        <v>sbee</v>
      </c>
      <c r="C11382" s="2" t="str">
        <f ca="1">IFERROR(__xludf.DUMMYFUNCTION("""COMPUTED_VALUE"""),"SharkBee")</f>
        <v>SharkBee</v>
      </c>
    </row>
    <row r="11383" spans="1:3" x14ac:dyDescent="0.25">
      <c r="A11383" s="2" t="str">
        <f ca="1">IFERROR(__xludf.DUMMYFUNCTION("""COMPUTED_VALUE"""),"shark-cat")</f>
        <v>shark-cat</v>
      </c>
      <c r="B11383" s="2" t="str">
        <f ca="1">IFERROR(__xludf.DUMMYFUNCTION("""COMPUTED_VALUE"""),"sc")</f>
        <v>sc</v>
      </c>
      <c r="C11383" s="2" t="str">
        <f ca="1">IFERROR(__xludf.DUMMYFUNCTION("""COMPUTED_VALUE"""),"Shark Cat")</f>
        <v>Shark Cat</v>
      </c>
    </row>
    <row r="11384" spans="1:3" x14ac:dyDescent="0.25">
      <c r="A11384" s="2" t="str">
        <f ca="1">IFERROR(__xludf.DUMMYFUNCTION("""COMPUTED_VALUE"""),"sharki")</f>
        <v>sharki</v>
      </c>
      <c r="B11384" s="2" t="str">
        <f ca="1">IFERROR(__xludf.DUMMYFUNCTION("""COMPUTED_VALUE"""),"sharki")</f>
        <v>sharki</v>
      </c>
      <c r="C11384" s="2" t="str">
        <f ca="1">IFERROR(__xludf.DUMMYFUNCTION("""COMPUTED_VALUE"""),"Sharki")</f>
        <v>Sharki</v>
      </c>
    </row>
    <row r="11385" spans="1:3" x14ac:dyDescent="0.25">
      <c r="A11385" s="2" t="str">
        <f ca="1">IFERROR(__xludf.DUMMYFUNCTION("""COMPUTED_VALUE"""),"sharky-fi")</f>
        <v>sharky-fi</v>
      </c>
      <c r="B11385" s="2" t="str">
        <f ca="1">IFERROR(__xludf.DUMMYFUNCTION("""COMPUTED_VALUE"""),"shark")</f>
        <v>shark</v>
      </c>
      <c r="C11385" s="2" t="str">
        <f ca="1">IFERROR(__xludf.DUMMYFUNCTION("""COMPUTED_VALUE"""),"Sharky")</f>
        <v>Sharky</v>
      </c>
    </row>
    <row r="11386" spans="1:3" x14ac:dyDescent="0.25">
      <c r="A11386" s="2" t="str">
        <f ca="1">IFERROR(__xludf.DUMMYFUNCTION("""COMPUTED_VALUE"""),"sharky-swap")</f>
        <v>sharky-swap</v>
      </c>
      <c r="B11386" s="2" t="str">
        <f ca="1">IFERROR(__xludf.DUMMYFUNCTION("""COMPUTED_VALUE"""),"sharky")</f>
        <v>sharky</v>
      </c>
      <c r="C11386" s="2" t="str">
        <f ca="1">IFERROR(__xludf.DUMMYFUNCTION("""COMPUTED_VALUE"""),"Sharky Swap")</f>
        <v>Sharky Swap</v>
      </c>
    </row>
    <row r="11387" spans="1:3" x14ac:dyDescent="0.25">
      <c r="A11387" s="2" t="str">
        <f ca="1">IFERROR(__xludf.DUMMYFUNCTION("""COMPUTED_VALUE"""),"sharpe-ai")</f>
        <v>sharpe-ai</v>
      </c>
      <c r="B11387" s="2" t="str">
        <f ca="1">IFERROR(__xludf.DUMMYFUNCTION("""COMPUTED_VALUE"""),"sai")</f>
        <v>sai</v>
      </c>
      <c r="C11387" s="2" t="str">
        <f ca="1">IFERROR(__xludf.DUMMYFUNCTION("""COMPUTED_VALUE"""),"Sharpe AI")</f>
        <v>Sharpe AI</v>
      </c>
    </row>
    <row r="11388" spans="1:3" x14ac:dyDescent="0.25">
      <c r="A11388" s="2" t="str">
        <f ca="1">IFERROR(__xludf.DUMMYFUNCTION("""COMPUTED_VALUE"""),"shawk")</f>
        <v>shawk</v>
      </c>
      <c r="B11388" s="2" t="str">
        <f ca="1">IFERROR(__xludf.DUMMYFUNCTION("""COMPUTED_VALUE"""),"shawk")</f>
        <v>shawk</v>
      </c>
      <c r="C11388" s="2" t="str">
        <f ca="1">IFERROR(__xludf.DUMMYFUNCTION("""COMPUTED_VALUE"""),"SHAWK")</f>
        <v>SHAWK</v>
      </c>
    </row>
    <row r="11389" spans="1:3" x14ac:dyDescent="0.25">
      <c r="A11389" s="2" t="str">
        <f ca="1">IFERROR(__xludf.DUMMYFUNCTION("""COMPUTED_VALUE"""),"sheboshis")</f>
        <v>sheboshis</v>
      </c>
      <c r="B11389" s="2" t="str">
        <f ca="1">IFERROR(__xludf.DUMMYFUNCTION("""COMPUTED_VALUE"""),"sheb")</f>
        <v>sheb</v>
      </c>
      <c r="C11389" s="2" t="str">
        <f ca="1">IFERROR(__xludf.DUMMYFUNCTION("""COMPUTED_VALUE"""),"SHEBOSHIS")</f>
        <v>SHEBOSHIS</v>
      </c>
    </row>
    <row r="11390" spans="1:3" x14ac:dyDescent="0.25">
      <c r="A11390" s="2" t="str">
        <f ca="1">IFERROR(__xludf.DUMMYFUNCTION("""COMPUTED_VALUE"""),"sheboshis-2")</f>
        <v>sheboshis-2</v>
      </c>
      <c r="B11390" s="2" t="str">
        <f ca="1">IFERROR(__xludf.DUMMYFUNCTION("""COMPUTED_VALUE"""),"sheb")</f>
        <v>sheb</v>
      </c>
      <c r="C11390" s="2" t="str">
        <f ca="1">IFERROR(__xludf.DUMMYFUNCTION("""COMPUTED_VALUE"""),"Sheboshis")</f>
        <v>Sheboshis</v>
      </c>
    </row>
    <row r="11391" spans="1:3" x14ac:dyDescent="0.25">
      <c r="A11391" s="2" t="str">
        <f ca="1">IFERROR(__xludf.DUMMYFUNCTION("""COMPUTED_VALUE"""),"sheesh-3")</f>
        <v>sheesh-3</v>
      </c>
      <c r="B11391" s="2" t="str">
        <f ca="1">IFERROR(__xludf.DUMMYFUNCTION("""COMPUTED_VALUE"""),"$sheesh")</f>
        <v>$sheesh</v>
      </c>
      <c r="C11391" s="2" t="str">
        <f ca="1">IFERROR(__xludf.DUMMYFUNCTION("""COMPUTED_VALUE"""),"Sheesh")</f>
        <v>Sheesh</v>
      </c>
    </row>
    <row r="11392" spans="1:3" x14ac:dyDescent="0.25">
      <c r="A11392" s="2" t="str">
        <f ca="1">IFERROR(__xludf.DUMMYFUNCTION("""COMPUTED_VALUE"""),"sheesha-finance")</f>
        <v>sheesha-finance</v>
      </c>
      <c r="B11392" s="2" t="str">
        <f ca="1">IFERROR(__xludf.DUMMYFUNCTION("""COMPUTED_VALUE"""),"sheesha")</f>
        <v>sheesha</v>
      </c>
      <c r="C11392" s="2" t="str">
        <f ca="1">IFERROR(__xludf.DUMMYFUNCTION("""COMPUTED_VALUE"""),"Sheesha Finance (BEP20)")</f>
        <v>Sheesha Finance (BEP20)</v>
      </c>
    </row>
    <row r="11393" spans="1:3" x14ac:dyDescent="0.25">
      <c r="A11393" s="2" t="str">
        <f ca="1">IFERROR(__xludf.DUMMYFUNCTION("""COMPUTED_VALUE"""),"sheesha-finance-erc20")</f>
        <v>sheesha-finance-erc20</v>
      </c>
      <c r="B11393" s="2" t="str">
        <f ca="1">IFERROR(__xludf.DUMMYFUNCTION("""COMPUTED_VALUE"""),"sheesha")</f>
        <v>sheesha</v>
      </c>
      <c r="C11393" s="2" t="str">
        <f ca="1">IFERROR(__xludf.DUMMYFUNCTION("""COMPUTED_VALUE"""),"Sheesha Finance (ERC20)")</f>
        <v>Sheesha Finance (ERC20)</v>
      </c>
    </row>
    <row r="11394" spans="1:3" x14ac:dyDescent="0.25">
      <c r="A11394" s="2" t="str">
        <f ca="1">IFERROR(__xludf.DUMMYFUNCTION("""COMPUTED_VALUE"""),"sheesha-finance-polygon")</f>
        <v>sheesha-finance-polygon</v>
      </c>
      <c r="B11394" s="2" t="str">
        <f ca="1">IFERROR(__xludf.DUMMYFUNCTION("""COMPUTED_VALUE"""),"msheesha")</f>
        <v>msheesha</v>
      </c>
      <c r="C11394" s="2" t="str">
        <f ca="1">IFERROR(__xludf.DUMMYFUNCTION("""COMPUTED_VALUE"""),"Sheesha Finance Polygon")</f>
        <v>Sheesha Finance Polygon</v>
      </c>
    </row>
    <row r="11395" spans="1:3" x14ac:dyDescent="0.25">
      <c r="A11395" s="2" t="str">
        <f ca="1">IFERROR(__xludf.DUMMYFUNCTION("""COMPUTED_VALUE"""),"sheeshin-on-solana")</f>
        <v>sheeshin-on-solana</v>
      </c>
      <c r="B11395" s="2" t="str">
        <f ca="1">IFERROR(__xludf.DUMMYFUNCTION("""COMPUTED_VALUE"""),"sheesh")</f>
        <v>sheesh</v>
      </c>
      <c r="C11395" s="2" t="str">
        <f ca="1">IFERROR(__xludf.DUMMYFUNCTION("""COMPUTED_VALUE"""),"SheeshSPL")</f>
        <v>SheeshSPL</v>
      </c>
    </row>
    <row r="11396" spans="1:3" x14ac:dyDescent="0.25">
      <c r="A11396" s="2" t="str">
        <f ca="1">IFERROR(__xludf.DUMMYFUNCTION("""COMPUTED_VALUE"""),"sheishei")</f>
        <v>sheishei</v>
      </c>
      <c r="B11396" s="2" t="str">
        <f ca="1">IFERROR(__xludf.DUMMYFUNCTION("""COMPUTED_VALUE"""),"shei")</f>
        <v>shei</v>
      </c>
      <c r="C11396" s="2" t="str">
        <f ca="1">IFERROR(__xludf.DUMMYFUNCTION("""COMPUTED_VALUE"""),"SheiShei")</f>
        <v>SheiShei</v>
      </c>
    </row>
    <row r="11397" spans="1:3" x14ac:dyDescent="0.25">
      <c r="A11397" s="2" t="str">
        <f ca="1">IFERROR(__xludf.DUMMYFUNCTION("""COMPUTED_VALUE"""),"shell")</f>
        <v>shell</v>
      </c>
      <c r="B11397" s="2" t="str">
        <f ca="1">IFERROR(__xludf.DUMMYFUNCTION("""COMPUTED_VALUE"""),"ss20")</f>
        <v>ss20</v>
      </c>
      <c r="C11397" s="2" t="str">
        <f ca="1">IFERROR(__xludf.DUMMYFUNCTION("""COMPUTED_VALUE"""),"SHELL")</f>
        <v>SHELL</v>
      </c>
    </row>
    <row r="11398" spans="1:3" x14ac:dyDescent="0.25">
      <c r="A11398" s="2" t="str">
        <f ca="1">IFERROR(__xludf.DUMMYFUNCTION("""COMPUTED_VALUE"""),"shelling")</f>
        <v>shelling</v>
      </c>
      <c r="B11398" s="2" t="str">
        <f ca="1">IFERROR(__xludf.DUMMYFUNCTION("""COMPUTED_VALUE"""),"shl")</f>
        <v>shl</v>
      </c>
      <c r="C11398" s="2" t="str">
        <f ca="1">IFERROR(__xludf.DUMMYFUNCTION("""COMPUTED_VALUE"""),"Shelling")</f>
        <v>Shelling</v>
      </c>
    </row>
    <row r="11399" spans="1:3" x14ac:dyDescent="0.25">
      <c r="A11399" s="2" t="str">
        <f ca="1">IFERROR(__xludf.DUMMYFUNCTION("""COMPUTED_VALUE"""),"shell-protocol-token")</f>
        <v>shell-protocol-token</v>
      </c>
      <c r="B11399" s="2" t="str">
        <f ca="1">IFERROR(__xludf.DUMMYFUNCTION("""COMPUTED_VALUE"""),"shell")</f>
        <v>shell</v>
      </c>
      <c r="C11399" s="2" t="str">
        <f ca="1">IFERROR(__xludf.DUMMYFUNCTION("""COMPUTED_VALUE"""),"Shell")</f>
        <v>Shell</v>
      </c>
    </row>
    <row r="11400" spans="1:3" x14ac:dyDescent="0.25">
      <c r="A11400" s="2" t="str">
        <f ca="1">IFERROR(__xludf.DUMMYFUNCTION("""COMPUTED_VALUE"""),"shelter-secure-ai")</f>
        <v>shelter-secure-ai</v>
      </c>
      <c r="B11400" s="2" t="str">
        <f ca="1">IFERROR(__xludf.DUMMYFUNCTION("""COMPUTED_VALUE"""),"ssai")</f>
        <v>ssai</v>
      </c>
      <c r="C11400" s="2" t="str">
        <f ca="1">IFERROR(__xludf.DUMMYFUNCTION("""COMPUTED_VALUE"""),"Shelter Secure AI")</f>
        <v>Shelter Secure AI</v>
      </c>
    </row>
    <row r="11401" spans="1:3" x14ac:dyDescent="0.25">
      <c r="A11401" s="2" t="str">
        <f ca="1">IFERROR(__xludf.DUMMYFUNCTION("""COMPUTED_VALUE"""),"shelterz")</f>
        <v>shelterz</v>
      </c>
      <c r="B11401" s="2" t="str">
        <f ca="1">IFERROR(__xludf.DUMMYFUNCTION("""COMPUTED_VALUE"""),"terz")</f>
        <v>terz</v>
      </c>
      <c r="C11401" s="2" t="str">
        <f ca="1">IFERROR(__xludf.DUMMYFUNCTION("""COMPUTED_VALUE"""),"SHELTERZ")</f>
        <v>SHELTERZ</v>
      </c>
    </row>
    <row r="11402" spans="1:3" x14ac:dyDescent="0.25">
      <c r="A11402" s="2" t="str">
        <f ca="1">IFERROR(__xludf.DUMMYFUNCTION("""COMPUTED_VALUE"""),"shen")</f>
        <v>shen</v>
      </c>
      <c r="B11402" s="2" t="str">
        <f ca="1">IFERROR(__xludf.DUMMYFUNCTION("""COMPUTED_VALUE"""),"shen")</f>
        <v>shen</v>
      </c>
      <c r="C11402" s="2" t="str">
        <f ca="1">IFERROR(__xludf.DUMMYFUNCTION("""COMPUTED_VALUE"""),"Shen")</f>
        <v>Shen</v>
      </c>
    </row>
    <row r="11403" spans="1:3" x14ac:dyDescent="0.25">
      <c r="A11403" s="2" t="str">
        <f ca="1">IFERROR(__xludf.DUMMYFUNCTION("""COMPUTED_VALUE"""),"shepe")</f>
        <v>shepe</v>
      </c>
      <c r="B11403" s="2" t="str">
        <f ca="1">IFERROR(__xludf.DUMMYFUNCTION("""COMPUTED_VALUE"""),"$shepe")</f>
        <v>$shepe</v>
      </c>
      <c r="C11403" s="2" t="str">
        <f ca="1">IFERROR(__xludf.DUMMYFUNCTION("""COMPUTED_VALUE"""),"SHEPE")</f>
        <v>SHEPE</v>
      </c>
    </row>
    <row r="11404" spans="1:3" x14ac:dyDescent="0.25">
      <c r="A11404" s="2" t="str">
        <f ca="1">IFERROR(__xludf.DUMMYFUNCTION("""COMPUTED_VALUE"""),"sherk")</f>
        <v>sherk</v>
      </c>
      <c r="B11404" s="2" t="str">
        <f ca="1">IFERROR(__xludf.DUMMYFUNCTION("""COMPUTED_VALUE"""),"sherk")</f>
        <v>sherk</v>
      </c>
      <c r="C11404" s="2" t="str">
        <f ca="1">IFERROR(__xludf.DUMMYFUNCTION("""COMPUTED_VALUE"""),"Sherk")</f>
        <v>Sherk</v>
      </c>
    </row>
    <row r="11405" spans="1:3" x14ac:dyDescent="0.25">
      <c r="A11405" s="2" t="str">
        <f ca="1">IFERROR(__xludf.DUMMYFUNCTION("""COMPUTED_VALUE"""),"shezmu")</f>
        <v>shezmu</v>
      </c>
      <c r="B11405" s="2" t="str">
        <f ca="1">IFERROR(__xludf.DUMMYFUNCTION("""COMPUTED_VALUE"""),"shezmu")</f>
        <v>shezmu</v>
      </c>
      <c r="C11405" s="2" t="str">
        <f ca="1">IFERROR(__xludf.DUMMYFUNCTION("""COMPUTED_VALUE"""),"Shezmu")</f>
        <v>Shezmu</v>
      </c>
    </row>
    <row r="11406" spans="1:3" x14ac:dyDescent="0.25">
      <c r="A11406" s="2" t="str">
        <f ca="1">IFERROR(__xludf.DUMMYFUNCTION("""COMPUTED_VALUE"""),"shezmubtc")</f>
        <v>shezmubtc</v>
      </c>
      <c r="B11406" s="2" t="str">
        <f ca="1">IFERROR(__xludf.DUMMYFUNCTION("""COMPUTED_VALUE"""),"shezbtc")</f>
        <v>shezbtc</v>
      </c>
      <c r="C11406" s="2" t="str">
        <f ca="1">IFERROR(__xludf.DUMMYFUNCTION("""COMPUTED_VALUE"""),"ShezmuBTC")</f>
        <v>ShezmuBTC</v>
      </c>
    </row>
    <row r="11407" spans="1:3" x14ac:dyDescent="0.25">
      <c r="A11407" s="2" t="str">
        <f ca="1">IFERROR(__xludf.DUMMYFUNCTION("""COMPUTED_VALUE"""),"shezmueth")</f>
        <v>shezmueth</v>
      </c>
      <c r="B11407" s="2" t="str">
        <f ca="1">IFERROR(__xludf.DUMMYFUNCTION("""COMPUTED_VALUE"""),"shezeth")</f>
        <v>shezeth</v>
      </c>
      <c r="C11407" s="2" t="str">
        <f ca="1">IFERROR(__xludf.DUMMYFUNCTION("""COMPUTED_VALUE"""),"ShezmuETH")</f>
        <v>ShezmuETH</v>
      </c>
    </row>
    <row r="11408" spans="1:3" x14ac:dyDescent="0.25">
      <c r="A11408" s="2" t="str">
        <f ca="1">IFERROR(__xludf.DUMMYFUNCTION("""COMPUTED_VALUE"""),"shezmuusd")</f>
        <v>shezmuusd</v>
      </c>
      <c r="B11408" s="2" t="str">
        <f ca="1">IFERROR(__xludf.DUMMYFUNCTION("""COMPUTED_VALUE"""),"shezusd")</f>
        <v>shezusd</v>
      </c>
      <c r="C11408" s="2" t="str">
        <f ca="1">IFERROR(__xludf.DUMMYFUNCTION("""COMPUTED_VALUE"""),"ShezmuUSD")</f>
        <v>ShezmuUSD</v>
      </c>
    </row>
    <row r="11409" spans="1:3" x14ac:dyDescent="0.25">
      <c r="A11409" s="2" t="str">
        <f ca="1">IFERROR(__xludf.DUMMYFUNCTION("""COMPUTED_VALUE"""),"shib2")</f>
        <v>shib2</v>
      </c>
      <c r="B11409" s="2" t="str">
        <f ca="1">IFERROR(__xludf.DUMMYFUNCTION("""COMPUTED_VALUE"""),"shib2")</f>
        <v>shib2</v>
      </c>
      <c r="C11409" s="2" t="str">
        <f ca="1">IFERROR(__xludf.DUMMYFUNCTION("""COMPUTED_VALUE"""),"SHIB2")</f>
        <v>SHIB2</v>
      </c>
    </row>
    <row r="11410" spans="1:3" x14ac:dyDescent="0.25">
      <c r="A11410" s="2" t="str">
        <f ca="1">IFERROR(__xludf.DUMMYFUNCTION("""COMPUTED_VALUE"""),"shib2-0")</f>
        <v>shib2-0</v>
      </c>
      <c r="B11410" s="2" t="str">
        <f ca="1">IFERROR(__xludf.DUMMYFUNCTION("""COMPUTED_VALUE"""),"shib2.0")</f>
        <v>shib2.0</v>
      </c>
      <c r="C11410" s="2" t="str">
        <f ca="1">IFERROR(__xludf.DUMMYFUNCTION("""COMPUTED_VALUE"""),"Shib2.0")</f>
        <v>Shib2.0</v>
      </c>
    </row>
    <row r="11411" spans="1:3" x14ac:dyDescent="0.25">
      <c r="A11411" s="2" t="str">
        <f ca="1">IFERROR(__xludf.DUMMYFUNCTION("""COMPUTED_VALUE"""),"shiba")</f>
        <v>shiba</v>
      </c>
      <c r="B11411" s="2" t="str">
        <f ca="1">IFERROR(__xludf.DUMMYFUNCTION("""COMPUTED_VALUE"""),"shiba")</f>
        <v>shiba</v>
      </c>
      <c r="C11411" s="2" t="str">
        <f ca="1">IFERROR(__xludf.DUMMYFUNCTION("""COMPUTED_VALUE"""),"Shiba")</f>
        <v>Shiba</v>
      </c>
    </row>
    <row r="11412" spans="1:3" x14ac:dyDescent="0.25">
      <c r="A11412" s="2" t="str">
        <f ca="1">IFERROR(__xludf.DUMMYFUNCTION("""COMPUTED_VALUE"""),"shibaai")</f>
        <v>shibaai</v>
      </c>
      <c r="B11412" s="2" t="str">
        <f ca="1">IFERROR(__xludf.DUMMYFUNCTION("""COMPUTED_VALUE"""),"shibaai")</f>
        <v>shibaai</v>
      </c>
      <c r="C11412" s="2" t="str">
        <f ca="1">IFERROR(__xludf.DUMMYFUNCTION("""COMPUTED_VALUE"""),"SHIBAAI")</f>
        <v>SHIBAAI</v>
      </c>
    </row>
    <row r="11413" spans="1:3" x14ac:dyDescent="0.25">
      <c r="A11413" s="2" t="str">
        <f ca="1">IFERROR(__xludf.DUMMYFUNCTION("""COMPUTED_VALUE"""),"shiba-armstrong")</f>
        <v>shiba-armstrong</v>
      </c>
      <c r="B11413" s="2" t="str">
        <f ca="1">IFERROR(__xludf.DUMMYFUNCTION("""COMPUTED_VALUE"""),"shiba")</f>
        <v>shiba</v>
      </c>
      <c r="C11413" s="2" t="str">
        <f ca="1">IFERROR(__xludf.DUMMYFUNCTION("""COMPUTED_VALUE"""),"Shiba Armstrong")</f>
        <v>Shiba Armstrong</v>
      </c>
    </row>
    <row r="11414" spans="1:3" x14ac:dyDescent="0.25">
      <c r="A11414" s="2" t="str">
        <f ca="1">IFERROR(__xludf.DUMMYFUNCTION("""COMPUTED_VALUE"""),"shibabitcoin")</f>
        <v>shibabitcoin</v>
      </c>
      <c r="B11414" s="2" t="str">
        <f ca="1">IFERROR(__xludf.DUMMYFUNCTION("""COMPUTED_VALUE"""),"shibtc")</f>
        <v>shibtc</v>
      </c>
      <c r="C11414" s="2" t="str">
        <f ca="1">IFERROR(__xludf.DUMMYFUNCTION("""COMPUTED_VALUE"""),"Shibabitcoin [OLD]")</f>
        <v>Shibabitcoin [OLD]</v>
      </c>
    </row>
    <row r="11415" spans="1:3" x14ac:dyDescent="0.25">
      <c r="A11415" s="2" t="str">
        <f ca="1">IFERROR(__xludf.DUMMYFUNCTION("""COMPUTED_VALUE"""),"shibabitcoin-2")</f>
        <v>shibabitcoin-2</v>
      </c>
      <c r="B11415" s="2" t="str">
        <f ca="1">IFERROR(__xludf.DUMMYFUNCTION("""COMPUTED_VALUE"""),"shibtc")</f>
        <v>shibtc</v>
      </c>
      <c r="C11415" s="2" t="str">
        <f ca="1">IFERROR(__xludf.DUMMYFUNCTION("""COMPUTED_VALUE"""),"Shibabitcoin")</f>
        <v>Shibabitcoin</v>
      </c>
    </row>
    <row r="11416" spans="1:3" x14ac:dyDescent="0.25">
      <c r="A11416" s="2" t="str">
        <f ca="1">IFERROR(__xludf.DUMMYFUNCTION("""COMPUTED_VALUE"""),"shiba-bsc")</f>
        <v>shiba-bsc</v>
      </c>
      <c r="B11416" s="2" t="str">
        <f ca="1">IFERROR(__xludf.DUMMYFUNCTION("""COMPUTED_VALUE"""),"shibsc")</f>
        <v>shibsc</v>
      </c>
      <c r="C11416" s="2" t="str">
        <f ca="1">IFERROR(__xludf.DUMMYFUNCTION("""COMPUTED_VALUE"""),"SHIBA BSC")</f>
        <v>SHIBA BSC</v>
      </c>
    </row>
    <row r="11417" spans="1:3" x14ac:dyDescent="0.25">
      <c r="A11417" s="2" t="str">
        <f ca="1">IFERROR(__xludf.DUMMYFUNCTION("""COMPUTED_VALUE"""),"shiba-cartel")</f>
        <v>shiba-cartel</v>
      </c>
      <c r="B11417" s="2" t="str">
        <f ca="1">IFERROR(__xludf.DUMMYFUNCTION("""COMPUTED_VALUE"""),"pesos")</f>
        <v>pesos</v>
      </c>
      <c r="C11417" s="2" t="str">
        <f ca="1">IFERROR(__xludf.DUMMYFUNCTION("""COMPUTED_VALUE"""),"Shiba Cartel")</f>
        <v>Shiba Cartel</v>
      </c>
    </row>
    <row r="11418" spans="1:3" x14ac:dyDescent="0.25">
      <c r="A11418" s="2" t="str">
        <f ca="1">IFERROR(__xludf.DUMMYFUNCTION("""COMPUTED_VALUE"""),"shiba-ceo")</f>
        <v>shiba-ceo</v>
      </c>
      <c r="B11418" s="2" t="str">
        <f ca="1">IFERROR(__xludf.DUMMYFUNCTION("""COMPUTED_VALUE"""),"shibceo")</f>
        <v>shibceo</v>
      </c>
      <c r="C11418" s="2" t="str">
        <f ca="1">IFERROR(__xludf.DUMMYFUNCTION("""COMPUTED_VALUE"""),"Shiba CEO")</f>
        <v>Shiba CEO</v>
      </c>
    </row>
    <row r="11419" spans="1:3" x14ac:dyDescent="0.25">
      <c r="A11419" s="2" t="str">
        <f ca="1">IFERROR(__xludf.DUMMYFUNCTION("""COMPUTED_VALUE"""),"shiba-classic")</f>
        <v>shiba-classic</v>
      </c>
      <c r="B11419" s="2" t="str">
        <f ca="1">IFERROR(__xludf.DUMMYFUNCTION("""COMPUTED_VALUE"""),"shibc")</f>
        <v>shibc</v>
      </c>
      <c r="C11419" s="2" t="str">
        <f ca="1">IFERROR(__xludf.DUMMYFUNCTION("""COMPUTED_VALUE"""),"Shiba Classic")</f>
        <v>Shiba Classic</v>
      </c>
    </row>
    <row r="11420" spans="1:3" x14ac:dyDescent="0.25">
      <c r="A11420" s="2" t="str">
        <f ca="1">IFERROR(__xludf.DUMMYFUNCTION("""COMPUTED_VALUE"""),"shibacorgi")</f>
        <v>shibacorgi</v>
      </c>
      <c r="B11420" s="2" t="str">
        <f ca="1">IFERROR(__xludf.DUMMYFUNCTION("""COMPUTED_VALUE"""),"shico")</f>
        <v>shico</v>
      </c>
      <c r="C11420" s="2" t="str">
        <f ca="1">IFERROR(__xludf.DUMMYFUNCTION("""COMPUTED_VALUE"""),"ShibaCorgi")</f>
        <v>ShibaCorgi</v>
      </c>
    </row>
    <row r="11421" spans="1:3" x14ac:dyDescent="0.25">
      <c r="A11421" s="2" t="str">
        <f ca="1">IFERROR(__xludf.DUMMYFUNCTION("""COMPUTED_VALUE"""),"shibadoge")</f>
        <v>shibadoge</v>
      </c>
      <c r="B11421" s="2" t="str">
        <f ca="1">IFERROR(__xludf.DUMMYFUNCTION("""COMPUTED_VALUE"""),"shibdoge")</f>
        <v>shibdoge</v>
      </c>
      <c r="C11421" s="2" t="str">
        <f ca="1">IFERROR(__xludf.DUMMYFUNCTION("""COMPUTED_VALUE"""),"ShibaDoge")</f>
        <v>ShibaDoge</v>
      </c>
    </row>
    <row r="11422" spans="1:3" x14ac:dyDescent="0.25">
      <c r="A11422" s="2" t="str">
        <f ca="1">IFERROR(__xludf.DUMMYFUNCTION("""COMPUTED_VALUE"""),"shiba-doge-burn")</f>
        <v>shiba-doge-burn</v>
      </c>
      <c r="B11422" s="2" t="str">
        <f ca="1">IFERROR(__xludf.DUMMYFUNCTION("""COMPUTED_VALUE"""),"burn")</f>
        <v>burn</v>
      </c>
      <c r="C11422" s="2" t="str">
        <f ca="1">IFERROR(__xludf.DUMMYFUNCTION("""COMPUTED_VALUE"""),"BURN")</f>
        <v>BURN</v>
      </c>
    </row>
    <row r="11423" spans="1:3" x14ac:dyDescent="0.25">
      <c r="A11423" s="2" t="str">
        <f ca="1">IFERROR(__xludf.DUMMYFUNCTION("""COMPUTED_VALUE"""),"shiba-floki")</f>
        <v>shiba-floki</v>
      </c>
      <c r="B11423" s="2" t="str">
        <f ca="1">IFERROR(__xludf.DUMMYFUNCTION("""COMPUTED_VALUE"""),"floki")</f>
        <v>floki</v>
      </c>
      <c r="C11423" s="2" t="str">
        <f ca="1">IFERROR(__xludf.DUMMYFUNCTION("""COMPUTED_VALUE"""),"Shiba Floki Inu")</f>
        <v>Shiba Floki Inu</v>
      </c>
    </row>
    <row r="11424" spans="1:3" x14ac:dyDescent="0.25">
      <c r="A11424" s="2" t="str">
        <f ca="1">IFERROR(__xludf.DUMMYFUNCTION("""COMPUTED_VALUE"""),"shibafomi")</f>
        <v>shibafomi</v>
      </c>
      <c r="B11424" s="2" t="str">
        <f ca="1">IFERROR(__xludf.DUMMYFUNCTION("""COMPUTED_VALUE"""),"shifo")</f>
        <v>shifo</v>
      </c>
      <c r="C11424" s="2" t="str">
        <f ca="1">IFERROR(__xludf.DUMMYFUNCTION("""COMPUTED_VALUE"""),"Shibafomi")</f>
        <v>Shibafomi</v>
      </c>
    </row>
    <row r="11425" spans="1:3" x14ac:dyDescent="0.25">
      <c r="A11425" s="2" t="str">
        <f ca="1">IFERROR(__xludf.DUMMYFUNCTION("""COMPUTED_VALUE"""),"shiba-inu")</f>
        <v>shiba-inu</v>
      </c>
      <c r="B11425" s="2" t="str">
        <f ca="1">IFERROR(__xludf.DUMMYFUNCTION("""COMPUTED_VALUE"""),"shib")</f>
        <v>shib</v>
      </c>
      <c r="C11425" s="2" t="str">
        <f ca="1">IFERROR(__xludf.DUMMYFUNCTION("""COMPUTED_VALUE"""),"Shiba Inu")</f>
        <v>Shiba Inu</v>
      </c>
    </row>
    <row r="11426" spans="1:3" x14ac:dyDescent="0.25">
      <c r="A11426" s="2" t="str">
        <f ca="1">IFERROR(__xludf.DUMMYFUNCTION("""COMPUTED_VALUE"""),"shiba-inu-empire")</f>
        <v>shiba-inu-empire</v>
      </c>
      <c r="B11426" s="2" t="str">
        <f ca="1">IFERROR(__xludf.DUMMYFUNCTION("""COMPUTED_VALUE"""),"shibemp")</f>
        <v>shibemp</v>
      </c>
      <c r="C11426" s="2" t="str">
        <f ca="1">IFERROR(__xludf.DUMMYFUNCTION("""COMPUTED_VALUE"""),"Shiba Inu Empire")</f>
        <v>Shiba Inu Empire</v>
      </c>
    </row>
    <row r="11427" spans="1:3" x14ac:dyDescent="0.25">
      <c r="A11427" s="2" t="str">
        <f ca="1">IFERROR(__xludf.DUMMYFUNCTION("""COMPUTED_VALUE"""),"shiba-inu-wormhole")</f>
        <v>shiba-inu-wormhole</v>
      </c>
      <c r="B11427" s="2" t="str">
        <f ca="1">IFERROR(__xludf.DUMMYFUNCTION("""COMPUTED_VALUE"""),"shib")</f>
        <v>shib</v>
      </c>
      <c r="C11427" s="2" t="str">
        <f ca="1">IFERROR(__xludf.DUMMYFUNCTION("""COMPUTED_VALUE"""),"Shiba Inu (Wormhole)")</f>
        <v>Shiba Inu (Wormhole)</v>
      </c>
    </row>
    <row r="11428" spans="1:3" x14ac:dyDescent="0.25">
      <c r="A11428" s="2" t="str">
        <f ca="1">IFERROR(__xludf.DUMMYFUNCTION("""COMPUTED_VALUE"""),"shibakeanu")</f>
        <v>shibakeanu</v>
      </c>
      <c r="B11428" s="2" t="str">
        <f ca="1">IFERROR(__xludf.DUMMYFUNCTION("""COMPUTED_VALUE"""),"$shibk")</f>
        <v>$shibk</v>
      </c>
      <c r="C11428" s="2" t="str">
        <f ca="1">IFERROR(__xludf.DUMMYFUNCTION("""COMPUTED_VALUE"""),"ShibaKeanu")</f>
        <v>ShibaKeanu</v>
      </c>
    </row>
    <row r="11429" spans="1:3" x14ac:dyDescent="0.25">
      <c r="A11429" s="2" t="str">
        <f ca="1">IFERROR(__xludf.DUMMYFUNCTION("""COMPUTED_VALUE"""),"shibaken-finance")</f>
        <v>shibaken-finance</v>
      </c>
      <c r="B11429" s="2" t="str">
        <f ca="1">IFERROR(__xludf.DUMMYFUNCTION("""COMPUTED_VALUE"""),"shibaken")</f>
        <v>shibaken</v>
      </c>
      <c r="C11429" s="2" t="str">
        <f ca="1">IFERROR(__xludf.DUMMYFUNCTION("""COMPUTED_VALUE"""),"Shibaken Finance")</f>
        <v>Shibaken Finance</v>
      </c>
    </row>
    <row r="11430" spans="1:3" x14ac:dyDescent="0.25">
      <c r="A11430" s="2" t="str">
        <f ca="1">IFERROR(__xludf.DUMMYFUNCTION("""COMPUTED_VALUE"""),"shibaments")</f>
        <v>shibaments</v>
      </c>
      <c r="B11430" s="2" t="str">
        <f ca="1">IFERROR(__xludf.DUMMYFUNCTION("""COMPUTED_VALUE"""),"sbmt")</f>
        <v>sbmt</v>
      </c>
      <c r="C11430" s="2" t="str">
        <f ca="1">IFERROR(__xludf.DUMMYFUNCTION("""COMPUTED_VALUE"""),"Shibaments")</f>
        <v>Shibaments</v>
      </c>
    </row>
    <row r="11431" spans="1:3" x14ac:dyDescent="0.25">
      <c r="A11431" s="2" t="str">
        <f ca="1">IFERROR(__xludf.DUMMYFUNCTION("""COMPUTED_VALUE"""),"shibana")</f>
        <v>shibana</v>
      </c>
      <c r="B11431" s="2" t="str">
        <f ca="1">IFERROR(__xludf.DUMMYFUNCTION("""COMPUTED_VALUE"""),"bana")</f>
        <v>bana</v>
      </c>
      <c r="C11431" s="2" t="str">
        <f ca="1">IFERROR(__xludf.DUMMYFUNCTION("""COMPUTED_VALUE"""),"Shibana")</f>
        <v>Shibana</v>
      </c>
    </row>
    <row r="11432" spans="1:3" x14ac:dyDescent="0.25">
      <c r="A11432" s="2" t="str">
        <f ca="1">IFERROR(__xludf.DUMMYFUNCTION("""COMPUTED_VALUE"""),"shibanft")</f>
        <v>shibanft</v>
      </c>
      <c r="B11432" s="2" t="str">
        <f ca="1">IFERROR(__xludf.DUMMYFUNCTION("""COMPUTED_VALUE"""),"shibanft")</f>
        <v>shibanft</v>
      </c>
      <c r="C11432" s="2" t="str">
        <f ca="1">IFERROR(__xludf.DUMMYFUNCTION("""COMPUTED_VALUE"""),"ShibaNFT")</f>
        <v>ShibaNFT</v>
      </c>
    </row>
    <row r="11433" spans="1:3" x14ac:dyDescent="0.25">
      <c r="A11433" s="2" t="str">
        <f ca="1">IFERROR(__xludf.DUMMYFUNCTION("""COMPUTED_VALUE"""),"shibapoconk")</f>
        <v>shibapoconk</v>
      </c>
      <c r="B11433" s="2" t="str">
        <f ca="1">IFERROR(__xludf.DUMMYFUNCTION("""COMPUTED_VALUE"""),"conk")</f>
        <v>conk</v>
      </c>
      <c r="C11433" s="2" t="str">
        <f ca="1">IFERROR(__xludf.DUMMYFUNCTION("""COMPUTED_VALUE"""),"ShibaPoconk")</f>
        <v>ShibaPoconk</v>
      </c>
    </row>
    <row r="11434" spans="1:3" x14ac:dyDescent="0.25">
      <c r="A11434" s="2" t="str">
        <f ca="1">IFERROR(__xludf.DUMMYFUNCTION("""COMPUTED_VALUE"""),"shiba-predator")</f>
        <v>shiba-predator</v>
      </c>
      <c r="B11434" s="2" t="str">
        <f ca="1">IFERROR(__xludf.DUMMYFUNCTION("""COMPUTED_VALUE"""),"qom")</f>
        <v>qom</v>
      </c>
      <c r="C11434" s="2" t="str">
        <f ca="1">IFERROR(__xludf.DUMMYFUNCTION("""COMPUTED_VALUE"""),"Shiba Predator")</f>
        <v>Shiba Predator</v>
      </c>
    </row>
    <row r="11435" spans="1:3" x14ac:dyDescent="0.25">
      <c r="A11435" s="2" t="str">
        <f ca="1">IFERROR(__xludf.DUMMYFUNCTION("""COMPUTED_VALUE"""),"shibarium-name-service")</f>
        <v>shibarium-name-service</v>
      </c>
      <c r="B11435" s="2" t="str">
        <f ca="1">IFERROR(__xludf.DUMMYFUNCTION("""COMPUTED_VALUE"""),"sns")</f>
        <v>sns</v>
      </c>
      <c r="C11435" s="2" t="str">
        <f ca="1">IFERROR(__xludf.DUMMYFUNCTION("""COMPUTED_VALUE"""),"Shibarium Name Service")</f>
        <v>Shibarium Name Service</v>
      </c>
    </row>
    <row r="11436" spans="1:3" x14ac:dyDescent="0.25">
      <c r="A11436" s="2" t="str">
        <f ca="1">IFERROR(__xludf.DUMMYFUNCTION("""COMPUTED_VALUE"""),"shibarium-wrapped-bone")</f>
        <v>shibarium-wrapped-bone</v>
      </c>
      <c r="B11436" s="2" t="str">
        <f ca="1">IFERROR(__xludf.DUMMYFUNCTION("""COMPUTED_VALUE"""),"wbone")</f>
        <v>wbone</v>
      </c>
      <c r="C11436" s="2" t="str">
        <f ca="1">IFERROR(__xludf.DUMMYFUNCTION("""COMPUTED_VALUE"""),"Shibarium Wrapped BONE")</f>
        <v>Shibarium Wrapped BONE</v>
      </c>
    </row>
    <row r="11437" spans="1:3" x14ac:dyDescent="0.25">
      <c r="A11437" s="2" t="str">
        <f ca="1">IFERROR(__xludf.DUMMYFUNCTION("""COMPUTED_VALUE"""),"shib-army")</f>
        <v>shib-army</v>
      </c>
      <c r="B11437" s="2" t="str">
        <f ca="1">IFERROR(__xludf.DUMMYFUNCTION("""COMPUTED_VALUE"""),"shibarmy")</f>
        <v>shibarmy</v>
      </c>
      <c r="C11437" s="2" t="str">
        <f ca="1">IFERROR(__xludf.DUMMYFUNCTION("""COMPUTED_VALUE"""),"Shib Army")</f>
        <v>Shib Army</v>
      </c>
    </row>
    <row r="11438" spans="1:3" x14ac:dyDescent="0.25">
      <c r="A11438" s="2" t="str">
        <f ca="1">IFERROR(__xludf.DUMMYFUNCTION("""COMPUTED_VALUE"""),"shiba-saga")</f>
        <v>shiba-saga</v>
      </c>
      <c r="B11438" s="2" t="str">
        <f ca="1">IFERROR(__xludf.DUMMYFUNCTION("""COMPUTED_VALUE"""),"shia")</f>
        <v>shia</v>
      </c>
      <c r="C11438" s="2" t="str">
        <f ca="1">IFERROR(__xludf.DUMMYFUNCTION("""COMPUTED_VALUE"""),"Shiba Saga")</f>
        <v>Shiba Saga</v>
      </c>
    </row>
    <row r="11439" spans="1:3" x14ac:dyDescent="0.25">
      <c r="A11439" s="2" t="str">
        <f ca="1">IFERROR(__xludf.DUMMYFUNCTION("""COMPUTED_VALUE"""),"shibasso")</f>
        <v>shibasso</v>
      </c>
      <c r="B11439" s="2" t="str">
        <f ca="1">IFERROR(__xludf.DUMMYFUNCTION("""COMPUTED_VALUE"""),"shibasso")</f>
        <v>shibasso</v>
      </c>
      <c r="C11439" s="2" t="str">
        <f ca="1">IFERROR(__xludf.DUMMYFUNCTION("""COMPUTED_VALUE"""),"Shibasso")</f>
        <v>Shibasso</v>
      </c>
    </row>
    <row r="11440" spans="1:3" x14ac:dyDescent="0.25">
      <c r="A11440" s="2" t="str">
        <f ca="1">IFERROR(__xludf.DUMMYFUNCTION("""COMPUTED_VALUE"""),"shibavax")</f>
        <v>shibavax</v>
      </c>
      <c r="B11440" s="2" t="str">
        <f ca="1">IFERROR(__xludf.DUMMYFUNCTION("""COMPUTED_VALUE"""),"shibx")</f>
        <v>shibx</v>
      </c>
      <c r="C11440" s="2" t="str">
        <f ca="1">IFERROR(__xludf.DUMMYFUNCTION("""COMPUTED_VALUE"""),"Shibavax")</f>
        <v>Shibavax</v>
      </c>
    </row>
    <row r="11441" spans="1:3" x14ac:dyDescent="0.25">
      <c r="A11441" s="2" t="str">
        <f ca="1">IFERROR(__xludf.DUMMYFUNCTION("""COMPUTED_VALUE"""),"shibaverse")</f>
        <v>shibaverse</v>
      </c>
      <c r="B11441" s="2" t="str">
        <f ca="1">IFERROR(__xludf.DUMMYFUNCTION("""COMPUTED_VALUE"""),"verse")</f>
        <v>verse</v>
      </c>
      <c r="C11441" s="2" t="str">
        <f ca="1">IFERROR(__xludf.DUMMYFUNCTION("""COMPUTED_VALUE"""),"Shibaverse")</f>
        <v>Shibaverse</v>
      </c>
    </row>
    <row r="11442" spans="1:3" x14ac:dyDescent="0.25">
      <c r="A11442" s="2" t="str">
        <f ca="1">IFERROR(__xludf.DUMMYFUNCTION("""COMPUTED_VALUE"""),"shiba-v-pepe")</f>
        <v>shiba-v-pepe</v>
      </c>
      <c r="B11442" s="2" t="str">
        <f ca="1">IFERROR(__xludf.DUMMYFUNCTION("""COMPUTED_VALUE"""),"shepe")</f>
        <v>shepe</v>
      </c>
      <c r="C11442" s="2" t="str">
        <f ca="1">IFERROR(__xludf.DUMMYFUNCTION("""COMPUTED_VALUE"""),"Shiba V Pepe")</f>
        <v>Shiba V Pepe</v>
      </c>
    </row>
    <row r="11443" spans="1:3" x14ac:dyDescent="0.25">
      <c r="A11443" s="2" t="str">
        <f ca="1">IFERROR(__xludf.DUMMYFUNCTION("""COMPUTED_VALUE"""),"shibawifhat")</f>
        <v>shibawifhat</v>
      </c>
      <c r="B11443" s="2" t="str">
        <f ca="1">IFERROR(__xludf.DUMMYFUNCTION("""COMPUTED_VALUE"""),"$wif")</f>
        <v>$wif</v>
      </c>
      <c r="C11443" s="2" t="str">
        <f ca="1">IFERROR(__xludf.DUMMYFUNCTION("""COMPUTED_VALUE"""),"shibawifhat")</f>
        <v>shibawifhat</v>
      </c>
    </row>
    <row r="11444" spans="1:3" x14ac:dyDescent="0.25">
      <c r="A11444" s="2" t="str">
        <f ca="1">IFERROR(__xludf.DUMMYFUNCTION("""COMPUTED_VALUE"""),"shibax")</f>
        <v>shibax</v>
      </c>
      <c r="B11444" s="2" t="str">
        <f ca="1">IFERROR(__xludf.DUMMYFUNCTION("""COMPUTED_VALUE"""),"xshib")</f>
        <v>xshib</v>
      </c>
      <c r="C11444" s="2" t="str">
        <f ca="1">IFERROR(__xludf.DUMMYFUNCTION("""COMPUTED_VALUE"""),"ShibaX")</f>
        <v>ShibaX</v>
      </c>
    </row>
    <row r="11445" spans="1:3" x14ac:dyDescent="0.25">
      <c r="A11445" s="2" t="str">
        <f ca="1">IFERROR(__xludf.DUMMYFUNCTION("""COMPUTED_VALUE"""),"shibceo")</f>
        <v>shibceo</v>
      </c>
      <c r="B11445" s="2" t="str">
        <f ca="1">IFERROR(__xludf.DUMMYFUNCTION("""COMPUTED_VALUE"""),"shibceo")</f>
        <v>shibceo</v>
      </c>
      <c r="C11445" s="2" t="str">
        <f ca="1">IFERROR(__xludf.DUMMYFUNCTION("""COMPUTED_VALUE"""),"ShibCEO")</f>
        <v>ShibCEO</v>
      </c>
    </row>
    <row r="11446" spans="1:3" x14ac:dyDescent="0.25">
      <c r="A11446" s="2" t="str">
        <f ca="1">IFERROR(__xludf.DUMMYFUNCTION("""COMPUTED_VALUE"""),"shibelon")</f>
        <v>shibelon</v>
      </c>
      <c r="B11446" s="2" t="str">
        <f ca="1">IFERROR(__xludf.DUMMYFUNCTION("""COMPUTED_VALUE"""),"shibelon")</f>
        <v>shibelon</v>
      </c>
      <c r="C11446" s="2" t="str">
        <f ca="1">IFERROR(__xludf.DUMMYFUNCTION("""COMPUTED_VALUE"""),"ShibElon")</f>
        <v>ShibElon</v>
      </c>
    </row>
    <row r="11447" spans="1:3" x14ac:dyDescent="0.25">
      <c r="A11447" s="2" t="str">
        <f ca="1">IFERROR(__xludf.DUMMYFUNCTION("""COMPUTED_VALUE"""),"shibgf")</f>
        <v>shibgf</v>
      </c>
      <c r="B11447" s="2" t="str">
        <f ca="1">IFERROR(__xludf.DUMMYFUNCTION("""COMPUTED_VALUE"""),"shibgf")</f>
        <v>shibgf</v>
      </c>
      <c r="C11447" s="2" t="str">
        <f ca="1">IFERROR(__xludf.DUMMYFUNCTION("""COMPUTED_VALUE"""),"SHIBGF")</f>
        <v>SHIBGF</v>
      </c>
    </row>
    <row r="11448" spans="1:3" x14ac:dyDescent="0.25">
      <c r="A11448" s="2" t="str">
        <f ca="1">IFERROR(__xludf.DUMMYFUNCTION("""COMPUTED_VALUE"""),"shibonk")</f>
        <v>shibonk</v>
      </c>
      <c r="B11448" s="2" t="str">
        <f ca="1">IFERROR(__xludf.DUMMYFUNCTION("""COMPUTED_VALUE"""),"shibo")</f>
        <v>shibo</v>
      </c>
      <c r="C11448" s="2" t="str">
        <f ca="1">IFERROR(__xludf.DUMMYFUNCTION("""COMPUTED_VALUE"""),"ShibonkBSC")</f>
        <v>ShibonkBSC</v>
      </c>
    </row>
    <row r="11449" spans="1:3" x14ac:dyDescent="0.25">
      <c r="A11449" s="2" t="str">
        <f ca="1">IFERROR(__xludf.DUMMYFUNCTION("""COMPUTED_VALUE"""),"shibonk-311f81df-a4ea-4f31-9e61-df0af8211bd7")</f>
        <v>shibonk-311f81df-a4ea-4f31-9e61-df0af8211bd7</v>
      </c>
      <c r="B11449" s="2" t="str">
        <f ca="1">IFERROR(__xludf.DUMMYFUNCTION("""COMPUTED_VALUE"""),"sbonk")</f>
        <v>sbonk</v>
      </c>
      <c r="C11449" s="2" t="str">
        <f ca="1">IFERROR(__xludf.DUMMYFUNCTION("""COMPUTED_VALUE"""),"SHIBONK")</f>
        <v>SHIBONK</v>
      </c>
    </row>
    <row r="11450" spans="1:3" x14ac:dyDescent="0.25">
      <c r="A11450" s="2" t="str">
        <f ca="1">IFERROR(__xludf.DUMMYFUNCTION("""COMPUTED_VALUE"""),"shib-on-solana")</f>
        <v>shib-on-solana</v>
      </c>
      <c r="B11450" s="2" t="str">
        <f ca="1">IFERROR(__xludf.DUMMYFUNCTION("""COMPUTED_VALUE"""),"shib")</f>
        <v>shib</v>
      </c>
      <c r="C11450" s="2" t="str">
        <f ca="1">IFERROR(__xludf.DUMMYFUNCTION("""COMPUTED_VALUE"""),"SHIB ON SOLANA")</f>
        <v>SHIB ON SOLANA</v>
      </c>
    </row>
    <row r="11451" spans="1:3" x14ac:dyDescent="0.25">
      <c r="A11451" s="2" t="str">
        <f ca="1">IFERROR(__xludf.DUMMYFUNCTION("""COMPUTED_VALUE"""),"shiboo")</f>
        <v>shiboo</v>
      </c>
      <c r="B11451" s="2" t="str">
        <f ca="1">IFERROR(__xludf.DUMMYFUNCTION("""COMPUTED_VALUE"""),"shiboo")</f>
        <v>shiboo</v>
      </c>
      <c r="C11451" s="2" t="str">
        <f ca="1">IFERROR(__xludf.DUMMYFUNCTION("""COMPUTED_VALUE"""),"Shiboo")</f>
        <v>Shiboo</v>
      </c>
    </row>
    <row r="11452" spans="1:3" x14ac:dyDescent="0.25">
      <c r="A11452" s="2" t="str">
        <f ca="1">IFERROR(__xludf.DUMMYFUNCTION("""COMPUTED_VALUE"""),"shib-original-vision")</f>
        <v>shib-original-vision</v>
      </c>
      <c r="B11452" s="2" t="str">
        <f ca="1">IFERROR(__xludf.DUMMYFUNCTION("""COMPUTED_VALUE"""),"sov")</f>
        <v>sov</v>
      </c>
      <c r="C11452" s="2" t="str">
        <f ca="1">IFERROR(__xludf.DUMMYFUNCTION("""COMPUTED_VALUE"""),"Shib Original Vision")</f>
        <v>Shib Original Vision</v>
      </c>
    </row>
    <row r="11453" spans="1:3" x14ac:dyDescent="0.25">
      <c r="A11453" s="2" t="str">
        <f ca="1">IFERROR(__xludf.DUMMYFUNCTION("""COMPUTED_VALUE"""),"shibsharks")</f>
        <v>shibsharks</v>
      </c>
      <c r="B11453" s="2" t="str">
        <f ca="1">IFERROR(__xludf.DUMMYFUNCTION("""COMPUTED_VALUE"""),"shsh")</f>
        <v>shsh</v>
      </c>
      <c r="C11453" s="2" t="str">
        <f ca="1">IFERROR(__xludf.DUMMYFUNCTION("""COMPUTED_VALUE"""),"ShibSharks")</f>
        <v>ShibSharks</v>
      </c>
    </row>
    <row r="11454" spans="1:3" x14ac:dyDescent="0.25">
      <c r="A11454" s="2" t="str">
        <f ca="1">IFERROR(__xludf.DUMMYFUNCTION("""COMPUTED_VALUE"""),"shibwifhatcoin")</f>
        <v>shibwifhatcoin</v>
      </c>
      <c r="B11454" s="2" t="str">
        <f ca="1">IFERROR(__xludf.DUMMYFUNCTION("""COMPUTED_VALUE"""),"shib")</f>
        <v>shib</v>
      </c>
      <c r="C11454" s="2" t="str">
        <f ca="1">IFERROR(__xludf.DUMMYFUNCTION("""COMPUTED_VALUE"""),"Shibwifhatcoin")</f>
        <v>Shibwifhatcoin</v>
      </c>
    </row>
    <row r="11455" spans="1:3" x14ac:dyDescent="0.25">
      <c r="A11455" s="2" t="str">
        <f ca="1">IFERROR(__xludf.DUMMYFUNCTION("""COMPUTED_VALUE"""),"shid")</f>
        <v>shid</v>
      </c>
      <c r="B11455" s="2" t="str">
        <f ca="1">IFERROR(__xludf.DUMMYFUNCTION("""COMPUTED_VALUE"""),"shid")</f>
        <v>shid</v>
      </c>
      <c r="C11455" s="2" t="str">
        <f ca="1">IFERROR(__xludf.DUMMYFUNCTION("""COMPUTED_VALUE"""),"SHID")</f>
        <v>SHID</v>
      </c>
    </row>
    <row r="11456" spans="1:3" x14ac:dyDescent="0.25">
      <c r="A11456" s="2" t="str">
        <f ca="1">IFERROR(__xludf.DUMMYFUNCTION("""COMPUTED_VALUE"""),"shiden")</f>
        <v>shiden</v>
      </c>
      <c r="B11456" s="2" t="str">
        <f ca="1">IFERROR(__xludf.DUMMYFUNCTION("""COMPUTED_VALUE"""),"sdn")</f>
        <v>sdn</v>
      </c>
      <c r="C11456" s="2" t="str">
        <f ca="1">IFERROR(__xludf.DUMMYFUNCTION("""COMPUTED_VALUE"""),"Shiden Network")</f>
        <v>Shiden Network</v>
      </c>
    </row>
    <row r="11457" spans="1:3" x14ac:dyDescent="0.25">
      <c r="A11457" s="2" t="str">
        <f ca="1">IFERROR(__xludf.DUMMYFUNCTION("""COMPUTED_VALUE"""),"shido")</f>
        <v>shido</v>
      </c>
      <c r="B11457" s="2" t="str">
        <f ca="1">IFERROR(__xludf.DUMMYFUNCTION("""COMPUTED_VALUE"""),"shido")</f>
        <v>shido</v>
      </c>
      <c r="C11457" s="2" t="str">
        <f ca="1">IFERROR(__xludf.DUMMYFUNCTION("""COMPUTED_VALUE"""),"Shido [OLD]")</f>
        <v>Shido [OLD]</v>
      </c>
    </row>
    <row r="11458" spans="1:3" x14ac:dyDescent="0.25">
      <c r="A11458" s="2" t="str">
        <f ca="1">IFERROR(__xludf.DUMMYFUNCTION("""COMPUTED_VALUE"""),"shido-2")</f>
        <v>shido-2</v>
      </c>
      <c r="B11458" s="2" t="str">
        <f ca="1">IFERROR(__xludf.DUMMYFUNCTION("""COMPUTED_VALUE"""),"shido")</f>
        <v>shido</v>
      </c>
      <c r="C11458" s="2" t="str">
        <f ca="1">IFERROR(__xludf.DUMMYFUNCTION("""COMPUTED_VALUE"""),"Shido")</f>
        <v>Shido</v>
      </c>
    </row>
    <row r="11459" spans="1:3" x14ac:dyDescent="0.25">
      <c r="A11459" s="2" t="str">
        <f ca="1">IFERROR(__xludf.DUMMYFUNCTION("""COMPUTED_VALUE"""),"shield-protocol-2")</f>
        <v>shield-protocol-2</v>
      </c>
      <c r="B11459" s="2" t="str">
        <f ca="1">IFERROR(__xludf.DUMMYFUNCTION("""COMPUTED_VALUE"""),"shield")</f>
        <v>shield</v>
      </c>
      <c r="C11459" s="2" t="str">
        <f ca="1">IFERROR(__xludf.DUMMYFUNCTION("""COMPUTED_VALUE"""),"Shield Protocol")</f>
        <v>Shield Protocol</v>
      </c>
    </row>
    <row r="11460" spans="1:3" x14ac:dyDescent="0.25">
      <c r="A11460" s="2" t="str">
        <f ca="1">IFERROR(__xludf.DUMMYFUNCTION("""COMPUTED_VALUE"""),"shih-tzu")</f>
        <v>shih-tzu</v>
      </c>
      <c r="B11460" s="2" t="str">
        <f ca="1">IFERROR(__xludf.DUMMYFUNCTION("""COMPUTED_VALUE"""),"shih")</f>
        <v>shih</v>
      </c>
      <c r="C11460" s="2" t="str">
        <f ca="1">IFERROR(__xludf.DUMMYFUNCTION("""COMPUTED_VALUE"""),"Shih Tzu")</f>
        <v>Shih Tzu</v>
      </c>
    </row>
    <row r="11461" spans="1:3" x14ac:dyDescent="0.25">
      <c r="A11461" s="2" t="str">
        <f ca="1">IFERROR(__xludf.DUMMYFUNCTION("""COMPUTED_VALUE"""),"shikoku")</f>
        <v>shikoku</v>
      </c>
      <c r="B11461" s="2" t="str">
        <f ca="1">IFERROR(__xludf.DUMMYFUNCTION("""COMPUTED_VALUE"""),"shik")</f>
        <v>shik</v>
      </c>
      <c r="C11461" s="2" t="str">
        <f ca="1">IFERROR(__xludf.DUMMYFUNCTION("""COMPUTED_VALUE"""),"Shikoku")</f>
        <v>Shikoku</v>
      </c>
    </row>
    <row r="11462" spans="1:3" x14ac:dyDescent="0.25">
      <c r="A11462" s="2" t="str">
        <f ca="1">IFERROR(__xludf.DUMMYFUNCTION("""COMPUTED_VALUE"""),"shikoku-inu")</f>
        <v>shikoku-inu</v>
      </c>
      <c r="B11462" s="2" t="str">
        <f ca="1">IFERROR(__xludf.DUMMYFUNCTION("""COMPUTED_VALUE"""),"shiko")</f>
        <v>shiko</v>
      </c>
      <c r="C11462" s="2" t="str">
        <f ca="1">IFERROR(__xludf.DUMMYFUNCTION("""COMPUTED_VALUE"""),"Shikoku Inu")</f>
        <v>Shikoku Inu</v>
      </c>
    </row>
    <row r="11463" spans="1:3" x14ac:dyDescent="0.25">
      <c r="A11463" s="2" t="str">
        <f ca="1">IFERROR(__xludf.DUMMYFUNCTION("""COMPUTED_VALUE"""),"shila-inu")</f>
        <v>shila-inu</v>
      </c>
      <c r="B11463" s="2" t="str">
        <f ca="1">IFERROR(__xludf.DUMMYFUNCTION("""COMPUTED_VALUE"""),"shil")</f>
        <v>shil</v>
      </c>
      <c r="C11463" s="2" t="str">
        <f ca="1">IFERROR(__xludf.DUMMYFUNCTION("""COMPUTED_VALUE"""),"Shila Inu")</f>
        <v>Shila Inu</v>
      </c>
    </row>
    <row r="11464" spans="1:3" x14ac:dyDescent="0.25">
      <c r="A11464" s="2" t="str">
        <f ca="1">IFERROR(__xludf.DUMMYFUNCTION("""COMPUTED_VALUE"""),"shill-guard-token")</f>
        <v>shill-guard-token</v>
      </c>
      <c r="B11464" s="2" t="str">
        <f ca="1">IFERROR(__xludf.DUMMYFUNCTION("""COMPUTED_VALUE"""),"sgt")</f>
        <v>sgt</v>
      </c>
      <c r="C11464" s="2" t="str">
        <f ca="1">IFERROR(__xludf.DUMMYFUNCTION("""COMPUTED_VALUE"""),"Shill Guard Token")</f>
        <v>Shill Guard Token</v>
      </c>
    </row>
    <row r="11465" spans="1:3" x14ac:dyDescent="0.25">
      <c r="A11465" s="2" t="str">
        <f ca="1">IFERROR(__xludf.DUMMYFUNCTION("""COMPUTED_VALUE"""),"shill-token")</f>
        <v>shill-token</v>
      </c>
      <c r="B11465" s="2" t="str">
        <f ca="1">IFERROR(__xludf.DUMMYFUNCTION("""COMPUTED_VALUE"""),"shill")</f>
        <v>shill</v>
      </c>
      <c r="C11465" s="2" t="str">
        <f ca="1">IFERROR(__xludf.DUMMYFUNCTION("""COMPUTED_VALUE"""),"SHILL Token")</f>
        <v>SHILL Token</v>
      </c>
    </row>
    <row r="11466" spans="1:3" x14ac:dyDescent="0.25">
      <c r="A11466" s="2" t="str">
        <f ca="1">IFERROR(__xludf.DUMMYFUNCTION("""COMPUTED_VALUE"""),"shimbainu")</f>
        <v>shimbainu</v>
      </c>
      <c r="B11466" s="2" t="str">
        <f ca="1">IFERROR(__xludf.DUMMYFUNCTION("""COMPUTED_VALUE"""),"smba")</f>
        <v>smba</v>
      </c>
      <c r="C11466" s="2" t="str">
        <f ca="1">IFERROR(__xludf.DUMMYFUNCTION("""COMPUTED_VALUE"""),"ShimbaINU")</f>
        <v>ShimbaINU</v>
      </c>
    </row>
    <row r="11467" spans="1:3" x14ac:dyDescent="0.25">
      <c r="A11467" s="2" t="str">
        <f ca="1">IFERROR(__xludf.DUMMYFUNCTION("""COMPUTED_VALUE"""),"shimmer")</f>
        <v>shimmer</v>
      </c>
      <c r="B11467" s="2" t="str">
        <f ca="1">IFERROR(__xludf.DUMMYFUNCTION("""COMPUTED_VALUE"""),"smr")</f>
        <v>smr</v>
      </c>
      <c r="C11467" s="2" t="str">
        <f ca="1">IFERROR(__xludf.DUMMYFUNCTION("""COMPUTED_VALUE"""),"Shimmer")</f>
        <v>Shimmer</v>
      </c>
    </row>
    <row r="11468" spans="1:3" x14ac:dyDescent="0.25">
      <c r="A11468" s="2" t="str">
        <f ca="1">IFERROR(__xludf.DUMMYFUNCTION("""COMPUTED_VALUE"""),"shimmerbridge-bridged-usdt-shimmerevm")</f>
        <v>shimmerbridge-bridged-usdt-shimmerevm</v>
      </c>
      <c r="B11468" s="2" t="str">
        <f ca="1">IFERROR(__xludf.DUMMYFUNCTION("""COMPUTED_VALUE"""),"usdt")</f>
        <v>usdt</v>
      </c>
      <c r="C11468" s="2" t="str">
        <f ca="1">IFERROR(__xludf.DUMMYFUNCTION("""COMPUTED_VALUE"""),"ShimmerBridge Bridged USDT (ShimmerEVM)")</f>
        <v>ShimmerBridge Bridged USDT (ShimmerEVM)</v>
      </c>
    </row>
    <row r="11469" spans="1:3" x14ac:dyDescent="0.25">
      <c r="A11469" s="2" t="str">
        <f ca="1">IFERROR(__xludf.DUMMYFUNCTION("""COMPUTED_VALUE"""),"shimmersea-lum")</f>
        <v>shimmersea-lum</v>
      </c>
      <c r="B11469" s="2" t="str">
        <f ca="1">IFERROR(__xludf.DUMMYFUNCTION("""COMPUTED_VALUE"""),"lum")</f>
        <v>lum</v>
      </c>
      <c r="C11469" s="2" t="str">
        <f ca="1">IFERROR(__xludf.DUMMYFUNCTION("""COMPUTED_VALUE"""),"ShimmerSea Lum")</f>
        <v>ShimmerSea Lum</v>
      </c>
    </row>
    <row r="11470" spans="1:3" x14ac:dyDescent="0.25">
      <c r="A11470" s="2" t="str">
        <f ca="1">IFERROR(__xludf.DUMMYFUNCTION("""COMPUTED_VALUE"""),"shina-inu")</f>
        <v>shina-inu</v>
      </c>
      <c r="B11470" s="2" t="str">
        <f ca="1">IFERROR(__xludf.DUMMYFUNCTION("""COMPUTED_VALUE"""),"shi")</f>
        <v>shi</v>
      </c>
      <c r="C11470" s="2" t="str">
        <f ca="1">IFERROR(__xludf.DUMMYFUNCTION("""COMPUTED_VALUE"""),"Shina Inu")</f>
        <v>Shina Inu</v>
      </c>
    </row>
    <row r="11471" spans="1:3" x14ac:dyDescent="0.25">
      <c r="A11471" s="2" t="str">
        <f ca="1">IFERROR(__xludf.DUMMYFUNCTION("""COMPUTED_VALUE"""),"shina-inu-2")</f>
        <v>shina-inu-2</v>
      </c>
      <c r="B11471" s="2" t="str">
        <f ca="1">IFERROR(__xludf.DUMMYFUNCTION("""COMPUTED_VALUE"""),"shin")</f>
        <v>shin</v>
      </c>
      <c r="C11471" s="2" t="str">
        <f ca="1">IFERROR(__xludf.DUMMYFUNCTION("""COMPUTED_VALUE"""),"Shina Inu")</f>
        <v>Shina Inu</v>
      </c>
    </row>
    <row r="11472" spans="1:3" x14ac:dyDescent="0.25">
      <c r="A11472" s="2" t="str">
        <f ca="1">IFERROR(__xludf.DUMMYFUNCTION("""COMPUTED_VALUE"""),"shine-chain")</f>
        <v>shine-chain</v>
      </c>
      <c r="B11472" s="2" t="str">
        <f ca="1">IFERROR(__xludf.DUMMYFUNCTION("""COMPUTED_VALUE"""),"sc20")</f>
        <v>sc20</v>
      </c>
      <c r="C11472" s="2" t="str">
        <f ca="1">IFERROR(__xludf.DUMMYFUNCTION("""COMPUTED_VALUE"""),"Shine Chain")</f>
        <v>Shine Chain</v>
      </c>
    </row>
    <row r="11473" spans="1:3" x14ac:dyDescent="0.25">
      <c r="A11473" s="2" t="str">
        <f ca="1">IFERROR(__xludf.DUMMYFUNCTION("""COMPUTED_VALUE"""),"shinjiru-inu")</f>
        <v>shinjiru-inu</v>
      </c>
      <c r="B11473" s="2" t="str">
        <f ca="1">IFERROR(__xludf.DUMMYFUNCTION("""COMPUTED_VALUE"""),"shinji")</f>
        <v>shinji</v>
      </c>
      <c r="C11473" s="2" t="str">
        <f ca="1">IFERROR(__xludf.DUMMYFUNCTION("""COMPUTED_VALUE"""),"Shinjiru Inu")</f>
        <v>Shinjiru Inu</v>
      </c>
    </row>
    <row r="11474" spans="1:3" x14ac:dyDescent="0.25">
      <c r="A11474" s="2" t="str">
        <f ca="1">IFERROR(__xludf.DUMMYFUNCTION("""COMPUTED_VALUE"""),"shinobi-2")</f>
        <v>shinobi-2</v>
      </c>
      <c r="B11474" s="2" t="str">
        <f ca="1">IFERROR(__xludf.DUMMYFUNCTION("""COMPUTED_VALUE"""),"ninja")</f>
        <v>ninja</v>
      </c>
      <c r="C11474" s="2" t="str">
        <f ca="1">IFERROR(__xludf.DUMMYFUNCTION("""COMPUTED_VALUE"""),"Shinobi")</f>
        <v>Shinobi</v>
      </c>
    </row>
    <row r="11475" spans="1:3" x14ac:dyDescent="0.25">
      <c r="A11475" s="2" t="str">
        <f ca="1">IFERROR(__xludf.DUMMYFUNCTION("""COMPUTED_VALUE"""),"shira-cat")</f>
        <v>shira-cat</v>
      </c>
      <c r="B11475" s="2" t="str">
        <f ca="1">IFERROR(__xludf.DUMMYFUNCTION("""COMPUTED_VALUE"""),"catshira")</f>
        <v>catshira</v>
      </c>
      <c r="C11475" s="2" t="str">
        <f ca="1">IFERROR(__xludf.DUMMYFUNCTION("""COMPUTED_VALUE"""),"Shira Cat")</f>
        <v>Shira Cat</v>
      </c>
    </row>
    <row r="11476" spans="1:3" x14ac:dyDescent="0.25">
      <c r="A11476" s="2" t="str">
        <f ca="1">IFERROR(__xludf.DUMMYFUNCTION("""COMPUTED_VALUE"""),"shiro-the-frogdog")</f>
        <v>shiro-the-frogdog</v>
      </c>
      <c r="B11476" s="2" t="str">
        <f ca="1">IFERROR(__xludf.DUMMYFUNCTION("""COMPUTED_VALUE"""),"frogdog")</f>
        <v>frogdog</v>
      </c>
      <c r="C11476" s="2" t="str">
        <f ca="1">IFERROR(__xludf.DUMMYFUNCTION("""COMPUTED_VALUE"""),"Shiro the FrogDog")</f>
        <v>Shiro the FrogDog</v>
      </c>
    </row>
    <row r="11477" spans="1:3" x14ac:dyDescent="0.25">
      <c r="A11477" s="2" t="str">
        <f ca="1">IFERROR(__xludf.DUMMYFUNCTION("""COMPUTED_VALUE"""),"shirtum")</f>
        <v>shirtum</v>
      </c>
      <c r="B11477" s="2" t="str">
        <f ca="1">IFERROR(__xludf.DUMMYFUNCTION("""COMPUTED_VALUE"""),"shi")</f>
        <v>shi</v>
      </c>
      <c r="C11477" s="2" t="str">
        <f ca="1">IFERROR(__xludf.DUMMYFUNCTION("""COMPUTED_VALUE"""),"Shirtum")</f>
        <v>Shirtum</v>
      </c>
    </row>
    <row r="11478" spans="1:3" x14ac:dyDescent="0.25">
      <c r="A11478" s="2" t="str">
        <f ca="1">IFERROR(__xludf.DUMMYFUNCTION("""COMPUTED_VALUE"""),"shiryo-inu")</f>
        <v>shiryo-inu</v>
      </c>
      <c r="B11478" s="2" t="str">
        <f ca="1">IFERROR(__xludf.DUMMYFUNCTION("""COMPUTED_VALUE"""),"shiryo-inu")</f>
        <v>shiryo-inu</v>
      </c>
      <c r="C11478" s="2" t="str">
        <f ca="1">IFERROR(__xludf.DUMMYFUNCTION("""COMPUTED_VALUE"""),"Shiryo")</f>
        <v>Shiryo</v>
      </c>
    </row>
    <row r="11479" spans="1:3" x14ac:dyDescent="0.25">
      <c r="A11479" s="2" t="str">
        <f ca="1">IFERROR(__xludf.DUMMYFUNCTION("""COMPUTED_VALUE"""),"shisha-coin")</f>
        <v>shisha-coin</v>
      </c>
      <c r="B11479" s="2" t="str">
        <f ca="1">IFERROR(__xludf.DUMMYFUNCTION("""COMPUTED_VALUE"""),"shisha")</f>
        <v>shisha</v>
      </c>
      <c r="C11479" s="2" t="str">
        <f ca="1">IFERROR(__xludf.DUMMYFUNCTION("""COMPUTED_VALUE"""),"Shisha Coin")</f>
        <v>Shisha Coin</v>
      </c>
    </row>
    <row r="11480" spans="1:3" x14ac:dyDescent="0.25">
      <c r="A11480" s="2" t="str">
        <f ca="1">IFERROR(__xludf.DUMMYFUNCTION("""COMPUTED_VALUE"""),"shita-kiri-suzume")</f>
        <v>shita-kiri-suzume</v>
      </c>
      <c r="B11480" s="2" t="str">
        <f ca="1">IFERROR(__xludf.DUMMYFUNCTION("""COMPUTED_VALUE"""),"suzume")</f>
        <v>suzume</v>
      </c>
      <c r="C11480" s="2" t="str">
        <f ca="1">IFERROR(__xludf.DUMMYFUNCTION("""COMPUTED_VALUE"""),"Shita-kiri Suzume")</f>
        <v>Shita-kiri Suzume</v>
      </c>
    </row>
    <row r="11481" spans="1:3" x14ac:dyDescent="0.25">
      <c r="A11481" s="2" t="str">
        <f ca="1">IFERROR(__xludf.DUMMYFUNCTION("""COMPUTED_VALUE"""),"shitcoin-2")</f>
        <v>shitcoin-2</v>
      </c>
      <c r="B11481" s="2" t="str">
        <f ca="1">IFERROR(__xludf.DUMMYFUNCTION("""COMPUTED_VALUE"""),"shit")</f>
        <v>shit</v>
      </c>
      <c r="C11481" s="2" t="str">
        <f ca="1">IFERROR(__xludf.DUMMYFUNCTION("""COMPUTED_VALUE"""),"Shitcoin")</f>
        <v>Shitcoin</v>
      </c>
    </row>
    <row r="11482" spans="1:3" x14ac:dyDescent="0.25">
      <c r="A11482" s="2" t="str">
        <f ca="1">IFERROR(__xludf.DUMMYFUNCTION("""COMPUTED_VALUE"""),"shitcoin-on-ton")</f>
        <v>shitcoin-on-ton</v>
      </c>
      <c r="B11482" s="2" t="str">
        <f ca="1">IFERROR(__xludf.DUMMYFUNCTION("""COMPUTED_VALUE"""),"shit")</f>
        <v>shit</v>
      </c>
      <c r="C11482" s="2" t="str">
        <f ca="1">IFERROR(__xludf.DUMMYFUNCTION("""COMPUTED_VALUE"""),"Shitcoin on TON")</f>
        <v>Shitcoin on TON</v>
      </c>
    </row>
    <row r="11483" spans="1:3" x14ac:dyDescent="0.25">
      <c r="A11483" s="2" t="str">
        <f ca="1">IFERROR(__xludf.DUMMYFUNCTION("""COMPUTED_VALUE"""),"shitzu")</f>
        <v>shitzu</v>
      </c>
      <c r="B11483" s="2" t="str">
        <f ca="1">IFERROR(__xludf.DUMMYFUNCTION("""COMPUTED_VALUE"""),"shitzu")</f>
        <v>shitzu</v>
      </c>
      <c r="C11483" s="2" t="str">
        <f ca="1">IFERROR(__xludf.DUMMYFUNCTION("""COMPUTED_VALUE"""),"Shitzu")</f>
        <v>Shitzu</v>
      </c>
    </row>
    <row r="11484" spans="1:3" x14ac:dyDescent="0.25">
      <c r="A11484" s="2" t="str">
        <f ca="1">IFERROR(__xludf.DUMMYFUNCTION("""COMPUTED_VALUE"""),"shiva-inu")</f>
        <v>shiva-inu</v>
      </c>
      <c r="B11484" s="2" t="str">
        <f ca="1">IFERROR(__xludf.DUMMYFUNCTION("""COMPUTED_VALUE"""),"shiv")</f>
        <v>shiv</v>
      </c>
      <c r="C11484" s="2" t="str">
        <f ca="1">IFERROR(__xludf.DUMMYFUNCTION("""COMPUTED_VALUE"""),"Shiva Inu")</f>
        <v>Shiva Inu</v>
      </c>
    </row>
    <row r="11485" spans="1:3" x14ac:dyDescent="0.25">
      <c r="A11485" s="2" t="str">
        <f ca="1">IFERROR(__xludf.DUMMYFUNCTION("""COMPUTED_VALUE"""),"shockwaves")</f>
        <v>shockwaves</v>
      </c>
      <c r="B11485" s="2" t="str">
        <f ca="1">IFERROR(__xludf.DUMMYFUNCTION("""COMPUTED_VALUE"""),"neuros")</f>
        <v>neuros</v>
      </c>
      <c r="C11485" s="2" t="str">
        <f ca="1">IFERROR(__xludf.DUMMYFUNCTION("""COMPUTED_VALUE"""),"Shockwaves")</f>
        <v>Shockwaves</v>
      </c>
    </row>
    <row r="11486" spans="1:3" x14ac:dyDescent="0.25">
      <c r="A11486" s="2" t="str">
        <f ca="1">IFERROR(__xludf.DUMMYFUNCTION("""COMPUTED_VALUE"""),"shoe")</f>
        <v>shoe</v>
      </c>
      <c r="B11486" s="2" t="str">
        <f ca="1">IFERROR(__xludf.DUMMYFUNCTION("""COMPUTED_VALUE"""),"shoe")</f>
        <v>shoe</v>
      </c>
      <c r="C11486" s="2" t="str">
        <f ca="1">IFERROR(__xludf.DUMMYFUNCTION("""COMPUTED_VALUE"""),"Shoe")</f>
        <v>Shoe</v>
      </c>
    </row>
    <row r="11487" spans="1:3" x14ac:dyDescent="0.25">
      <c r="A11487" s="2" t="str">
        <f ca="1">IFERROR(__xludf.DUMMYFUNCTION("""COMPUTED_VALUE"""),"shoe404")</f>
        <v>shoe404</v>
      </c>
      <c r="B11487" s="2" t="str">
        <f ca="1">IFERROR(__xludf.DUMMYFUNCTION("""COMPUTED_VALUE"""),"shoe")</f>
        <v>shoe</v>
      </c>
      <c r="C11487" s="2" t="str">
        <f ca="1">IFERROR(__xludf.DUMMYFUNCTION("""COMPUTED_VALUE"""),"Shoe404")</f>
        <v>Shoe404</v>
      </c>
    </row>
    <row r="11488" spans="1:3" x14ac:dyDescent="0.25">
      <c r="A11488" s="2" t="str">
        <f ca="1">IFERROR(__xludf.DUMMYFUNCTION("""COMPUTED_VALUE"""),"shoefy")</f>
        <v>shoefy</v>
      </c>
      <c r="B11488" s="2" t="str">
        <f ca="1">IFERROR(__xludf.DUMMYFUNCTION("""COMPUTED_VALUE"""),"shoe")</f>
        <v>shoe</v>
      </c>
      <c r="C11488" s="2" t="str">
        <f ca="1">IFERROR(__xludf.DUMMYFUNCTION("""COMPUTED_VALUE"""),"ShoeFy")</f>
        <v>ShoeFy</v>
      </c>
    </row>
    <row r="11489" spans="1:3" x14ac:dyDescent="0.25">
      <c r="A11489" s="2" t="str">
        <f ca="1">IFERROR(__xludf.DUMMYFUNCTION("""COMPUTED_VALUE"""),"shog")</f>
        <v>shog</v>
      </c>
      <c r="B11489" s="2" t="str">
        <f ca="1">IFERROR(__xludf.DUMMYFUNCTION("""COMPUTED_VALUE"""),"shog")</f>
        <v>shog</v>
      </c>
      <c r="C11489" s="2" t="str">
        <f ca="1">IFERROR(__xludf.DUMMYFUNCTION("""COMPUTED_VALUE"""),"SHOG")</f>
        <v>SHOG</v>
      </c>
    </row>
    <row r="11490" spans="1:3" x14ac:dyDescent="0.25">
      <c r="A11490" s="2" t="str">
        <f ca="1">IFERROR(__xludf.DUMMYFUNCTION("""COMPUTED_VALUE"""),"shoki")</f>
        <v>shoki</v>
      </c>
      <c r="B11490" s="2" t="str">
        <f ca="1">IFERROR(__xludf.DUMMYFUNCTION("""COMPUTED_VALUE"""),"shoki")</f>
        <v>shoki</v>
      </c>
      <c r="C11490" s="2" t="str">
        <f ca="1">IFERROR(__xludf.DUMMYFUNCTION("""COMPUTED_VALUE"""),"Shoki")</f>
        <v>Shoki</v>
      </c>
    </row>
    <row r="11491" spans="1:3" x14ac:dyDescent="0.25">
      <c r="A11491" s="2" t="str">
        <f ca="1">IFERROR(__xludf.DUMMYFUNCTION("""COMPUTED_VALUE"""),"shontoken")</f>
        <v>shontoken</v>
      </c>
      <c r="B11491" s="2" t="str">
        <f ca="1">IFERROR(__xludf.DUMMYFUNCTION("""COMPUTED_VALUE"""),"shon")</f>
        <v>shon</v>
      </c>
      <c r="C11491" s="2" t="str">
        <f ca="1">IFERROR(__xludf.DUMMYFUNCTION("""COMPUTED_VALUE"""),"Shon")</f>
        <v>Shon</v>
      </c>
    </row>
    <row r="11492" spans="1:3" x14ac:dyDescent="0.25">
      <c r="A11492" s="2" t="str">
        <f ca="1">IFERROR(__xludf.DUMMYFUNCTION("""COMPUTED_VALUE"""),"shoot-2")</f>
        <v>shoot-2</v>
      </c>
      <c r="B11492" s="2" t="str">
        <f ca="1">IFERROR(__xludf.DUMMYFUNCTION("""COMPUTED_VALUE"""),"shoot")</f>
        <v>shoot</v>
      </c>
      <c r="C11492" s="2" t="str">
        <f ca="1">IFERROR(__xludf.DUMMYFUNCTION("""COMPUTED_VALUE"""),"Mars Battle")</f>
        <v>Mars Battle</v>
      </c>
    </row>
    <row r="11493" spans="1:3" x14ac:dyDescent="0.25">
      <c r="A11493" s="2" t="str">
        <f ca="1">IFERROR(__xludf.DUMMYFUNCTION("""COMPUTED_VALUE"""),"shopnext-loyalty-token")</f>
        <v>shopnext-loyalty-token</v>
      </c>
      <c r="B11493" s="2" t="str">
        <f ca="1">IFERROR(__xludf.DUMMYFUNCTION("""COMPUTED_VALUE"""),"next")</f>
        <v>next</v>
      </c>
      <c r="C11493" s="2" t="str">
        <f ca="1">IFERROR(__xludf.DUMMYFUNCTION("""COMPUTED_VALUE"""),"ShopNext Loyalty Token")</f>
        <v>ShopNext Loyalty Token</v>
      </c>
    </row>
    <row r="11494" spans="1:3" x14ac:dyDescent="0.25">
      <c r="A11494" s="2" t="str">
        <f ca="1">IFERROR(__xludf.DUMMYFUNCTION("""COMPUTED_VALUE"""),"shopping-io-token")</f>
        <v>shopping-io-token</v>
      </c>
      <c r="B11494" s="2" t="str">
        <f ca="1">IFERROR(__xludf.DUMMYFUNCTION("""COMPUTED_VALUE"""),"shop")</f>
        <v>shop</v>
      </c>
      <c r="C11494" s="3" t="str">
        <f ca="1">IFERROR(__xludf.DUMMYFUNCTION("""COMPUTED_VALUE"""),"Shopping.io")</f>
        <v>Shopping.io</v>
      </c>
    </row>
    <row r="11495" spans="1:3" x14ac:dyDescent="0.25">
      <c r="A11495" s="2" t="str">
        <f ca="1">IFERROR(__xludf.DUMMYFUNCTION("""COMPUTED_VALUE"""),"shping")</f>
        <v>shping</v>
      </c>
      <c r="B11495" s="2" t="str">
        <f ca="1">IFERROR(__xludf.DUMMYFUNCTION("""COMPUTED_VALUE"""),"shping")</f>
        <v>shping</v>
      </c>
      <c r="C11495" s="2" t="str">
        <f ca="1">IFERROR(__xludf.DUMMYFUNCTION("""COMPUTED_VALUE"""),"Shping")</f>
        <v>Shping</v>
      </c>
    </row>
    <row r="11496" spans="1:3" x14ac:dyDescent="0.25">
      <c r="A11496" s="2" t="str">
        <f ca="1">IFERROR(__xludf.DUMMYFUNCTION("""COMPUTED_VALUE"""),"shrapnel-2")</f>
        <v>shrapnel-2</v>
      </c>
      <c r="B11496" s="2" t="str">
        <f ca="1">IFERROR(__xludf.DUMMYFUNCTION("""COMPUTED_VALUE"""),"shrap")</f>
        <v>shrap</v>
      </c>
      <c r="C11496" s="2" t="str">
        <f ca="1">IFERROR(__xludf.DUMMYFUNCTION("""COMPUTED_VALUE"""),"Shrapnel")</f>
        <v>Shrapnel</v>
      </c>
    </row>
    <row r="11497" spans="1:3" x14ac:dyDescent="0.25">
      <c r="A11497" s="2" t="str">
        <f ca="1">IFERROR(__xludf.DUMMYFUNCTION("""COMPUTED_VALUE"""),"shredn")</f>
        <v>shredn</v>
      </c>
      <c r="B11497" s="2" t="str">
        <f ca="1">IFERROR(__xludf.DUMMYFUNCTION("""COMPUTED_VALUE"""),"shred")</f>
        <v>shred</v>
      </c>
      <c r="C11497" s="2" t="str">
        <f ca="1">IFERROR(__xludf.DUMMYFUNCTION("""COMPUTED_VALUE"""),"ShredN")</f>
        <v>ShredN</v>
      </c>
    </row>
    <row r="11498" spans="1:3" x14ac:dyDescent="0.25">
      <c r="A11498" s="2" t="str">
        <f ca="1">IFERROR(__xludf.DUMMYFUNCTION("""COMPUTED_VALUE"""),"shredn-dog")</f>
        <v>shredn-dog</v>
      </c>
      <c r="B11498" s="2" t="str">
        <f ca="1">IFERROR(__xludf.DUMMYFUNCTION("""COMPUTED_VALUE"""),"shredn")</f>
        <v>shredn</v>
      </c>
      <c r="C11498" s="2" t="str">
        <f ca="1">IFERROR(__xludf.DUMMYFUNCTION("""COMPUTED_VALUE"""),"Shredn Dog")</f>
        <v>Shredn Dog</v>
      </c>
    </row>
    <row r="11499" spans="1:3" x14ac:dyDescent="0.25">
      <c r="A11499" s="2" t="str">
        <f ca="1">IFERROR(__xludf.DUMMYFUNCTION("""COMPUTED_VALUE"""),"shree")</f>
        <v>shree</v>
      </c>
      <c r="B11499" s="2" t="str">
        <f ca="1">IFERROR(__xludf.DUMMYFUNCTION("""COMPUTED_VALUE"""),"shr")</f>
        <v>shr</v>
      </c>
      <c r="C11499" s="2" t="str">
        <f ca="1">IFERROR(__xludf.DUMMYFUNCTION("""COMPUTED_VALUE"""),"SHREE")</f>
        <v>SHREE</v>
      </c>
    </row>
    <row r="11500" spans="1:3" x14ac:dyDescent="0.25">
      <c r="A11500" s="2" t="str">
        <f ca="1">IFERROR(__xludf.DUMMYFUNCTION("""COMPUTED_VALUE"""),"shrek-ai")</f>
        <v>shrek-ai</v>
      </c>
      <c r="B11500" s="2" t="str">
        <f ca="1">IFERROR(__xludf.DUMMYFUNCTION("""COMPUTED_VALUE"""),"shrekai")</f>
        <v>shrekai</v>
      </c>
      <c r="C11500" s="2" t="str">
        <f ca="1">IFERROR(__xludf.DUMMYFUNCTION("""COMPUTED_VALUE"""),"Shrek AI")</f>
        <v>Shrek AI</v>
      </c>
    </row>
    <row r="11501" spans="1:3" x14ac:dyDescent="0.25">
      <c r="A11501" s="2" t="str">
        <f ca="1">IFERROR(__xludf.DUMMYFUNCTION("""COMPUTED_VALUE"""),"shrimp")</f>
        <v>shrimp</v>
      </c>
      <c r="B11501" s="2" t="str">
        <f ca="1">IFERROR(__xludf.DUMMYFUNCTION("""COMPUTED_VALUE"""),"shrimp")</f>
        <v>shrimp</v>
      </c>
      <c r="C11501" s="2" t="str">
        <f ca="1">IFERROR(__xludf.DUMMYFUNCTION("""COMPUTED_VALUE"""),"Shrimp")</f>
        <v>Shrimp</v>
      </c>
    </row>
    <row r="11502" spans="1:3" x14ac:dyDescent="0.25">
      <c r="A11502" s="2" t="str">
        <f ca="1">IFERROR(__xludf.DUMMYFUNCTION("""COMPUTED_VALUE"""),"shrimp-2")</f>
        <v>shrimp-2</v>
      </c>
      <c r="B11502" s="2" t="str">
        <f ca="1">IFERROR(__xludf.DUMMYFUNCTION("""COMPUTED_VALUE"""),"shrimp")</f>
        <v>shrimp</v>
      </c>
      <c r="C11502" s="2" t="str">
        <f ca="1">IFERROR(__xludf.DUMMYFUNCTION("""COMPUTED_VALUE"""),"Shrimp")</f>
        <v>Shrimp</v>
      </c>
    </row>
    <row r="11503" spans="1:3" x14ac:dyDescent="0.25">
      <c r="A11503" s="2" t="str">
        <f ca="1">IFERROR(__xludf.DUMMYFUNCTION("""COMPUTED_VALUE"""),"shroom")</f>
        <v>shroom</v>
      </c>
      <c r="B11503" s="2" t="str">
        <f ca="1">IFERROR(__xludf.DUMMYFUNCTION("""COMPUTED_VALUE"""),"shroom")</f>
        <v>shroom</v>
      </c>
      <c r="C11503" s="2" t="str">
        <f ca="1">IFERROR(__xludf.DUMMYFUNCTION("""COMPUTED_VALUE"""),"Shroom")</f>
        <v>Shroom</v>
      </c>
    </row>
    <row r="11504" spans="1:3" x14ac:dyDescent="0.25">
      <c r="A11504" s="2" t="str">
        <f ca="1">IFERROR(__xludf.DUMMYFUNCTION("""COMPUTED_VALUE"""),"shroom-finance")</f>
        <v>shroom-finance</v>
      </c>
      <c r="B11504" s="2" t="str">
        <f ca="1">IFERROR(__xludf.DUMMYFUNCTION("""COMPUTED_VALUE"""),"shroom")</f>
        <v>shroom</v>
      </c>
      <c r="C11504" s="2" t="str">
        <f ca="1">IFERROR(__xludf.DUMMYFUNCTION("""COMPUTED_VALUE"""),"Niftyx Protocol")</f>
        <v>Niftyx Protocol</v>
      </c>
    </row>
    <row r="11505" spans="1:3" x14ac:dyDescent="0.25">
      <c r="A11505" s="2" t="str">
        <f ca="1">IFERROR(__xludf.DUMMYFUNCTION("""COMPUTED_VALUE"""),"shrub")</f>
        <v>shrub</v>
      </c>
      <c r="B11505" s="2" t="str">
        <f ca="1">IFERROR(__xludf.DUMMYFUNCTION("""COMPUTED_VALUE"""),"shrub")</f>
        <v>shrub</v>
      </c>
      <c r="C11505" s="2" t="str">
        <f ca="1">IFERROR(__xludf.DUMMYFUNCTION("""COMPUTED_VALUE"""),"Shrub")</f>
        <v>Shrub</v>
      </c>
    </row>
    <row r="11506" spans="1:3" x14ac:dyDescent="0.25">
      <c r="A11506" s="2" t="str">
        <f ca="1">IFERROR(__xludf.DUMMYFUNCTION("""COMPUTED_VALUE"""),"shuffle-2")</f>
        <v>shuffle-2</v>
      </c>
      <c r="B11506" s="2" t="str">
        <f ca="1">IFERROR(__xludf.DUMMYFUNCTION("""COMPUTED_VALUE"""),"shfl")</f>
        <v>shfl</v>
      </c>
      <c r="C11506" s="2" t="str">
        <f ca="1">IFERROR(__xludf.DUMMYFUNCTION("""COMPUTED_VALUE"""),"Shuffle")</f>
        <v>Shuffle</v>
      </c>
    </row>
    <row r="11507" spans="1:3" x14ac:dyDescent="0.25">
      <c r="A11507" s="2" t="str">
        <f ca="1">IFERROR(__xludf.DUMMYFUNCTION("""COMPUTED_VALUE"""),"shuffle-by-hupayx")</f>
        <v>shuffle-by-hupayx</v>
      </c>
      <c r="B11507" s="2" t="str">
        <f ca="1">IFERROR(__xludf.DUMMYFUNCTION("""COMPUTED_VALUE"""),"sfl")</f>
        <v>sfl</v>
      </c>
      <c r="C11507" s="2" t="str">
        <f ca="1">IFERROR(__xludf.DUMMYFUNCTION("""COMPUTED_VALUE"""),"SHUFFLE by HUPAYX")</f>
        <v>SHUFFLE by HUPAYX</v>
      </c>
    </row>
    <row r="11508" spans="1:3" x14ac:dyDescent="0.25">
      <c r="A11508" s="2" t="str">
        <f ca="1">IFERROR(__xludf.DUMMYFUNCTION("""COMPUTED_VALUE"""),"shui")</f>
        <v>shui</v>
      </c>
      <c r="B11508" s="2" t="str">
        <f ca="1">IFERROR(__xludf.DUMMYFUNCTION("""COMPUTED_VALUE"""),"shui")</f>
        <v>shui</v>
      </c>
      <c r="C11508" s="2" t="str">
        <f ca="1">IFERROR(__xludf.DUMMYFUNCTION("""COMPUTED_VALUE"""),"SHUI")</f>
        <v>SHUI</v>
      </c>
    </row>
    <row r="11509" spans="1:3" x14ac:dyDescent="0.25">
      <c r="A11509" s="2" t="str">
        <f ca="1">IFERROR(__xludf.DUMMYFUNCTION("""COMPUTED_VALUE"""),"shui-cfx")</f>
        <v>shui-cfx</v>
      </c>
      <c r="B11509" s="2" t="str">
        <f ca="1">IFERROR(__xludf.DUMMYFUNCTION("""COMPUTED_VALUE"""),"scfx")</f>
        <v>scfx</v>
      </c>
      <c r="C11509" s="2" t="str">
        <f ca="1">IFERROR(__xludf.DUMMYFUNCTION("""COMPUTED_VALUE"""),"SHUI CFX")</f>
        <v>SHUI CFX</v>
      </c>
    </row>
    <row r="11510" spans="1:3" x14ac:dyDescent="0.25">
      <c r="A11510" s="2" t="str">
        <f ca="1">IFERROR(__xludf.DUMMYFUNCTION("""COMPUTED_VALUE"""),"shuts-wave")</f>
        <v>shuts-wave</v>
      </c>
      <c r="B11510" s="2" t="str">
        <f ca="1">IFERROR(__xludf.DUMMYFUNCTION("""COMPUTED_VALUE"""),"swave")</f>
        <v>swave</v>
      </c>
      <c r="C11510" s="2" t="str">
        <f ca="1">IFERROR(__xludf.DUMMYFUNCTION("""COMPUTED_VALUE"""),"shuts Wave")</f>
        <v>shuts Wave</v>
      </c>
    </row>
    <row r="11511" spans="1:3" x14ac:dyDescent="0.25">
      <c r="A11511" s="2" t="str">
        <f ca="1">IFERROR(__xludf.DUMMYFUNCTION("""COMPUTED_VALUE"""),"shutter")</f>
        <v>shutter</v>
      </c>
      <c r="B11511" s="2" t="str">
        <f ca="1">IFERROR(__xludf.DUMMYFUNCTION("""COMPUTED_VALUE"""),"shu")</f>
        <v>shu</v>
      </c>
      <c r="C11511" s="2" t="str">
        <f ca="1">IFERROR(__xludf.DUMMYFUNCTION("""COMPUTED_VALUE"""),"Shutter")</f>
        <v>Shutter</v>
      </c>
    </row>
    <row r="11512" spans="1:3" x14ac:dyDescent="0.25">
      <c r="A11512" s="2" t="str">
        <f ca="1">IFERROR(__xludf.DUMMYFUNCTION("""COMPUTED_VALUE"""),"shyft-network-2")</f>
        <v>shyft-network-2</v>
      </c>
      <c r="B11512" s="2" t="str">
        <f ca="1">IFERROR(__xludf.DUMMYFUNCTION("""COMPUTED_VALUE"""),"shft")</f>
        <v>shft</v>
      </c>
      <c r="C11512" s="2" t="str">
        <f ca="1">IFERROR(__xludf.DUMMYFUNCTION("""COMPUTED_VALUE"""),"Shyft Network")</f>
        <v>Shyft Network</v>
      </c>
    </row>
    <row r="11513" spans="1:3" x14ac:dyDescent="0.25">
      <c r="A11513" s="2" t="str">
        <f ca="1">IFERROR(__xludf.DUMMYFUNCTION("""COMPUTED_VALUE"""),"sia-ai")</f>
        <v>sia-ai</v>
      </c>
      <c r="B11513" s="2" t="str">
        <f ca="1">IFERROR(__xludf.DUMMYFUNCTION("""COMPUTED_VALUE"""),"$sia")</f>
        <v>$sia</v>
      </c>
      <c r="C11513" s="2" t="str">
        <f ca="1">IFERROR(__xludf.DUMMYFUNCTION("""COMPUTED_VALUE"""),"SIA AI")</f>
        <v>SIA AI</v>
      </c>
    </row>
    <row r="11514" spans="1:3" x14ac:dyDescent="0.25">
      <c r="A11514" s="2" t="str">
        <f ca="1">IFERROR(__xludf.DUMMYFUNCTION("""COMPUTED_VALUE"""),"siacoin")</f>
        <v>siacoin</v>
      </c>
      <c r="B11514" s="2" t="str">
        <f ca="1">IFERROR(__xludf.DUMMYFUNCTION("""COMPUTED_VALUE"""),"sc")</f>
        <v>sc</v>
      </c>
      <c r="C11514" s="2" t="str">
        <f ca="1">IFERROR(__xludf.DUMMYFUNCTION("""COMPUTED_VALUE"""),"Siacoin")</f>
        <v>Siacoin</v>
      </c>
    </row>
    <row r="11515" spans="1:3" x14ac:dyDescent="0.25">
      <c r="A11515" s="2" t="str">
        <f ca="1">IFERROR(__xludf.DUMMYFUNCTION("""COMPUTED_VALUE"""),"siamese")</f>
        <v>siamese</v>
      </c>
      <c r="B11515" s="2" t="str">
        <f ca="1">IFERROR(__xludf.DUMMYFUNCTION("""COMPUTED_VALUE"""),"siam")</f>
        <v>siam</v>
      </c>
      <c r="C11515" s="2" t="str">
        <f ca="1">IFERROR(__xludf.DUMMYFUNCTION("""COMPUTED_VALUE"""),"Siamese")</f>
        <v>Siamese</v>
      </c>
    </row>
    <row r="11516" spans="1:3" x14ac:dyDescent="0.25">
      <c r="A11516" s="2" t="str">
        <f ca="1">IFERROR(__xludf.DUMMYFUNCTION("""COMPUTED_VALUE"""),"siaprime-coin")</f>
        <v>siaprime-coin</v>
      </c>
      <c r="B11516" s="2" t="str">
        <f ca="1">IFERROR(__xludf.DUMMYFUNCTION("""COMPUTED_VALUE"""),"scp")</f>
        <v>scp</v>
      </c>
      <c r="C11516" s="2" t="str">
        <f ca="1">IFERROR(__xludf.DUMMYFUNCTION("""COMPUTED_VALUE"""),"ScPrime")</f>
        <v>ScPrime</v>
      </c>
    </row>
    <row r="11517" spans="1:3" x14ac:dyDescent="0.25">
      <c r="A11517" s="2" t="str">
        <f ca="1">IFERROR(__xludf.DUMMYFUNCTION("""COMPUTED_VALUE"""),"side-eye-cat")</f>
        <v>side-eye-cat</v>
      </c>
      <c r="B11517" s="2" t="str">
        <f ca="1">IFERROR(__xludf.DUMMYFUNCTION("""COMPUTED_VALUE"""),"sec")</f>
        <v>sec</v>
      </c>
      <c r="C11517" s="2" t="str">
        <f ca="1">IFERROR(__xludf.DUMMYFUNCTION("""COMPUTED_VALUE"""),"Side Eye Cat")</f>
        <v>Side Eye Cat</v>
      </c>
    </row>
    <row r="11518" spans="1:3" x14ac:dyDescent="0.25">
      <c r="A11518" s="2" t="str">
        <f ca="1">IFERROR(__xludf.DUMMYFUNCTION("""COMPUTED_VALUE"""),"sideshift-token")</f>
        <v>sideshift-token</v>
      </c>
      <c r="B11518" s="2" t="str">
        <f ca="1">IFERROR(__xludf.DUMMYFUNCTION("""COMPUTED_VALUE"""),"xai")</f>
        <v>xai</v>
      </c>
      <c r="C11518" s="2" t="str">
        <f ca="1">IFERROR(__xludf.DUMMYFUNCTION("""COMPUTED_VALUE"""),"SideShift")</f>
        <v>SideShift</v>
      </c>
    </row>
    <row r="11519" spans="1:3" x14ac:dyDescent="0.25">
      <c r="A11519" s="2" t="str">
        <f ca="1">IFERROR(__xludf.DUMMYFUNCTION("""COMPUTED_VALUE"""),"sidus")</f>
        <v>sidus</v>
      </c>
      <c r="B11519" s="2" t="str">
        <f ca="1">IFERROR(__xludf.DUMMYFUNCTION("""COMPUTED_VALUE"""),"sidus")</f>
        <v>sidus</v>
      </c>
      <c r="C11519" s="2" t="str">
        <f ca="1">IFERROR(__xludf.DUMMYFUNCTION("""COMPUTED_VALUE"""),"Sidus")</f>
        <v>Sidus</v>
      </c>
    </row>
    <row r="11520" spans="1:3" x14ac:dyDescent="0.25">
      <c r="A11520" s="2" t="str">
        <f ca="1">IFERROR(__xludf.DUMMYFUNCTION("""COMPUTED_VALUE"""),"sienna")</f>
        <v>sienna</v>
      </c>
      <c r="B11520" s="2" t="str">
        <f ca="1">IFERROR(__xludf.DUMMYFUNCTION("""COMPUTED_VALUE"""),"sienna")</f>
        <v>sienna</v>
      </c>
      <c r="C11520" s="2" t="str">
        <f ca="1">IFERROR(__xludf.DUMMYFUNCTION("""COMPUTED_VALUE"""),"Sienna")</f>
        <v>Sienna</v>
      </c>
    </row>
    <row r="11521" spans="1:3" x14ac:dyDescent="0.25">
      <c r="A11521" s="2" t="str">
        <f ca="1">IFERROR(__xludf.DUMMYFUNCTION("""COMPUTED_VALUE"""),"sienna-erc20")</f>
        <v>sienna-erc20</v>
      </c>
      <c r="B11521" s="2" t="str">
        <f ca="1">IFERROR(__xludf.DUMMYFUNCTION("""COMPUTED_VALUE"""),"wsienna")</f>
        <v>wsienna</v>
      </c>
      <c r="C11521" s="2" t="str">
        <f ca="1">IFERROR(__xludf.DUMMYFUNCTION("""COMPUTED_VALUE"""),"Sienna [ERC-20]")</f>
        <v>Sienna [ERC-20]</v>
      </c>
    </row>
    <row r="11522" spans="1:3" x14ac:dyDescent="0.25">
      <c r="A11522" s="2" t="str">
        <f ca="1">IFERROR(__xludf.DUMMYFUNCTION("""COMPUTED_VALUE"""),"sifchain")</f>
        <v>sifchain</v>
      </c>
      <c r="B11522" s="2" t="str">
        <f ca="1">IFERROR(__xludf.DUMMYFUNCTION("""COMPUTED_VALUE"""),"erowan")</f>
        <v>erowan</v>
      </c>
      <c r="C11522" s="2" t="str">
        <f ca="1">IFERROR(__xludf.DUMMYFUNCTION("""COMPUTED_VALUE"""),"Sifchain")</f>
        <v>Sifchain</v>
      </c>
    </row>
    <row r="11523" spans="1:3" x14ac:dyDescent="0.25">
      <c r="A11523" s="2" t="str">
        <f ca="1">IFERROR(__xludf.DUMMYFUNCTION("""COMPUTED_VALUE"""),"sifu-vision-2")</f>
        <v>sifu-vision-2</v>
      </c>
      <c r="B11523" s="2" t="str">
        <f ca="1">IFERROR(__xludf.DUMMYFUNCTION("""COMPUTED_VALUE"""),"sifu")</f>
        <v>sifu</v>
      </c>
      <c r="C11523" s="2" t="str">
        <f ca="1">IFERROR(__xludf.DUMMYFUNCTION("""COMPUTED_VALUE"""),"Sifu Vision")</f>
        <v>Sifu Vision</v>
      </c>
    </row>
    <row r="11524" spans="1:3" x14ac:dyDescent="0.25">
      <c r="A11524" s="2" t="str">
        <f ca="1">IFERROR(__xludf.DUMMYFUNCTION("""COMPUTED_VALUE"""),"sigma")</f>
        <v>sigma</v>
      </c>
      <c r="B11524" s="2" t="str">
        <f ca="1">IFERROR(__xludf.DUMMYFUNCTION("""COMPUTED_VALUE"""),"sigma")</f>
        <v>sigma</v>
      </c>
      <c r="C11524" s="2" t="str">
        <f ca="1">IFERROR(__xludf.DUMMYFUNCTION("""COMPUTED_VALUE"""),"Sigma")</f>
        <v>Sigma</v>
      </c>
    </row>
    <row r="11525" spans="1:3" x14ac:dyDescent="0.25">
      <c r="A11525" s="2" t="str">
        <f ca="1">IFERROR(__xludf.DUMMYFUNCTION("""COMPUTED_VALUE"""),"sigma-2")</f>
        <v>sigma-2</v>
      </c>
      <c r="B11525" s="2" t="str">
        <f ca="1">IFERROR(__xludf.DUMMYFUNCTION("""COMPUTED_VALUE"""),"sigma")</f>
        <v>sigma</v>
      </c>
      <c r="C11525" s="2" t="str">
        <f ca="1">IFERROR(__xludf.DUMMYFUNCTION("""COMPUTED_VALUE"""),"SIGMA")</f>
        <v>SIGMA</v>
      </c>
    </row>
    <row r="11526" spans="1:3" x14ac:dyDescent="0.25">
      <c r="A11526" s="2" t="str">
        <f ca="1">IFERROR(__xludf.DUMMYFUNCTION("""COMPUTED_VALUE"""),"sign")</f>
        <v>sign</v>
      </c>
      <c r="B11526" s="2" t="str">
        <f ca="1">IFERROR(__xludf.DUMMYFUNCTION("""COMPUTED_VALUE"""),"sign")</f>
        <v>sign</v>
      </c>
      <c r="C11526" s="2" t="str">
        <f ca="1">IFERROR(__xludf.DUMMYFUNCTION("""COMPUTED_VALUE"""),"Sign Token")</f>
        <v>Sign Token</v>
      </c>
    </row>
    <row r="11527" spans="1:3" x14ac:dyDescent="0.25">
      <c r="A11527" s="2" t="str">
        <f ca="1">IFERROR(__xludf.DUMMYFUNCTION("""COMPUTED_VALUE"""),"signata")</f>
        <v>signata</v>
      </c>
      <c r="B11527" s="2" t="str">
        <f ca="1">IFERROR(__xludf.DUMMYFUNCTION("""COMPUTED_VALUE"""),"sata")</f>
        <v>sata</v>
      </c>
      <c r="C11527" s="2" t="str">
        <f ca="1">IFERROR(__xludf.DUMMYFUNCTION("""COMPUTED_VALUE"""),"Signata")</f>
        <v>Signata</v>
      </c>
    </row>
    <row r="11528" spans="1:3" x14ac:dyDescent="0.25">
      <c r="A11528" s="2" t="str">
        <f ca="1">IFERROR(__xludf.DUMMYFUNCTION("""COMPUTED_VALUE"""),"signet")</f>
        <v>signet</v>
      </c>
      <c r="B11528" s="2" t="str">
        <f ca="1">IFERROR(__xludf.DUMMYFUNCTION("""COMPUTED_VALUE"""),"sig")</f>
        <v>sig</v>
      </c>
      <c r="C11528" s="2" t="str">
        <f ca="1">IFERROR(__xludf.DUMMYFUNCTION("""COMPUTED_VALUE"""),"Signet")</f>
        <v>Signet</v>
      </c>
    </row>
    <row r="11529" spans="1:3" x14ac:dyDescent="0.25">
      <c r="A11529" s="2" t="str">
        <f ca="1">IFERROR(__xludf.DUMMYFUNCTION("""COMPUTED_VALUE"""),"signum")</f>
        <v>signum</v>
      </c>
      <c r="B11529" s="2" t="str">
        <f ca="1">IFERROR(__xludf.DUMMYFUNCTION("""COMPUTED_VALUE"""),"signa")</f>
        <v>signa</v>
      </c>
      <c r="C11529" s="2" t="str">
        <f ca="1">IFERROR(__xludf.DUMMYFUNCTION("""COMPUTED_VALUE"""),"Signum")</f>
        <v>Signum</v>
      </c>
    </row>
    <row r="11530" spans="1:3" x14ac:dyDescent="0.25">
      <c r="A11530" s="2" t="str">
        <f ca="1">IFERROR(__xludf.DUMMYFUNCTION("""COMPUTED_VALUE"""),"sigrsv")</f>
        <v>sigrsv</v>
      </c>
      <c r="B11530" s="2" t="str">
        <f ca="1">IFERROR(__xludf.DUMMYFUNCTION("""COMPUTED_VALUE"""),"sigrsv")</f>
        <v>sigrsv</v>
      </c>
      <c r="C11530" s="2" t="str">
        <f ca="1">IFERROR(__xludf.DUMMYFUNCTION("""COMPUTED_VALUE"""),"SigRSV")</f>
        <v>SigRSV</v>
      </c>
    </row>
    <row r="11531" spans="1:3" x14ac:dyDescent="0.25">
      <c r="A11531" s="2" t="str">
        <f ca="1">IFERROR(__xludf.DUMMYFUNCTION("""COMPUTED_VALUE"""),"sigusd")</f>
        <v>sigusd</v>
      </c>
      <c r="B11531" s="2" t="str">
        <f ca="1">IFERROR(__xludf.DUMMYFUNCTION("""COMPUTED_VALUE"""),"sigusd")</f>
        <v>sigusd</v>
      </c>
      <c r="C11531" s="2" t="str">
        <f ca="1">IFERROR(__xludf.DUMMYFUNCTION("""COMPUTED_VALUE"""),"SigUSD")</f>
        <v>SigUSD</v>
      </c>
    </row>
    <row r="11532" spans="1:3" x14ac:dyDescent="0.25">
      <c r="A11532" s="2" t="str">
        <f ca="1">IFERROR(__xludf.DUMMYFUNCTION("""COMPUTED_VALUE"""),"sikaswap")</f>
        <v>sikaswap</v>
      </c>
      <c r="B11532" s="2" t="str">
        <f ca="1">IFERROR(__xludf.DUMMYFUNCTION("""COMPUTED_VALUE"""),"sika")</f>
        <v>sika</v>
      </c>
      <c r="C11532" s="2" t="str">
        <f ca="1">IFERROR(__xludf.DUMMYFUNCTION("""COMPUTED_VALUE"""),"SikaSwap")</f>
        <v>SikaSwap</v>
      </c>
    </row>
    <row r="11533" spans="1:3" x14ac:dyDescent="0.25">
      <c r="A11533" s="2" t="str">
        <f ca="1">IFERROR(__xludf.DUMMYFUNCTION("""COMPUTED_VALUE"""),"silent-notary")</f>
        <v>silent-notary</v>
      </c>
      <c r="B11533" s="2" t="str">
        <f ca="1">IFERROR(__xludf.DUMMYFUNCTION("""COMPUTED_VALUE"""),"ubsn")</f>
        <v>ubsn</v>
      </c>
      <c r="C11533" s="2" t="str">
        <f ca="1">IFERROR(__xludf.DUMMYFUNCTION("""COMPUTED_VALUE"""),"Silent Notary")</f>
        <v>Silent Notary</v>
      </c>
    </row>
    <row r="11534" spans="1:3" x14ac:dyDescent="0.25">
      <c r="A11534" s="2" t="str">
        <f ca="1">IFERROR(__xludf.DUMMYFUNCTION("""COMPUTED_VALUE"""),"silk-bcec1136-561c-4706-a42c-8b67d0d7f7d2")</f>
        <v>silk-bcec1136-561c-4706-a42c-8b67d0d7f7d2</v>
      </c>
      <c r="B11534" s="2" t="str">
        <f ca="1">IFERROR(__xludf.DUMMYFUNCTION("""COMPUTED_VALUE"""),"silk")</f>
        <v>silk</v>
      </c>
      <c r="C11534" s="2" t="str">
        <f ca="1">IFERROR(__xludf.DUMMYFUNCTION("""COMPUTED_VALUE"""),"Silk")</f>
        <v>Silk</v>
      </c>
    </row>
    <row r="11535" spans="1:3" x14ac:dyDescent="0.25">
      <c r="A11535" s="2" t="str">
        <f ca="1">IFERROR(__xludf.DUMMYFUNCTION("""COMPUTED_VALUE"""),"silky")</f>
        <v>silky</v>
      </c>
      <c r="B11535" s="2" t="str">
        <f ca="1">IFERROR(__xludf.DUMMYFUNCTION("""COMPUTED_VALUE"""),"silky")</f>
        <v>silky</v>
      </c>
      <c r="C11535" s="2" t="str">
        <f ca="1">IFERROR(__xludf.DUMMYFUNCTION("""COMPUTED_VALUE"""),"silky")</f>
        <v>silky</v>
      </c>
    </row>
    <row r="11536" spans="1:3" x14ac:dyDescent="0.25">
      <c r="A11536" s="2" t="str">
        <f ca="1">IFERROR(__xludf.DUMMYFUNCTION("""COMPUTED_VALUE"""),"sillybird")</f>
        <v>sillybird</v>
      </c>
      <c r="B11536" s="2" t="str">
        <f ca="1">IFERROR(__xludf.DUMMYFUNCTION("""COMPUTED_VALUE"""),"sib")</f>
        <v>sib</v>
      </c>
      <c r="C11536" s="2" t="str">
        <f ca="1">IFERROR(__xludf.DUMMYFUNCTION("""COMPUTED_VALUE"""),"Sillybird")</f>
        <v>Sillybird</v>
      </c>
    </row>
    <row r="11537" spans="1:3" x14ac:dyDescent="0.25">
      <c r="A11537" s="2" t="str">
        <f ca="1">IFERROR(__xludf.DUMMYFUNCTION("""COMPUTED_VALUE"""),"sillycat")</f>
        <v>sillycat</v>
      </c>
      <c r="B11537" s="2" t="str">
        <f ca="1">IFERROR(__xludf.DUMMYFUNCTION("""COMPUTED_VALUE"""),"sillycat")</f>
        <v>sillycat</v>
      </c>
      <c r="C11537" s="2" t="str">
        <f ca="1">IFERROR(__xludf.DUMMYFUNCTION("""COMPUTED_VALUE"""),"Sillycat")</f>
        <v>Sillycat</v>
      </c>
    </row>
    <row r="11538" spans="1:3" x14ac:dyDescent="0.25">
      <c r="A11538" s="2" t="str">
        <f ca="1">IFERROR(__xludf.DUMMYFUNCTION("""COMPUTED_VALUE"""),"silly-dragon")</f>
        <v>silly-dragon</v>
      </c>
      <c r="B11538" s="2" t="str">
        <f ca="1">IFERROR(__xludf.DUMMYFUNCTION("""COMPUTED_VALUE"""),"silly")</f>
        <v>silly</v>
      </c>
      <c r="C11538" s="2" t="str">
        <f ca="1">IFERROR(__xludf.DUMMYFUNCTION("""COMPUTED_VALUE"""),"Silly Dragon")</f>
        <v>Silly Dragon</v>
      </c>
    </row>
    <row r="11539" spans="1:3" x14ac:dyDescent="0.25">
      <c r="A11539" s="2" t="str">
        <f ca="1">IFERROR(__xludf.DUMMYFUNCTION("""COMPUTED_VALUE"""),"silly-goose")</f>
        <v>silly-goose</v>
      </c>
      <c r="B11539" s="2" t="str">
        <f ca="1">IFERROR(__xludf.DUMMYFUNCTION("""COMPUTED_VALUE"""),"goo")</f>
        <v>goo</v>
      </c>
      <c r="C11539" s="2" t="str">
        <f ca="1">IFERROR(__xludf.DUMMYFUNCTION("""COMPUTED_VALUE"""),"Silly Goose")</f>
        <v>Silly Goose</v>
      </c>
    </row>
    <row r="11540" spans="1:3" x14ac:dyDescent="0.25">
      <c r="A11540" s="2" t="str">
        <f ca="1">IFERROR(__xludf.DUMMYFUNCTION("""COMPUTED_VALUE"""),"sillynubcat")</f>
        <v>sillynubcat</v>
      </c>
      <c r="B11540" s="2" t="str">
        <f ca="1">IFERROR(__xludf.DUMMYFUNCTION("""COMPUTED_VALUE"""),"nub")</f>
        <v>nub</v>
      </c>
      <c r="C11540" s="2" t="str">
        <f ca="1">IFERROR(__xludf.DUMMYFUNCTION("""COMPUTED_VALUE"""),"Sillynubcat")</f>
        <v>Sillynubcat</v>
      </c>
    </row>
    <row r="11541" spans="1:3" x14ac:dyDescent="0.25">
      <c r="A11541" s="2" t="str">
        <f ca="1">IFERROR(__xludf.DUMMYFUNCTION("""COMPUTED_VALUE"""),"silo-finance")</f>
        <v>silo-finance</v>
      </c>
      <c r="B11541" s="2" t="str">
        <f ca="1">IFERROR(__xludf.DUMMYFUNCTION("""COMPUTED_VALUE"""),"silo")</f>
        <v>silo</v>
      </c>
      <c r="C11541" s="2" t="str">
        <f ca="1">IFERROR(__xludf.DUMMYFUNCTION("""COMPUTED_VALUE"""),"Silo Finance")</f>
        <v>Silo Finance</v>
      </c>
    </row>
    <row r="11542" spans="1:3" x14ac:dyDescent="0.25">
      <c r="A11542" s="2" t="str">
        <f ca="1">IFERROR(__xludf.DUMMYFUNCTION("""COMPUTED_VALUE"""),"silo-staked-sei")</f>
        <v>silo-staked-sei</v>
      </c>
      <c r="B11542" s="2" t="str">
        <f ca="1">IFERROR(__xludf.DUMMYFUNCTION("""COMPUTED_VALUE"""),"isei")</f>
        <v>isei</v>
      </c>
      <c r="C11542" s="2" t="str">
        <f ca="1">IFERROR(__xludf.DUMMYFUNCTION("""COMPUTED_VALUE"""),"Silo Staked SEI")</f>
        <v>Silo Staked SEI</v>
      </c>
    </row>
    <row r="11543" spans="1:3" x14ac:dyDescent="0.25">
      <c r="A11543" s="2" t="str">
        <f ca="1">IFERROR(__xludf.DUMMYFUNCTION("""COMPUTED_VALUE"""),"silva-token")</f>
        <v>silva-token</v>
      </c>
      <c r="B11543" s="2" t="str">
        <f ca="1">IFERROR(__xludf.DUMMYFUNCTION("""COMPUTED_VALUE"""),"silva")</f>
        <v>silva</v>
      </c>
      <c r="C11543" s="2" t="str">
        <f ca="1">IFERROR(__xludf.DUMMYFUNCTION("""COMPUTED_VALUE"""),"Silva")</f>
        <v>Silva</v>
      </c>
    </row>
    <row r="11544" spans="1:3" x14ac:dyDescent="0.25">
      <c r="A11544" s="2" t="str">
        <f ca="1">IFERROR(__xludf.DUMMYFUNCTION("""COMPUTED_VALUE"""),"silver")</f>
        <v>silver</v>
      </c>
      <c r="B11544" s="2" t="str">
        <f ca="1">IFERROR(__xludf.DUMMYFUNCTION("""COMPUTED_VALUE"""),"silver")</f>
        <v>silver</v>
      </c>
      <c r="C11544" s="2" t="str">
        <f ca="1">IFERROR(__xludf.DUMMYFUNCTION("""COMPUTED_VALUE"""),"SILVER")</f>
        <v>SILVER</v>
      </c>
    </row>
    <row r="11545" spans="1:3" x14ac:dyDescent="0.25">
      <c r="A11545" s="2" t="str">
        <f ca="1">IFERROR(__xludf.DUMMYFUNCTION("""COMPUTED_VALUE"""),"silver-standard")</f>
        <v>silver-standard</v>
      </c>
      <c r="B11545" s="2" t="str">
        <f ca="1">IFERROR(__xludf.DUMMYFUNCTION("""COMPUTED_VALUE"""),"bars")</f>
        <v>bars</v>
      </c>
      <c r="C11545" s="2" t="str">
        <f ca="1">IFERROR(__xludf.DUMMYFUNCTION("""COMPUTED_VALUE"""),"Silver Standard")</f>
        <v>Silver Standard</v>
      </c>
    </row>
    <row r="11546" spans="1:3" x14ac:dyDescent="0.25">
      <c r="A11546" s="2" t="str">
        <f ca="1">IFERROR(__xludf.DUMMYFUNCTION("""COMPUTED_VALUE"""),"silverstonks")</f>
        <v>silverstonks</v>
      </c>
      <c r="B11546" s="2" t="str">
        <f ca="1">IFERROR(__xludf.DUMMYFUNCTION("""COMPUTED_VALUE"""),"sstx")</f>
        <v>sstx</v>
      </c>
      <c r="C11546" s="2" t="str">
        <f ca="1">IFERROR(__xludf.DUMMYFUNCTION("""COMPUTED_VALUE"""),"Silver Stonks")</f>
        <v>Silver Stonks</v>
      </c>
    </row>
    <row r="11547" spans="1:3" x14ac:dyDescent="0.25">
      <c r="A11547" s="2" t="str">
        <f ca="1">IFERROR(__xludf.DUMMYFUNCTION("""COMPUTED_VALUE"""),"silver-tokenized-stock-defichain")</f>
        <v>silver-tokenized-stock-defichain</v>
      </c>
      <c r="B11547" s="2" t="str">
        <f ca="1">IFERROR(__xludf.DUMMYFUNCTION("""COMPUTED_VALUE"""),"dslv")</f>
        <v>dslv</v>
      </c>
      <c r="C11547" s="2" t="str">
        <f ca="1">IFERROR(__xludf.DUMMYFUNCTION("""COMPUTED_VALUE"""),"iShares Silver Trust Defichain")</f>
        <v>iShares Silver Trust Defichain</v>
      </c>
    </row>
    <row r="11548" spans="1:3" x14ac:dyDescent="0.25">
      <c r="A11548" s="2" t="str">
        <f ca="1">IFERROR(__xludf.DUMMYFUNCTION("""COMPUTED_VALUE"""),"silver-token-xagx")</f>
        <v>silver-token-xagx</v>
      </c>
      <c r="B11548" s="2" t="str">
        <f ca="1">IFERROR(__xludf.DUMMYFUNCTION("""COMPUTED_VALUE"""),"xagx")</f>
        <v>xagx</v>
      </c>
      <c r="C11548" s="2" t="str">
        <f ca="1">IFERROR(__xludf.DUMMYFUNCTION("""COMPUTED_VALUE"""),"Silver Token")</f>
        <v>Silver Token</v>
      </c>
    </row>
    <row r="11549" spans="1:3" x14ac:dyDescent="0.25">
      <c r="A11549" s="2" t="str">
        <f ca="1">IFERROR(__xludf.DUMMYFUNCTION("""COMPUTED_VALUE"""),"simba-coin")</f>
        <v>simba-coin</v>
      </c>
      <c r="B11549" s="2" t="str">
        <f ca="1">IFERROR(__xludf.DUMMYFUNCTION("""COMPUTED_VALUE"""),"simba")</f>
        <v>simba</v>
      </c>
      <c r="C11549" s="2" t="str">
        <f ca="1">IFERROR(__xludf.DUMMYFUNCTION("""COMPUTED_VALUE"""),"Simba Coin")</f>
        <v>Simba Coin</v>
      </c>
    </row>
    <row r="11550" spans="1:3" x14ac:dyDescent="0.25">
      <c r="A11550" s="2" t="str">
        <f ca="1">IFERROR(__xludf.DUMMYFUNCTION("""COMPUTED_VALUE"""),"simbcoin-swap")</f>
        <v>simbcoin-swap</v>
      </c>
      <c r="B11550" s="2" t="str">
        <f ca="1">IFERROR(__xludf.DUMMYFUNCTION("""COMPUTED_VALUE"""),"smbswap")</f>
        <v>smbswap</v>
      </c>
      <c r="C11550" s="2" t="str">
        <f ca="1">IFERROR(__xludf.DUMMYFUNCTION("""COMPUTED_VALUE"""),"SimbCoin Swap")</f>
        <v>SimbCoin Swap</v>
      </c>
    </row>
    <row r="11551" spans="1:3" x14ac:dyDescent="0.25">
      <c r="A11551" s="2" t="str">
        <f ca="1">IFERROR(__xludf.DUMMYFUNCTION("""COMPUTED_VALUE"""),"simit")</f>
        <v>simit</v>
      </c>
      <c r="B11551" s="2" t="str">
        <f ca="1">IFERROR(__xludf.DUMMYFUNCTION("""COMPUTED_VALUE"""),"simit")</f>
        <v>simit</v>
      </c>
      <c r="C11551" s="2" t="str">
        <f ca="1">IFERROR(__xludf.DUMMYFUNCTION("""COMPUTED_VALUE"""),"Simit")</f>
        <v>Simit</v>
      </c>
    </row>
    <row r="11552" spans="1:3" x14ac:dyDescent="0.25">
      <c r="A11552" s="2" t="str">
        <f ca="1">IFERROR(__xludf.DUMMYFUNCTION("""COMPUTED_VALUE"""),"simong-coin")</f>
        <v>simong-coin</v>
      </c>
      <c r="B11552" s="2" t="str">
        <f ca="1">IFERROR(__xludf.DUMMYFUNCTION("""COMPUTED_VALUE"""),"smc")</f>
        <v>smc</v>
      </c>
      <c r="C11552" s="2" t="str">
        <f ca="1">IFERROR(__xludf.DUMMYFUNCTION("""COMPUTED_VALUE"""),"SIMONG COIN")</f>
        <v>SIMONG COIN</v>
      </c>
    </row>
    <row r="11553" spans="1:3" x14ac:dyDescent="0.25">
      <c r="A11553" s="2" t="str">
        <f ca="1">IFERROR(__xludf.DUMMYFUNCTION("""COMPUTED_VALUE"""),"simon-s-cat")</f>
        <v>simon-s-cat</v>
      </c>
      <c r="B11553" s="2" t="str">
        <f ca="1">IFERROR(__xludf.DUMMYFUNCTION("""COMPUTED_VALUE"""),"cat")</f>
        <v>cat</v>
      </c>
      <c r="C11553" s="2" t="str">
        <f ca="1">IFERROR(__xludf.DUMMYFUNCTION("""COMPUTED_VALUE"""),"Simon's Cat")</f>
        <v>Simon's Cat</v>
      </c>
    </row>
    <row r="11554" spans="1:3" x14ac:dyDescent="0.25">
      <c r="A11554" s="2" t="str">
        <f ca="1">IFERROR(__xludf.DUMMYFUNCTION("""COMPUTED_VALUE"""),"simple-token")</f>
        <v>simple-token</v>
      </c>
      <c r="B11554" s="2" t="str">
        <f ca="1">IFERROR(__xludf.DUMMYFUNCTION("""COMPUTED_VALUE"""),"ost")</f>
        <v>ost</v>
      </c>
      <c r="C11554" s="2" t="str">
        <f ca="1">IFERROR(__xludf.DUMMYFUNCTION("""COMPUTED_VALUE"""),"OST")</f>
        <v>OST</v>
      </c>
    </row>
    <row r="11555" spans="1:3" x14ac:dyDescent="0.25">
      <c r="A11555" s="2" t="str">
        <f ca="1">IFERROR(__xludf.DUMMYFUNCTION("""COMPUTED_VALUE"""),"simpli-finance")</f>
        <v>simpli-finance</v>
      </c>
      <c r="B11555" s="2" t="str">
        <f ca="1">IFERROR(__xludf.DUMMYFUNCTION("""COMPUTED_VALUE"""),"simpli")</f>
        <v>simpli</v>
      </c>
      <c r="C11555" s="2" t="str">
        <f ca="1">IFERROR(__xludf.DUMMYFUNCTION("""COMPUTED_VALUE"""),"Simpli Finance")</f>
        <v>Simpli Finance</v>
      </c>
    </row>
    <row r="11556" spans="1:3" x14ac:dyDescent="0.25">
      <c r="A11556" s="2" t="str">
        <f ca="1">IFERROR(__xludf.DUMMYFUNCTION("""COMPUTED_VALUE"""),"simpson6900")</f>
        <v>simpson6900</v>
      </c>
      <c r="B11556" s="2" t="str">
        <f ca="1">IFERROR(__xludf.DUMMYFUNCTION("""COMPUTED_VALUE"""),"simpson690")</f>
        <v>simpson690</v>
      </c>
      <c r="C11556" s="2" t="str">
        <f ca="1">IFERROR(__xludf.DUMMYFUNCTION("""COMPUTED_VALUE"""),"Simpson6900")</f>
        <v>Simpson6900</v>
      </c>
    </row>
    <row r="11557" spans="1:3" x14ac:dyDescent="0.25">
      <c r="A11557" s="2" t="str">
        <f ca="1">IFERROR(__xludf.DUMMYFUNCTION("""COMPUTED_VALUE"""),"simracer-coin")</f>
        <v>simracer-coin</v>
      </c>
      <c r="B11557" s="2" t="str">
        <f ca="1">IFERROR(__xludf.DUMMYFUNCTION("""COMPUTED_VALUE"""),"src")</f>
        <v>src</v>
      </c>
      <c r="C11557" s="2" t="str">
        <f ca="1">IFERROR(__xludf.DUMMYFUNCTION("""COMPUTED_VALUE"""),"Simracer Coin")</f>
        <v>Simracer Coin</v>
      </c>
    </row>
    <row r="11558" spans="1:3" x14ac:dyDescent="0.25">
      <c r="A11558" s="2" t="str">
        <f ca="1">IFERROR(__xludf.DUMMYFUNCTION("""COMPUTED_VALUE"""),"sin")</f>
        <v>sin</v>
      </c>
      <c r="B11558" s="2" t="str">
        <f ca="1">IFERROR(__xludf.DUMMYFUNCTION("""COMPUTED_VALUE"""),"sin")</f>
        <v>sin</v>
      </c>
      <c r="C11558" s="2" t="str">
        <f ca="1">IFERROR(__xludf.DUMMYFUNCTION("""COMPUTED_VALUE"""),"sinDAO")</f>
        <v>sinDAO</v>
      </c>
    </row>
    <row r="11559" spans="1:3" x14ac:dyDescent="0.25">
      <c r="A11559" s="2" t="str">
        <f ca="1">IFERROR(__xludf.DUMMYFUNCTION("""COMPUTED_VALUE"""),"sin-city")</f>
        <v>sin-city</v>
      </c>
      <c r="B11559" s="2" t="str">
        <f ca="1">IFERROR(__xludf.DUMMYFUNCTION("""COMPUTED_VALUE"""),"sin")</f>
        <v>sin</v>
      </c>
      <c r="C11559" s="2" t="str">
        <f ca="1">IFERROR(__xludf.DUMMYFUNCTION("""COMPUTED_VALUE"""),"Sinverse")</f>
        <v>Sinverse</v>
      </c>
    </row>
    <row r="11560" spans="1:3" x14ac:dyDescent="0.25">
      <c r="A11560" s="2" t="str">
        <f ca="1">IFERROR(__xludf.DUMMYFUNCTION("""COMPUTED_VALUE"""),"sindi")</f>
        <v>sindi</v>
      </c>
      <c r="B11560" s="2" t="str">
        <f ca="1">IFERROR(__xludf.DUMMYFUNCTION("""COMPUTED_VALUE"""),"sindi")</f>
        <v>sindi</v>
      </c>
      <c r="C11560" s="2" t="str">
        <f ca="1">IFERROR(__xludf.DUMMYFUNCTION("""COMPUTED_VALUE"""),"SINDI")</f>
        <v>SINDI</v>
      </c>
    </row>
    <row r="11561" spans="1:3" x14ac:dyDescent="0.25">
      <c r="A11561" s="2" t="str">
        <f ca="1">IFERROR(__xludf.DUMMYFUNCTION("""COMPUTED_VALUE"""),"single-finance")</f>
        <v>single-finance</v>
      </c>
      <c r="B11561" s="2" t="str">
        <f ca="1">IFERROR(__xludf.DUMMYFUNCTION("""COMPUTED_VALUE"""),"single")</f>
        <v>single</v>
      </c>
      <c r="C11561" s="2" t="str">
        <f ca="1">IFERROR(__xludf.DUMMYFUNCTION("""COMPUTED_VALUE"""),"Single Finance")</f>
        <v>Single Finance</v>
      </c>
    </row>
    <row r="11562" spans="1:3" x14ac:dyDescent="0.25">
      <c r="A11562" s="2" t="str">
        <f ca="1">IFERROR(__xludf.DUMMYFUNCTION("""COMPUTED_VALUE"""),"sing-token")</f>
        <v>sing-token</v>
      </c>
      <c r="B11562" s="2" t="str">
        <f ca="1">IFERROR(__xludf.DUMMYFUNCTION("""COMPUTED_VALUE"""),"sing")</f>
        <v>sing</v>
      </c>
      <c r="C11562" s="2" t="str">
        <f ca="1">IFERROR(__xludf.DUMMYFUNCTION("""COMPUTED_VALUE"""),"Sing")</f>
        <v>Sing</v>
      </c>
    </row>
    <row r="11563" spans="1:3" x14ac:dyDescent="0.25">
      <c r="A11563" s="2" t="str">
        <f ca="1">IFERROR(__xludf.DUMMYFUNCTION("""COMPUTED_VALUE"""),"singularity")</f>
        <v>singularity</v>
      </c>
      <c r="B11563" s="2" t="str">
        <f ca="1">IFERROR(__xludf.DUMMYFUNCTION("""COMPUTED_VALUE"""),"sgly")</f>
        <v>sgly</v>
      </c>
      <c r="C11563" s="2" t="str">
        <f ca="1">IFERROR(__xludf.DUMMYFUNCTION("""COMPUTED_VALUE"""),"Singularity")</f>
        <v>Singularity</v>
      </c>
    </row>
    <row r="11564" spans="1:3" x14ac:dyDescent="0.25">
      <c r="A11564" s="2" t="str">
        <f ca="1">IFERROR(__xludf.DUMMYFUNCTION("""COMPUTED_VALUE"""),"singularitydao")</f>
        <v>singularitydao</v>
      </c>
      <c r="B11564" s="2" t="str">
        <f ca="1">IFERROR(__xludf.DUMMYFUNCTION("""COMPUTED_VALUE"""),"sdao")</f>
        <v>sdao</v>
      </c>
      <c r="C11564" s="2" t="str">
        <f ca="1">IFERROR(__xludf.DUMMYFUNCTION("""COMPUTED_VALUE"""),"SingularityDAO")</f>
        <v>SingularityDAO</v>
      </c>
    </row>
    <row r="11565" spans="1:3" x14ac:dyDescent="0.25">
      <c r="A11565" s="2" t="str">
        <f ca="1">IFERROR(__xludf.DUMMYFUNCTION("""COMPUTED_VALUE"""),"singularitynet")</f>
        <v>singularitynet</v>
      </c>
      <c r="B11565" s="2" t="str">
        <f ca="1">IFERROR(__xludf.DUMMYFUNCTION("""COMPUTED_VALUE"""),"agix")</f>
        <v>agix</v>
      </c>
      <c r="C11565" s="2" t="str">
        <f ca="1">IFERROR(__xludf.DUMMYFUNCTION("""COMPUTED_VALUE"""),"SingularityNET")</f>
        <v>SingularityNET</v>
      </c>
    </row>
    <row r="11566" spans="1:3" x14ac:dyDescent="0.25">
      <c r="A11566" s="2" t="str">
        <f ca="1">IFERROR(__xludf.DUMMYFUNCTION("""COMPUTED_VALUE"""),"sint-truidense-voetbalvereniging-fan-token")</f>
        <v>sint-truidense-voetbalvereniging-fan-token</v>
      </c>
      <c r="B11566" s="2" t="str">
        <f ca="1">IFERROR(__xludf.DUMMYFUNCTION("""COMPUTED_VALUE"""),"stv")</f>
        <v>stv</v>
      </c>
      <c r="C11566" s="2" t="str">
        <f ca="1">IFERROR(__xludf.DUMMYFUNCTION("""COMPUTED_VALUE"""),"Sint-Truidense Voetbalvereniging Fan Token")</f>
        <v>Sint-Truidense Voetbalvereniging Fan Token</v>
      </c>
    </row>
    <row r="11567" spans="1:3" x14ac:dyDescent="0.25">
      <c r="A11567" s="2" t="str">
        <f ca="1">IFERROR(__xludf.DUMMYFUNCTION("""COMPUTED_VALUE"""),"sipher")</f>
        <v>sipher</v>
      </c>
      <c r="B11567" s="2" t="str">
        <f ca="1">IFERROR(__xludf.DUMMYFUNCTION("""COMPUTED_VALUE"""),"sipher")</f>
        <v>sipher</v>
      </c>
      <c r="C11567" s="2" t="str">
        <f ca="1">IFERROR(__xludf.DUMMYFUNCTION("""COMPUTED_VALUE"""),"SIPHER")</f>
        <v>SIPHER</v>
      </c>
    </row>
    <row r="11568" spans="1:3" x14ac:dyDescent="0.25">
      <c r="A11568" s="2" t="str">
        <f ca="1">IFERROR(__xludf.DUMMYFUNCTION("""COMPUTED_VALUE"""),"sir")</f>
        <v>sir</v>
      </c>
      <c r="B11568" s="2" t="str">
        <f ca="1">IFERROR(__xludf.DUMMYFUNCTION("""COMPUTED_VALUE"""),"sir")</f>
        <v>sir</v>
      </c>
      <c r="C11568" s="2" t="str">
        <f ca="1">IFERROR(__xludf.DUMMYFUNCTION("""COMPUTED_VALUE"""),"Sir")</f>
        <v>Sir</v>
      </c>
    </row>
    <row r="11569" spans="1:3" x14ac:dyDescent="0.25">
      <c r="A11569" s="2" t="str">
        <f ca="1">IFERROR(__xludf.DUMMYFUNCTION("""COMPUTED_VALUE"""),"siren")</f>
        <v>siren</v>
      </c>
      <c r="B11569" s="2" t="str">
        <f ca="1">IFERROR(__xludf.DUMMYFUNCTION("""COMPUTED_VALUE"""),"si")</f>
        <v>si</v>
      </c>
      <c r="C11569" s="2" t="str">
        <f ca="1">IFERROR(__xludf.DUMMYFUNCTION("""COMPUTED_VALUE"""),"Siren")</f>
        <v>Siren</v>
      </c>
    </row>
    <row r="11570" spans="1:3" x14ac:dyDescent="0.25">
      <c r="A11570" s="2" t="str">
        <f ca="1">IFERROR(__xludf.DUMMYFUNCTION("""COMPUTED_VALUE"""),"sirin-labs-token")</f>
        <v>sirin-labs-token</v>
      </c>
      <c r="B11570" s="2" t="str">
        <f ca="1">IFERROR(__xludf.DUMMYFUNCTION("""COMPUTED_VALUE"""),"srn")</f>
        <v>srn</v>
      </c>
      <c r="C11570" s="2" t="str">
        <f ca="1">IFERROR(__xludf.DUMMYFUNCTION("""COMPUTED_VALUE"""),"Sirin Labs")</f>
        <v>Sirin Labs</v>
      </c>
    </row>
    <row r="11571" spans="1:3" x14ac:dyDescent="0.25">
      <c r="A11571" s="2" t="str">
        <f ca="1">IFERROR(__xludf.DUMMYFUNCTION("""COMPUTED_VALUE"""),"sirius-finance")</f>
        <v>sirius-finance</v>
      </c>
      <c r="B11571" s="2" t="str">
        <f ca="1">IFERROR(__xludf.DUMMYFUNCTION("""COMPUTED_VALUE"""),"srs")</f>
        <v>srs</v>
      </c>
      <c r="C11571" s="2" t="str">
        <f ca="1">IFERROR(__xludf.DUMMYFUNCTION("""COMPUTED_VALUE"""),"Sirius Finance")</f>
        <v>Sirius Finance</v>
      </c>
    </row>
    <row r="11572" spans="1:3" x14ac:dyDescent="0.25">
      <c r="A11572" s="2" t="str">
        <f ca="1">IFERROR(__xludf.DUMMYFUNCTION("""COMPUTED_VALUE"""),"siriusnet")</f>
        <v>siriusnet</v>
      </c>
      <c r="B11572" s="2" t="str">
        <f ca="1">IFERROR(__xludf.DUMMYFUNCTION("""COMPUTED_VALUE"""),"sint")</f>
        <v>sint</v>
      </c>
      <c r="C11572" s="2" t="str">
        <f ca="1">IFERROR(__xludf.DUMMYFUNCTION("""COMPUTED_VALUE"""),"Siriusnet")</f>
        <v>Siriusnet</v>
      </c>
    </row>
    <row r="11573" spans="1:3" x14ac:dyDescent="0.25">
      <c r="A11573" s="2" t="str">
        <f ca="1">IFERROR(__xludf.DUMMYFUNCTION("""COMPUTED_VALUE"""),"sispop")</f>
        <v>sispop</v>
      </c>
      <c r="B11573" s="2" t="str">
        <f ca="1">IFERROR(__xludf.DUMMYFUNCTION("""COMPUTED_VALUE"""),"sispop")</f>
        <v>sispop</v>
      </c>
      <c r="C11573" s="2" t="str">
        <f ca="1">IFERROR(__xludf.DUMMYFUNCTION("""COMPUTED_VALUE"""),"SISPOP")</f>
        <v>SISPOP</v>
      </c>
    </row>
    <row r="11574" spans="1:3" x14ac:dyDescent="0.25">
      <c r="A11574" s="2" t="str">
        <f ca="1">IFERROR(__xludf.DUMMYFUNCTION("""COMPUTED_VALUE"""),"six-network")</f>
        <v>six-network</v>
      </c>
      <c r="B11574" s="2" t="str">
        <f ca="1">IFERROR(__xludf.DUMMYFUNCTION("""COMPUTED_VALUE"""),"six")</f>
        <v>six</v>
      </c>
      <c r="C11574" s="2" t="str">
        <f ca="1">IFERROR(__xludf.DUMMYFUNCTION("""COMPUTED_VALUE"""),"SIX Network")</f>
        <v>SIX Network</v>
      </c>
    </row>
    <row r="11575" spans="1:3" x14ac:dyDescent="0.25">
      <c r="A11575" s="2" t="str">
        <f ca="1">IFERROR(__xludf.DUMMYFUNCTION("""COMPUTED_VALUE"""),"six-sigma")</f>
        <v>six-sigma</v>
      </c>
      <c r="B11575" s="2" t="str">
        <f ca="1">IFERROR(__xludf.DUMMYFUNCTION("""COMPUTED_VALUE"""),"sge")</f>
        <v>sge</v>
      </c>
      <c r="C11575" s="2" t="str">
        <f ca="1">IFERROR(__xludf.DUMMYFUNCTION("""COMPUTED_VALUE"""),"SGE")</f>
        <v>SGE</v>
      </c>
    </row>
    <row r="11576" spans="1:3" x14ac:dyDescent="0.25">
      <c r="A11576" s="2" t="str">
        <f ca="1">IFERROR(__xludf.DUMMYFUNCTION("""COMPUTED_VALUE"""),"size")</f>
        <v>size</v>
      </c>
      <c r="B11576" s="2" t="str">
        <f ca="1">IFERROR(__xludf.DUMMYFUNCTION("""COMPUTED_VALUE"""),"size")</f>
        <v>size</v>
      </c>
      <c r="C11576" s="2" t="str">
        <f ca="1">IFERROR(__xludf.DUMMYFUNCTION("""COMPUTED_VALUE"""),"SIZE")</f>
        <v>SIZE</v>
      </c>
    </row>
    <row r="11577" spans="1:3" x14ac:dyDescent="0.25">
      <c r="A11577" s="2" t="str">
        <f ca="1">IFERROR(__xludf.DUMMYFUNCTION("""COMPUTED_VALUE"""),"size-2")</f>
        <v>size-2</v>
      </c>
      <c r="B11577" s="2" t="str">
        <f ca="1">IFERROR(__xludf.DUMMYFUNCTION("""COMPUTED_VALUE"""),"size")</f>
        <v>size</v>
      </c>
      <c r="C11577" s="2" t="str">
        <f ca="1">IFERROR(__xludf.DUMMYFUNCTION("""COMPUTED_VALUE"""),"SIZE")</f>
        <v>SIZE</v>
      </c>
    </row>
    <row r="11578" spans="1:3" x14ac:dyDescent="0.25">
      <c r="A11578" s="2" t="str">
        <f ca="1">IFERROR(__xludf.DUMMYFUNCTION("""COMPUTED_VALUE"""),"sj741-emeralds")</f>
        <v>sj741-emeralds</v>
      </c>
      <c r="B11578" s="2" t="str">
        <f ca="1">IFERROR(__xludf.DUMMYFUNCTION("""COMPUTED_VALUE"""),"emerald")</f>
        <v>emerald</v>
      </c>
      <c r="C11578" s="2" t="str">
        <f ca="1">IFERROR(__xludf.DUMMYFUNCTION("""COMPUTED_VALUE"""),"SJ741 Emeralds")</f>
        <v>SJ741 Emeralds</v>
      </c>
    </row>
    <row r="11579" spans="1:3" x14ac:dyDescent="0.25">
      <c r="A11579" s="2" t="str">
        <f ca="1">IFERROR(__xludf.DUMMYFUNCTION("""COMPUTED_VALUE"""),"skai")</f>
        <v>skai</v>
      </c>
      <c r="B11579" s="2" t="str">
        <f ca="1">IFERROR(__xludf.DUMMYFUNCTION("""COMPUTED_VALUE"""),"skai")</f>
        <v>skai</v>
      </c>
      <c r="C11579" s="2" t="str">
        <f ca="1">IFERROR(__xludf.DUMMYFUNCTION("""COMPUTED_VALUE"""),"Skillful AI")</f>
        <v>Skillful AI</v>
      </c>
    </row>
    <row r="11580" spans="1:3" x14ac:dyDescent="0.25">
      <c r="A11580" s="2" t="str">
        <f ca="1">IFERROR(__xludf.DUMMYFUNCTION("""COMPUTED_VALUE"""),"skale")</f>
        <v>skale</v>
      </c>
      <c r="B11580" s="2" t="str">
        <f ca="1">IFERROR(__xludf.DUMMYFUNCTION("""COMPUTED_VALUE"""),"skl")</f>
        <v>skl</v>
      </c>
      <c r="C11580" s="2" t="str">
        <f ca="1">IFERROR(__xludf.DUMMYFUNCTION("""COMPUTED_VALUE"""),"SKALE")</f>
        <v>SKALE</v>
      </c>
    </row>
    <row r="11581" spans="1:3" x14ac:dyDescent="0.25">
      <c r="A11581" s="2" t="str">
        <f ca="1">IFERROR(__xludf.DUMMYFUNCTION("""COMPUTED_VALUE"""),"skale-ima-bridged-dai")</f>
        <v>skale-ima-bridged-dai</v>
      </c>
      <c r="B11581" s="2" t="str">
        <f ca="1">IFERROR(__xludf.DUMMYFUNCTION("""COMPUTED_VALUE"""),"dai")</f>
        <v>dai</v>
      </c>
      <c r="C11581" s="2" t="str">
        <f ca="1">IFERROR(__xludf.DUMMYFUNCTION("""COMPUTED_VALUE"""),"Skale IMA Bridged DAI (Skale)")</f>
        <v>Skale IMA Bridged DAI (Skale)</v>
      </c>
    </row>
    <row r="11582" spans="1:3" x14ac:dyDescent="0.25">
      <c r="A11582" s="2" t="str">
        <f ca="1">IFERROR(__xludf.DUMMYFUNCTION("""COMPUTED_VALUE"""),"skale-ima-bridged-usdp")</f>
        <v>skale-ima-bridged-usdp</v>
      </c>
      <c r="B11582" s="2" t="str">
        <f ca="1">IFERROR(__xludf.DUMMYFUNCTION("""COMPUTED_VALUE"""),"usdp")</f>
        <v>usdp</v>
      </c>
      <c r="C11582" s="2" t="str">
        <f ca="1">IFERROR(__xludf.DUMMYFUNCTION("""COMPUTED_VALUE"""),"Skale IMA Bridged USDP (Skale)")</f>
        <v>Skale IMA Bridged USDP (Skale)</v>
      </c>
    </row>
    <row r="11583" spans="1:3" x14ac:dyDescent="0.25">
      <c r="A11583" s="2" t="str">
        <f ca="1">IFERROR(__xludf.DUMMYFUNCTION("""COMPUTED_VALUE"""),"skale-ima-bridged-usdt")</f>
        <v>skale-ima-bridged-usdt</v>
      </c>
      <c r="B11583" s="2" t="str">
        <f ca="1">IFERROR(__xludf.DUMMYFUNCTION("""COMPUTED_VALUE"""),"usdt")</f>
        <v>usdt</v>
      </c>
      <c r="C11583" s="2" t="str">
        <f ca="1">IFERROR(__xludf.DUMMYFUNCTION("""COMPUTED_VALUE"""),"Skale IMA Bridged USDT (Skale)")</f>
        <v>Skale IMA Bridged USDT (Skale)</v>
      </c>
    </row>
    <row r="11584" spans="1:3" x14ac:dyDescent="0.25">
      <c r="A11584" s="2" t="str">
        <f ca="1">IFERROR(__xludf.DUMMYFUNCTION("""COMPUTED_VALUE"""),"skale-ima-bridged-wbtc")</f>
        <v>skale-ima-bridged-wbtc</v>
      </c>
      <c r="B11584" s="2" t="str">
        <f ca="1">IFERROR(__xludf.DUMMYFUNCTION("""COMPUTED_VALUE"""),"wbtc")</f>
        <v>wbtc</v>
      </c>
      <c r="C11584" s="2" t="str">
        <f ca="1">IFERROR(__xludf.DUMMYFUNCTION("""COMPUTED_VALUE"""),"Skale IMA Bridged WBTC")</f>
        <v>Skale IMA Bridged WBTC</v>
      </c>
    </row>
    <row r="11585" spans="1:3" x14ac:dyDescent="0.25">
      <c r="A11585" s="2" t="str">
        <f ca="1">IFERROR(__xludf.DUMMYFUNCTION("""COMPUTED_VALUE"""),"skatecat")</f>
        <v>skatecat</v>
      </c>
      <c r="B11585" s="2" t="str">
        <f ca="1">IFERROR(__xludf.DUMMYFUNCTION("""COMPUTED_VALUE"""),"skatecat")</f>
        <v>skatecat</v>
      </c>
      <c r="C11585" s="2" t="str">
        <f ca="1">IFERROR(__xludf.DUMMYFUNCTION("""COMPUTED_VALUE"""),"SkateCat")</f>
        <v>SkateCat</v>
      </c>
    </row>
    <row r="11586" spans="1:3" x14ac:dyDescent="0.25">
      <c r="A11586" s="2" t="str">
        <f ca="1">IFERROR(__xludf.DUMMYFUNCTION("""COMPUTED_VALUE"""),"skeb")</f>
        <v>skeb</v>
      </c>
      <c r="B11586" s="2" t="str">
        <f ca="1">IFERROR(__xludf.DUMMYFUNCTION("""COMPUTED_VALUE"""),"skeb")</f>
        <v>skeb</v>
      </c>
      <c r="C11586" s="2" t="str">
        <f ca="1">IFERROR(__xludf.DUMMYFUNCTION("""COMPUTED_VALUE"""),"Skeb")</f>
        <v>Skeb</v>
      </c>
    </row>
    <row r="11587" spans="1:3" x14ac:dyDescent="0.25">
      <c r="A11587" s="2" t="str">
        <f ca="1">IFERROR(__xludf.DUMMYFUNCTION("""COMPUTED_VALUE"""),"skey-network")</f>
        <v>skey-network</v>
      </c>
      <c r="B11587" s="2" t="str">
        <f ca="1">IFERROR(__xludf.DUMMYFUNCTION("""COMPUTED_VALUE"""),"skey")</f>
        <v>skey</v>
      </c>
      <c r="C11587" s="2" t="str">
        <f ca="1">IFERROR(__xludf.DUMMYFUNCTION("""COMPUTED_VALUE"""),"Skey Network")</f>
        <v>Skey Network</v>
      </c>
    </row>
    <row r="11588" spans="1:3" x14ac:dyDescent="0.25">
      <c r="A11588" s="2" t="str">
        <f ca="1">IFERROR(__xludf.DUMMYFUNCTION("""COMPUTED_VALUE"""),"skibidi-toilet-2")</f>
        <v>skibidi-toilet-2</v>
      </c>
      <c r="B11588" s="2" t="str">
        <f ca="1">IFERROR(__xludf.DUMMYFUNCTION("""COMPUTED_VALUE"""),"skbdi")</f>
        <v>skbdi</v>
      </c>
      <c r="C11588" s="2" t="str">
        <f ca="1">IFERROR(__xludf.DUMMYFUNCTION("""COMPUTED_VALUE"""),"Skibidi Toilet")</f>
        <v>Skibidi Toilet</v>
      </c>
    </row>
    <row r="11589" spans="1:3" x14ac:dyDescent="0.25">
      <c r="A11589" s="2" t="str">
        <f ca="1">IFERROR(__xludf.DUMMYFUNCTION("""COMPUTED_VALUE"""),"skill-issue")</f>
        <v>skill-issue</v>
      </c>
      <c r="B11589" s="2" t="str">
        <f ca="1">IFERROR(__xludf.DUMMYFUNCTION("""COMPUTED_VALUE"""),"skill")</f>
        <v>skill</v>
      </c>
      <c r="C11589" s="2" t="str">
        <f ca="1">IFERROR(__xludf.DUMMYFUNCTION("""COMPUTED_VALUE"""),"Skill Issue")</f>
        <v>Skill Issue</v>
      </c>
    </row>
    <row r="11590" spans="1:3" x14ac:dyDescent="0.25">
      <c r="A11590" s="2" t="str">
        <f ca="1">IFERROR(__xludf.DUMMYFUNCTION("""COMPUTED_VALUE"""),"ski-mask-dog")</f>
        <v>ski-mask-dog</v>
      </c>
      <c r="B11590" s="2" t="str">
        <f ca="1">IFERROR(__xludf.DUMMYFUNCTION("""COMPUTED_VALUE"""),"ski")</f>
        <v>ski</v>
      </c>
      <c r="C11590" s="2" t="str">
        <f ca="1">IFERROR(__xludf.DUMMYFUNCTION("""COMPUTED_VALUE"""),"Ski Mask Dog")</f>
        <v>Ski Mask Dog</v>
      </c>
    </row>
    <row r="11591" spans="1:3" x14ac:dyDescent="0.25">
      <c r="A11591" s="2" t="str">
        <f ca="1">IFERROR(__xludf.DUMMYFUNCTION("""COMPUTED_VALUE"""),"ski-mask-pup")</f>
        <v>ski-mask-pup</v>
      </c>
      <c r="B11591" s="2" t="str">
        <f ca="1">IFERROR(__xludf.DUMMYFUNCTION("""COMPUTED_VALUE"""),"skipup")</f>
        <v>skipup</v>
      </c>
      <c r="C11591" s="2" t="str">
        <f ca="1">IFERROR(__xludf.DUMMYFUNCTION("""COMPUTED_VALUE"""),"SKI MASK PUP")</f>
        <v>SKI MASK PUP</v>
      </c>
    </row>
    <row r="11592" spans="1:3" x14ac:dyDescent="0.25">
      <c r="A11592" s="2" t="str">
        <f ca="1">IFERROR(__xludf.DUMMYFUNCTION("""COMPUTED_VALUE"""),"sklay")</f>
        <v>sklay</v>
      </c>
      <c r="B11592" s="2" t="str">
        <f ca="1">IFERROR(__xludf.DUMMYFUNCTION("""COMPUTED_VALUE"""),"sklay")</f>
        <v>sklay</v>
      </c>
      <c r="C11592" s="2" t="str">
        <f ca="1">IFERROR(__xludf.DUMMYFUNCTION("""COMPUTED_VALUE"""),"sKLAY")</f>
        <v>sKLAY</v>
      </c>
    </row>
    <row r="11593" spans="1:3" x14ac:dyDescent="0.25">
      <c r="A11593" s="2" t="str">
        <f ca="1">IFERROR(__xludf.DUMMYFUNCTION("""COMPUTED_VALUE"""),"skol")</f>
        <v>skol</v>
      </c>
      <c r="B11593" s="2" t="str">
        <f ca="1">IFERROR(__xludf.DUMMYFUNCTION("""COMPUTED_VALUE"""),"$skol")</f>
        <v>$skol</v>
      </c>
      <c r="C11593" s="2" t="str">
        <f ca="1">IFERROR(__xludf.DUMMYFUNCTION("""COMPUTED_VALUE"""),"Skol")</f>
        <v>Skol</v>
      </c>
    </row>
    <row r="11594" spans="1:3" x14ac:dyDescent="0.25">
      <c r="A11594" s="2" t="str">
        <f ca="1">IFERROR(__xludf.DUMMYFUNCTION("""COMPUTED_VALUE"""),"skolana")</f>
        <v>skolana</v>
      </c>
      <c r="B11594" s="2" t="str">
        <f ca="1">IFERROR(__xludf.DUMMYFUNCTION("""COMPUTED_VALUE"""),"skol")</f>
        <v>skol</v>
      </c>
      <c r="C11594" s="2" t="str">
        <f ca="1">IFERROR(__xludf.DUMMYFUNCTION("""COMPUTED_VALUE"""),"SKOLANA")</f>
        <v>SKOLANA</v>
      </c>
    </row>
    <row r="11595" spans="1:3" x14ac:dyDescent="0.25">
      <c r="A11595" s="2" t="str">
        <f ca="1">IFERROR(__xludf.DUMMYFUNCTION("""COMPUTED_VALUE"""),"skpanax")</f>
        <v>skpanax</v>
      </c>
      <c r="B11595" s="2" t="str">
        <f ca="1">IFERROR(__xludf.DUMMYFUNCTION("""COMPUTED_VALUE"""),"skx")</f>
        <v>skx</v>
      </c>
      <c r="C11595" s="2" t="str">
        <f ca="1">IFERROR(__xludf.DUMMYFUNCTION("""COMPUTED_VALUE"""),"SKPANAX")</f>
        <v>SKPANAX</v>
      </c>
    </row>
    <row r="11596" spans="1:3" x14ac:dyDescent="0.25">
      <c r="A11596" s="2" t="str">
        <f ca="1">IFERROR(__xludf.DUMMYFUNCTION("""COMPUTED_VALUE"""),"skrumble-network")</f>
        <v>skrumble-network</v>
      </c>
      <c r="B11596" s="2" t="str">
        <f ca="1">IFERROR(__xludf.DUMMYFUNCTION("""COMPUTED_VALUE"""),"skm")</f>
        <v>skm</v>
      </c>
      <c r="C11596" s="2" t="str">
        <f ca="1">IFERROR(__xludf.DUMMYFUNCTION("""COMPUTED_VALUE"""),"Skrumble Network")</f>
        <v>Skrumble Network</v>
      </c>
    </row>
    <row r="11597" spans="1:3" x14ac:dyDescent="0.25">
      <c r="A11597" s="2" t="str">
        <f ca="1">IFERROR(__xludf.DUMMYFUNCTION("""COMPUTED_VALUE"""),"skull-cat")</f>
        <v>skull-cat</v>
      </c>
      <c r="B11597" s="2" t="str">
        <f ca="1">IFERROR(__xludf.DUMMYFUNCTION("""COMPUTED_VALUE"""),"$skullcat")</f>
        <v>$skullcat</v>
      </c>
      <c r="C11597" s="2" t="str">
        <f ca="1">IFERROR(__xludf.DUMMYFUNCTION("""COMPUTED_VALUE"""),"Skull Cat")</f>
        <v>Skull Cat</v>
      </c>
    </row>
    <row r="11598" spans="1:3" x14ac:dyDescent="0.25">
      <c r="A11598" s="2" t="str">
        <f ca="1">IFERROR(__xludf.DUMMYFUNCTION("""COMPUTED_VALUE"""),"skullcoin")</f>
        <v>skullcoin</v>
      </c>
      <c r="B11598" s="2" t="str">
        <f ca="1">IFERROR(__xludf.DUMMYFUNCTION("""COMPUTED_VALUE"""),"skull")</f>
        <v>skull</v>
      </c>
      <c r="C11598" s="2" t="str">
        <f ca="1">IFERROR(__xludf.DUMMYFUNCTION("""COMPUTED_VALUE"""),"Skullcoin")</f>
        <v>Skullcoin</v>
      </c>
    </row>
    <row r="11599" spans="1:3" x14ac:dyDescent="0.25">
      <c r="A11599" s="2" t="str">
        <f ca="1">IFERROR(__xludf.DUMMYFUNCTION("""COMPUTED_VALUE"""),"skull-of-pepe-token")</f>
        <v>skull-of-pepe-token</v>
      </c>
      <c r="B11599" s="2" t="str">
        <f ca="1">IFERROR(__xludf.DUMMYFUNCTION("""COMPUTED_VALUE"""),"skop")</f>
        <v>skop</v>
      </c>
      <c r="C11599" s="2" t="str">
        <f ca="1">IFERROR(__xludf.DUMMYFUNCTION("""COMPUTED_VALUE"""),"Skull of Pepe Token")</f>
        <v>Skull of Pepe Token</v>
      </c>
    </row>
    <row r="11600" spans="1:3" x14ac:dyDescent="0.25">
      <c r="A11600" s="2" t="str">
        <f ca="1">IFERROR(__xludf.DUMMYFUNCTION("""COMPUTED_VALUE"""),"skullswap-exchange")</f>
        <v>skullswap-exchange</v>
      </c>
      <c r="B11600" s="2" t="str">
        <f ca="1">IFERROR(__xludf.DUMMYFUNCTION("""COMPUTED_VALUE"""),"skull")</f>
        <v>skull</v>
      </c>
      <c r="C11600" s="2" t="str">
        <f ca="1">IFERROR(__xludf.DUMMYFUNCTION("""COMPUTED_VALUE"""),"SkullSwap Exchange")</f>
        <v>SkullSwap Exchange</v>
      </c>
    </row>
    <row r="11601" spans="1:3" x14ac:dyDescent="0.25">
      <c r="A11601" s="2" t="str">
        <f ca="1">IFERROR(__xludf.DUMMYFUNCTION("""COMPUTED_VALUE"""),"skull-with-ripped-hood")</f>
        <v>skull-with-ripped-hood</v>
      </c>
      <c r="B11601" s="2" t="str">
        <f ca="1">IFERROR(__xludf.DUMMYFUNCTION("""COMPUTED_VALUE"""),"rip")</f>
        <v>rip</v>
      </c>
      <c r="C11601" s="2" t="str">
        <f ca="1">IFERROR(__xludf.DUMMYFUNCTION("""COMPUTED_VALUE"""),"skull with ripped hood")</f>
        <v>skull with ripped hood</v>
      </c>
    </row>
    <row r="11602" spans="1:3" x14ac:dyDescent="0.25">
      <c r="A11602" s="2" t="str">
        <f ca="1">IFERROR(__xludf.DUMMYFUNCTION("""COMPUTED_VALUE"""),"sky")</f>
        <v>sky</v>
      </c>
      <c r="B11602" s="2" t="str">
        <f ca="1">IFERROR(__xludf.DUMMYFUNCTION("""COMPUTED_VALUE"""),"sky")</f>
        <v>sky</v>
      </c>
      <c r="C11602" s="2" t="str">
        <f ca="1">IFERROR(__xludf.DUMMYFUNCTION("""COMPUTED_VALUE"""),"Sky")</f>
        <v>Sky</v>
      </c>
    </row>
    <row r="11603" spans="1:3" x14ac:dyDescent="0.25">
      <c r="A11603" s="2" t="str">
        <f ca="1">IFERROR(__xludf.DUMMYFUNCTION("""COMPUTED_VALUE"""),"skycoin")</f>
        <v>skycoin</v>
      </c>
      <c r="B11603" s="2" t="str">
        <f ca="1">IFERROR(__xludf.DUMMYFUNCTION("""COMPUTED_VALUE"""),"sky")</f>
        <v>sky</v>
      </c>
      <c r="C11603" s="2" t="str">
        <f ca="1">IFERROR(__xludf.DUMMYFUNCTION("""COMPUTED_VALUE"""),"Skycoin")</f>
        <v>Skycoin</v>
      </c>
    </row>
    <row r="11604" spans="1:3" x14ac:dyDescent="0.25">
      <c r="A11604" s="2" t="str">
        <f ca="1">IFERROR(__xludf.DUMMYFUNCTION("""COMPUTED_VALUE"""),"skydogenet")</f>
        <v>skydogenet</v>
      </c>
      <c r="B11604" s="2" t="str">
        <f ca="1">IFERROR(__xludf.DUMMYFUNCTION("""COMPUTED_VALUE"""),"skydoge")</f>
        <v>skydoge</v>
      </c>
      <c r="C11604" s="2" t="str">
        <f ca="1">IFERROR(__xludf.DUMMYFUNCTION("""COMPUTED_VALUE"""),"skydogenet")</f>
        <v>skydogenet</v>
      </c>
    </row>
    <row r="11605" spans="1:3" x14ac:dyDescent="0.25">
      <c r="A11605" s="2" t="str">
        <f ca="1">IFERROR(__xludf.DUMMYFUNCTION("""COMPUTED_VALUE"""),"skydrome")</f>
        <v>skydrome</v>
      </c>
      <c r="B11605" s="2" t="str">
        <f ca="1">IFERROR(__xludf.DUMMYFUNCTION("""COMPUTED_VALUE"""),"sky")</f>
        <v>sky</v>
      </c>
      <c r="C11605" s="2" t="str">
        <f ca="1">IFERROR(__xludf.DUMMYFUNCTION("""COMPUTED_VALUE"""),"Skydrome")</f>
        <v>Skydrome</v>
      </c>
    </row>
    <row r="11606" spans="1:3" x14ac:dyDescent="0.25">
      <c r="A11606" s="2" t="str">
        <f ca="1">IFERROR(__xludf.DUMMYFUNCTION("""COMPUTED_VALUE"""),"skyhash")</f>
        <v>skyhash</v>
      </c>
      <c r="B11606" s="2" t="str">
        <f ca="1">IFERROR(__xludf.DUMMYFUNCTION("""COMPUTED_VALUE"""),"skh")</f>
        <v>skh</v>
      </c>
      <c r="C11606" s="2" t="str">
        <f ca="1">IFERROR(__xludf.DUMMYFUNCTION("""COMPUTED_VALUE"""),"Skyhash")</f>
        <v>Skyhash</v>
      </c>
    </row>
    <row r="11607" spans="1:3" x14ac:dyDescent="0.25">
      <c r="A11607" s="2" t="str">
        <f ca="1">IFERROR(__xludf.DUMMYFUNCTION("""COMPUTED_VALUE"""),"sky-hause")</f>
        <v>sky-hause</v>
      </c>
      <c r="B11607" s="2" t="str">
        <f ca="1">IFERROR(__xludf.DUMMYFUNCTION("""COMPUTED_VALUE"""),"skyh")</f>
        <v>skyh</v>
      </c>
      <c r="C11607" s="2" t="str">
        <f ca="1">IFERROR(__xludf.DUMMYFUNCTION("""COMPUTED_VALUE"""),"Sky Hause")</f>
        <v>Sky Hause</v>
      </c>
    </row>
    <row r="11608" spans="1:3" x14ac:dyDescent="0.25">
      <c r="A11608" s="2" t="str">
        <f ca="1">IFERROR(__xludf.DUMMYFUNCTION("""COMPUTED_VALUE"""),"skypath")</f>
        <v>skypath</v>
      </c>
      <c r="B11608" s="2" t="str">
        <f ca="1">IFERROR(__xludf.DUMMYFUNCTION("""COMPUTED_VALUE"""),"sky")</f>
        <v>sky</v>
      </c>
      <c r="C11608" s="2" t="str">
        <f ca="1">IFERROR(__xludf.DUMMYFUNCTION("""COMPUTED_VALUE"""),"Skypath")</f>
        <v>Skypath</v>
      </c>
    </row>
    <row r="11609" spans="1:3" x14ac:dyDescent="0.25">
      <c r="A11609" s="2" t="str">
        <f ca="1">IFERROR(__xludf.DUMMYFUNCTION("""COMPUTED_VALUE"""),"skyplay")</f>
        <v>skyplay</v>
      </c>
      <c r="B11609" s="2" t="str">
        <f ca="1">IFERROR(__xludf.DUMMYFUNCTION("""COMPUTED_VALUE"""),"skp")</f>
        <v>skp</v>
      </c>
      <c r="C11609" s="2" t="str">
        <f ca="1">IFERROR(__xludf.DUMMYFUNCTION("""COMPUTED_VALUE"""),"SKYPlay")</f>
        <v>SKYPlay</v>
      </c>
    </row>
    <row r="11610" spans="1:3" x14ac:dyDescent="0.25">
      <c r="A11610" s="2" t="str">
        <f ca="1">IFERROR(__xludf.DUMMYFUNCTION("""COMPUTED_VALUE"""),"skyra")</f>
        <v>skyra</v>
      </c>
      <c r="B11610" s="2" t="str">
        <f ca="1">IFERROR(__xludf.DUMMYFUNCTION("""COMPUTED_VALUE"""),"sky")</f>
        <v>sky</v>
      </c>
      <c r="C11610" s="2" t="str">
        <f ca="1">IFERROR(__xludf.DUMMYFUNCTION("""COMPUTED_VALUE"""),"SKYRA")</f>
        <v>SKYRA</v>
      </c>
    </row>
    <row r="11611" spans="1:3" x14ac:dyDescent="0.25">
      <c r="A11611" s="2" t="str">
        <f ca="1">IFERROR(__xludf.DUMMYFUNCTION("""COMPUTED_VALUE"""),"sky-raiders")</f>
        <v>sky-raiders</v>
      </c>
      <c r="B11611" s="2" t="str">
        <f ca="1">IFERROR(__xludf.DUMMYFUNCTION("""COMPUTED_VALUE"""),"sky")</f>
        <v>sky</v>
      </c>
      <c r="C11611" s="2" t="str">
        <f ca="1">IFERROR(__xludf.DUMMYFUNCTION("""COMPUTED_VALUE"""),"Sky Raiders")</f>
        <v>Sky Raiders</v>
      </c>
    </row>
    <row r="11612" spans="1:3" x14ac:dyDescent="0.25">
      <c r="A11612" s="2" t="str">
        <f ca="1">IFERROR(__xludf.DUMMYFUNCTION("""COMPUTED_VALUE"""),"skyrim-finance")</f>
        <v>skyrim-finance</v>
      </c>
      <c r="B11612" s="2" t="str">
        <f ca="1">IFERROR(__xludf.DUMMYFUNCTION("""COMPUTED_VALUE"""),"skyrim")</f>
        <v>skyrim</v>
      </c>
      <c r="C11612" s="2" t="str">
        <f ca="1">IFERROR(__xludf.DUMMYFUNCTION("""COMPUTED_VALUE"""),"Skyrim Finance")</f>
        <v>Skyrim Finance</v>
      </c>
    </row>
    <row r="11613" spans="1:3" x14ac:dyDescent="0.25">
      <c r="A11613" s="2" t="str">
        <f ca="1">IFERROR(__xludf.DUMMYFUNCTION("""COMPUTED_VALUE"""),"slam-token")</f>
        <v>slam-token</v>
      </c>
      <c r="B11613" s="2" t="str">
        <f ca="1">IFERROR(__xludf.DUMMYFUNCTION("""COMPUTED_VALUE"""),"slam")</f>
        <v>slam</v>
      </c>
      <c r="C11613" s="2" t="str">
        <f ca="1">IFERROR(__xludf.DUMMYFUNCTION("""COMPUTED_VALUE"""),"Slam")</f>
        <v>Slam</v>
      </c>
    </row>
    <row r="11614" spans="1:3" x14ac:dyDescent="0.25">
      <c r="A11614" s="2" t="str">
        <f ca="1">IFERROR(__xludf.DUMMYFUNCTION("""COMPUTED_VALUE"""),"slap-city")</f>
        <v>slap-city</v>
      </c>
      <c r="B11614" s="2" t="str">
        <f ca="1">IFERROR(__xludf.DUMMYFUNCTION("""COMPUTED_VALUE"""),"stacks")</f>
        <v>stacks</v>
      </c>
      <c r="C11614" s="2" t="str">
        <f ca="1">IFERROR(__xludf.DUMMYFUNCTION("""COMPUTED_VALUE"""),"STACKS")</f>
        <v>STACKS</v>
      </c>
    </row>
    <row r="11615" spans="1:3" x14ac:dyDescent="0.25">
      <c r="A11615" s="2" t="str">
        <f ca="1">IFERROR(__xludf.DUMMYFUNCTION("""COMPUTED_VALUE"""),"slash-vision-labs")</f>
        <v>slash-vision-labs</v>
      </c>
      <c r="B11615" s="2" t="str">
        <f ca="1">IFERROR(__xludf.DUMMYFUNCTION("""COMPUTED_VALUE"""),"svl")</f>
        <v>svl</v>
      </c>
      <c r="C11615" s="2" t="str">
        <f ca="1">IFERROR(__xludf.DUMMYFUNCTION("""COMPUTED_VALUE"""),"Slash Vision Labs")</f>
        <v>Slash Vision Labs</v>
      </c>
    </row>
    <row r="11616" spans="1:3" x14ac:dyDescent="0.25">
      <c r="A11616" s="2" t="str">
        <f ca="1">IFERROR(__xludf.DUMMYFUNCTION("""COMPUTED_VALUE"""),"sl-benfica-fan-token")</f>
        <v>sl-benfica-fan-token</v>
      </c>
      <c r="B11616" s="2" t="str">
        <f ca="1">IFERROR(__xludf.DUMMYFUNCTION("""COMPUTED_VALUE"""),"benfica")</f>
        <v>benfica</v>
      </c>
      <c r="C11616" s="2" t="str">
        <f ca="1">IFERROR(__xludf.DUMMYFUNCTION("""COMPUTED_VALUE"""),"SL Benfica Fan Token")</f>
        <v>SL Benfica Fan Token</v>
      </c>
    </row>
    <row r="11617" spans="1:3" x14ac:dyDescent="0.25">
      <c r="A11617" s="2" t="str">
        <f ca="1">IFERROR(__xludf.DUMMYFUNCTION("""COMPUTED_VALUE"""),"sleepless-ai")</f>
        <v>sleepless-ai</v>
      </c>
      <c r="B11617" s="2" t="str">
        <f ca="1">IFERROR(__xludf.DUMMYFUNCTION("""COMPUTED_VALUE"""),"ai")</f>
        <v>ai</v>
      </c>
      <c r="C11617" s="2" t="str">
        <f ca="1">IFERROR(__xludf.DUMMYFUNCTION("""COMPUTED_VALUE"""),"Sleepless AI")</f>
        <v>Sleepless AI</v>
      </c>
    </row>
    <row r="11618" spans="1:3" x14ac:dyDescent="0.25">
      <c r="A11618" s="2" t="str">
        <f ca="1">IFERROR(__xludf.DUMMYFUNCTION("""COMPUTED_VALUE"""),"slerf")</f>
        <v>slerf</v>
      </c>
      <c r="B11618" s="2" t="str">
        <f ca="1">IFERROR(__xludf.DUMMYFUNCTION("""COMPUTED_VALUE"""),"slerf")</f>
        <v>slerf</v>
      </c>
      <c r="C11618" s="2" t="str">
        <f ca="1">IFERROR(__xludf.DUMMYFUNCTION("""COMPUTED_VALUE"""),"Slerf")</f>
        <v>Slerf</v>
      </c>
    </row>
    <row r="11619" spans="1:3" x14ac:dyDescent="0.25">
      <c r="A11619" s="2" t="str">
        <f ca="1">IFERROR(__xludf.DUMMYFUNCTION("""COMPUTED_VALUE"""),"slerf-cat")</f>
        <v>slerf-cat</v>
      </c>
      <c r="B11619" s="2" t="str">
        <f ca="1">IFERROR(__xludf.DUMMYFUNCTION("""COMPUTED_VALUE"""),"slerfcat")</f>
        <v>slerfcat</v>
      </c>
      <c r="C11619" s="2" t="str">
        <f ca="1">IFERROR(__xludf.DUMMYFUNCTION("""COMPUTED_VALUE"""),"Slerf Cat")</f>
        <v>Slerf Cat</v>
      </c>
    </row>
    <row r="11620" spans="1:3" x14ac:dyDescent="0.25">
      <c r="A11620" s="2" t="str">
        <f ca="1">IFERROR(__xludf.DUMMYFUNCTION("""COMPUTED_VALUE"""),"slex")</f>
        <v>slex</v>
      </c>
      <c r="B11620" s="2" t="str">
        <f ca="1">IFERROR(__xludf.DUMMYFUNCTION("""COMPUTED_VALUE"""),"slex")</f>
        <v>slex</v>
      </c>
      <c r="C11620" s="2" t="str">
        <f ca="1">IFERROR(__xludf.DUMMYFUNCTION("""COMPUTED_VALUE"""),"Slex")</f>
        <v>Slex</v>
      </c>
    </row>
    <row r="11621" spans="1:3" x14ac:dyDescent="0.25">
      <c r="A11621" s="2" t="str">
        <f ca="1">IFERROR(__xludf.DUMMYFUNCTION("""COMPUTED_VALUE"""),"slimcoin")</f>
        <v>slimcoin</v>
      </c>
      <c r="B11621" s="2" t="str">
        <f ca="1">IFERROR(__xludf.DUMMYFUNCTION("""COMPUTED_VALUE"""),"slm")</f>
        <v>slm</v>
      </c>
      <c r="C11621" s="2" t="str">
        <f ca="1">IFERROR(__xludf.DUMMYFUNCTION("""COMPUTED_VALUE"""),"Slimcoin")</f>
        <v>Slimcoin</v>
      </c>
    </row>
    <row r="11622" spans="1:3" x14ac:dyDescent="0.25">
      <c r="A11622" s="2" t="str">
        <f ca="1">IFERROR(__xludf.DUMMYFUNCTION("""COMPUTED_VALUE"""),"slime")</f>
        <v>slime</v>
      </c>
      <c r="B11622" s="2" t="str">
        <f ca="1">IFERROR(__xludf.DUMMYFUNCTION("""COMPUTED_VALUE"""),"slime")</f>
        <v>slime</v>
      </c>
      <c r="C11622" s="2" t="str">
        <f ca="1">IFERROR(__xludf.DUMMYFUNCTION("""COMPUTED_VALUE"""),"SLIME")</f>
        <v>SLIME</v>
      </c>
    </row>
    <row r="11623" spans="1:3" x14ac:dyDescent="0.25">
      <c r="A11623" s="2" t="str">
        <f ca="1">IFERROR(__xludf.DUMMYFUNCTION("""COMPUTED_VALUE"""),"slm-games")</f>
        <v>slm-games</v>
      </c>
      <c r="B11623" s="2" t="str">
        <f ca="1">IFERROR(__xludf.DUMMYFUNCTION("""COMPUTED_VALUE"""),"slm")</f>
        <v>slm</v>
      </c>
      <c r="C11623" s="2" t="str">
        <f ca="1">IFERROR(__xludf.DUMMYFUNCTION("""COMPUTED_VALUE"""),"SLM.Games")</f>
        <v>SLM.Games</v>
      </c>
    </row>
    <row r="11624" spans="1:3" x14ac:dyDescent="0.25">
      <c r="A11624" s="2" t="str">
        <f ca="1">IFERROR(__xludf.DUMMYFUNCTION("""COMPUTED_VALUE"""),"slnv2")</f>
        <v>slnv2</v>
      </c>
      <c r="B11624" s="2" t="str">
        <f ca="1">IFERROR(__xludf.DUMMYFUNCTION("""COMPUTED_VALUE"""),"slnv2")</f>
        <v>slnv2</v>
      </c>
      <c r="C11624" s="2" t="str">
        <f ca="1">IFERROR(__xludf.DUMMYFUNCTION("""COMPUTED_VALUE"""),"SLNV2")</f>
        <v>SLNV2</v>
      </c>
    </row>
    <row r="11625" spans="1:3" x14ac:dyDescent="0.25">
      <c r="A11625" s="2" t="str">
        <f ca="1">IFERROR(__xludf.DUMMYFUNCTION("""COMPUTED_VALUE"""),"slothana")</f>
        <v>slothana</v>
      </c>
      <c r="B11625" s="2" t="str">
        <f ca="1">IFERROR(__xludf.DUMMYFUNCTION("""COMPUTED_VALUE"""),"sloth")</f>
        <v>sloth</v>
      </c>
      <c r="C11625" s="2" t="str">
        <f ca="1">IFERROR(__xludf.DUMMYFUNCTION("""COMPUTED_VALUE"""),"Slothana")</f>
        <v>Slothana</v>
      </c>
    </row>
    <row r="11626" spans="1:3" x14ac:dyDescent="0.25">
      <c r="A11626" s="2" t="str">
        <f ca="1">IFERROR(__xludf.DUMMYFUNCTION("""COMPUTED_VALUE"""),"slp")</f>
        <v>slp</v>
      </c>
      <c r="B11626" s="2" t="str">
        <f ca="1">IFERROR(__xludf.DUMMYFUNCTION("""COMPUTED_VALUE"""),"slp")</f>
        <v>slp</v>
      </c>
      <c r="C11626" s="2" t="str">
        <f ca="1">IFERROR(__xludf.DUMMYFUNCTION("""COMPUTED_VALUE"""),"SLP")</f>
        <v>SLP</v>
      </c>
    </row>
    <row r="11627" spans="1:3" x14ac:dyDescent="0.25">
      <c r="A11627" s="2" t="str">
        <f ca="1">IFERROR(__xludf.DUMMYFUNCTION("""COMPUTED_VALUE"""),"slumbo")</f>
        <v>slumbo</v>
      </c>
      <c r="B11627" s="2" t="str">
        <f ca="1">IFERROR(__xludf.DUMMYFUNCTION("""COMPUTED_VALUE"""),"slumbo")</f>
        <v>slumbo</v>
      </c>
      <c r="C11627" s="2" t="str">
        <f ca="1">IFERROR(__xludf.DUMMYFUNCTION("""COMPUTED_VALUE"""),"SLUMBO")</f>
        <v>SLUMBO</v>
      </c>
    </row>
    <row r="11628" spans="1:3" x14ac:dyDescent="0.25">
      <c r="A11628" s="2" t="str">
        <f ca="1">IFERROR(__xludf.DUMMYFUNCTION("""COMPUTED_VALUE"""),"small-doge")</f>
        <v>small-doge</v>
      </c>
      <c r="B11628" s="2" t="str">
        <f ca="1">IFERROR(__xludf.DUMMYFUNCTION("""COMPUTED_VALUE"""),"sdog")</f>
        <v>sdog</v>
      </c>
      <c r="C11628" s="2" t="str">
        <f ca="1">IFERROR(__xludf.DUMMYFUNCTION("""COMPUTED_VALUE"""),"Small Doge")</f>
        <v>Small Doge</v>
      </c>
    </row>
    <row r="11629" spans="1:3" x14ac:dyDescent="0.25">
      <c r="A11629" s="2" t="str">
        <f ca="1">IFERROR(__xludf.DUMMYFUNCTION("""COMPUTED_VALUE"""),"smardex")</f>
        <v>smardex</v>
      </c>
      <c r="B11629" s="2" t="str">
        <f ca="1">IFERROR(__xludf.DUMMYFUNCTION("""COMPUTED_VALUE"""),"sdex")</f>
        <v>sdex</v>
      </c>
      <c r="C11629" s="2" t="str">
        <f ca="1">IFERROR(__xludf.DUMMYFUNCTION("""COMPUTED_VALUE"""),"SmarDex")</f>
        <v>SmarDex</v>
      </c>
    </row>
    <row r="11630" spans="1:3" x14ac:dyDescent="0.25">
      <c r="A11630" s="2" t="str">
        <f ca="1">IFERROR(__xludf.DUMMYFUNCTION("""COMPUTED_VALUE"""),"smart-ai")</f>
        <v>smart-ai</v>
      </c>
      <c r="B11630" s="2" t="str">
        <f ca="1">IFERROR(__xludf.DUMMYFUNCTION("""COMPUTED_VALUE"""),"smart")</f>
        <v>smart</v>
      </c>
      <c r="C11630" s="2" t="str">
        <f ca="1">IFERROR(__xludf.DUMMYFUNCTION("""COMPUTED_VALUE"""),"Smart AI")</f>
        <v>Smart AI</v>
      </c>
    </row>
    <row r="11631" spans="1:3" x14ac:dyDescent="0.25">
      <c r="A11631" s="2" t="str">
        <f ca="1">IFERROR(__xludf.DUMMYFUNCTION("""COMPUTED_VALUE"""),"smart-blockchain")</f>
        <v>smart-blockchain</v>
      </c>
      <c r="B11631" s="2" t="str">
        <f ca="1">IFERROR(__xludf.DUMMYFUNCTION("""COMPUTED_VALUE"""),"smart")</f>
        <v>smart</v>
      </c>
      <c r="C11631" s="2" t="str">
        <f ca="1">IFERROR(__xludf.DUMMYFUNCTION("""COMPUTED_VALUE"""),"SMART BLOCKCHAIN")</f>
        <v>SMART BLOCKCHAIN</v>
      </c>
    </row>
    <row r="11632" spans="1:3" x14ac:dyDescent="0.25">
      <c r="A11632" s="2" t="str">
        <f ca="1">IFERROR(__xludf.DUMMYFUNCTION("""COMPUTED_VALUE"""),"smart-block-chain-city")</f>
        <v>smart-block-chain-city</v>
      </c>
      <c r="B11632" s="2" t="str">
        <f ca="1">IFERROR(__xludf.DUMMYFUNCTION("""COMPUTED_VALUE"""),"sbcc")</f>
        <v>sbcc</v>
      </c>
      <c r="C11632" s="2" t="str">
        <f ca="1">IFERROR(__xludf.DUMMYFUNCTION("""COMPUTED_VALUE"""),"Smart Block Chain City")</f>
        <v>Smart Block Chain City</v>
      </c>
    </row>
    <row r="11633" spans="1:3" x14ac:dyDescent="0.25">
      <c r="A11633" s="2" t="str">
        <f ca="1">IFERROR(__xludf.DUMMYFUNCTION("""COMPUTED_VALUE"""),"smartcash")</f>
        <v>smartcash</v>
      </c>
      <c r="B11633" s="2" t="str">
        <f ca="1">IFERROR(__xludf.DUMMYFUNCTION("""COMPUTED_VALUE"""),"smart")</f>
        <v>smart</v>
      </c>
      <c r="C11633" s="2" t="str">
        <f ca="1">IFERROR(__xludf.DUMMYFUNCTION("""COMPUTED_VALUE"""),"SmartCash")</f>
        <v>SmartCash</v>
      </c>
    </row>
    <row r="11634" spans="1:3" x14ac:dyDescent="0.25">
      <c r="A11634" s="2" t="str">
        <f ca="1">IFERROR(__xludf.DUMMYFUNCTION("""COMPUTED_VALUE"""),"smart-coin-smrtr")</f>
        <v>smart-coin-smrtr</v>
      </c>
      <c r="B11634" s="2" t="str">
        <f ca="1">IFERROR(__xludf.DUMMYFUNCTION("""COMPUTED_VALUE"""),"smrtr")</f>
        <v>smrtr</v>
      </c>
      <c r="C11634" s="2" t="str">
        <f ca="1">IFERROR(__xludf.DUMMYFUNCTION("""COMPUTED_VALUE"""),"SmarterCoin")</f>
        <v>SmarterCoin</v>
      </c>
    </row>
    <row r="11635" spans="1:3" x14ac:dyDescent="0.25">
      <c r="A11635" s="2" t="str">
        <f ca="1">IFERROR(__xludf.DUMMYFUNCTION("""COMPUTED_VALUE"""),"smartcredit-token")</f>
        <v>smartcredit-token</v>
      </c>
      <c r="B11635" s="2" t="str">
        <f ca="1">IFERROR(__xludf.DUMMYFUNCTION("""COMPUTED_VALUE"""),"smartcredit")</f>
        <v>smartcredit</v>
      </c>
      <c r="C11635" s="2" t="str">
        <f ca="1">IFERROR(__xludf.DUMMYFUNCTION("""COMPUTED_VALUE"""),"SmartCredit")</f>
        <v>SmartCredit</v>
      </c>
    </row>
    <row r="11636" spans="1:3" x14ac:dyDescent="0.25">
      <c r="A11636" s="2" t="str">
        <f ca="1">IFERROR(__xludf.DUMMYFUNCTION("""COMPUTED_VALUE"""),"smart-game-finance")</f>
        <v>smart-game-finance</v>
      </c>
      <c r="B11636" s="2" t="str">
        <f ca="1">IFERROR(__xludf.DUMMYFUNCTION("""COMPUTED_VALUE"""),"smart")</f>
        <v>smart</v>
      </c>
      <c r="C11636" s="2" t="str">
        <f ca="1">IFERROR(__xludf.DUMMYFUNCTION("""COMPUTED_VALUE"""),"Smart Game Finance")</f>
        <v>Smart Game Finance</v>
      </c>
    </row>
    <row r="11637" spans="1:3" x14ac:dyDescent="0.25">
      <c r="A11637" s="2" t="str">
        <f ca="1">IFERROR(__xludf.DUMMYFUNCTION("""COMPUTED_VALUE"""),"smarthub")</f>
        <v>smarthub</v>
      </c>
      <c r="B11637" s="2" t="str">
        <f ca="1">IFERROR(__xludf.DUMMYFUNCTION("""COMPUTED_VALUE"""),"smart")</f>
        <v>smart</v>
      </c>
      <c r="C11637" s="2" t="str">
        <f ca="1">IFERROR(__xludf.DUMMYFUNCTION("""COMPUTED_VALUE"""),"SmartHub")</f>
        <v>SmartHub</v>
      </c>
    </row>
    <row r="11638" spans="1:3" x14ac:dyDescent="0.25">
      <c r="A11638" s="2" t="str">
        <f ca="1">IFERROR(__xludf.DUMMYFUNCTION("""COMPUTED_VALUE"""),"smartlands")</f>
        <v>smartlands</v>
      </c>
      <c r="B11638" s="2" t="str">
        <f ca="1">IFERROR(__xludf.DUMMYFUNCTION("""COMPUTED_VALUE"""),"dnt")</f>
        <v>dnt</v>
      </c>
      <c r="C11638" s="2" t="str">
        <f ca="1">IFERROR(__xludf.DUMMYFUNCTION("""COMPUTED_VALUE"""),"Definder Network")</f>
        <v>Definder Network</v>
      </c>
    </row>
    <row r="11639" spans="1:3" x14ac:dyDescent="0.25">
      <c r="A11639" s="2" t="str">
        <f ca="1">IFERROR(__xludf.DUMMYFUNCTION("""COMPUTED_VALUE"""),"smart-layer-network")</f>
        <v>smart-layer-network</v>
      </c>
      <c r="B11639" s="2" t="str">
        <f ca="1">IFERROR(__xludf.DUMMYFUNCTION("""COMPUTED_VALUE"""),"sln")</f>
        <v>sln</v>
      </c>
      <c r="C11639" s="2" t="str">
        <f ca="1">IFERROR(__xludf.DUMMYFUNCTION("""COMPUTED_VALUE"""),"Smart Layer Network")</f>
        <v>Smart Layer Network</v>
      </c>
    </row>
    <row r="11640" spans="1:3" x14ac:dyDescent="0.25">
      <c r="A11640" s="2" t="str">
        <f ca="1">IFERROR(__xludf.DUMMYFUNCTION("""COMPUTED_VALUE"""),"smartmall-token")</f>
        <v>smartmall-token</v>
      </c>
      <c r="B11640" s="2" t="str">
        <f ca="1">IFERROR(__xludf.DUMMYFUNCTION("""COMPUTED_VALUE"""),"smt")</f>
        <v>smt</v>
      </c>
      <c r="C11640" s="2" t="str">
        <f ca="1">IFERROR(__xludf.DUMMYFUNCTION("""COMPUTED_VALUE"""),"Smartmall Token")</f>
        <v>Smartmall Token</v>
      </c>
    </row>
    <row r="11641" spans="1:3" x14ac:dyDescent="0.25">
      <c r="A11641" s="2" t="str">
        <f ca="1">IFERROR(__xludf.DUMMYFUNCTION("""COMPUTED_VALUE"""),"smartmesh")</f>
        <v>smartmesh</v>
      </c>
      <c r="B11641" s="2" t="str">
        <f ca="1">IFERROR(__xludf.DUMMYFUNCTION("""COMPUTED_VALUE"""),"smt")</f>
        <v>smt</v>
      </c>
      <c r="C11641" s="2" t="str">
        <f ca="1">IFERROR(__xludf.DUMMYFUNCTION("""COMPUTED_VALUE"""),"SmartMesh")</f>
        <v>SmartMesh</v>
      </c>
    </row>
    <row r="11642" spans="1:3" x14ac:dyDescent="0.25">
      <c r="A11642" s="2" t="str">
        <f ca="1">IFERROR(__xludf.DUMMYFUNCTION("""COMPUTED_VALUE"""),"smart-mfg")</f>
        <v>smart-mfg</v>
      </c>
      <c r="B11642" s="2" t="str">
        <f ca="1">IFERROR(__xludf.DUMMYFUNCTION("""COMPUTED_VALUE"""),"mfg")</f>
        <v>mfg</v>
      </c>
      <c r="C11642" s="2" t="str">
        <f ca="1">IFERROR(__xludf.DUMMYFUNCTION("""COMPUTED_VALUE"""),"Smart MFG")</f>
        <v>Smart MFG</v>
      </c>
    </row>
    <row r="11643" spans="1:3" x14ac:dyDescent="0.25">
      <c r="A11643" s="2" t="str">
        <f ca="1">IFERROR(__xludf.DUMMYFUNCTION("""COMPUTED_VALUE"""),"smartmoney")</f>
        <v>smartmoney</v>
      </c>
      <c r="B11643" s="2" t="str">
        <f ca="1">IFERROR(__xludf.DUMMYFUNCTION("""COMPUTED_VALUE"""),"smrt")</f>
        <v>smrt</v>
      </c>
      <c r="C11643" s="2" t="str">
        <f ca="1">IFERROR(__xludf.DUMMYFUNCTION("""COMPUTED_VALUE"""),"SmartMoney")</f>
        <v>SmartMoney</v>
      </c>
    </row>
    <row r="11644" spans="1:3" x14ac:dyDescent="0.25">
      <c r="A11644" s="2" t="str">
        <f ca="1">IFERROR(__xludf.DUMMYFUNCTION("""COMPUTED_VALUE"""),"smartnft")</f>
        <v>smartnft</v>
      </c>
      <c r="B11644" s="2" t="str">
        <f ca="1">IFERROR(__xludf.DUMMYFUNCTION("""COMPUTED_VALUE"""),"smartnft")</f>
        <v>smartnft</v>
      </c>
      <c r="C11644" s="2" t="str">
        <f ca="1">IFERROR(__xludf.DUMMYFUNCTION("""COMPUTED_VALUE"""),"SmartNFT")</f>
        <v>SmartNFT</v>
      </c>
    </row>
    <row r="11645" spans="1:3" x14ac:dyDescent="0.25">
      <c r="A11645" s="2" t="str">
        <f ca="1">IFERROR(__xludf.DUMMYFUNCTION("""COMPUTED_VALUE"""),"smartofgiving")</f>
        <v>smartofgiving</v>
      </c>
      <c r="B11645" s="2" t="str">
        <f ca="1">IFERROR(__xludf.DUMMYFUNCTION("""COMPUTED_VALUE"""),"aog")</f>
        <v>aog</v>
      </c>
      <c r="C11645" s="2" t="str">
        <f ca="1">IFERROR(__xludf.DUMMYFUNCTION("""COMPUTED_VALUE"""),"smARTOFGIVING")</f>
        <v>smARTOFGIVING</v>
      </c>
    </row>
    <row r="11646" spans="1:3" x14ac:dyDescent="0.25">
      <c r="A11646" s="2" t="str">
        <f ca="1">IFERROR(__xludf.DUMMYFUNCTION("""COMPUTED_VALUE"""),"smartpad-2")</f>
        <v>smartpad-2</v>
      </c>
      <c r="B11646" s="2" t="str">
        <f ca="1">IFERROR(__xludf.DUMMYFUNCTION("""COMPUTED_VALUE"""),"pad")</f>
        <v>pad</v>
      </c>
      <c r="C11646" s="2" t="str">
        <f ca="1">IFERROR(__xludf.DUMMYFUNCTION("""COMPUTED_VALUE"""),"SmartPad")</f>
        <v>SmartPad</v>
      </c>
    </row>
    <row r="11647" spans="1:3" x14ac:dyDescent="0.25">
      <c r="A11647" s="2" t="str">
        <f ca="1">IFERROR(__xludf.DUMMYFUNCTION("""COMPUTED_VALUE"""),"smart-reckon-intelligence")</f>
        <v>smart-reckon-intelligence</v>
      </c>
      <c r="B11647" s="2" t="str">
        <f ca="1">IFERROR(__xludf.DUMMYFUNCTION("""COMPUTED_VALUE"""),"sri")</f>
        <v>sri</v>
      </c>
      <c r="C11647" s="2" t="str">
        <f ca="1">IFERROR(__xludf.DUMMYFUNCTION("""COMPUTED_VALUE"""),"Smart Reckon Intelligence")</f>
        <v>Smart Reckon Intelligence</v>
      </c>
    </row>
    <row r="11648" spans="1:3" x14ac:dyDescent="0.25">
      <c r="A11648" s="2" t="str">
        <f ca="1">IFERROR(__xludf.DUMMYFUNCTION("""COMPUTED_VALUE"""),"smart-reward-token")</f>
        <v>smart-reward-token</v>
      </c>
      <c r="B11648" s="2" t="str">
        <f ca="1">IFERROR(__xludf.DUMMYFUNCTION("""COMPUTED_VALUE"""),"srt")</f>
        <v>srt</v>
      </c>
      <c r="C11648" s="2" t="str">
        <f ca="1">IFERROR(__xludf.DUMMYFUNCTION("""COMPUTED_VALUE"""),"Smart Reward Token")</f>
        <v>Smart Reward Token</v>
      </c>
    </row>
    <row r="11649" spans="1:3" x14ac:dyDescent="0.25">
      <c r="A11649" s="2" t="str">
        <f ca="1">IFERROR(__xludf.DUMMYFUNCTION("""COMPUTED_VALUE"""),"smartsettoken")</f>
        <v>smartsettoken</v>
      </c>
      <c r="B11649" s="2" t="str">
        <f ca="1">IFERROR(__xludf.DUMMYFUNCTION("""COMPUTED_VALUE"""),"sst")</f>
        <v>sst</v>
      </c>
      <c r="C11649" s="2" t="str">
        <f ca="1">IFERROR(__xludf.DUMMYFUNCTION("""COMPUTED_VALUE"""),"SmartsetToken")</f>
        <v>SmartsetToken</v>
      </c>
    </row>
    <row r="11650" spans="1:3" x14ac:dyDescent="0.25">
      <c r="A11650" s="2" t="str">
        <f ca="1">IFERROR(__xludf.DUMMYFUNCTION("""COMPUTED_VALUE"""),"smart-valor")</f>
        <v>smart-valor</v>
      </c>
      <c r="B11650" s="2" t="str">
        <f ca="1">IFERROR(__xludf.DUMMYFUNCTION("""COMPUTED_VALUE"""),"valor")</f>
        <v>valor</v>
      </c>
      <c r="C11650" s="2" t="str">
        <f ca="1">IFERROR(__xludf.DUMMYFUNCTION("""COMPUTED_VALUE"""),"Smart Valor")</f>
        <v>Smart Valor</v>
      </c>
    </row>
    <row r="11651" spans="1:3" x14ac:dyDescent="0.25">
      <c r="A11651" s="2" t="str">
        <f ca="1">IFERROR(__xludf.DUMMYFUNCTION("""COMPUTED_VALUE"""),"smart-wallet-token")</f>
        <v>smart-wallet-token</v>
      </c>
      <c r="B11651" s="2" t="str">
        <f ca="1">IFERROR(__xludf.DUMMYFUNCTION("""COMPUTED_VALUE"""),"swt")</f>
        <v>swt</v>
      </c>
      <c r="C11651" s="2" t="str">
        <f ca="1">IFERROR(__xludf.DUMMYFUNCTION("""COMPUTED_VALUE"""),"Smart Wallet")</f>
        <v>Smart Wallet</v>
      </c>
    </row>
    <row r="11652" spans="1:3" x14ac:dyDescent="0.25">
      <c r="A11652" s="2" t="str">
        <f ca="1">IFERROR(__xludf.DUMMYFUNCTION("""COMPUTED_VALUE"""),"smartworld-global")</f>
        <v>smartworld-global</v>
      </c>
      <c r="B11652" s="2" t="str">
        <f ca="1">IFERROR(__xludf.DUMMYFUNCTION("""COMPUTED_VALUE"""),"swgt")</f>
        <v>swgt</v>
      </c>
      <c r="C11652" s="2" t="str">
        <f ca="1">IFERROR(__xludf.DUMMYFUNCTION("""COMPUTED_VALUE"""),"SmartWorld Global Token")</f>
        <v>SmartWorld Global Token</v>
      </c>
    </row>
    <row r="11653" spans="1:3" x14ac:dyDescent="0.25">
      <c r="A11653" s="2" t="str">
        <f ca="1">IFERROR(__xludf.DUMMYFUNCTION("""COMPUTED_VALUE"""),"smart-world-union")</f>
        <v>smart-world-union</v>
      </c>
      <c r="B11653" s="2" t="str">
        <f ca="1">IFERROR(__xludf.DUMMYFUNCTION("""COMPUTED_VALUE"""),"swu")</f>
        <v>swu</v>
      </c>
      <c r="C11653" s="2" t="str">
        <f ca="1">IFERROR(__xludf.DUMMYFUNCTION("""COMPUTED_VALUE"""),"Smart World Union")</f>
        <v>Smart World Union</v>
      </c>
    </row>
    <row r="11654" spans="1:3" x14ac:dyDescent="0.25">
      <c r="A11654" s="2" t="str">
        <f ca="1">IFERROR(__xludf.DUMMYFUNCTION("""COMPUTED_VALUE"""),"smarty-pay")</f>
        <v>smarty-pay</v>
      </c>
      <c r="B11654" s="2" t="str">
        <f ca="1">IFERROR(__xludf.DUMMYFUNCTION("""COMPUTED_VALUE"""),"spy")</f>
        <v>spy</v>
      </c>
      <c r="C11654" s="2" t="str">
        <f ca="1">IFERROR(__xludf.DUMMYFUNCTION("""COMPUTED_VALUE"""),"Smarty Pay")</f>
        <v>Smarty Pay</v>
      </c>
    </row>
    <row r="11655" spans="1:3" x14ac:dyDescent="0.25">
      <c r="A11655" s="2" t="str">
        <f ca="1">IFERROR(__xludf.DUMMYFUNCTION("""COMPUTED_VALUE"""),"smell")</f>
        <v>smell</v>
      </c>
      <c r="B11655" s="2" t="str">
        <f ca="1">IFERROR(__xludf.DUMMYFUNCTION("""COMPUTED_VALUE"""),"sml")</f>
        <v>sml</v>
      </c>
      <c r="C11655" s="2" t="str">
        <f ca="1">IFERROR(__xludf.DUMMYFUNCTION("""COMPUTED_VALUE"""),"Smell")</f>
        <v>Smell</v>
      </c>
    </row>
    <row r="11656" spans="1:3" x14ac:dyDescent="0.25">
      <c r="A11656" s="2" t="str">
        <f ca="1">IFERROR(__xludf.DUMMYFUNCTION("""COMPUTED_VALUE"""),"smidge")</f>
        <v>smidge</v>
      </c>
      <c r="B11656" s="2" t="str">
        <f ca="1">IFERROR(__xludf.DUMMYFUNCTION("""COMPUTED_VALUE"""),"smidge")</f>
        <v>smidge</v>
      </c>
      <c r="C11656" s="2" t="str">
        <f ca="1">IFERROR(__xludf.DUMMYFUNCTION("""COMPUTED_VALUE"""),"Smidge")</f>
        <v>Smidge</v>
      </c>
    </row>
    <row r="11657" spans="1:3" x14ac:dyDescent="0.25">
      <c r="A11657" s="2" t="str">
        <f ca="1">IFERROR(__xludf.DUMMYFUNCTION("""COMPUTED_VALUE"""),"smileai")</f>
        <v>smileai</v>
      </c>
      <c r="B11657" s="2" t="str">
        <f ca="1">IFERROR(__xludf.DUMMYFUNCTION("""COMPUTED_VALUE"""),"smile")</f>
        <v>smile</v>
      </c>
      <c r="C11657" s="2" t="str">
        <f ca="1">IFERROR(__xludf.DUMMYFUNCTION("""COMPUTED_VALUE"""),"SmileAI")</f>
        <v>SmileAI</v>
      </c>
    </row>
    <row r="11658" spans="1:3" x14ac:dyDescent="0.25">
      <c r="A11658" s="2" t="str">
        <f ca="1">IFERROR(__xludf.DUMMYFUNCTION("""COMPUTED_VALUE"""),"smiley-coin")</f>
        <v>smiley-coin</v>
      </c>
      <c r="B11658" s="2" t="str">
        <f ca="1">IFERROR(__xludf.DUMMYFUNCTION("""COMPUTED_VALUE"""),"smiley")</f>
        <v>smiley</v>
      </c>
      <c r="C11658" s="2" t="str">
        <f ca="1">IFERROR(__xludf.DUMMYFUNCTION("""COMPUTED_VALUE"""),"Smiley Coin")</f>
        <v>Smiley Coin</v>
      </c>
    </row>
    <row r="11659" spans="1:3" x14ac:dyDescent="0.25">
      <c r="A11659" s="2" t="str">
        <f ca="1">IFERROR(__xludf.DUMMYFUNCTION("""COMPUTED_VALUE"""),"smog")</f>
        <v>smog</v>
      </c>
      <c r="B11659" s="2" t="str">
        <f ca="1">IFERROR(__xludf.DUMMYFUNCTION("""COMPUTED_VALUE"""),"smog")</f>
        <v>smog</v>
      </c>
      <c r="C11659" s="2" t="str">
        <f ca="1">IFERROR(__xludf.DUMMYFUNCTION("""COMPUTED_VALUE"""),"Smog")</f>
        <v>Smog</v>
      </c>
    </row>
    <row r="11660" spans="1:3" x14ac:dyDescent="0.25">
      <c r="A11660" s="2" t="str">
        <f ca="1">IFERROR(__xludf.DUMMYFUNCTION("""COMPUTED_VALUE"""),"smoke-the-ticker")</f>
        <v>smoke-the-ticker</v>
      </c>
      <c r="B11660" s="2" t="str">
        <f ca="1">IFERROR(__xludf.DUMMYFUNCTION("""COMPUTED_VALUE"""),"smoke")</f>
        <v>smoke</v>
      </c>
      <c r="C11660" s="2" t="str">
        <f ca="1">IFERROR(__xludf.DUMMYFUNCTION("""COMPUTED_VALUE"""),"Smoke The Ticker")</f>
        <v>Smoke The Ticker</v>
      </c>
    </row>
    <row r="11661" spans="1:3" x14ac:dyDescent="0.25">
      <c r="A11661" s="2" t="str">
        <f ca="1">IFERROR(__xludf.DUMMYFUNCTION("""COMPUTED_VALUE"""),"smoking-chicken-fish")</f>
        <v>smoking-chicken-fish</v>
      </c>
      <c r="B11661" s="2" t="str">
        <f ca="1">IFERROR(__xludf.DUMMYFUNCTION("""COMPUTED_VALUE"""),"scf")</f>
        <v>scf</v>
      </c>
      <c r="C11661" s="2" t="str">
        <f ca="1">IFERROR(__xludf.DUMMYFUNCTION("""COMPUTED_VALUE"""),"Smoking Chicken Fish")</f>
        <v>Smoking Chicken Fish</v>
      </c>
    </row>
    <row r="11662" spans="1:3" x14ac:dyDescent="0.25">
      <c r="A11662" s="2" t="str">
        <f ca="1">IFERROR(__xludf.DUMMYFUNCTION("""COMPUTED_VALUE"""),"smoking-eagle-dog")</f>
        <v>smoking-eagle-dog</v>
      </c>
      <c r="B11662" s="2" t="str">
        <f ca="1">IFERROR(__xludf.DUMMYFUNCTION("""COMPUTED_VALUE"""),"sed")</f>
        <v>sed</v>
      </c>
      <c r="C11662" s="2" t="str">
        <f ca="1">IFERROR(__xludf.DUMMYFUNCTION("""COMPUTED_VALUE"""),"Smoking Eagle Dog")</f>
        <v>Smoking Eagle Dog</v>
      </c>
    </row>
    <row r="11663" spans="1:3" x14ac:dyDescent="0.25">
      <c r="A11663" s="2" t="str">
        <f ca="1">IFERROR(__xludf.DUMMYFUNCTION("""COMPUTED_VALUE"""),"smoking-giraffe")</f>
        <v>smoking-giraffe</v>
      </c>
      <c r="B11663" s="2" t="str">
        <f ca="1">IFERROR(__xludf.DUMMYFUNCTION("""COMPUTED_VALUE"""),"graf")</f>
        <v>graf</v>
      </c>
      <c r="C11663" s="2" t="str">
        <f ca="1">IFERROR(__xludf.DUMMYFUNCTION("""COMPUTED_VALUE"""),"Smoking Giraffe")</f>
        <v>Smoking Giraffe</v>
      </c>
    </row>
    <row r="11664" spans="1:3" x14ac:dyDescent="0.25">
      <c r="A11664" s="2" t="str">
        <f ca="1">IFERROR(__xludf.DUMMYFUNCTION("""COMPUTED_VALUE"""),"smolano")</f>
        <v>smolano</v>
      </c>
      <c r="B11664" s="2" t="str">
        <f ca="1">IFERROR(__xludf.DUMMYFUNCTION("""COMPUTED_VALUE"""),"slo")</f>
        <v>slo</v>
      </c>
      <c r="C11664" s="2" t="str">
        <f ca="1">IFERROR(__xludf.DUMMYFUNCTION("""COMPUTED_VALUE"""),"SmoLanO")</f>
        <v>SmoLanO</v>
      </c>
    </row>
    <row r="11665" spans="1:3" x14ac:dyDescent="0.25">
      <c r="A11665" s="2" t="str">
        <f ca="1">IFERROR(__xludf.DUMMYFUNCTION("""COMPUTED_VALUE"""),"smol-cat")</f>
        <v>smol-cat</v>
      </c>
      <c r="B11665" s="2" t="str">
        <f ca="1">IFERROR(__xludf.DUMMYFUNCTION("""COMPUTED_VALUE"""),"smol")</f>
        <v>smol</v>
      </c>
      <c r="C11665" s="2" t="str">
        <f ca="1">IFERROR(__xludf.DUMMYFUNCTION("""COMPUTED_VALUE"""),"Smol Cat")</f>
        <v>Smol Cat</v>
      </c>
    </row>
    <row r="11666" spans="1:3" x14ac:dyDescent="0.25">
      <c r="A11666" s="2" t="str">
        <f ca="1">IFERROR(__xludf.DUMMYFUNCTION("""COMPUTED_VALUE"""),"smolcoin")</f>
        <v>smolcoin</v>
      </c>
      <c r="B11666" s="2" t="str">
        <f ca="1">IFERROR(__xludf.DUMMYFUNCTION("""COMPUTED_VALUE"""),"smol")</f>
        <v>smol</v>
      </c>
      <c r="C11666" s="2" t="str">
        <f ca="1">IFERROR(__xludf.DUMMYFUNCTION("""COMPUTED_VALUE"""),"Smolcoin")</f>
        <v>Smolcoin</v>
      </c>
    </row>
    <row r="11667" spans="1:3" x14ac:dyDescent="0.25">
      <c r="A11667" s="2" t="str">
        <f ca="1">IFERROR(__xludf.DUMMYFUNCTION("""COMPUTED_VALUE"""),"smolecoin")</f>
        <v>smolecoin</v>
      </c>
      <c r="B11667" s="2" t="str">
        <f ca="1">IFERROR(__xludf.DUMMYFUNCTION("""COMPUTED_VALUE"""),"smole")</f>
        <v>smole</v>
      </c>
      <c r="C11667" s="2" t="str">
        <f ca="1">IFERROR(__xludf.DUMMYFUNCTION("""COMPUTED_VALUE"""),"smolecoin")</f>
        <v>smolecoin</v>
      </c>
    </row>
    <row r="11668" spans="1:3" x14ac:dyDescent="0.25">
      <c r="A11668" s="2" t="str">
        <f ca="1">IFERROR(__xludf.DUMMYFUNCTION("""COMPUTED_VALUE"""),"smol-game")</f>
        <v>smol-game</v>
      </c>
      <c r="B11668" s="2" t="str">
        <f ca="1">IFERROR(__xludf.DUMMYFUNCTION("""COMPUTED_VALUE"""),"smol")</f>
        <v>smol</v>
      </c>
      <c r="C11668" s="2" t="str">
        <f ca="1">IFERROR(__xludf.DUMMYFUNCTION("""COMPUTED_VALUE"""),"smol.game")</f>
        <v>smol.game</v>
      </c>
    </row>
    <row r="11669" spans="1:3" x14ac:dyDescent="0.25">
      <c r="A11669" s="2" t="str">
        <f ca="1">IFERROR(__xludf.DUMMYFUNCTION("""COMPUTED_VALUE"""),"smol-su")</f>
        <v>smol-su</v>
      </c>
      <c r="B11669" s="2" t="str">
        <f ca="1">IFERROR(__xludf.DUMMYFUNCTION("""COMPUTED_VALUE"""),"su")</f>
        <v>su</v>
      </c>
      <c r="C11669" s="2" t="str">
        <f ca="1">IFERROR(__xludf.DUMMYFUNCTION("""COMPUTED_VALUE"""),"Smol Su")</f>
        <v>Smol Su</v>
      </c>
    </row>
    <row r="11670" spans="1:3" x14ac:dyDescent="0.25">
      <c r="A11670" s="2" t="str">
        <f ca="1">IFERROR(__xludf.DUMMYFUNCTION("""COMPUTED_VALUE"""),"smooth-love-potion")</f>
        <v>smooth-love-potion</v>
      </c>
      <c r="B11670" s="2" t="str">
        <f ca="1">IFERROR(__xludf.DUMMYFUNCTION("""COMPUTED_VALUE"""),"slp")</f>
        <v>slp</v>
      </c>
      <c r="C11670" s="2" t="str">
        <f ca="1">IFERROR(__xludf.DUMMYFUNCTION("""COMPUTED_VALUE"""),"Smooth Love Potion")</f>
        <v>Smooth Love Potion</v>
      </c>
    </row>
    <row r="11671" spans="1:3" x14ac:dyDescent="0.25">
      <c r="A11671" s="2" t="str">
        <f ca="1">IFERROR(__xludf.DUMMYFUNCTION("""COMPUTED_VALUE"""),"smoothy")</f>
        <v>smoothy</v>
      </c>
      <c r="B11671" s="2" t="str">
        <f ca="1">IFERROR(__xludf.DUMMYFUNCTION("""COMPUTED_VALUE"""),"smty")</f>
        <v>smty</v>
      </c>
      <c r="C11671" s="2" t="str">
        <f ca="1">IFERROR(__xludf.DUMMYFUNCTION("""COMPUTED_VALUE"""),"Smoothy")</f>
        <v>Smoothy</v>
      </c>
    </row>
    <row r="11672" spans="1:3" x14ac:dyDescent="0.25">
      <c r="A11672" s="2" t="str">
        <f ca="1">IFERROR(__xludf.DUMMYFUNCTION("""COMPUTED_VALUE"""),"smoovie-phone")</f>
        <v>smoovie-phone</v>
      </c>
      <c r="B11672" s="2" t="str">
        <f ca="1">IFERROR(__xludf.DUMMYFUNCTION("""COMPUTED_VALUE"""),"sp")</f>
        <v>sp</v>
      </c>
      <c r="C11672" s="2" t="str">
        <f ca="1">IFERROR(__xludf.DUMMYFUNCTION("""COMPUTED_VALUE"""),"Smoovie Phone")</f>
        <v>Smoovie Phone</v>
      </c>
    </row>
    <row r="11673" spans="1:3" x14ac:dyDescent="0.25">
      <c r="A11673" s="2" t="str">
        <f ca="1">IFERROR(__xludf.DUMMYFUNCTION("""COMPUTED_VALUE"""),"smorf")</f>
        <v>smorf</v>
      </c>
      <c r="B11673" s="2" t="str">
        <f ca="1">IFERROR(__xludf.DUMMYFUNCTION("""COMPUTED_VALUE"""),"smorf")</f>
        <v>smorf</v>
      </c>
      <c r="C11673" s="2" t="str">
        <f ca="1">IFERROR(__xludf.DUMMYFUNCTION("""COMPUTED_VALUE"""),"smorf")</f>
        <v>smorf</v>
      </c>
    </row>
    <row r="11674" spans="1:3" x14ac:dyDescent="0.25">
      <c r="A11674" s="2" t="str">
        <f ca="1">IFERROR(__xludf.DUMMYFUNCTION("""COMPUTED_VALUE"""),"smudge-cat")</f>
        <v>smudge-cat</v>
      </c>
      <c r="B11674" s="2" t="str">
        <f ca="1">IFERROR(__xludf.DUMMYFUNCTION("""COMPUTED_VALUE"""),"smudcat")</f>
        <v>smudcat</v>
      </c>
      <c r="C11674" s="2" t="str">
        <f ca="1">IFERROR(__xludf.DUMMYFUNCTION("""COMPUTED_VALUE"""),"Smudge Cat")</f>
        <v>Smudge Cat</v>
      </c>
    </row>
    <row r="11675" spans="1:3" x14ac:dyDescent="0.25">
      <c r="A11675" s="2" t="str">
        <f ca="1">IFERROR(__xludf.DUMMYFUNCTION("""COMPUTED_VALUE"""),"smudge-cat-solana")</f>
        <v>smudge-cat-solana</v>
      </c>
      <c r="B11675" s="2" t="str">
        <f ca="1">IFERROR(__xludf.DUMMYFUNCTION("""COMPUTED_VALUE"""),"smudge")</f>
        <v>smudge</v>
      </c>
      <c r="C11675" s="2" t="str">
        <f ca="1">IFERROR(__xludf.DUMMYFUNCTION("""COMPUTED_VALUE"""),"Smudge Cat Solana")</f>
        <v>Smudge Cat Solana</v>
      </c>
    </row>
    <row r="11676" spans="1:3" x14ac:dyDescent="0.25">
      <c r="A11676" s="2" t="str">
        <f ca="1">IFERROR(__xludf.DUMMYFUNCTION("""COMPUTED_VALUE"""),"smudge-lord")</f>
        <v>smudge-lord</v>
      </c>
      <c r="B11676" s="2" t="str">
        <f ca="1">IFERROR(__xludf.DUMMYFUNCTION("""COMPUTED_VALUE"""),"smudge")</f>
        <v>smudge</v>
      </c>
      <c r="C11676" s="2" t="str">
        <f ca="1">IFERROR(__xludf.DUMMYFUNCTION("""COMPUTED_VALUE"""),"Smudge Lord")</f>
        <v>Smudge Lord</v>
      </c>
    </row>
    <row r="11677" spans="1:3" x14ac:dyDescent="0.25">
      <c r="A11677" s="2" t="str">
        <f ca="1">IFERROR(__xludf.DUMMYFUNCTION("""COMPUTED_VALUE"""),"smurfsinu")</f>
        <v>smurfsinu</v>
      </c>
      <c r="B11677" s="2" t="str">
        <f ca="1">IFERROR(__xludf.DUMMYFUNCTION("""COMPUTED_VALUE"""),"smurf")</f>
        <v>smurf</v>
      </c>
      <c r="C11677" s="2" t="str">
        <f ca="1">IFERROR(__xludf.DUMMYFUNCTION("""COMPUTED_VALUE"""),"SmurfsINU")</f>
        <v>SmurfsINU</v>
      </c>
    </row>
    <row r="11678" spans="1:3" x14ac:dyDescent="0.25">
      <c r="A11678" s="2" t="str">
        <f ca="1">IFERROR(__xludf.DUMMYFUNCTION("""COMPUTED_VALUE"""),"snackboxai")</f>
        <v>snackboxai</v>
      </c>
      <c r="B11678" s="2" t="str">
        <f ca="1">IFERROR(__xludf.DUMMYFUNCTION("""COMPUTED_VALUE"""),"snack")</f>
        <v>snack</v>
      </c>
      <c r="C11678" s="2" t="str">
        <f ca="1">IFERROR(__xludf.DUMMYFUNCTION("""COMPUTED_VALUE"""),"SnackboxAI")</f>
        <v>SnackboxAI</v>
      </c>
    </row>
    <row r="11679" spans="1:3" x14ac:dyDescent="0.25">
      <c r="A11679" s="2" t="str">
        <f ca="1">IFERROR(__xludf.DUMMYFUNCTION("""COMPUTED_VALUE"""),"snailbrook")</f>
        <v>snailbrook</v>
      </c>
      <c r="B11679" s="2" t="str">
        <f ca="1">IFERROR(__xludf.DUMMYFUNCTION("""COMPUTED_VALUE"""),"snail")</f>
        <v>snail</v>
      </c>
      <c r="C11679" s="2" t="str">
        <f ca="1">IFERROR(__xludf.DUMMYFUNCTION("""COMPUTED_VALUE"""),"SnailBrook")</f>
        <v>SnailBrook</v>
      </c>
    </row>
    <row r="11680" spans="1:3" x14ac:dyDescent="0.25">
      <c r="A11680" s="2" t="str">
        <f ca="1">IFERROR(__xludf.DUMMYFUNCTION("""COMPUTED_VALUE"""),"snailmoon")</f>
        <v>snailmoon</v>
      </c>
      <c r="B11680" s="2" t="str">
        <f ca="1">IFERROR(__xludf.DUMMYFUNCTION("""COMPUTED_VALUE"""),"snm")</f>
        <v>snm</v>
      </c>
      <c r="C11680" s="2" t="str">
        <f ca="1">IFERROR(__xludf.DUMMYFUNCTION("""COMPUTED_VALUE"""),"SnailMoon")</f>
        <v>SnailMoon</v>
      </c>
    </row>
    <row r="11681" spans="1:3" x14ac:dyDescent="0.25">
      <c r="A11681" s="2" t="str">
        <f ca="1">IFERROR(__xludf.DUMMYFUNCTION("""COMPUTED_VALUE"""),"snail-trail")</f>
        <v>snail-trail</v>
      </c>
      <c r="B11681" s="2" t="str">
        <f ca="1">IFERROR(__xludf.DUMMYFUNCTION("""COMPUTED_VALUE"""),"slime")</f>
        <v>slime</v>
      </c>
      <c r="C11681" s="2" t="str">
        <f ca="1">IFERROR(__xludf.DUMMYFUNCTION("""COMPUTED_VALUE"""),"Snail Trail")</f>
        <v>Snail Trail</v>
      </c>
    </row>
    <row r="11682" spans="1:3" x14ac:dyDescent="0.25">
      <c r="A11682" s="2" t="str">
        <f ca="1">IFERROR(__xludf.DUMMYFUNCTION("""COMPUTED_VALUE"""),"snake-2")</f>
        <v>snake-2</v>
      </c>
      <c r="B11682" s="2" t="str">
        <f ca="1">IFERROR(__xludf.DUMMYFUNCTION("""COMPUTED_VALUE"""),"snk")</f>
        <v>snk</v>
      </c>
      <c r="C11682" s="2" t="str">
        <f ca="1">IFERROR(__xludf.DUMMYFUNCTION("""COMPUTED_VALUE"""),"Snake")</f>
        <v>Snake</v>
      </c>
    </row>
    <row r="11683" spans="1:3" x14ac:dyDescent="0.25">
      <c r="A11683" s="2" t="str">
        <f ca="1">IFERROR(__xludf.DUMMYFUNCTION("""COMPUTED_VALUE"""),"snake-3")</f>
        <v>snake-3</v>
      </c>
      <c r="B11683" s="2" t="str">
        <f ca="1">IFERROR(__xludf.DUMMYFUNCTION("""COMPUTED_VALUE"""),"snake")</f>
        <v>snake</v>
      </c>
      <c r="C11683" s="2" t="str">
        <f ca="1">IFERROR(__xludf.DUMMYFUNCTION("""COMPUTED_VALUE"""),"snake")</f>
        <v>snake</v>
      </c>
    </row>
    <row r="11684" spans="1:3" x14ac:dyDescent="0.25">
      <c r="A11684" s="2" t="str">
        <f ca="1">IFERROR(__xludf.DUMMYFUNCTION("""COMPUTED_VALUE"""),"snake-of-solana")</f>
        <v>snake-of-solana</v>
      </c>
      <c r="B11684" s="2" t="str">
        <f ca="1">IFERROR(__xludf.DUMMYFUNCTION("""COMPUTED_VALUE"""),"hiss")</f>
        <v>hiss</v>
      </c>
      <c r="C11684" s="2" t="str">
        <f ca="1">IFERROR(__xludf.DUMMYFUNCTION("""COMPUTED_VALUE"""),"Snake Of Solana")</f>
        <v>Snake Of Solana</v>
      </c>
    </row>
    <row r="11685" spans="1:3" x14ac:dyDescent="0.25">
      <c r="A11685" s="2" t="str">
        <f ca="1">IFERROR(__xludf.DUMMYFUNCTION("""COMPUTED_VALUE"""),"snakes-game")</f>
        <v>snakes-game</v>
      </c>
      <c r="B11685" s="2" t="str">
        <f ca="1">IFERROR(__xludf.DUMMYFUNCTION("""COMPUTED_VALUE"""),"snakes")</f>
        <v>snakes</v>
      </c>
      <c r="C11685" s="2" t="str">
        <f ca="1">IFERROR(__xludf.DUMMYFUNCTION("""COMPUTED_VALUE"""),"Snakes Game")</f>
        <v>Snakes Game</v>
      </c>
    </row>
    <row r="11686" spans="1:3" x14ac:dyDescent="0.25">
      <c r="A11686" s="2" t="str">
        <f ca="1">IFERROR(__xludf.DUMMYFUNCTION("""COMPUTED_VALUE"""),"snapcat")</f>
        <v>snapcat</v>
      </c>
      <c r="B11686" s="2" t="str">
        <f ca="1">IFERROR(__xludf.DUMMYFUNCTION("""COMPUTED_VALUE"""),"snapcat")</f>
        <v>snapcat</v>
      </c>
      <c r="C11686" s="2" t="str">
        <f ca="1">IFERROR(__xludf.DUMMYFUNCTION("""COMPUTED_VALUE"""),"Snapcat")</f>
        <v>Snapcat</v>
      </c>
    </row>
    <row r="11687" spans="1:3" x14ac:dyDescent="0.25">
      <c r="A11687" s="2" t="str">
        <f ca="1">IFERROR(__xludf.DUMMYFUNCTION("""COMPUTED_VALUE"""),"snap-first-space-coin")</f>
        <v>snap-first-space-coin</v>
      </c>
      <c r="B11687" s="2" t="str">
        <f ca="1">IFERROR(__xludf.DUMMYFUNCTION("""COMPUTED_VALUE"""),"snap")</f>
        <v>snap</v>
      </c>
      <c r="C11687" s="2" t="str">
        <f ca="1">IFERROR(__xludf.DUMMYFUNCTION("""COMPUTED_VALUE"""),"Snap: first space coin")</f>
        <v>Snap: first space coin</v>
      </c>
    </row>
    <row r="11688" spans="1:3" x14ac:dyDescent="0.25">
      <c r="A11688" s="2" t="str">
        <f ca="1">IFERROR(__xludf.DUMMYFUNCTION("""COMPUTED_VALUE"""),"snap-kero")</f>
        <v>snap-kero</v>
      </c>
      <c r="B11688" s="2" t="str">
        <f ca="1">IFERROR(__xludf.DUMMYFUNCTION("""COMPUTED_VALUE"""),"$nap")</f>
        <v>$nap</v>
      </c>
      <c r="C11688" s="2" t="str">
        <f ca="1">IFERROR(__xludf.DUMMYFUNCTION("""COMPUTED_VALUE"""),"SNAP")</f>
        <v>SNAP</v>
      </c>
    </row>
    <row r="11689" spans="1:3" x14ac:dyDescent="0.25">
      <c r="A11689" s="2" t="str">
        <f ca="1">IFERROR(__xludf.DUMMYFUNCTION("""COMPUTED_VALUE"""),"snapmuse-io")</f>
        <v>snapmuse-io</v>
      </c>
      <c r="B11689" s="2" t="str">
        <f ca="1">IFERROR(__xludf.DUMMYFUNCTION("""COMPUTED_VALUE"""),"smx")</f>
        <v>smx</v>
      </c>
      <c r="C11689" s="3" t="str">
        <f ca="1">IFERROR(__xludf.DUMMYFUNCTION("""COMPUTED_VALUE"""),"Snapmuse.io")</f>
        <v>Snapmuse.io</v>
      </c>
    </row>
    <row r="11690" spans="1:3" x14ac:dyDescent="0.25">
      <c r="A11690" s="2" t="str">
        <f ca="1">IFERROR(__xludf.DUMMYFUNCTION("""COMPUTED_VALUE"""),"snaps")</f>
        <v>snaps</v>
      </c>
      <c r="B11690" s="2" t="str">
        <f ca="1">IFERROR(__xludf.DUMMYFUNCTION("""COMPUTED_VALUE"""),"snps")</f>
        <v>snps</v>
      </c>
      <c r="C11690" s="2" t="str">
        <f ca="1">IFERROR(__xludf.DUMMYFUNCTION("""COMPUTED_VALUE"""),"Snaps")</f>
        <v>Snaps</v>
      </c>
    </row>
    <row r="11691" spans="1:3" x14ac:dyDescent="0.25">
      <c r="A11691" s="2" t="str">
        <f ca="1">IFERROR(__xludf.DUMMYFUNCTION("""COMPUTED_VALUE"""),"snark-launch")</f>
        <v>snark-launch</v>
      </c>
      <c r="B11691" s="2" t="str">
        <f ca="1">IFERROR(__xludf.DUMMYFUNCTION("""COMPUTED_VALUE"""),"$snrk")</f>
        <v>$snrk</v>
      </c>
      <c r="C11691" s="2" t="str">
        <f ca="1">IFERROR(__xludf.DUMMYFUNCTION("""COMPUTED_VALUE"""),"Snark Launch")</f>
        <v>Snark Launch</v>
      </c>
    </row>
    <row r="11692" spans="1:3" x14ac:dyDescent="0.25">
      <c r="A11692" s="2" t="str">
        <f ca="1">IFERROR(__xludf.DUMMYFUNCTION("""COMPUTED_VALUE"""),"sneel")</f>
        <v>sneel</v>
      </c>
      <c r="B11692" s="2" t="str">
        <f ca="1">IFERROR(__xludf.DUMMYFUNCTION("""COMPUTED_VALUE"""),"sneel")</f>
        <v>sneel</v>
      </c>
      <c r="C11692" s="2" t="str">
        <f ca="1">IFERROR(__xludf.DUMMYFUNCTION("""COMPUTED_VALUE"""),"SNEEL")</f>
        <v>SNEEL</v>
      </c>
    </row>
    <row r="11693" spans="1:3" x14ac:dyDescent="0.25">
      <c r="A11693" s="2" t="str">
        <f ca="1">IFERROR(__xludf.DUMMYFUNCTION("""COMPUTED_VALUE"""),"snek")</f>
        <v>snek</v>
      </c>
      <c r="B11693" s="2" t="str">
        <f ca="1">IFERROR(__xludf.DUMMYFUNCTION("""COMPUTED_VALUE"""),"snek")</f>
        <v>snek</v>
      </c>
      <c r="C11693" s="2" t="str">
        <f ca="1">IFERROR(__xludf.DUMMYFUNCTION("""COMPUTED_VALUE"""),"Snek")</f>
        <v>Snek</v>
      </c>
    </row>
    <row r="11694" spans="1:3" x14ac:dyDescent="0.25">
      <c r="A11694" s="2" t="str">
        <f ca="1">IFERROR(__xludf.DUMMYFUNCTION("""COMPUTED_VALUE"""),"snepe")</f>
        <v>snepe</v>
      </c>
      <c r="B11694" s="2" t="str">
        <f ca="1">IFERROR(__xludf.DUMMYFUNCTION("""COMPUTED_VALUE"""),"snepe")</f>
        <v>snepe</v>
      </c>
      <c r="C11694" s="2" t="str">
        <f ca="1">IFERROR(__xludf.DUMMYFUNCTION("""COMPUTED_VALUE"""),"SNEPE")</f>
        <v>SNEPE</v>
      </c>
    </row>
    <row r="11695" spans="1:3" x14ac:dyDescent="0.25">
      <c r="A11695" s="2" t="str">
        <f ca="1">IFERROR(__xludf.DUMMYFUNCTION("""COMPUTED_VALUE"""),"snetwork")</f>
        <v>snetwork</v>
      </c>
      <c r="B11695" s="2" t="str">
        <f ca="1">IFERROR(__xludf.DUMMYFUNCTION("""COMPUTED_VALUE"""),"snet")</f>
        <v>snet</v>
      </c>
      <c r="C11695" s="2" t="str">
        <f ca="1">IFERROR(__xludf.DUMMYFUNCTION("""COMPUTED_VALUE"""),"Snetwork")</f>
        <v>Snetwork</v>
      </c>
    </row>
    <row r="11696" spans="1:3" x14ac:dyDescent="0.25">
      <c r="A11696" s="2" t="str">
        <f ca="1">IFERROR(__xludf.DUMMYFUNCTION("""COMPUTED_VALUE"""),"snfts-seedify-nft-space")</f>
        <v>snfts-seedify-nft-space</v>
      </c>
      <c r="B11696" s="2" t="str">
        <f ca="1">IFERROR(__xludf.DUMMYFUNCTION("""COMPUTED_VALUE"""),"snfts")</f>
        <v>snfts</v>
      </c>
      <c r="C11696" s="2" t="str">
        <f ca="1">IFERROR(__xludf.DUMMYFUNCTION("""COMPUTED_VALUE"""),"Seedify NFT Space")</f>
        <v>Seedify NFT Space</v>
      </c>
    </row>
    <row r="11697" spans="1:3" x14ac:dyDescent="0.25">
      <c r="A11697" s="2" t="str">
        <f ca="1">IFERROR(__xludf.DUMMYFUNCTION("""COMPUTED_VALUE"""),"sng-token")</f>
        <v>sng-token</v>
      </c>
      <c r="B11697" s="2" t="str">
        <f ca="1">IFERROR(__xludf.DUMMYFUNCTION("""COMPUTED_VALUE"""),"sng")</f>
        <v>sng</v>
      </c>
      <c r="C11697" s="2" t="str">
        <f ca="1">IFERROR(__xludf.DUMMYFUNCTION("""COMPUTED_VALUE"""),"SNG Token")</f>
        <v>SNG Token</v>
      </c>
    </row>
    <row r="11698" spans="1:3" x14ac:dyDescent="0.25">
      <c r="A11698" s="2" t="str">
        <f ca="1">IFERROR(__xludf.DUMMYFUNCTION("""COMPUTED_VALUE"""),"snibbu")</f>
        <v>snibbu</v>
      </c>
      <c r="B11698" s="2" t="str">
        <f ca="1">IFERROR(__xludf.DUMMYFUNCTION("""COMPUTED_VALUE"""),"snibbu")</f>
        <v>snibbu</v>
      </c>
      <c r="C11698" s="2" t="str">
        <f ca="1">IFERROR(__xludf.DUMMYFUNCTION("""COMPUTED_VALUE"""),"Snibbu")</f>
        <v>Snibbu</v>
      </c>
    </row>
    <row r="11699" spans="1:3" x14ac:dyDescent="0.25">
      <c r="A11699" s="2" t="str">
        <f ca="1">IFERROR(__xludf.DUMMYFUNCTION("""COMPUTED_VALUE"""),"snibbu-the-crab")</f>
        <v>snibbu-the-crab</v>
      </c>
      <c r="B11699" s="2" t="str">
        <f ca="1">IFERROR(__xludf.DUMMYFUNCTION("""COMPUTED_VALUE"""),"snibbu")</f>
        <v>snibbu</v>
      </c>
      <c r="C11699" s="2" t="str">
        <f ca="1">IFERROR(__xludf.DUMMYFUNCTION("""COMPUTED_VALUE"""),"Snibbu the Crab")</f>
        <v>Snibbu the Crab</v>
      </c>
    </row>
    <row r="11700" spans="1:3" x14ac:dyDescent="0.25">
      <c r="A11700" s="2" t="str">
        <f ca="1">IFERROR(__xludf.DUMMYFUNCTION("""COMPUTED_VALUE"""),"sniff")</f>
        <v>sniff</v>
      </c>
      <c r="B11700" s="2" t="str">
        <f ca="1">IFERROR(__xludf.DUMMYFUNCTION("""COMPUTED_VALUE"""),"$sniff")</f>
        <v>$sniff</v>
      </c>
      <c r="C11700" s="2" t="str">
        <f ca="1">IFERROR(__xludf.DUMMYFUNCTION("""COMPUTED_VALUE"""),"SNIFF")</f>
        <v>SNIFF</v>
      </c>
    </row>
    <row r="11701" spans="1:3" x14ac:dyDescent="0.25">
      <c r="A11701" s="2" t="str">
        <f ca="1">IFERROR(__xludf.DUMMYFUNCTION("""COMPUTED_VALUE"""),"snkrz-fit")</f>
        <v>snkrz-fit</v>
      </c>
      <c r="B11701" s="2" t="str">
        <f ca="1">IFERROR(__xludf.DUMMYFUNCTION("""COMPUTED_VALUE"""),"fit")</f>
        <v>fit</v>
      </c>
      <c r="C11701" s="2" t="str">
        <f ca="1">IFERROR(__xludf.DUMMYFUNCTION("""COMPUTED_VALUE"""),"Fit")</f>
        <v>Fit</v>
      </c>
    </row>
    <row r="11702" spans="1:3" x14ac:dyDescent="0.25">
      <c r="A11702" s="2" t="str">
        <f ca="1">IFERROR(__xludf.DUMMYFUNCTION("""COMPUTED_VALUE"""),"snook")</f>
        <v>snook</v>
      </c>
      <c r="B11702" s="2" t="str">
        <f ca="1">IFERROR(__xludf.DUMMYFUNCTION("""COMPUTED_VALUE"""),"snk")</f>
        <v>snk</v>
      </c>
      <c r="C11702" s="2" t="str">
        <f ca="1">IFERROR(__xludf.DUMMYFUNCTION("""COMPUTED_VALUE"""),"Snook")</f>
        <v>Snook</v>
      </c>
    </row>
    <row r="11703" spans="1:3" x14ac:dyDescent="0.25">
      <c r="A11703" s="2" t="str">
        <f ca="1">IFERROR(__xludf.DUMMYFUNCTION("""COMPUTED_VALUE"""),"snoopybabe")</f>
        <v>snoopybabe</v>
      </c>
      <c r="B11703" s="2" t="str">
        <f ca="1">IFERROR(__xludf.DUMMYFUNCTION("""COMPUTED_VALUE"""),"sbabe")</f>
        <v>sbabe</v>
      </c>
      <c r="C11703" s="2" t="str">
        <f ca="1">IFERROR(__xludf.DUMMYFUNCTION("""COMPUTED_VALUE"""),"SNOOPYBABE")</f>
        <v>SNOOPYBABE</v>
      </c>
    </row>
    <row r="11704" spans="1:3" x14ac:dyDescent="0.25">
      <c r="A11704" s="2" t="str">
        <f ca="1">IFERROR(__xludf.DUMMYFUNCTION("""COMPUTED_VALUE"""),"snort")</f>
        <v>snort</v>
      </c>
      <c r="B11704" s="2" t="str">
        <f ca="1">IFERROR(__xludf.DUMMYFUNCTION("""COMPUTED_VALUE"""),"snort")</f>
        <v>snort</v>
      </c>
      <c r="C11704" s="2" t="str">
        <f ca="1">IFERROR(__xludf.DUMMYFUNCTION("""COMPUTED_VALUE"""),"SNORT")</f>
        <v>SNORT</v>
      </c>
    </row>
    <row r="11705" spans="1:3" x14ac:dyDescent="0.25">
      <c r="A11705" s="2" t="str">
        <f ca="1">IFERROR(__xludf.DUMMYFUNCTION("""COMPUTED_VALUE"""),"snowball-token")</f>
        <v>snowball-token</v>
      </c>
      <c r="B11705" s="2" t="str">
        <f ca="1">IFERROR(__xludf.DUMMYFUNCTION("""COMPUTED_VALUE"""),"snob")</f>
        <v>snob</v>
      </c>
      <c r="C11705" s="2" t="str">
        <f ca="1">IFERROR(__xludf.DUMMYFUNCTION("""COMPUTED_VALUE"""),"Snowball")</f>
        <v>Snowball</v>
      </c>
    </row>
    <row r="11706" spans="1:3" x14ac:dyDescent="0.25">
      <c r="A11706" s="2" t="str">
        <f ca="1">IFERROR(__xludf.DUMMYFUNCTION("""COMPUTED_VALUE"""),"snowbank")</f>
        <v>snowbank</v>
      </c>
      <c r="B11706" s="2" t="str">
        <f ca="1">IFERROR(__xludf.DUMMYFUNCTION("""COMPUTED_VALUE"""),"sb")</f>
        <v>sb</v>
      </c>
      <c r="C11706" s="2" t="str">
        <f ca="1">IFERROR(__xludf.DUMMYFUNCTION("""COMPUTED_VALUE"""),"Snowbank")</f>
        <v>Snowbank</v>
      </c>
    </row>
    <row r="11707" spans="1:3" x14ac:dyDescent="0.25">
      <c r="A11707" s="2" t="str">
        <f ca="1">IFERROR(__xludf.DUMMYFUNCTION("""COMPUTED_VALUE"""),"snowcrash-token")</f>
        <v>snowcrash-token</v>
      </c>
      <c r="B11707" s="2" t="str">
        <f ca="1">IFERROR(__xludf.DUMMYFUNCTION("""COMPUTED_VALUE"""),"nora")</f>
        <v>nora</v>
      </c>
      <c r="C11707" s="2" t="str">
        <f ca="1">IFERROR(__xludf.DUMMYFUNCTION("""COMPUTED_VALUE"""),"SnowCrash")</f>
        <v>SnowCrash</v>
      </c>
    </row>
    <row r="11708" spans="1:3" x14ac:dyDescent="0.25">
      <c r="A11708" s="2" t="str">
        <f ca="1">IFERROR(__xludf.DUMMYFUNCTION("""COMPUTED_VALUE"""),"snow-leopard-irbis")</f>
        <v>snow-leopard-irbis</v>
      </c>
      <c r="B11708" s="2" t="str">
        <f ca="1">IFERROR(__xludf.DUMMYFUNCTION("""COMPUTED_VALUE"""),"irbis")</f>
        <v>irbis</v>
      </c>
      <c r="C11708" s="2" t="str">
        <f ca="1">IFERROR(__xludf.DUMMYFUNCTION("""COMPUTED_VALUE"""),"Snow Leopard - IRBIS")</f>
        <v>Snow Leopard - IRBIS</v>
      </c>
    </row>
    <row r="11709" spans="1:3" x14ac:dyDescent="0.25">
      <c r="A11709" s="2" t="str">
        <f ca="1">IFERROR(__xludf.DUMMYFUNCTION("""COMPUTED_VALUE"""),"snowman")</f>
        <v>snowman</v>
      </c>
      <c r="B11709" s="2" t="str">
        <f ca="1">IFERROR(__xludf.DUMMYFUNCTION("""COMPUTED_VALUE"""),"snow")</f>
        <v>snow</v>
      </c>
      <c r="C11709" s="2" t="str">
        <f ca="1">IFERROR(__xludf.DUMMYFUNCTION("""COMPUTED_VALUE"""),"Snowman")</f>
        <v>Snowman</v>
      </c>
    </row>
    <row r="11710" spans="1:3" x14ac:dyDescent="0.25">
      <c r="A11710" s="2" t="str">
        <f ca="1">IFERROR(__xludf.DUMMYFUNCTION("""COMPUTED_VALUE"""),"snowswap")</f>
        <v>snowswap</v>
      </c>
      <c r="B11710" s="2" t="str">
        <f ca="1">IFERROR(__xludf.DUMMYFUNCTION("""COMPUTED_VALUE"""),"snow")</f>
        <v>snow</v>
      </c>
      <c r="C11710" s="2" t="str">
        <f ca="1">IFERROR(__xludf.DUMMYFUNCTION("""COMPUTED_VALUE"""),"Snowswap")</f>
        <v>Snowswap</v>
      </c>
    </row>
    <row r="11711" spans="1:3" x14ac:dyDescent="0.25">
      <c r="A11711" s="2" t="str">
        <f ca="1">IFERROR(__xludf.DUMMYFUNCTION("""COMPUTED_VALUE"""),"snowtomb")</f>
        <v>snowtomb</v>
      </c>
      <c r="B11711" s="2" t="str">
        <f ca="1">IFERROR(__xludf.DUMMYFUNCTION("""COMPUTED_VALUE"""),"stomb")</f>
        <v>stomb</v>
      </c>
      <c r="C11711" s="2" t="str">
        <f ca="1">IFERROR(__xludf.DUMMYFUNCTION("""COMPUTED_VALUE"""),"Snowtomb")</f>
        <v>Snowtomb</v>
      </c>
    </row>
    <row r="11712" spans="1:3" x14ac:dyDescent="0.25">
      <c r="A11712" s="2" t="str">
        <f ca="1">IFERROR(__xludf.DUMMYFUNCTION("""COMPUTED_VALUE"""),"snowtomb-lot")</f>
        <v>snowtomb-lot</v>
      </c>
      <c r="B11712" s="2" t="str">
        <f ca="1">IFERROR(__xludf.DUMMYFUNCTION("""COMPUTED_VALUE"""),"slot")</f>
        <v>slot</v>
      </c>
      <c r="C11712" s="2" t="str">
        <f ca="1">IFERROR(__xludf.DUMMYFUNCTION("""COMPUTED_VALUE"""),"Snowtomb LOT")</f>
        <v>Snowtomb LOT</v>
      </c>
    </row>
    <row r="11713" spans="1:3" x14ac:dyDescent="0.25">
      <c r="A11713" s="2" t="str">
        <f ca="1">IFERROR(__xludf.DUMMYFUNCTION("""COMPUTED_VALUE"""),"snpad")</f>
        <v>snpad</v>
      </c>
      <c r="B11713" s="2" t="str">
        <f ca="1">IFERROR(__xludf.DUMMYFUNCTION("""COMPUTED_VALUE"""),"snpad")</f>
        <v>snpad</v>
      </c>
      <c r="C11713" s="2" t="str">
        <f ca="1">IFERROR(__xludf.DUMMYFUNCTION("""COMPUTED_VALUE"""),"SNPad")</f>
        <v>SNPad</v>
      </c>
    </row>
    <row r="11714" spans="1:3" x14ac:dyDescent="0.25">
      <c r="A11714" s="2" t="str">
        <f ca="1">IFERROR(__xludf.DUMMYFUNCTION("""COMPUTED_VALUE"""),"snpit-token")</f>
        <v>snpit-token</v>
      </c>
      <c r="B11714" s="2" t="str">
        <f ca="1">IFERROR(__xludf.DUMMYFUNCTION("""COMPUTED_VALUE"""),"snpt")</f>
        <v>snpt</v>
      </c>
      <c r="C11714" s="2" t="str">
        <f ca="1">IFERROR(__xludf.DUMMYFUNCTION("""COMPUTED_VALUE"""),"SNPIT TOKEN")</f>
        <v>SNPIT TOKEN</v>
      </c>
    </row>
    <row r="11715" spans="1:3" x14ac:dyDescent="0.25">
      <c r="A11715" s="2" t="str">
        <f ca="1">IFERROR(__xludf.DUMMYFUNCTION("""COMPUTED_VALUE"""),"snx-yvault")</f>
        <v>snx-yvault</v>
      </c>
      <c r="B11715" s="2" t="str">
        <f ca="1">IFERROR(__xludf.DUMMYFUNCTION("""COMPUTED_VALUE"""),"yvsnx")</f>
        <v>yvsnx</v>
      </c>
      <c r="C11715" s="2" t="str">
        <f ca="1">IFERROR(__xludf.DUMMYFUNCTION("""COMPUTED_VALUE"""),"SNX yVault")</f>
        <v>SNX yVault</v>
      </c>
    </row>
    <row r="11716" spans="1:3" x14ac:dyDescent="0.25">
      <c r="A11716" s="2" t="str">
        <f ca="1">IFERROR(__xludf.DUMMYFUNCTION("""COMPUTED_VALUE"""),"soai")</f>
        <v>soai</v>
      </c>
      <c r="B11716" s="2" t="str">
        <f ca="1">IFERROR(__xludf.DUMMYFUNCTION("""COMPUTED_VALUE"""),"soai")</f>
        <v>soai</v>
      </c>
      <c r="C11716" s="2" t="str">
        <f ca="1">IFERROR(__xludf.DUMMYFUNCTION("""COMPUTED_VALUE"""),"SoAI")</f>
        <v>SoAI</v>
      </c>
    </row>
    <row r="11717" spans="1:3" x14ac:dyDescent="0.25">
      <c r="A11717" s="2" t="str">
        <f ca="1">IFERROR(__xludf.DUMMYFUNCTION("""COMPUTED_VALUE"""),"soarchain")</f>
        <v>soarchain</v>
      </c>
      <c r="B11717" s="2" t="str">
        <f ca="1">IFERROR(__xludf.DUMMYFUNCTION("""COMPUTED_VALUE"""),"motus")</f>
        <v>motus</v>
      </c>
      <c r="C11717" s="2" t="str">
        <f ca="1">IFERROR(__xludf.DUMMYFUNCTION("""COMPUTED_VALUE"""),"Soarchain")</f>
        <v>Soarchain</v>
      </c>
    </row>
    <row r="11718" spans="1:3" x14ac:dyDescent="0.25">
      <c r="A11718" s="2" t="str">
        <f ca="1">IFERROR(__xludf.DUMMYFUNCTION("""COMPUTED_VALUE"""),"sobax")</f>
        <v>sobax</v>
      </c>
      <c r="B11718" s="2" t="str">
        <f ca="1">IFERROR(__xludf.DUMMYFUNCTION("""COMPUTED_VALUE"""),"sbx")</f>
        <v>sbx</v>
      </c>
      <c r="C11718" s="2" t="str">
        <f ca="1">IFERROR(__xludf.DUMMYFUNCTION("""COMPUTED_VALUE"""),"SOBAX")</f>
        <v>SOBAX</v>
      </c>
    </row>
    <row r="11719" spans="1:3" x14ac:dyDescent="0.25">
      <c r="A11719" s="2" t="str">
        <f ca="1">IFERROR(__xludf.DUMMYFUNCTION("""COMPUTED_VALUE"""),"sobit-bridge")</f>
        <v>sobit-bridge</v>
      </c>
      <c r="B11719" s="2" t="str">
        <f ca="1">IFERROR(__xludf.DUMMYFUNCTION("""COMPUTED_VALUE"""),"sobb")</f>
        <v>sobb</v>
      </c>
      <c r="C11719" s="2" t="str">
        <f ca="1">IFERROR(__xludf.DUMMYFUNCTION("""COMPUTED_VALUE"""),"SoBit Bridge")</f>
        <v>SoBit Bridge</v>
      </c>
    </row>
    <row r="11720" spans="1:3" x14ac:dyDescent="0.25">
      <c r="A11720" s="2" t="str">
        <f ca="1">IFERROR(__xludf.DUMMYFUNCTION("""COMPUTED_VALUE"""),"sobull")</f>
        <v>sobull</v>
      </c>
      <c r="B11720" s="2" t="str">
        <f ca="1">IFERROR(__xludf.DUMMYFUNCTION("""COMPUTED_VALUE"""),"sobull")</f>
        <v>sobull</v>
      </c>
      <c r="C11720" s="2" t="str">
        <f ca="1">IFERROR(__xludf.DUMMYFUNCTION("""COMPUTED_VALUE"""),"SoBULL")</f>
        <v>SoBULL</v>
      </c>
    </row>
    <row r="11721" spans="1:3" x14ac:dyDescent="0.25">
      <c r="A11721" s="2" t="str">
        <f ca="1">IFERROR(__xludf.DUMMYFUNCTION("""COMPUTED_VALUE"""),"socean-staked-sol")</f>
        <v>socean-staked-sol</v>
      </c>
      <c r="B11721" s="2" t="str">
        <f ca="1">IFERROR(__xludf.DUMMYFUNCTION("""COMPUTED_VALUE"""),"inf")</f>
        <v>inf</v>
      </c>
      <c r="C11721" s="2" t="str">
        <f ca="1">IFERROR(__xludf.DUMMYFUNCTION("""COMPUTED_VALUE"""),"Sanctum Infinity")</f>
        <v>Sanctum Infinity</v>
      </c>
    </row>
    <row r="11722" spans="1:3" x14ac:dyDescent="0.25">
      <c r="A11722" s="2" t="str">
        <f ca="1">IFERROR(__xludf.DUMMYFUNCTION("""COMPUTED_VALUE"""),"social-capitalism-2")</f>
        <v>social-capitalism-2</v>
      </c>
      <c r="B11722" s="2" t="str">
        <f ca="1">IFERROR(__xludf.DUMMYFUNCTION("""COMPUTED_VALUE"""),"socap")</f>
        <v>socap</v>
      </c>
      <c r="C11722" s="2" t="str">
        <f ca="1">IFERROR(__xludf.DUMMYFUNCTION("""COMPUTED_VALUE"""),"Social Capitalism")</f>
        <v>Social Capitalism</v>
      </c>
    </row>
    <row r="11723" spans="1:3" x14ac:dyDescent="0.25">
      <c r="A11723" s="2" t="str">
        <f ca="1">IFERROR(__xludf.DUMMYFUNCTION("""COMPUTED_VALUE"""),"social-good-project")</f>
        <v>social-good-project</v>
      </c>
      <c r="B11723" s="2" t="str">
        <f ca="1">IFERROR(__xludf.DUMMYFUNCTION("""COMPUTED_VALUE"""),"sg")</f>
        <v>sg</v>
      </c>
      <c r="C11723" s="2" t="str">
        <f ca="1">IFERROR(__xludf.DUMMYFUNCTION("""COMPUTED_VALUE"""),"SocialGood")</f>
        <v>SocialGood</v>
      </c>
    </row>
    <row r="11724" spans="1:3" x14ac:dyDescent="0.25">
      <c r="A11724" s="2" t="str">
        <f ca="1">IFERROR(__xludf.DUMMYFUNCTION("""COMPUTED_VALUE"""),"socialpal")</f>
        <v>socialpal</v>
      </c>
      <c r="B11724" s="2" t="str">
        <f ca="1">IFERROR(__xludf.DUMMYFUNCTION("""COMPUTED_VALUE"""),"spl")</f>
        <v>spl</v>
      </c>
      <c r="C11724" s="2" t="str">
        <f ca="1">IFERROR(__xludf.DUMMYFUNCTION("""COMPUTED_VALUE"""),"SocialPal")</f>
        <v>SocialPal</v>
      </c>
    </row>
    <row r="11725" spans="1:3" x14ac:dyDescent="0.25">
      <c r="A11725" s="2" t="str">
        <f ca="1">IFERROR(__xludf.DUMMYFUNCTION("""COMPUTED_VALUE"""),"social-send")</f>
        <v>social-send</v>
      </c>
      <c r="B11725" s="2" t="str">
        <f ca="1">IFERROR(__xludf.DUMMYFUNCTION("""COMPUTED_VALUE"""),"send")</f>
        <v>send</v>
      </c>
      <c r="C11725" s="2" t="str">
        <f ca="1">IFERROR(__xludf.DUMMYFUNCTION("""COMPUTED_VALUE"""),"Social Send")</f>
        <v>Social Send</v>
      </c>
    </row>
    <row r="11726" spans="1:3" x14ac:dyDescent="0.25">
      <c r="A11726" s="2" t="str">
        <f ca="1">IFERROR(__xludf.DUMMYFUNCTION("""COMPUTED_VALUE"""),"socialswap-token")</f>
        <v>socialswap-token</v>
      </c>
      <c r="B11726" s="2" t="str">
        <f ca="1">IFERROR(__xludf.DUMMYFUNCTION("""COMPUTED_VALUE"""),"sst")</f>
        <v>sst</v>
      </c>
      <c r="C11726" s="2" t="str">
        <f ca="1">IFERROR(__xludf.DUMMYFUNCTION("""COMPUTED_VALUE"""),"Social Swap")</f>
        <v>Social Swap</v>
      </c>
    </row>
    <row r="11727" spans="1:3" x14ac:dyDescent="0.25">
      <c r="A11727" s="2" t="str">
        <f ca="1">IFERROR(__xludf.DUMMYFUNCTION("""COMPUTED_VALUE"""),"societe-generale-forge-eurcv")</f>
        <v>societe-generale-forge-eurcv</v>
      </c>
      <c r="B11727" s="2" t="str">
        <f ca="1">IFERROR(__xludf.DUMMYFUNCTION("""COMPUTED_VALUE"""),"eurcv")</f>
        <v>eurcv</v>
      </c>
      <c r="C11727" s="2" t="str">
        <f ca="1">IFERROR(__xludf.DUMMYFUNCTION("""COMPUTED_VALUE"""),"Societe Generale-FORGE EURCV")</f>
        <v>Societe Generale-FORGE EURCV</v>
      </c>
    </row>
    <row r="11728" spans="1:3" x14ac:dyDescent="0.25">
      <c r="A11728" s="2" t="str">
        <f ca="1">IFERROR(__xludf.DUMMYFUNCTION("""COMPUTED_VALUE"""),"sociocat")</f>
        <v>sociocat</v>
      </c>
      <c r="B11728" s="2" t="str">
        <f ca="1">IFERROR(__xludf.DUMMYFUNCTION("""COMPUTED_VALUE"""),"$cat")</f>
        <v>$cat</v>
      </c>
      <c r="C11728" s="2" t="str">
        <f ca="1">IFERROR(__xludf.DUMMYFUNCTION("""COMPUTED_VALUE"""),"SocioCat")</f>
        <v>SocioCat</v>
      </c>
    </row>
    <row r="11729" spans="1:3" x14ac:dyDescent="0.25">
      <c r="A11729" s="2" t="str">
        <f ca="1">IFERROR(__xludf.DUMMYFUNCTION("""COMPUTED_VALUE"""),"socks")</f>
        <v>socks</v>
      </c>
      <c r="B11729" s="2" t="str">
        <f ca="1">IFERROR(__xludf.DUMMYFUNCTION("""COMPUTED_VALUE"""),"socks")</f>
        <v>socks</v>
      </c>
      <c r="C11729" s="2" t="str">
        <f ca="1">IFERROR(__xludf.DUMMYFUNCTION("""COMPUTED_VALUE"""),"SOCKS")</f>
        <v>SOCKS</v>
      </c>
    </row>
    <row r="11730" spans="1:3" x14ac:dyDescent="0.25">
      <c r="A11730" s="2" t="str">
        <f ca="1">IFERROR(__xludf.DUMMYFUNCTION("""COMPUTED_VALUE"""),"socol")</f>
        <v>socol</v>
      </c>
      <c r="B11730" s="2" t="str">
        <f ca="1">IFERROR(__xludf.DUMMYFUNCTION("""COMPUTED_VALUE"""),"simp")</f>
        <v>simp</v>
      </c>
      <c r="C11730" s="2" t="str">
        <f ca="1">IFERROR(__xludf.DUMMYFUNCTION("""COMPUTED_VALUE"""),"SO-COL")</f>
        <v>SO-COL</v>
      </c>
    </row>
    <row r="11731" spans="1:3" x14ac:dyDescent="0.25">
      <c r="A11731" s="2" t="str">
        <f ca="1">IFERROR(__xludf.DUMMYFUNCTION("""COMPUTED_VALUE"""),"socomfy")</f>
        <v>socomfy</v>
      </c>
      <c r="B11731" s="2" t="str">
        <f ca="1">IFERROR(__xludf.DUMMYFUNCTION("""COMPUTED_VALUE"""),"comfy")</f>
        <v>comfy</v>
      </c>
      <c r="C11731" s="2" t="str">
        <f ca="1">IFERROR(__xludf.DUMMYFUNCTION("""COMPUTED_VALUE"""),"SOCOMFY")</f>
        <v>SOCOMFY</v>
      </c>
    </row>
    <row r="11732" spans="1:3" x14ac:dyDescent="0.25">
      <c r="A11732" s="2" t="str">
        <f ca="1">IFERROR(__xludf.DUMMYFUNCTION("""COMPUTED_VALUE"""),"socrates")</f>
        <v>socrates</v>
      </c>
      <c r="B11732" s="2" t="str">
        <f ca="1">IFERROR(__xludf.DUMMYFUNCTION("""COMPUTED_VALUE"""),"soc")</f>
        <v>soc</v>
      </c>
      <c r="C11732" s="2" t="str">
        <f ca="1">IFERROR(__xludf.DUMMYFUNCTION("""COMPUTED_VALUE"""),"Socrates")</f>
        <v>Socrates</v>
      </c>
    </row>
    <row r="11733" spans="1:3" x14ac:dyDescent="0.25">
      <c r="A11733" s="2" t="str">
        <f ca="1">IFERROR(__xludf.DUMMYFUNCTION("""COMPUTED_VALUE"""),"sodi-protocol")</f>
        <v>sodi-protocol</v>
      </c>
      <c r="B11733" s="2" t="str">
        <f ca="1">IFERROR(__xludf.DUMMYFUNCTION("""COMPUTED_VALUE"""),"sodi")</f>
        <v>sodi</v>
      </c>
      <c r="C11733" s="2" t="str">
        <f ca="1">IFERROR(__xludf.DUMMYFUNCTION("""COMPUTED_VALUE"""),"Sodi Protocol")</f>
        <v>Sodi Protocol</v>
      </c>
    </row>
    <row r="11734" spans="1:3" x14ac:dyDescent="0.25">
      <c r="A11734" s="2" t="str">
        <f ca="1">IFERROR(__xludf.DUMMYFUNCTION("""COMPUTED_VALUE"""),"sofacat")</f>
        <v>sofacat</v>
      </c>
      <c r="B11734" s="2" t="str">
        <f ca="1">IFERROR(__xludf.DUMMYFUNCTION("""COMPUTED_VALUE"""),"sofac")</f>
        <v>sofac</v>
      </c>
      <c r="C11734" s="2" t="str">
        <f ca="1">IFERROR(__xludf.DUMMYFUNCTION("""COMPUTED_VALUE"""),"SofaCat")</f>
        <v>SofaCat</v>
      </c>
    </row>
    <row r="11735" spans="1:3" x14ac:dyDescent="0.25">
      <c r="A11735" s="2" t="str">
        <f ca="1">IFERROR(__xludf.DUMMYFUNCTION("""COMPUTED_VALUE"""),"soft-coq-inu")</f>
        <v>soft-coq-inu</v>
      </c>
      <c r="B11735" s="2" t="str">
        <f ca="1">IFERROR(__xludf.DUMMYFUNCTION("""COMPUTED_VALUE"""),"softco")</f>
        <v>softco</v>
      </c>
      <c r="C11735" s="2" t="str">
        <f ca="1">IFERROR(__xludf.DUMMYFUNCTION("""COMPUTED_VALUE"""),"SOFT COQ INU")</f>
        <v>SOFT COQ INU</v>
      </c>
    </row>
    <row r="11736" spans="1:3" x14ac:dyDescent="0.25">
      <c r="A11736" s="2" t="str">
        <f ca="1">IFERROR(__xludf.DUMMYFUNCTION("""COMPUTED_VALUE"""),"soft-dao")</f>
        <v>soft-dao</v>
      </c>
      <c r="B11736" s="2" t="str">
        <f ca="1">IFERROR(__xludf.DUMMYFUNCTION("""COMPUTED_VALUE"""),"soft")</f>
        <v>soft</v>
      </c>
      <c r="C11736" s="2" t="str">
        <f ca="1">IFERROR(__xludf.DUMMYFUNCTION("""COMPUTED_VALUE"""),"Soft DAO")</f>
        <v>Soft DAO</v>
      </c>
    </row>
    <row r="11737" spans="1:3" x14ac:dyDescent="0.25">
      <c r="A11737" s="2" t="str">
        <f ca="1">IFERROR(__xludf.DUMMYFUNCTION("""COMPUTED_VALUE"""),"sohotrn")</f>
        <v>sohotrn</v>
      </c>
      <c r="B11737" s="2" t="str">
        <f ca="1">IFERROR(__xludf.DUMMYFUNCTION("""COMPUTED_VALUE"""),"sohot")</f>
        <v>sohot</v>
      </c>
      <c r="C11737" s="2" t="str">
        <f ca="1">IFERROR(__xludf.DUMMYFUNCTION("""COMPUTED_VALUE"""),"SOHOTRN")</f>
        <v>SOHOTRN</v>
      </c>
    </row>
    <row r="11738" spans="1:3" x14ac:dyDescent="0.25">
      <c r="A11738" s="2" t="str">
        <f ca="1">IFERROR(__xludf.DUMMYFUNCTION("""COMPUTED_VALUE"""),"soil")</f>
        <v>soil</v>
      </c>
      <c r="B11738" s="2" t="str">
        <f ca="1">IFERROR(__xludf.DUMMYFUNCTION("""COMPUTED_VALUE"""),"soil")</f>
        <v>soil</v>
      </c>
      <c r="C11738" s="2" t="str">
        <f ca="1">IFERROR(__xludf.DUMMYFUNCTION("""COMPUTED_VALUE"""),"Soil")</f>
        <v>Soil</v>
      </c>
    </row>
    <row r="11739" spans="1:3" x14ac:dyDescent="0.25">
      <c r="A11739" s="2" t="str">
        <f ca="1">IFERROR(__xludf.DUMMYFUNCTION("""COMPUTED_VALUE"""),"sojak")</f>
        <v>sojak</v>
      </c>
      <c r="B11739" s="2" t="str">
        <f ca="1">IFERROR(__xludf.DUMMYFUNCTION("""COMPUTED_VALUE"""),"sojak")</f>
        <v>sojak</v>
      </c>
      <c r="C11739" s="2" t="str">
        <f ca="1">IFERROR(__xludf.DUMMYFUNCTION("""COMPUTED_VALUE"""),"Sojak")</f>
        <v>Sojak</v>
      </c>
    </row>
    <row r="11740" spans="1:3" x14ac:dyDescent="0.25">
      <c r="A11740" s="2" t="str">
        <f ca="1">IFERROR(__xludf.DUMMYFUNCTION("""COMPUTED_VALUE"""),"sokuswap")</f>
        <v>sokuswap</v>
      </c>
      <c r="B11740" s="2" t="str">
        <f ca="1">IFERROR(__xludf.DUMMYFUNCTION("""COMPUTED_VALUE"""),"soku")</f>
        <v>soku</v>
      </c>
      <c r="C11740" s="2" t="str">
        <f ca="1">IFERROR(__xludf.DUMMYFUNCTION("""COMPUTED_VALUE"""),"SokuSwap")</f>
        <v>SokuSwap</v>
      </c>
    </row>
    <row r="11741" spans="1:3" x14ac:dyDescent="0.25">
      <c r="A11741" s="2" t="str">
        <f ca="1">IFERROR(__xludf.DUMMYFUNCTION("""COMPUTED_VALUE"""),"solabrador-2")</f>
        <v>solabrador-2</v>
      </c>
      <c r="B11741" s="2" t="str">
        <f ca="1">IFERROR(__xludf.DUMMYFUNCTION("""COMPUTED_VALUE"""),"sober")</f>
        <v>sober</v>
      </c>
      <c r="C11741" s="2" t="str">
        <f ca="1">IFERROR(__xludf.DUMMYFUNCTION("""COMPUTED_VALUE"""),"Solabrador")</f>
        <v>Solabrador</v>
      </c>
    </row>
    <row r="11742" spans="1:3" x14ac:dyDescent="0.25">
      <c r="A11742" s="2" t="str">
        <f ca="1">IFERROR(__xludf.DUMMYFUNCTION("""COMPUTED_VALUE"""),"solala")</f>
        <v>solala</v>
      </c>
      <c r="B11742" s="2" t="str">
        <f ca="1">IFERROR(__xludf.DUMMYFUNCTION("""COMPUTED_VALUE"""),"solala")</f>
        <v>solala</v>
      </c>
      <c r="C11742" s="2" t="str">
        <f ca="1">IFERROR(__xludf.DUMMYFUNCTION("""COMPUTED_VALUE"""),"Solala")</f>
        <v>Solala</v>
      </c>
    </row>
    <row r="11743" spans="1:3" x14ac:dyDescent="0.25">
      <c r="A11743" s="2" t="str">
        <f ca="1">IFERROR(__xludf.DUMMYFUNCTION("""COMPUTED_VALUE"""),"solama")</f>
        <v>solama</v>
      </c>
      <c r="B11743" s="2" t="str">
        <f ca="1">IFERROR(__xludf.DUMMYFUNCTION("""COMPUTED_VALUE"""),"solama")</f>
        <v>solama</v>
      </c>
      <c r="C11743" s="2" t="str">
        <f ca="1">IFERROR(__xludf.DUMMYFUNCTION("""COMPUTED_VALUE"""),"Solama")</f>
        <v>Solama</v>
      </c>
    </row>
    <row r="11744" spans="1:3" x14ac:dyDescent="0.25">
      <c r="A11744" s="2" t="str">
        <f ca="1">IFERROR(__xludf.DUMMYFUNCTION("""COMPUTED_VALUE"""),"solamander")</f>
        <v>solamander</v>
      </c>
      <c r="B11744" s="2" t="str">
        <f ca="1">IFERROR(__xludf.DUMMYFUNCTION("""COMPUTED_VALUE"""),"soly")</f>
        <v>soly</v>
      </c>
      <c r="C11744" s="2" t="str">
        <f ca="1">IFERROR(__xludf.DUMMYFUNCTION("""COMPUTED_VALUE"""),"Solamander")</f>
        <v>Solamander</v>
      </c>
    </row>
    <row r="11745" spans="1:3" x14ac:dyDescent="0.25">
      <c r="A11745" s="2" t="str">
        <f ca="1">IFERROR(__xludf.DUMMYFUNCTION("""COMPUTED_VALUE"""),"solamb")</f>
        <v>solamb</v>
      </c>
      <c r="B11745" s="2" t="str">
        <f ca="1">IFERROR(__xludf.DUMMYFUNCTION("""COMPUTED_VALUE"""),"solamb")</f>
        <v>solamb</v>
      </c>
      <c r="C11745" s="2" t="str">
        <f ca="1">IFERROR(__xludf.DUMMYFUNCTION("""COMPUTED_VALUE"""),"Solamb")</f>
        <v>Solamb</v>
      </c>
    </row>
    <row r="11746" spans="1:3" x14ac:dyDescent="0.25">
      <c r="A11746" s="2" t="str">
        <f ca="1">IFERROR(__xludf.DUMMYFUNCTION("""COMPUTED_VALUE"""),"solana")</f>
        <v>solana</v>
      </c>
      <c r="B11746" s="2" t="str">
        <f ca="1">IFERROR(__xludf.DUMMYFUNCTION("""COMPUTED_VALUE"""),"sol")</f>
        <v>sol</v>
      </c>
      <c r="C11746" s="2" t="str">
        <f ca="1">IFERROR(__xludf.DUMMYFUNCTION("""COMPUTED_VALUE"""),"Solana")</f>
        <v>Solana</v>
      </c>
    </row>
    <row r="11747" spans="1:3" x14ac:dyDescent="0.25">
      <c r="A11747" s="2" t="str">
        <f ca="1">IFERROR(__xludf.DUMMYFUNCTION("""COMPUTED_VALUE"""),"solana-arcade")</f>
        <v>solana-arcade</v>
      </c>
      <c r="B11747" s="2" t="str">
        <f ca="1">IFERROR(__xludf.DUMMYFUNCTION("""COMPUTED_VALUE"""),"solcade")</f>
        <v>solcade</v>
      </c>
      <c r="C11747" s="2" t="str">
        <f ca="1">IFERROR(__xludf.DUMMYFUNCTION("""COMPUTED_VALUE"""),"Solana Arcade")</f>
        <v>Solana Arcade</v>
      </c>
    </row>
    <row r="11748" spans="1:3" x14ac:dyDescent="0.25">
      <c r="A11748" s="2" t="str">
        <f ca="1">IFERROR(__xludf.DUMMYFUNCTION("""COMPUTED_VALUE"""),"solana-beach")</f>
        <v>solana-beach</v>
      </c>
      <c r="B11748" s="2" t="str">
        <f ca="1">IFERROR(__xludf.DUMMYFUNCTION("""COMPUTED_VALUE"""),"solana")</f>
        <v>solana</v>
      </c>
      <c r="C11748" s="2" t="str">
        <f ca="1">IFERROR(__xludf.DUMMYFUNCTION("""COMPUTED_VALUE"""),"Solana Beach")</f>
        <v>Solana Beach</v>
      </c>
    </row>
    <row r="11749" spans="1:3" x14ac:dyDescent="0.25">
      <c r="A11749" s="2" t="str">
        <f ca="1">IFERROR(__xludf.DUMMYFUNCTION("""COMPUTED_VALUE"""),"solana-compass-staked-sol")</f>
        <v>solana-compass-staked-sol</v>
      </c>
      <c r="B11749" s="2" t="str">
        <f ca="1">IFERROR(__xludf.DUMMYFUNCTION("""COMPUTED_VALUE"""),"compasssol")</f>
        <v>compasssol</v>
      </c>
      <c r="C11749" s="2" t="str">
        <f ca="1">IFERROR(__xludf.DUMMYFUNCTION("""COMPUTED_VALUE"""),"Solana Compass Staked SOL")</f>
        <v>Solana Compass Staked SOL</v>
      </c>
    </row>
    <row r="11750" spans="1:3" x14ac:dyDescent="0.25">
      <c r="A11750" s="2" t="str">
        <f ca="1">IFERROR(__xludf.DUMMYFUNCTION("""COMPUTED_VALUE"""),"solanaconda")</f>
        <v>solanaconda</v>
      </c>
      <c r="B11750" s="2" t="str">
        <f ca="1">IFERROR(__xludf.DUMMYFUNCTION("""COMPUTED_VALUE"""),"sonda")</f>
        <v>sonda</v>
      </c>
      <c r="C11750" s="2" t="str">
        <f ca="1">IFERROR(__xludf.DUMMYFUNCTION("""COMPUTED_VALUE"""),"Solanaconda")</f>
        <v>Solanaconda</v>
      </c>
    </row>
    <row r="11751" spans="1:3" x14ac:dyDescent="0.25">
      <c r="A11751" s="2" t="str">
        <f ca="1">IFERROR(__xludf.DUMMYFUNCTION("""COMPUTED_VALUE"""),"solanacorn")</f>
        <v>solanacorn</v>
      </c>
      <c r="B11751" s="2" t="str">
        <f ca="1">IFERROR(__xludf.DUMMYFUNCTION("""COMPUTED_VALUE"""),"corn")</f>
        <v>corn</v>
      </c>
      <c r="C11751" s="2" t="str">
        <f ca="1">IFERROR(__xludf.DUMMYFUNCTION("""COMPUTED_VALUE"""),"Solanacorn")</f>
        <v>Solanacorn</v>
      </c>
    </row>
    <row r="11752" spans="1:3" x14ac:dyDescent="0.25">
      <c r="A11752" s="2" t="str">
        <f ca="1">IFERROR(__xludf.DUMMYFUNCTION("""COMPUTED_VALUE"""),"solana-ecosystem-index")</f>
        <v>solana-ecosystem-index</v>
      </c>
      <c r="B11752" s="2" t="str">
        <f ca="1">IFERROR(__xludf.DUMMYFUNCTION("""COMPUTED_VALUE"""),"soli")</f>
        <v>soli</v>
      </c>
      <c r="C11752" s="2" t="str">
        <f ca="1">IFERROR(__xludf.DUMMYFUNCTION("""COMPUTED_VALUE"""),"Solana Ecosystem Index")</f>
        <v>Solana Ecosystem Index</v>
      </c>
    </row>
    <row r="11753" spans="1:3" x14ac:dyDescent="0.25">
      <c r="A11753" s="2" t="str">
        <f ca="1">IFERROR(__xludf.DUMMYFUNCTION("""COMPUTED_VALUE"""),"solana-gun")</f>
        <v>solana-gun</v>
      </c>
      <c r="B11753" s="2" t="str">
        <f ca="1">IFERROR(__xludf.DUMMYFUNCTION("""COMPUTED_VALUE"""),"solgun")</f>
        <v>solgun</v>
      </c>
      <c r="C11753" s="2" t="str">
        <f ca="1">IFERROR(__xludf.DUMMYFUNCTION("""COMPUTED_VALUE"""),"Solana Gun")</f>
        <v>Solana Gun</v>
      </c>
    </row>
    <row r="11754" spans="1:3" x14ac:dyDescent="0.25">
      <c r="A11754" s="2" t="str">
        <f ca="1">IFERROR(__xludf.DUMMYFUNCTION("""COMPUTED_VALUE"""),"solanahub-staked-sol")</f>
        <v>solanahub-staked-sol</v>
      </c>
      <c r="B11754" s="2" t="str">
        <f ca="1">IFERROR(__xludf.DUMMYFUNCTION("""COMPUTED_VALUE"""),"hubsol")</f>
        <v>hubsol</v>
      </c>
      <c r="C11754" s="2" t="str">
        <f ca="1">IFERROR(__xludf.DUMMYFUNCTION("""COMPUTED_VALUE"""),"SolanaHub staked SOL")</f>
        <v>SolanaHub staked SOL</v>
      </c>
    </row>
    <row r="11755" spans="1:3" x14ac:dyDescent="0.25">
      <c r="A11755" s="2" t="str">
        <f ca="1">IFERROR(__xludf.DUMMYFUNCTION("""COMPUTED_VALUE"""),"solana-kit")</f>
        <v>solana-kit</v>
      </c>
      <c r="B11755" s="2" t="str">
        <f ca="1">IFERROR(__xludf.DUMMYFUNCTION("""COMPUTED_VALUE"""),"solkit")</f>
        <v>solkit</v>
      </c>
      <c r="C11755" s="2" t="str">
        <f ca="1">IFERROR(__xludf.DUMMYFUNCTION("""COMPUTED_VALUE"""),"Solana Kit")</f>
        <v>Solana Kit</v>
      </c>
    </row>
    <row r="11756" spans="1:3" x14ac:dyDescent="0.25">
      <c r="A11756" s="2" t="str">
        <f ca="1">IFERROR(__xludf.DUMMYFUNCTION("""COMPUTED_VALUE"""),"solana-meme-token")</f>
        <v>solana-meme-token</v>
      </c>
      <c r="B11756" s="2" t="str">
        <f ca="1">IFERROR(__xludf.DUMMYFUNCTION("""COMPUTED_VALUE"""),"sol10")</f>
        <v>sol10</v>
      </c>
      <c r="C11756" s="2" t="str">
        <f ca="1">IFERROR(__xludf.DUMMYFUNCTION("""COMPUTED_VALUE"""),"SOLANA MEME TOKEN")</f>
        <v>SOLANA MEME TOKEN</v>
      </c>
    </row>
    <row r="11757" spans="1:3" x14ac:dyDescent="0.25">
      <c r="A11757" s="2" t="str">
        <f ca="1">IFERROR(__xludf.DUMMYFUNCTION("""COMPUTED_VALUE"""),"solana-meow")</f>
        <v>solana-meow</v>
      </c>
      <c r="B11757" s="2" t="str">
        <f ca="1">IFERROR(__xludf.DUMMYFUNCTION("""COMPUTED_VALUE"""),"meow")</f>
        <v>meow</v>
      </c>
      <c r="C11757" s="2" t="str">
        <f ca="1">IFERROR(__xludf.DUMMYFUNCTION("""COMPUTED_VALUE"""),"Meow")</f>
        <v>Meow</v>
      </c>
    </row>
    <row r="11758" spans="1:3" x14ac:dyDescent="0.25">
      <c r="A11758" s="2" t="str">
        <f ca="1">IFERROR(__xludf.DUMMYFUNCTION("""COMPUTED_VALUE"""),"solanapepe")</f>
        <v>solanapepe</v>
      </c>
      <c r="B11758" s="2" t="str">
        <f ca="1">IFERROR(__xludf.DUMMYFUNCTION("""COMPUTED_VALUE"""),"spepe")</f>
        <v>spepe</v>
      </c>
      <c r="C11758" s="2" t="str">
        <f ca="1">IFERROR(__xludf.DUMMYFUNCTION("""COMPUTED_VALUE"""),"SolanaPepe")</f>
        <v>SolanaPepe</v>
      </c>
    </row>
    <row r="11759" spans="1:3" x14ac:dyDescent="0.25">
      <c r="A11759" s="2" t="str">
        <f ca="1">IFERROR(__xludf.DUMMYFUNCTION("""COMPUTED_VALUE"""),"solanaprime")</f>
        <v>solanaprime</v>
      </c>
      <c r="B11759" s="2" t="str">
        <f ca="1">IFERROR(__xludf.DUMMYFUNCTION("""COMPUTED_VALUE"""),"prime")</f>
        <v>prime</v>
      </c>
      <c r="C11759" s="2" t="str">
        <f ca="1">IFERROR(__xludf.DUMMYFUNCTION("""COMPUTED_VALUE"""),"SolanaPrime")</f>
        <v>SolanaPrime</v>
      </c>
    </row>
    <row r="11760" spans="1:3" x14ac:dyDescent="0.25">
      <c r="A11760" s="2" t="str">
        <f ca="1">IFERROR(__xludf.DUMMYFUNCTION("""COMPUTED_VALUE"""),"solana-shib")</f>
        <v>solana-shib</v>
      </c>
      <c r="B11760" s="2" t="str">
        <f ca="1">IFERROR(__xludf.DUMMYFUNCTION("""COMPUTED_VALUE"""),"sshib")</f>
        <v>sshib</v>
      </c>
      <c r="C11760" s="2" t="str">
        <f ca="1">IFERROR(__xludf.DUMMYFUNCTION("""COMPUTED_VALUE"""),"Solana Shib ")</f>
        <v>Solana Shib </v>
      </c>
    </row>
    <row r="11761" spans="1:3" x14ac:dyDescent="0.25">
      <c r="A11761" s="2" t="str">
        <f ca="1">IFERROR(__xludf.DUMMYFUNCTION("""COMPUTED_VALUE"""),"solana-street-bets")</f>
        <v>solana-street-bets</v>
      </c>
      <c r="B11761" s="2" t="str">
        <f ca="1">IFERROR(__xludf.DUMMYFUNCTION("""COMPUTED_VALUE"""),"ssb")</f>
        <v>ssb</v>
      </c>
      <c r="C11761" s="2" t="str">
        <f ca="1">IFERROR(__xludf.DUMMYFUNCTION("""COMPUTED_VALUE"""),"Solana Street Bets")</f>
        <v>Solana Street Bets</v>
      </c>
    </row>
    <row r="11762" spans="1:3" x14ac:dyDescent="0.25">
      <c r="A11762" s="2" t="str">
        <f ca="1">IFERROR(__xludf.DUMMYFUNCTION("""COMPUTED_VALUE"""),"solana-summer")</f>
        <v>solana-summer</v>
      </c>
      <c r="B11762" s="2" t="str">
        <f ca="1">IFERROR(__xludf.DUMMYFUNCTION("""COMPUTED_VALUE"""),"summer")</f>
        <v>summer</v>
      </c>
      <c r="C11762" s="2" t="str">
        <f ca="1">IFERROR(__xludf.DUMMYFUNCTION("""COMPUTED_VALUE"""),"Solana Summer")</f>
        <v>Solana Summer</v>
      </c>
    </row>
    <row r="11763" spans="1:3" x14ac:dyDescent="0.25">
      <c r="A11763" s="2" t="str">
        <f ca="1">IFERROR(__xludf.DUMMYFUNCTION("""COMPUTED_VALUE"""),"solana-swap")</f>
        <v>solana-swap</v>
      </c>
      <c r="B11763" s="2" t="str">
        <f ca="1">IFERROR(__xludf.DUMMYFUNCTION("""COMPUTED_VALUE"""),"sos")</f>
        <v>sos</v>
      </c>
      <c r="C11763" s="2" t="str">
        <f ca="1">IFERROR(__xludf.DUMMYFUNCTION("""COMPUTED_VALUE"""),"Solana Swap")</f>
        <v>Solana Swap</v>
      </c>
    </row>
    <row r="11764" spans="1:3" x14ac:dyDescent="0.25">
      <c r="A11764" s="2" t="str">
        <f ca="1">IFERROR(__xludf.DUMMYFUNCTION("""COMPUTED_VALUE"""),"solana-wars")</f>
        <v>solana-wars</v>
      </c>
      <c r="B11764" s="2" t="str">
        <f ca="1">IFERROR(__xludf.DUMMYFUNCTION("""COMPUTED_VALUE"""),"solwars")</f>
        <v>solwars</v>
      </c>
      <c r="C11764" s="2" t="str">
        <f ca="1">IFERROR(__xludf.DUMMYFUNCTION("""COMPUTED_VALUE"""),"Solana Wars")</f>
        <v>Solana Wars</v>
      </c>
    </row>
    <row r="11765" spans="1:3" x14ac:dyDescent="0.25">
      <c r="A11765" s="2" t="str">
        <f ca="1">IFERROR(__xludf.DUMMYFUNCTION("""COMPUTED_VALUE"""),"solanium")</f>
        <v>solanium</v>
      </c>
      <c r="B11765" s="2" t="str">
        <f ca="1">IFERROR(__xludf.DUMMYFUNCTION("""COMPUTED_VALUE"""),"slim")</f>
        <v>slim</v>
      </c>
      <c r="C11765" s="2" t="str">
        <f ca="1">IFERROR(__xludf.DUMMYFUNCTION("""COMPUTED_VALUE"""),"Solanium")</f>
        <v>Solanium</v>
      </c>
    </row>
    <row r="11766" spans="1:3" x14ac:dyDescent="0.25">
      <c r="A11766" s="2" t="str">
        <f ca="1">IFERROR(__xludf.DUMMYFUNCTION("""COMPUTED_VALUE"""),"solape-token")</f>
        <v>solape-token</v>
      </c>
      <c r="B11766" s="2" t="str">
        <f ca="1">IFERROR(__xludf.DUMMYFUNCTION("""COMPUTED_VALUE"""),"solape")</f>
        <v>solape</v>
      </c>
      <c r="C11766" s="2" t="str">
        <f ca="1">IFERROR(__xludf.DUMMYFUNCTION("""COMPUTED_VALUE"""),"SOLAPE")</f>
        <v>SOLAPE</v>
      </c>
    </row>
    <row r="11767" spans="1:3" x14ac:dyDescent="0.25">
      <c r="A11767" s="2" t="str">
        <f ca="1">IFERROR(__xludf.DUMMYFUNCTION("""COMPUTED_VALUE"""),"solarba")</f>
        <v>solarba</v>
      </c>
      <c r="B11767" s="2" t="str">
        <f ca="1">IFERROR(__xludf.DUMMYFUNCTION("""COMPUTED_VALUE"""),"solarba")</f>
        <v>solarba</v>
      </c>
      <c r="C11767" s="2" t="str">
        <f ca="1">IFERROR(__xludf.DUMMYFUNCTION("""COMPUTED_VALUE"""),"SolARBa")</f>
        <v>SolARBa</v>
      </c>
    </row>
    <row r="11768" spans="1:3" x14ac:dyDescent="0.25">
      <c r="A11768" s="2" t="str">
        <f ca="1">IFERROR(__xludf.DUMMYFUNCTION("""COMPUTED_VALUE"""),"solarbeam")</f>
        <v>solarbeam</v>
      </c>
      <c r="B11768" s="2" t="str">
        <f ca="1">IFERROR(__xludf.DUMMYFUNCTION("""COMPUTED_VALUE"""),"solar")</f>
        <v>solar</v>
      </c>
      <c r="C11768" s="2" t="str">
        <f ca="1">IFERROR(__xludf.DUMMYFUNCTION("""COMPUTED_VALUE"""),"Solarbeam")</f>
        <v>Solarbeam</v>
      </c>
    </row>
    <row r="11769" spans="1:3" x14ac:dyDescent="0.25">
      <c r="A11769" s="2" t="str">
        <f ca="1">IFERROR(__xludf.DUMMYFUNCTION("""COMPUTED_VALUE"""),"solarcoin")</f>
        <v>solarcoin</v>
      </c>
      <c r="B11769" s="2" t="str">
        <f ca="1">IFERROR(__xludf.DUMMYFUNCTION("""COMPUTED_VALUE"""),"slr")</f>
        <v>slr</v>
      </c>
      <c r="C11769" s="2" t="str">
        <f ca="1">IFERROR(__xludf.DUMMYFUNCTION("""COMPUTED_VALUE"""),"Solarcoin")</f>
        <v>Solarcoin</v>
      </c>
    </row>
    <row r="11770" spans="1:3" x14ac:dyDescent="0.25">
      <c r="A11770" s="2" t="str">
        <f ca="1">IFERROR(__xludf.DUMMYFUNCTION("""COMPUTED_VALUE"""),"solar-dex")</f>
        <v>solar-dex</v>
      </c>
      <c r="B11770" s="2" t="str">
        <f ca="1">IFERROR(__xludf.DUMMYFUNCTION("""COMPUTED_VALUE"""),"solar")</f>
        <v>solar</v>
      </c>
      <c r="C11770" s="2" t="str">
        <f ca="1">IFERROR(__xludf.DUMMYFUNCTION("""COMPUTED_VALUE"""),"Solar Dex")</f>
        <v>Solar Dex</v>
      </c>
    </row>
    <row r="11771" spans="1:3" x14ac:dyDescent="0.25">
      <c r="A11771" s="2" t="str">
        <f ca="1">IFERROR(__xludf.DUMMYFUNCTION("""COMPUTED_VALUE"""),"solar-energy")</f>
        <v>solar-energy</v>
      </c>
      <c r="B11771" s="2" t="str">
        <f ca="1">IFERROR(__xludf.DUMMYFUNCTION("""COMPUTED_VALUE"""),"seg")</f>
        <v>seg</v>
      </c>
      <c r="C11771" s="2" t="str">
        <f ca="1">IFERROR(__xludf.DUMMYFUNCTION("""COMPUTED_VALUE"""),"Solar Energy")</f>
        <v>Solar Energy</v>
      </c>
    </row>
    <row r="11772" spans="1:3" x14ac:dyDescent="0.25">
      <c r="A11772" s="2" t="str">
        <f ca="1">IFERROR(__xludf.DUMMYFUNCTION("""COMPUTED_VALUE"""),"solareum-2")</f>
        <v>solareum-2</v>
      </c>
      <c r="B11772" s="2" t="str">
        <f ca="1">IFERROR(__xludf.DUMMYFUNCTION("""COMPUTED_VALUE"""),"solar")</f>
        <v>solar</v>
      </c>
      <c r="C11772" s="2" t="str">
        <f ca="1">IFERROR(__xludf.DUMMYFUNCTION("""COMPUTED_VALUE"""),"Solareum")</f>
        <v>Solareum</v>
      </c>
    </row>
    <row r="11773" spans="1:3" x14ac:dyDescent="0.25">
      <c r="A11773" s="2" t="str">
        <f ca="1">IFERROR(__xludf.DUMMYFUNCTION("""COMPUTED_VALUE"""),"solareum-3")</f>
        <v>solareum-3</v>
      </c>
      <c r="B11773" s="2" t="str">
        <f ca="1">IFERROR(__xludf.DUMMYFUNCTION("""COMPUTED_VALUE"""),"solareum")</f>
        <v>solareum</v>
      </c>
      <c r="C11773" s="2" t="str">
        <f ca="1">IFERROR(__xludf.DUMMYFUNCTION("""COMPUTED_VALUE"""),"SOLAREUM")</f>
        <v>SOLAREUM</v>
      </c>
    </row>
    <row r="11774" spans="1:3" x14ac:dyDescent="0.25">
      <c r="A11774" s="2" t="str">
        <f ca="1">IFERROR(__xludf.DUMMYFUNCTION("""COMPUTED_VALUE"""),"solareum-d260e488-50a0-4048-ace4-1b82f9822903")</f>
        <v>solareum-d260e488-50a0-4048-ace4-1b82f9822903</v>
      </c>
      <c r="B11774" s="2" t="str">
        <f ca="1">IFERROR(__xludf.DUMMYFUNCTION("""COMPUTED_VALUE"""),"srm")</f>
        <v>srm</v>
      </c>
      <c r="C11774" s="2" t="str">
        <f ca="1">IFERROR(__xludf.DUMMYFUNCTION("""COMPUTED_VALUE"""),"Solareum")</f>
        <v>Solareum</v>
      </c>
    </row>
    <row r="11775" spans="1:3" x14ac:dyDescent="0.25">
      <c r="A11775" s="2" t="str">
        <f ca="1">IFERROR(__xludf.DUMMYFUNCTION("""COMPUTED_VALUE"""),"solarflare")</f>
        <v>solarflare</v>
      </c>
      <c r="B11775" s="2" t="str">
        <f ca="1">IFERROR(__xludf.DUMMYFUNCTION("""COMPUTED_VALUE"""),"flare")</f>
        <v>flare</v>
      </c>
      <c r="C11775" s="2" t="str">
        <f ca="1">IFERROR(__xludf.DUMMYFUNCTION("""COMPUTED_VALUE"""),"Solarflare")</f>
        <v>Solarflare</v>
      </c>
    </row>
    <row r="11776" spans="1:3" x14ac:dyDescent="0.25">
      <c r="A11776" s="2" t="str">
        <f ca="1">IFERROR(__xludf.DUMMYFUNCTION("""COMPUTED_VALUE"""),"solar-swap")</f>
        <v>solar-swap</v>
      </c>
      <c r="B11776" s="2" t="str">
        <f ca="1">IFERROR(__xludf.DUMMYFUNCTION("""COMPUTED_VALUE"""),"solar")</f>
        <v>solar</v>
      </c>
      <c r="C11776" s="2" t="str">
        <f ca="1">IFERROR(__xludf.DUMMYFUNCTION("""COMPUTED_VALUE"""),"Solar Swap")</f>
        <v>Solar Swap</v>
      </c>
    </row>
    <row r="11777" spans="1:3" x14ac:dyDescent="0.25">
      <c r="A11777" s="2" t="str">
        <f ca="1">IFERROR(__xludf.DUMMYFUNCTION("""COMPUTED_VALUE"""),"solarx-2")</f>
        <v>solarx-2</v>
      </c>
      <c r="B11777" s="2" t="str">
        <f ca="1">IFERROR(__xludf.DUMMYFUNCTION("""COMPUTED_VALUE"""),"sxch")</f>
        <v>sxch</v>
      </c>
      <c r="C11777" s="2" t="str">
        <f ca="1">IFERROR(__xludf.DUMMYFUNCTION("""COMPUTED_VALUE"""),"SolarX")</f>
        <v>SolarX</v>
      </c>
    </row>
    <row r="11778" spans="1:3" x14ac:dyDescent="0.25">
      <c r="A11778" s="2" t="str">
        <f ca="1">IFERROR(__xludf.DUMMYFUNCTION("""COMPUTED_VALUE"""),"sola-token")</f>
        <v>sola-token</v>
      </c>
      <c r="B11778" s="2" t="str">
        <f ca="1">IFERROR(__xludf.DUMMYFUNCTION("""COMPUTED_VALUE"""),"sola")</f>
        <v>sola</v>
      </c>
      <c r="C11778" s="2" t="str">
        <f ca="1">IFERROR(__xludf.DUMMYFUNCTION("""COMPUTED_VALUE"""),"SOLA")</f>
        <v>SOLA</v>
      </c>
    </row>
    <row r="11779" spans="1:3" x14ac:dyDescent="0.25">
      <c r="A11779" s="2" t="str">
        <f ca="1">IFERROR(__xludf.DUMMYFUNCTION("""COMPUTED_VALUE"""),"solav")</f>
        <v>solav</v>
      </c>
      <c r="B11779" s="2" t="str">
        <f ca="1">IFERROR(__xludf.DUMMYFUNCTION("""COMPUTED_VALUE"""),"solav")</f>
        <v>solav</v>
      </c>
      <c r="C11779" s="2" t="str">
        <f ca="1">IFERROR(__xludf.DUMMYFUNCTION("""COMPUTED_VALUE"""),"SOLAV")</f>
        <v>SOLAV</v>
      </c>
    </row>
    <row r="11780" spans="1:3" x14ac:dyDescent="0.25">
      <c r="A11780" s="2" t="str">
        <f ca="1">IFERROR(__xludf.DUMMYFUNCTION("""COMPUTED_VALUE"""),"solawave")</f>
        <v>solawave</v>
      </c>
      <c r="B11780" s="2" t="str">
        <f ca="1">IFERROR(__xludf.DUMMYFUNCTION("""COMPUTED_VALUE"""),"solawave")</f>
        <v>solawave</v>
      </c>
      <c r="C11780" s="2" t="str">
        <f ca="1">IFERROR(__xludf.DUMMYFUNCTION("""COMPUTED_VALUE"""),"Solawave")</f>
        <v>Solawave</v>
      </c>
    </row>
    <row r="11781" spans="1:3" x14ac:dyDescent="0.25">
      <c r="A11781" s="2" t="str">
        <f ca="1">IFERROR(__xludf.DUMMYFUNCTION("""COMPUTED_VALUE"""),"sola-x")</f>
        <v>sola-x</v>
      </c>
      <c r="B11781" s="2" t="str">
        <f ca="1">IFERROR(__xludf.DUMMYFUNCTION("""COMPUTED_VALUE"""),"sax")</f>
        <v>sax</v>
      </c>
      <c r="C11781" s="2" t="str">
        <f ca="1">IFERROR(__xludf.DUMMYFUNCTION("""COMPUTED_VALUE"""),"SOLA-X")</f>
        <v>SOLA-X</v>
      </c>
    </row>
    <row r="11782" spans="1:3" x14ac:dyDescent="0.25">
      <c r="A11782" s="2" t="str">
        <f ca="1">IFERROR(__xludf.DUMMYFUNCTION("""COMPUTED_VALUE"""),"solayer-staked-sol")</f>
        <v>solayer-staked-sol</v>
      </c>
      <c r="B11782" s="2" t="str">
        <f ca="1">IFERROR(__xludf.DUMMYFUNCTION("""COMPUTED_VALUE"""),"ssol")</f>
        <v>ssol</v>
      </c>
      <c r="C11782" s="2" t="str">
        <f ca="1">IFERROR(__xludf.DUMMYFUNCTION("""COMPUTED_VALUE"""),"Solayer Staked SOL")</f>
        <v>Solayer Staked SOL</v>
      </c>
    </row>
    <row r="11783" spans="1:3" x14ac:dyDescent="0.25">
      <c r="A11783" s="2" t="str">
        <f ca="1">IFERROR(__xludf.DUMMYFUNCTION("""COMPUTED_VALUE"""),"solayer-usd")</f>
        <v>solayer-usd</v>
      </c>
      <c r="B11783" s="2" t="str">
        <f ca="1">IFERROR(__xludf.DUMMYFUNCTION("""COMPUTED_VALUE"""),"susd")</f>
        <v>susd</v>
      </c>
      <c r="C11783" s="2" t="str">
        <f ca="1">IFERROR(__xludf.DUMMYFUNCTION("""COMPUTED_VALUE"""),"Solayer USD")</f>
        <v>Solayer USD</v>
      </c>
    </row>
    <row r="11784" spans="1:3" x14ac:dyDescent="0.25">
      <c r="A11784" s="2" t="str">
        <f ca="1">IFERROR(__xludf.DUMMYFUNCTION("""COMPUTED_VALUE"""),"solbank")</f>
        <v>solbank</v>
      </c>
      <c r="B11784" s="2" t="str">
        <f ca="1">IFERROR(__xludf.DUMMYFUNCTION("""COMPUTED_VALUE"""),"sb")</f>
        <v>sb</v>
      </c>
      <c r="C11784" s="2" t="str">
        <f ca="1">IFERROR(__xludf.DUMMYFUNCTION("""COMPUTED_VALUE"""),"Solbank")</f>
        <v>Solbank</v>
      </c>
    </row>
    <row r="11785" spans="1:3" x14ac:dyDescent="0.25">
      <c r="A11785" s="2" t="str">
        <f ca="1">IFERROR(__xludf.DUMMYFUNCTION("""COMPUTED_VALUE"""),"sol-bastard")</f>
        <v>sol-bastard</v>
      </c>
      <c r="B11785" s="2" t="str">
        <f ca="1">IFERROR(__xludf.DUMMYFUNCTION("""COMPUTED_VALUE"""),"soba")</f>
        <v>soba</v>
      </c>
      <c r="C11785" s="2" t="str">
        <f ca="1">IFERROR(__xludf.DUMMYFUNCTION("""COMPUTED_VALUE"""),"Sol Bastard")</f>
        <v>Sol Bastard</v>
      </c>
    </row>
    <row r="11786" spans="1:3" x14ac:dyDescent="0.25">
      <c r="A11786" s="2" t="str">
        <f ca="1">IFERROR(__xludf.DUMMYFUNCTION("""COMPUTED_VALUE"""),"sol-beats")</f>
        <v>sol-beats</v>
      </c>
      <c r="B11786" s="2" t="str">
        <f ca="1">IFERROR(__xludf.DUMMYFUNCTION("""COMPUTED_VALUE"""),"$beats")</f>
        <v>$beats</v>
      </c>
      <c r="C11786" s="2" t="str">
        <f ca="1">IFERROR(__xludf.DUMMYFUNCTION("""COMPUTED_VALUE"""),"Sol Beats")</f>
        <v>Sol Beats</v>
      </c>
    </row>
    <row r="11787" spans="1:3" x14ac:dyDescent="0.25">
      <c r="A11787" s="2" t="str">
        <f ca="1">IFERROR(__xludf.DUMMYFUNCTION("""COMPUTED_VALUE"""),"solberg")</f>
        <v>solberg</v>
      </c>
      <c r="B11787" s="2" t="str">
        <f ca="1">IFERROR(__xludf.DUMMYFUNCTION("""COMPUTED_VALUE"""),"slb")</f>
        <v>slb</v>
      </c>
      <c r="C11787" s="2" t="str">
        <f ca="1">IFERROR(__xludf.DUMMYFUNCTION("""COMPUTED_VALUE"""),"Solberg")</f>
        <v>Solberg</v>
      </c>
    </row>
    <row r="11788" spans="1:3" x14ac:dyDescent="0.25">
      <c r="A11788" s="2" t="str">
        <f ca="1">IFERROR(__xludf.DUMMYFUNCTION("""COMPUTED_VALUE"""),"solblaze")</f>
        <v>solblaze</v>
      </c>
      <c r="B11788" s="2" t="str">
        <f ca="1">IFERROR(__xludf.DUMMYFUNCTION("""COMPUTED_VALUE"""),"blze")</f>
        <v>blze</v>
      </c>
      <c r="C11788" s="2" t="str">
        <f ca="1">IFERROR(__xludf.DUMMYFUNCTION("""COMPUTED_VALUE"""),"Blaze")</f>
        <v>Blaze</v>
      </c>
    </row>
    <row r="11789" spans="1:3" x14ac:dyDescent="0.25">
      <c r="A11789" s="2" t="str">
        <f ca="1">IFERROR(__xludf.DUMMYFUNCTION("""COMPUTED_VALUE"""),"solblock-ai")</f>
        <v>solblock-ai</v>
      </c>
      <c r="B11789" s="2" t="str">
        <f ca="1">IFERROR(__xludf.DUMMYFUNCTION("""COMPUTED_VALUE"""),"solblock")</f>
        <v>solblock</v>
      </c>
      <c r="C11789" s="2" t="str">
        <f ca="1">IFERROR(__xludf.DUMMYFUNCTION("""COMPUTED_VALUE"""),"SolBlock AI")</f>
        <v>SolBlock AI</v>
      </c>
    </row>
    <row r="11790" spans="1:3" x14ac:dyDescent="0.25">
      <c r="A11790" s="2" t="str">
        <f ca="1">IFERROR(__xludf.DUMMYFUNCTION("""COMPUTED_VALUE"""),"solbook")</f>
        <v>solbook</v>
      </c>
      <c r="B11790" s="2" t="str">
        <f ca="1">IFERROR(__xludf.DUMMYFUNCTION("""COMPUTED_VALUE"""),"book")</f>
        <v>book</v>
      </c>
      <c r="C11790" s="2" t="str">
        <f ca="1">IFERROR(__xludf.DUMMYFUNCTION("""COMPUTED_VALUE"""),"SolBook")</f>
        <v>SolBook</v>
      </c>
    </row>
    <row r="11791" spans="1:3" x14ac:dyDescent="0.25">
      <c r="A11791" s="2" t="str">
        <f ca="1">IFERROR(__xludf.DUMMYFUNCTION("""COMPUTED_VALUE"""),"solbull")</f>
        <v>solbull</v>
      </c>
      <c r="B11791" s="2" t="str">
        <f ca="1">IFERROR(__xludf.DUMMYFUNCTION("""COMPUTED_VALUE"""),"solbull")</f>
        <v>solbull</v>
      </c>
      <c r="C11791" s="2" t="str">
        <f ca="1">IFERROR(__xludf.DUMMYFUNCTION("""COMPUTED_VALUE"""),"Solbull")</f>
        <v>Solbull</v>
      </c>
    </row>
    <row r="11792" spans="1:3" x14ac:dyDescent="0.25">
      <c r="A11792" s="2" t="str">
        <f ca="1">IFERROR(__xludf.DUMMYFUNCTION("""COMPUTED_VALUE"""),"solcard")</f>
        <v>solcard</v>
      </c>
      <c r="B11792" s="2" t="str">
        <f ca="1">IFERROR(__xludf.DUMMYFUNCTION("""COMPUTED_VALUE"""),"solc")</f>
        <v>solc</v>
      </c>
      <c r="C11792" s="2" t="str">
        <f ca="1">IFERROR(__xludf.DUMMYFUNCTION("""COMPUTED_VALUE"""),"SolCard")</f>
        <v>SolCard</v>
      </c>
    </row>
    <row r="11793" spans="1:3" x14ac:dyDescent="0.25">
      <c r="A11793" s="2" t="str">
        <f ca="1">IFERROR(__xludf.DUMMYFUNCTION("""COMPUTED_VALUE"""),"solcasino-token")</f>
        <v>solcasino-token</v>
      </c>
      <c r="B11793" s="2" t="str">
        <f ca="1">IFERROR(__xludf.DUMMYFUNCTION("""COMPUTED_VALUE"""),"scs")</f>
        <v>scs</v>
      </c>
      <c r="C11793" s="2" t="str">
        <f ca="1">IFERROR(__xludf.DUMMYFUNCTION("""COMPUTED_VALUE"""),"Solcasino Token")</f>
        <v>Solcasino Token</v>
      </c>
    </row>
    <row r="11794" spans="1:3" x14ac:dyDescent="0.25">
      <c r="A11794" s="2" t="str">
        <f ca="1">IFERROR(__xludf.DUMMYFUNCTION("""COMPUTED_VALUE"""),"sol-cat")</f>
        <v>sol-cat</v>
      </c>
      <c r="B11794" s="2" t="str">
        <f ca="1">IFERROR(__xludf.DUMMYFUNCTION("""COMPUTED_VALUE"""),"cat")</f>
        <v>cat</v>
      </c>
      <c r="C11794" s="2" t="str">
        <f ca="1">IFERROR(__xludf.DUMMYFUNCTION("""COMPUTED_VALUE"""),"CAT")</f>
        <v>CAT</v>
      </c>
    </row>
    <row r="11795" spans="1:3" x14ac:dyDescent="0.25">
      <c r="A11795" s="2" t="str">
        <f ca="1">IFERROR(__xludf.DUMMYFUNCTION("""COMPUTED_VALUE"""),"sol-cat-todd")</f>
        <v>sol-cat-todd</v>
      </c>
      <c r="B11795" s="2" t="str">
        <f ca="1">IFERROR(__xludf.DUMMYFUNCTION("""COMPUTED_VALUE"""),"todd")</f>
        <v>todd</v>
      </c>
      <c r="C11795" s="2" t="str">
        <f ca="1">IFERROR(__xludf.DUMMYFUNCTION("""COMPUTED_VALUE"""),"SOL CAT")</f>
        <v>SOL CAT</v>
      </c>
    </row>
    <row r="11796" spans="1:3" x14ac:dyDescent="0.25">
      <c r="A11796" s="2" t="str">
        <f ca="1">IFERROR(__xludf.DUMMYFUNCTION("""COMPUTED_VALUE"""),"solcex")</f>
        <v>solcex</v>
      </c>
      <c r="B11796" s="2" t="str">
        <f ca="1">IFERROR(__xludf.DUMMYFUNCTION("""COMPUTED_VALUE"""),"solcex")</f>
        <v>solcex</v>
      </c>
      <c r="C11796" s="2" t="str">
        <f ca="1">IFERROR(__xludf.DUMMYFUNCTION("""COMPUTED_VALUE"""),"SolCex")</f>
        <v>SolCex</v>
      </c>
    </row>
    <row r="11797" spans="1:3" x14ac:dyDescent="0.25">
      <c r="A11797" s="2" t="str">
        <f ca="1">IFERROR(__xludf.DUMMYFUNCTION("""COMPUTED_VALUE"""),"solchat")</f>
        <v>solchat</v>
      </c>
      <c r="B11797" s="2" t="str">
        <f ca="1">IFERROR(__xludf.DUMMYFUNCTION("""COMPUTED_VALUE"""),"chat")</f>
        <v>chat</v>
      </c>
      <c r="C11797" s="2" t="str">
        <f ca="1">IFERROR(__xludf.DUMMYFUNCTION("""COMPUTED_VALUE"""),"Solchat")</f>
        <v>Solchat</v>
      </c>
    </row>
    <row r="11798" spans="1:3" x14ac:dyDescent="0.25">
      <c r="A11798" s="2" t="str">
        <f ca="1">IFERROR(__xludf.DUMMYFUNCTION("""COMPUTED_VALUE"""),"solchicks-shards")</f>
        <v>solchicks-shards</v>
      </c>
      <c r="B11798" s="2" t="str">
        <f ca="1">IFERROR(__xludf.DUMMYFUNCTION("""COMPUTED_VALUE"""),"shards")</f>
        <v>shards</v>
      </c>
      <c r="C11798" s="2" t="str">
        <f ca="1">IFERROR(__xludf.DUMMYFUNCTION("""COMPUTED_VALUE"""),"SolChicks Shards")</f>
        <v>SolChicks Shards</v>
      </c>
    </row>
    <row r="11799" spans="1:3" x14ac:dyDescent="0.25">
      <c r="A11799" s="2" t="str">
        <f ca="1">IFERROR(__xludf.DUMMYFUNCTION("""COMPUTED_VALUE"""),"solchicks-token")</f>
        <v>solchicks-token</v>
      </c>
      <c r="B11799" s="2" t="str">
        <f ca="1">IFERROR(__xludf.DUMMYFUNCTION("""COMPUTED_VALUE"""),"chicks")</f>
        <v>chicks</v>
      </c>
      <c r="C11799" s="2" t="str">
        <f ca="1">IFERROR(__xludf.DUMMYFUNCTION("""COMPUTED_VALUE"""),"SolChicks")</f>
        <v>SolChicks</v>
      </c>
    </row>
    <row r="11800" spans="1:3" x14ac:dyDescent="0.25">
      <c r="A11800" s="2" t="str">
        <f ca="1">IFERROR(__xludf.DUMMYFUNCTION("""COMPUTED_VALUE"""),"solcial")</f>
        <v>solcial</v>
      </c>
      <c r="B11800" s="2" t="str">
        <f ca="1">IFERROR(__xludf.DUMMYFUNCTION("""COMPUTED_VALUE"""),"slcl")</f>
        <v>slcl</v>
      </c>
      <c r="C11800" s="2" t="str">
        <f ca="1">IFERROR(__xludf.DUMMYFUNCTION("""COMPUTED_VALUE"""),"Solcial")</f>
        <v>Solcial</v>
      </c>
    </row>
    <row r="11801" spans="1:3" x14ac:dyDescent="0.25">
      <c r="A11801" s="2" t="str">
        <f ca="1">IFERROR(__xludf.DUMMYFUNCTION("""COMPUTED_VALUE"""),"solcloud")</f>
        <v>solcloud</v>
      </c>
      <c r="B11801" s="2" t="str">
        <f ca="1">IFERROR(__xludf.DUMMYFUNCTION("""COMPUTED_VALUE"""),"cloud")</f>
        <v>cloud</v>
      </c>
      <c r="C11801" s="2" t="str">
        <f ca="1">IFERROR(__xludf.DUMMYFUNCTION("""COMPUTED_VALUE"""),"SolCloud")</f>
        <v>SolCloud</v>
      </c>
    </row>
    <row r="11802" spans="1:3" x14ac:dyDescent="0.25">
      <c r="A11802" s="2" t="str">
        <f ca="1">IFERROR(__xludf.DUMMYFUNCTION("""COMPUTED_VALUE"""),"solclout")</f>
        <v>solclout</v>
      </c>
      <c r="B11802" s="2" t="str">
        <f ca="1">IFERROR(__xludf.DUMMYFUNCTION("""COMPUTED_VALUE"""),"sct")</f>
        <v>sct</v>
      </c>
      <c r="C11802" s="2" t="str">
        <f ca="1">IFERROR(__xludf.DUMMYFUNCTION("""COMPUTED_VALUE"""),"SolClout")</f>
        <v>SolClout</v>
      </c>
    </row>
    <row r="11803" spans="1:3" x14ac:dyDescent="0.25">
      <c r="A11803" s="2" t="str">
        <f ca="1">IFERROR(__xludf.DUMMYFUNCTION("""COMPUTED_VALUE"""),"soldex")</f>
        <v>soldex</v>
      </c>
      <c r="B11803" s="2" t="str">
        <f ca="1">IFERROR(__xludf.DUMMYFUNCTION("""COMPUTED_VALUE"""),"solx")</f>
        <v>solx</v>
      </c>
      <c r="C11803" s="2" t="str">
        <f ca="1">IFERROR(__xludf.DUMMYFUNCTION("""COMPUTED_VALUE"""),"Soldex")</f>
        <v>Soldex</v>
      </c>
    </row>
    <row r="11804" spans="1:3" x14ac:dyDescent="0.25">
      <c r="A11804" s="2" t="str">
        <f ca="1">IFERROR(__xludf.DUMMYFUNCTION("""COMPUTED_VALUE"""),"soldocs")</f>
        <v>soldocs</v>
      </c>
      <c r="B11804" s="2" t="str">
        <f ca="1">IFERROR(__xludf.DUMMYFUNCTION("""COMPUTED_VALUE"""),"docs")</f>
        <v>docs</v>
      </c>
      <c r="C11804" s="2" t="str">
        <f ca="1">IFERROR(__xludf.DUMMYFUNCTION("""COMPUTED_VALUE"""),"SolDocs")</f>
        <v>SolDocs</v>
      </c>
    </row>
    <row r="11805" spans="1:3" x14ac:dyDescent="0.25">
      <c r="A11805" s="2" t="str">
        <f ca="1">IFERROR(__xludf.DUMMYFUNCTION("""COMPUTED_VALUE"""),"soldoge")</f>
        <v>soldoge</v>
      </c>
      <c r="B11805" s="2" t="str">
        <f ca="1">IFERROR(__xludf.DUMMYFUNCTION("""COMPUTED_VALUE"""),"sdoge")</f>
        <v>sdoge</v>
      </c>
      <c r="C11805" s="2" t="str">
        <f ca="1">IFERROR(__xludf.DUMMYFUNCTION("""COMPUTED_VALUE"""),"SolDoge")</f>
        <v>SolDoge</v>
      </c>
    </row>
    <row r="11806" spans="1:3" x14ac:dyDescent="0.25">
      <c r="A11806" s="2" t="str">
        <f ca="1">IFERROR(__xludf.DUMMYFUNCTION("""COMPUTED_VALUE"""),"soldragon")</f>
        <v>soldragon</v>
      </c>
      <c r="B11806" s="2" t="str">
        <f ca="1">IFERROR(__xludf.DUMMYFUNCTION("""COMPUTED_VALUE"""),"dragon")</f>
        <v>dragon</v>
      </c>
      <c r="C11806" s="2" t="str">
        <f ca="1">IFERROR(__xludf.DUMMYFUNCTION("""COMPUTED_VALUE"""),"SolDragon")</f>
        <v>SolDragon</v>
      </c>
    </row>
    <row r="11807" spans="1:3" x14ac:dyDescent="0.25">
      <c r="A11807" s="2" t="str">
        <f ca="1">IFERROR(__xludf.DUMMYFUNCTION("""COMPUTED_VALUE"""),"solend")</f>
        <v>solend</v>
      </c>
      <c r="B11807" s="2" t="str">
        <f ca="1">IFERROR(__xludf.DUMMYFUNCTION("""COMPUTED_VALUE"""),"slnd")</f>
        <v>slnd</v>
      </c>
      <c r="C11807" s="2" t="str">
        <f ca="1">IFERROR(__xludf.DUMMYFUNCTION("""COMPUTED_VALUE"""),"Save")</f>
        <v>Save</v>
      </c>
    </row>
    <row r="11808" spans="1:3" x14ac:dyDescent="0.25">
      <c r="A11808" s="2" t="str">
        <f ca="1">IFERROR(__xludf.DUMMYFUNCTION("""COMPUTED_VALUE"""),"solex-finance")</f>
        <v>solex-finance</v>
      </c>
      <c r="B11808" s="2" t="str">
        <f ca="1">IFERROR(__xludf.DUMMYFUNCTION("""COMPUTED_VALUE"""),"slx")</f>
        <v>slx</v>
      </c>
      <c r="C11808" s="2" t="str">
        <f ca="1">IFERROR(__xludf.DUMMYFUNCTION("""COMPUTED_VALUE"""),"Solex Finance")</f>
        <v>Solex Finance</v>
      </c>
    </row>
    <row r="11809" spans="1:3" x14ac:dyDescent="0.25">
      <c r="A11809" s="2" t="str">
        <f ca="1">IFERROR(__xludf.DUMMYFUNCTION("""COMPUTED_VALUE"""),"soleye-offchain-tracker")</f>
        <v>soleye-offchain-tracker</v>
      </c>
      <c r="B11809" s="2" t="str">
        <f ca="1">IFERROR(__xludf.DUMMYFUNCTION("""COMPUTED_VALUE"""),"eye")</f>
        <v>eye</v>
      </c>
      <c r="C11809" s="2" t="str">
        <f ca="1">IFERROR(__xludf.DUMMYFUNCTION("""COMPUTED_VALUE"""),"SolEye - OFFCHAIN TRACKER")</f>
        <v>SolEye - OFFCHAIN TRACKER</v>
      </c>
    </row>
    <row r="11810" spans="1:3" x14ac:dyDescent="0.25">
      <c r="A11810" s="2" t="str">
        <f ca="1">IFERROR(__xludf.DUMMYFUNCTION("""COMPUTED_VALUE"""),"solfarm")</f>
        <v>solfarm</v>
      </c>
      <c r="B11810" s="2" t="str">
        <f ca="1">IFERROR(__xludf.DUMMYFUNCTION("""COMPUTED_VALUE"""),"tulip")</f>
        <v>tulip</v>
      </c>
      <c r="C11810" s="2" t="str">
        <f ca="1">IFERROR(__xludf.DUMMYFUNCTION("""COMPUTED_VALUE"""),"Tulip Protocol")</f>
        <v>Tulip Protocol</v>
      </c>
    </row>
    <row r="11811" spans="1:3" x14ac:dyDescent="0.25">
      <c r="A11811" s="2" t="str">
        <f ca="1">IFERROR(__xludf.DUMMYFUNCTION("""COMPUTED_VALUE"""),"solfarm-2")</f>
        <v>solfarm-2</v>
      </c>
      <c r="B11811" s="2" t="str">
        <f ca="1">IFERROR(__xludf.DUMMYFUNCTION("""COMPUTED_VALUE"""),"sfarm")</f>
        <v>sfarm</v>
      </c>
      <c r="C11811" s="2" t="str">
        <f ca="1">IFERROR(__xludf.DUMMYFUNCTION("""COMPUTED_VALUE"""),"SolFarm")</f>
        <v>SolFarm</v>
      </c>
    </row>
    <row r="11812" spans="1:3" x14ac:dyDescent="0.25">
      <c r="A11812" s="2" t="str">
        <f ca="1">IFERROR(__xludf.DUMMYFUNCTION("""COMPUTED_VALUE"""),"solfiles")</f>
        <v>solfiles</v>
      </c>
      <c r="B11812" s="2" t="str">
        <f ca="1">IFERROR(__xludf.DUMMYFUNCTION("""COMPUTED_VALUE"""),"files")</f>
        <v>files</v>
      </c>
      <c r="C11812" s="2" t="str">
        <f ca="1">IFERROR(__xludf.DUMMYFUNCTION("""COMPUTED_VALUE"""),"Solfiles")</f>
        <v>Solfiles</v>
      </c>
    </row>
    <row r="11813" spans="1:3" x14ac:dyDescent="0.25">
      <c r="A11813" s="2" t="str">
        <f ca="1">IFERROR(__xludf.DUMMYFUNCTION("""COMPUTED_VALUE"""),"solfriends")</f>
        <v>solfriends</v>
      </c>
      <c r="B11813" s="2" t="str">
        <f ca="1">IFERROR(__xludf.DUMMYFUNCTION("""COMPUTED_VALUE"""),"friends")</f>
        <v>friends</v>
      </c>
      <c r="C11813" s="2" t="str">
        <f ca="1">IFERROR(__xludf.DUMMYFUNCTION("""COMPUTED_VALUE"""),"SolFriends")</f>
        <v>SolFriends</v>
      </c>
    </row>
    <row r="11814" spans="1:3" x14ac:dyDescent="0.25">
      <c r="A11814" s="2" t="str">
        <f ca="1">IFERROR(__xludf.DUMMYFUNCTION("""COMPUTED_VALUE"""),"solgoat")</f>
        <v>solgoat</v>
      </c>
      <c r="B11814" s="2" t="str">
        <f ca="1">IFERROR(__xludf.DUMMYFUNCTION("""COMPUTED_VALUE"""),"solgoat")</f>
        <v>solgoat</v>
      </c>
      <c r="C11814" s="2" t="str">
        <f ca="1">IFERROR(__xludf.DUMMYFUNCTION("""COMPUTED_VALUE"""),"SolGoat")</f>
        <v>SolGoat</v>
      </c>
    </row>
    <row r="11815" spans="1:3" x14ac:dyDescent="0.25">
      <c r="A11815" s="2" t="str">
        <f ca="1">IFERROR(__xludf.DUMMYFUNCTION("""COMPUTED_VALUE"""),"solgram")</f>
        <v>solgram</v>
      </c>
      <c r="B11815" s="2" t="str">
        <f ca="1">IFERROR(__xludf.DUMMYFUNCTION("""COMPUTED_VALUE"""),"gram")</f>
        <v>gram</v>
      </c>
      <c r="C11815" s="2" t="str">
        <f ca="1">IFERROR(__xludf.DUMMYFUNCTION("""COMPUTED_VALUE"""),"SOLGRAM")</f>
        <v>SOLGRAM</v>
      </c>
    </row>
    <row r="11816" spans="1:3" x14ac:dyDescent="0.25">
      <c r="A11816" s="2" t="str">
        <f ca="1">IFERROR(__xludf.DUMMYFUNCTION("""COMPUTED_VALUE"""),"solgraph")</f>
        <v>solgraph</v>
      </c>
      <c r="B11816" s="2" t="str">
        <f ca="1">IFERROR(__xludf.DUMMYFUNCTION("""COMPUTED_VALUE"""),"graph")</f>
        <v>graph</v>
      </c>
      <c r="C11816" s="2" t="str">
        <f ca="1">IFERROR(__xludf.DUMMYFUNCTION("""COMPUTED_VALUE"""),"SolGraph")</f>
        <v>SolGraph</v>
      </c>
    </row>
    <row r="11817" spans="1:3" x14ac:dyDescent="0.25">
      <c r="A11817" s="2" t="str">
        <f ca="1">IFERROR(__xludf.DUMMYFUNCTION("""COMPUTED_VALUE"""),"solgun-sniper")</f>
        <v>solgun-sniper</v>
      </c>
      <c r="B11817" s="2" t="str">
        <f ca="1">IFERROR(__xludf.DUMMYFUNCTION("""COMPUTED_VALUE"""),"solgun")</f>
        <v>solgun</v>
      </c>
      <c r="C11817" s="2" t="str">
        <f ca="1">IFERROR(__xludf.DUMMYFUNCTION("""COMPUTED_VALUE"""),"Solgun Sniper")</f>
        <v>Solgun Sniper</v>
      </c>
    </row>
    <row r="11818" spans="1:3" x14ac:dyDescent="0.25">
      <c r="A11818" s="2" t="str">
        <f ca="1">IFERROR(__xludf.DUMMYFUNCTION("""COMPUTED_VALUE"""),"solhive")</f>
        <v>solhive</v>
      </c>
      <c r="B11818" s="2" t="str">
        <f ca="1">IFERROR(__xludf.DUMMYFUNCTION("""COMPUTED_VALUE"""),"hive")</f>
        <v>hive</v>
      </c>
      <c r="C11818" s="2" t="str">
        <f ca="1">IFERROR(__xludf.DUMMYFUNCTION("""COMPUTED_VALUE"""),"SolHive")</f>
        <v>SolHive</v>
      </c>
    </row>
    <row r="11819" spans="1:3" x14ac:dyDescent="0.25">
      <c r="A11819" s="2" t="str">
        <f ca="1">IFERROR(__xludf.DUMMYFUNCTION("""COMPUTED_VALUE"""),"solice")</f>
        <v>solice</v>
      </c>
      <c r="B11819" s="2" t="str">
        <f ca="1">IFERROR(__xludf.DUMMYFUNCTION("""COMPUTED_VALUE"""),"slc")</f>
        <v>slc</v>
      </c>
      <c r="C11819" s="2" t="str">
        <f ca="1">IFERROR(__xludf.DUMMYFUNCTION("""COMPUTED_VALUE"""),"Solice")</f>
        <v>Solice</v>
      </c>
    </row>
    <row r="11820" spans="1:3" x14ac:dyDescent="0.25">
      <c r="A11820" s="2" t="str">
        <f ca="1">IFERROR(__xludf.DUMMYFUNCTION("""COMPUTED_VALUE"""),"solidefi")</f>
        <v>solidefi</v>
      </c>
      <c r="B11820" s="2" t="str">
        <f ca="1">IFERROR(__xludf.DUMMYFUNCTION("""COMPUTED_VALUE"""),"solfi")</f>
        <v>solfi</v>
      </c>
      <c r="C11820" s="2" t="str">
        <f ca="1">IFERROR(__xludf.DUMMYFUNCTION("""COMPUTED_VALUE"""),"SoliDefi")</f>
        <v>SoliDefi</v>
      </c>
    </row>
    <row r="11821" spans="1:3" x14ac:dyDescent="0.25">
      <c r="A11821" s="2" t="str">
        <f ca="1">IFERROR(__xludf.DUMMYFUNCTION("""COMPUTED_VALUE"""),"solidex")</f>
        <v>solidex</v>
      </c>
      <c r="B11821" s="2" t="str">
        <f ca="1">IFERROR(__xludf.DUMMYFUNCTION("""COMPUTED_VALUE"""),"sex")</f>
        <v>sex</v>
      </c>
      <c r="C11821" s="2" t="str">
        <f ca="1">IFERROR(__xludf.DUMMYFUNCTION("""COMPUTED_VALUE"""),"Solidex")</f>
        <v>Solidex</v>
      </c>
    </row>
    <row r="11822" spans="1:3" x14ac:dyDescent="0.25">
      <c r="A11822" s="2" t="str">
        <f ca="1">IFERROR(__xludf.DUMMYFUNCTION("""COMPUTED_VALUE"""),"solidlizard")</f>
        <v>solidlizard</v>
      </c>
      <c r="B11822" s="2" t="str">
        <f ca="1">IFERROR(__xludf.DUMMYFUNCTION("""COMPUTED_VALUE"""),"sliz")</f>
        <v>sliz</v>
      </c>
      <c r="C11822" s="2" t="str">
        <f ca="1">IFERROR(__xludf.DUMMYFUNCTION("""COMPUTED_VALUE"""),"SolidLizard")</f>
        <v>SolidLizard</v>
      </c>
    </row>
    <row r="11823" spans="1:3" x14ac:dyDescent="0.25">
      <c r="A11823" s="2" t="str">
        <f ca="1">IFERROR(__xludf.DUMMYFUNCTION("""COMPUTED_VALUE"""),"solidlydex")</f>
        <v>solidlydex</v>
      </c>
      <c r="B11823" s="2" t="str">
        <f ca="1">IFERROR(__xludf.DUMMYFUNCTION("""COMPUTED_VALUE"""),"solid")</f>
        <v>solid</v>
      </c>
      <c r="C11823" s="2" t="str">
        <f ca="1">IFERROR(__xludf.DUMMYFUNCTION("""COMPUTED_VALUE"""),"Solidly")</f>
        <v>Solidly</v>
      </c>
    </row>
    <row r="11824" spans="1:3" x14ac:dyDescent="0.25">
      <c r="A11824" s="2" t="str">
        <f ca="1">IFERROR(__xludf.DUMMYFUNCTION("""COMPUTED_VALUE"""),"solidus-aitech")</f>
        <v>solidus-aitech</v>
      </c>
      <c r="B11824" s="2" t="str">
        <f ca="1">IFERROR(__xludf.DUMMYFUNCTION("""COMPUTED_VALUE"""),"aitech")</f>
        <v>aitech</v>
      </c>
      <c r="C11824" s="2" t="str">
        <f ca="1">IFERROR(__xludf.DUMMYFUNCTION("""COMPUTED_VALUE"""),"Solidus Ai Tech")</f>
        <v>Solidus Ai Tech</v>
      </c>
    </row>
    <row r="11825" spans="1:3" x14ac:dyDescent="0.25">
      <c r="A11825" s="2" t="str">
        <f ca="1">IFERROR(__xludf.DUMMYFUNCTION("""COMPUTED_VALUE"""),"solid-x")</f>
        <v>solid-x</v>
      </c>
      <c r="B11825" s="2" t="str">
        <f ca="1">IFERROR(__xludf.DUMMYFUNCTION("""COMPUTED_VALUE"""),"solidx")</f>
        <v>solidx</v>
      </c>
      <c r="C11825" s="2" t="str">
        <f ca="1">IFERROR(__xludf.DUMMYFUNCTION("""COMPUTED_VALUE"""),"Solid X")</f>
        <v>Solid X</v>
      </c>
    </row>
    <row r="11826" spans="1:3" x14ac:dyDescent="0.25">
      <c r="A11826" s="2" t="str">
        <f ca="1">IFERROR(__xludf.DUMMYFUNCTION("""COMPUTED_VALUE"""),"sol-killer")</f>
        <v>sol-killer</v>
      </c>
      <c r="B11826" s="2" t="str">
        <f ca="1">IFERROR(__xludf.DUMMYFUNCTION("""COMPUTED_VALUE"""),"damn")</f>
        <v>damn</v>
      </c>
      <c r="C11826" s="2" t="str">
        <f ca="1">IFERROR(__xludf.DUMMYFUNCTION("""COMPUTED_VALUE"""),"Sol Killer")</f>
        <v>Sol Killer</v>
      </c>
    </row>
    <row r="11827" spans="1:3" x14ac:dyDescent="0.25">
      <c r="A11827" s="2" t="str">
        <f ca="1">IFERROR(__xludf.DUMMYFUNCTION("""COMPUTED_VALUE"""),"sollabs")</f>
        <v>sollabs</v>
      </c>
      <c r="B11827" s="2" t="str">
        <f ca="1">IFERROR(__xludf.DUMMYFUNCTION("""COMPUTED_VALUE"""),"$sollabs")</f>
        <v>$sollabs</v>
      </c>
      <c r="C11827" s="2" t="str">
        <f ca="1">IFERROR(__xludf.DUMMYFUNCTION("""COMPUTED_VALUE"""),"SOLLABS")</f>
        <v>SOLLABS</v>
      </c>
    </row>
    <row r="11828" spans="1:3" x14ac:dyDescent="0.25">
      <c r="A11828" s="2" t="str">
        <f ca="1">IFERROR(__xludf.DUMMYFUNCTION("""COMPUTED_VALUE"""),"solland")</f>
        <v>solland</v>
      </c>
      <c r="B11828" s="2" t="str">
        <f ca="1">IFERROR(__xludf.DUMMYFUNCTION("""COMPUTED_VALUE"""),"sln")</f>
        <v>sln</v>
      </c>
      <c r="C11828" s="2" t="str">
        <f ca="1">IFERROR(__xludf.DUMMYFUNCTION("""COMPUTED_VALUE"""),"Solland")</f>
        <v>Solland</v>
      </c>
    </row>
    <row r="11829" spans="1:3" x14ac:dyDescent="0.25">
      <c r="A11829" s="2" t="str">
        <f ca="1">IFERROR(__xludf.DUMMYFUNCTION("""COMPUTED_VALUE"""),"solly")</f>
        <v>solly</v>
      </c>
      <c r="B11829" s="2" t="str">
        <f ca="1">IFERROR(__xludf.DUMMYFUNCTION("""COMPUTED_VALUE"""),"solly")</f>
        <v>solly</v>
      </c>
      <c r="C11829" s="2" t="str">
        <f ca="1">IFERROR(__xludf.DUMMYFUNCTION("""COMPUTED_VALUE"""),"SOLLY")</f>
        <v>SOLLY</v>
      </c>
    </row>
    <row r="11830" spans="1:3" x14ac:dyDescent="0.25">
      <c r="A11830" s="2" t="str">
        <f ca="1">IFERROR(__xludf.DUMMYFUNCTION("""COMPUTED_VALUE"""),"solmail")</f>
        <v>solmail</v>
      </c>
      <c r="B11830" s="2" t="str">
        <f ca="1">IFERROR(__xludf.DUMMYFUNCTION("""COMPUTED_VALUE"""),"mail")</f>
        <v>mail</v>
      </c>
      <c r="C11830" s="2" t="str">
        <f ca="1">IFERROR(__xludf.DUMMYFUNCTION("""COMPUTED_VALUE"""),"SolMail")</f>
        <v>SolMail</v>
      </c>
    </row>
    <row r="11831" spans="1:3" x14ac:dyDescent="0.25">
      <c r="A11831" s="2" t="str">
        <f ca="1">IFERROR(__xludf.DUMMYFUNCTION("""COMPUTED_VALUE"""),"solmaker")</f>
        <v>solmaker</v>
      </c>
      <c r="B11831" s="2" t="str">
        <f ca="1">IFERROR(__xludf.DUMMYFUNCTION("""COMPUTED_VALUE"""),"solmaker")</f>
        <v>solmaker</v>
      </c>
      <c r="C11831" s="2" t="str">
        <f ca="1">IFERROR(__xludf.DUMMYFUNCTION("""COMPUTED_VALUE"""),"SolMaker")</f>
        <v>SolMaker</v>
      </c>
    </row>
    <row r="11832" spans="1:3" x14ac:dyDescent="0.25">
      <c r="A11832" s="2" t="str">
        <f ca="1">IFERROR(__xludf.DUMMYFUNCTION("""COMPUTED_VALUE"""),"solmash")</f>
        <v>solmash</v>
      </c>
      <c r="B11832" s="2" t="str">
        <f ca="1">IFERROR(__xludf.DUMMYFUNCTION("""COMPUTED_VALUE"""),"mash")</f>
        <v>mash</v>
      </c>
      <c r="C11832" s="2" t="str">
        <f ca="1">IFERROR(__xludf.DUMMYFUNCTION("""COMPUTED_VALUE"""),"SolMash")</f>
        <v>SolMash</v>
      </c>
    </row>
    <row r="11833" spans="1:3" x14ac:dyDescent="0.25">
      <c r="A11833" s="2" t="str">
        <f ca="1">IFERROR(__xludf.DUMMYFUNCTION("""COMPUTED_VALUE"""),"solmedia")</f>
        <v>solmedia</v>
      </c>
      <c r="B11833" s="2" t="str">
        <f ca="1">IFERROR(__xludf.DUMMYFUNCTION("""COMPUTED_VALUE"""),"media")</f>
        <v>media</v>
      </c>
      <c r="C11833" s="2" t="str">
        <f ca="1">IFERROR(__xludf.DUMMYFUNCTION("""COMPUTED_VALUE"""),"Solmedia")</f>
        <v>Solmedia</v>
      </c>
    </row>
    <row r="11834" spans="1:3" x14ac:dyDescent="0.25">
      <c r="A11834" s="2" t="str">
        <f ca="1">IFERROR(__xludf.DUMMYFUNCTION("""COMPUTED_VALUE"""),"solmix")</f>
        <v>solmix</v>
      </c>
      <c r="B11834" s="2" t="str">
        <f ca="1">IFERROR(__xludf.DUMMYFUNCTION("""COMPUTED_VALUE"""),"mixer")</f>
        <v>mixer</v>
      </c>
      <c r="C11834" s="2" t="str">
        <f ca="1">IFERROR(__xludf.DUMMYFUNCTION("""COMPUTED_VALUE"""),"SolMix")</f>
        <v>SolMix</v>
      </c>
    </row>
    <row r="11835" spans="1:3" x14ac:dyDescent="0.25">
      <c r="A11835" s="2" t="str">
        <f ca="1">IFERROR(__xludf.DUMMYFUNCTION("""COMPUTED_VALUE"""),"solmoon-bsc")</f>
        <v>solmoon-bsc</v>
      </c>
      <c r="B11835" s="2" t="str">
        <f ca="1">IFERROR(__xludf.DUMMYFUNCTION("""COMPUTED_VALUE"""),"smoon")</f>
        <v>smoon</v>
      </c>
      <c r="C11835" s="2" t="str">
        <f ca="1">IFERROR(__xludf.DUMMYFUNCTION("""COMPUTED_VALUE"""),"Solmoon BSC")</f>
        <v>Solmoon BSC</v>
      </c>
    </row>
    <row r="11836" spans="1:3" x14ac:dyDescent="0.25">
      <c r="A11836" s="2" t="str">
        <f ca="1">IFERROR(__xludf.DUMMYFUNCTION("""COMPUTED_VALUE"""),"solnote")</f>
        <v>solnote</v>
      </c>
      <c r="B11836" s="2" t="str">
        <f ca="1">IFERROR(__xludf.DUMMYFUNCTION("""COMPUTED_VALUE"""),"note")</f>
        <v>note</v>
      </c>
      <c r="C11836" s="2" t="str">
        <f ca="1">IFERROR(__xludf.DUMMYFUNCTION("""COMPUTED_VALUE"""),"SolNote")</f>
        <v>SolNote</v>
      </c>
    </row>
    <row r="11837" spans="1:3" x14ac:dyDescent="0.25">
      <c r="A11837" s="2" t="str">
        <f ca="1">IFERROR(__xludf.DUMMYFUNCTION("""COMPUTED_VALUE"""),"solnyfans")</f>
        <v>solnyfans</v>
      </c>
      <c r="B11837" s="2" t="str">
        <f ca="1">IFERROR(__xludf.DUMMYFUNCTION("""COMPUTED_VALUE"""),"solnyfans")</f>
        <v>solnyfans</v>
      </c>
      <c r="C11837" s="2" t="str">
        <f ca="1">IFERROR(__xludf.DUMMYFUNCTION("""COMPUTED_VALUE"""),"SolnyFans")</f>
        <v>SolnyFans</v>
      </c>
    </row>
    <row r="11838" spans="1:3" x14ac:dyDescent="0.25">
      <c r="A11838" s="2" t="str">
        <f ca="1">IFERROR(__xludf.DUMMYFUNCTION("""COMPUTED_VALUE"""),"solo-coin")</f>
        <v>solo-coin</v>
      </c>
      <c r="B11838" s="2" t="str">
        <f ca="1">IFERROR(__xludf.DUMMYFUNCTION("""COMPUTED_VALUE"""),"solo")</f>
        <v>solo</v>
      </c>
      <c r="C11838" s="2" t="str">
        <f ca="1">IFERROR(__xludf.DUMMYFUNCTION("""COMPUTED_VALUE"""),"Sologenic")</f>
        <v>Sologenic</v>
      </c>
    </row>
    <row r="11839" spans="1:3" x14ac:dyDescent="0.25">
      <c r="A11839" s="2" t="str">
        <f ca="1">IFERROR(__xludf.DUMMYFUNCTION("""COMPUTED_VALUE"""),"solomon-defina")</f>
        <v>solomon-defina</v>
      </c>
      <c r="B11839" s="2" t="str">
        <f ca="1">IFERROR(__xludf.DUMMYFUNCTION("""COMPUTED_VALUE"""),"solo")</f>
        <v>solo</v>
      </c>
      <c r="C11839" s="2" t="str">
        <f ca="1">IFERROR(__xludf.DUMMYFUNCTION("""COMPUTED_VALUE"""),"Solomon (Defina)")</f>
        <v>Solomon (Defina)</v>
      </c>
    </row>
    <row r="11840" spans="1:3" x14ac:dyDescent="0.25">
      <c r="A11840" s="2" t="str">
        <f ca="1">IFERROR(__xludf.DUMMYFUNCTION("""COMPUTED_VALUE"""),"solong-the-dragon")</f>
        <v>solong-the-dragon</v>
      </c>
      <c r="B11840" s="2" t="str">
        <f ca="1">IFERROR(__xludf.DUMMYFUNCTION("""COMPUTED_VALUE"""),"solong")</f>
        <v>solong</v>
      </c>
      <c r="C11840" s="2" t="str">
        <f ca="1">IFERROR(__xludf.DUMMYFUNCTION("""COMPUTED_VALUE"""),"SOLONG The Dragon")</f>
        <v>SOLONG The Dragon</v>
      </c>
    </row>
    <row r="11841" spans="1:3" x14ac:dyDescent="0.25">
      <c r="A11841" s="2" t="str">
        <f ca="1">IFERROR(__xludf.DUMMYFUNCTION("""COMPUTED_VALUE"""),"solordi")</f>
        <v>solordi</v>
      </c>
      <c r="B11841" s="2" t="str">
        <f ca="1">IFERROR(__xludf.DUMMYFUNCTION("""COMPUTED_VALUE"""),"solo")</f>
        <v>solo</v>
      </c>
      <c r="C11841" s="2" t="str">
        <f ca="1">IFERROR(__xludf.DUMMYFUNCTION("""COMPUTED_VALUE"""),"Solordi")</f>
        <v>Solordi</v>
      </c>
    </row>
    <row r="11842" spans="1:3" x14ac:dyDescent="0.25">
      <c r="A11842" s="2" t="str">
        <f ca="1">IFERROR(__xludf.DUMMYFUNCTION("""COMPUTED_VALUE"""),"solpaca")</f>
        <v>solpaca</v>
      </c>
      <c r="B11842" s="2" t="str">
        <f ca="1">IFERROR(__xludf.DUMMYFUNCTION("""COMPUTED_VALUE"""),"solpac")</f>
        <v>solpac</v>
      </c>
      <c r="C11842" s="2" t="str">
        <f ca="1">IFERROR(__xludf.DUMMYFUNCTION("""COMPUTED_VALUE"""),"Solpaca")</f>
        <v>Solpaca</v>
      </c>
    </row>
    <row r="11843" spans="1:3" x14ac:dyDescent="0.25">
      <c r="A11843" s="2" t="str">
        <f ca="1">IFERROR(__xludf.DUMMYFUNCTION("""COMPUTED_VALUE"""),"solpad-finance")</f>
        <v>solpad-finance</v>
      </c>
      <c r="B11843" s="2" t="str">
        <f ca="1">IFERROR(__xludf.DUMMYFUNCTION("""COMPUTED_VALUE"""),"solpad")</f>
        <v>solpad</v>
      </c>
      <c r="C11843" s="2" t="str">
        <f ca="1">IFERROR(__xludf.DUMMYFUNCTION("""COMPUTED_VALUE"""),"Solpad Finance")</f>
        <v>Solpad Finance</v>
      </c>
    </row>
    <row r="11844" spans="1:3" x14ac:dyDescent="0.25">
      <c r="A11844" s="2" t="str">
        <f ca="1">IFERROR(__xludf.DUMMYFUNCTION("""COMPUTED_VALUE"""),"solpages")</f>
        <v>solpages</v>
      </c>
      <c r="B11844" s="2" t="str">
        <f ca="1">IFERROR(__xludf.DUMMYFUNCTION("""COMPUTED_VALUE"""),"solp")</f>
        <v>solp</v>
      </c>
      <c r="C11844" s="2" t="str">
        <f ca="1">IFERROR(__xludf.DUMMYFUNCTION("""COMPUTED_VALUE"""),"SolPages")</f>
        <v>SolPages</v>
      </c>
    </row>
    <row r="11845" spans="1:3" x14ac:dyDescent="0.25">
      <c r="A11845" s="2" t="str">
        <f ca="1">IFERROR(__xludf.DUMMYFUNCTION("""COMPUTED_VALUE"""),"solpaka")</f>
        <v>solpaka</v>
      </c>
      <c r="B11845" s="2" t="str">
        <f ca="1">IFERROR(__xludf.DUMMYFUNCTION("""COMPUTED_VALUE"""),"solpaka")</f>
        <v>solpaka</v>
      </c>
      <c r="C11845" s="2" t="str">
        <f ca="1">IFERROR(__xludf.DUMMYFUNCTION("""COMPUTED_VALUE"""),"Solpaka")</f>
        <v>Solpaka</v>
      </c>
    </row>
    <row r="11846" spans="1:3" x14ac:dyDescent="0.25">
      <c r="A11846" s="2" t="str">
        <f ca="1">IFERROR(__xludf.DUMMYFUNCTION("""COMPUTED_VALUE"""),"solpay-finance")</f>
        <v>solpay-finance</v>
      </c>
      <c r="B11846" s="2" t="str">
        <f ca="1">IFERROR(__xludf.DUMMYFUNCTION("""COMPUTED_VALUE"""),"solpay")</f>
        <v>solpay</v>
      </c>
      <c r="C11846" s="2" t="str">
        <f ca="1">IFERROR(__xludf.DUMMYFUNCTION("""COMPUTED_VALUE"""),"SolPay Finance")</f>
        <v>SolPay Finance</v>
      </c>
    </row>
    <row r="11847" spans="1:3" x14ac:dyDescent="0.25">
      <c r="A11847" s="2" t="str">
        <f ca="1">IFERROR(__xludf.DUMMYFUNCTION("""COMPUTED_VALUE"""),"solpets")</f>
        <v>solpets</v>
      </c>
      <c r="B11847" s="2" t="str">
        <f ca="1">IFERROR(__xludf.DUMMYFUNCTION("""COMPUTED_VALUE"""),"pets")</f>
        <v>pets</v>
      </c>
      <c r="C11847" s="2" t="str">
        <f ca="1">IFERROR(__xludf.DUMMYFUNCTION("""COMPUTED_VALUE"""),"SolPets")</f>
        <v>SolPets</v>
      </c>
    </row>
    <row r="11848" spans="1:3" x14ac:dyDescent="0.25">
      <c r="A11848" s="2" t="str">
        <f ca="1">IFERROR(__xludf.DUMMYFUNCTION("""COMPUTED_VALUE"""),"solphin")</f>
        <v>solphin</v>
      </c>
      <c r="B11848" s="2" t="str">
        <f ca="1">IFERROR(__xludf.DUMMYFUNCTION("""COMPUTED_VALUE"""),"solphin")</f>
        <v>solphin</v>
      </c>
      <c r="C11848" s="2" t="str">
        <f ca="1">IFERROR(__xludf.DUMMYFUNCTION("""COMPUTED_VALUE"""),"Solphin")</f>
        <v>Solphin</v>
      </c>
    </row>
    <row r="11849" spans="1:3" x14ac:dyDescent="0.25">
      <c r="A11849" s="2" t="str">
        <f ca="1">IFERROR(__xludf.DUMMYFUNCTION("""COMPUTED_VALUE"""),"solpod")</f>
        <v>solpod</v>
      </c>
      <c r="B11849" s="2" t="str">
        <f ca="1">IFERROR(__xludf.DUMMYFUNCTION("""COMPUTED_VALUE"""),"solpod")</f>
        <v>solpod</v>
      </c>
      <c r="C11849" s="2" t="str">
        <f ca="1">IFERROR(__xludf.DUMMYFUNCTION("""COMPUTED_VALUE"""),"SolPod")</f>
        <v>SolPod</v>
      </c>
    </row>
    <row r="11850" spans="1:3" x14ac:dyDescent="0.25">
      <c r="A11850" s="2" t="str">
        <f ca="1">IFERROR(__xludf.DUMMYFUNCTION("""COMPUTED_VALUE"""),"solragon")</f>
        <v>solragon</v>
      </c>
      <c r="B11850" s="2" t="str">
        <f ca="1">IFERROR(__xludf.DUMMYFUNCTION("""COMPUTED_VALUE"""),"srgn")</f>
        <v>srgn</v>
      </c>
      <c r="C11850" s="2" t="str">
        <f ca="1">IFERROR(__xludf.DUMMYFUNCTION("""COMPUTED_VALUE"""),"SolRagon")</f>
        <v>SolRagon</v>
      </c>
    </row>
    <row r="11851" spans="1:3" x14ac:dyDescent="0.25">
      <c r="A11851" s="2" t="str">
        <f ca="1">IFERROR(__xludf.DUMMYFUNCTION("""COMPUTED_VALUE"""),"solrazr")</f>
        <v>solrazr</v>
      </c>
      <c r="B11851" s="2" t="str">
        <f ca="1">IFERROR(__xludf.DUMMYFUNCTION("""COMPUTED_VALUE"""),"solr")</f>
        <v>solr</v>
      </c>
      <c r="C11851" s="2" t="str">
        <f ca="1">IFERROR(__xludf.DUMMYFUNCTION("""COMPUTED_VALUE"""),"RazrFi")</f>
        <v>RazrFi</v>
      </c>
    </row>
    <row r="11852" spans="1:3" x14ac:dyDescent="0.25">
      <c r="A11852" s="2" t="str">
        <f ca="1">IFERROR(__xludf.DUMMYFUNCTION("""COMPUTED_VALUE"""),"solribbit")</f>
        <v>solribbit</v>
      </c>
      <c r="B11852" s="2" t="str">
        <f ca="1">IFERROR(__xludf.DUMMYFUNCTION("""COMPUTED_VALUE"""),"ribbit")</f>
        <v>ribbit</v>
      </c>
      <c r="C11852" s="2" t="str">
        <f ca="1">IFERROR(__xludf.DUMMYFUNCTION("""COMPUTED_VALUE"""),"SolRibbit")</f>
        <v>SolRibbit</v>
      </c>
    </row>
    <row r="11853" spans="1:3" x14ac:dyDescent="0.25">
      <c r="A11853" s="2" t="str">
        <f ca="1">IFERROR(__xludf.DUMMYFUNCTION("""COMPUTED_VALUE"""),"solrise-finance")</f>
        <v>solrise-finance</v>
      </c>
      <c r="B11853" s="2" t="str">
        <f ca="1">IFERROR(__xludf.DUMMYFUNCTION("""COMPUTED_VALUE"""),"slrs")</f>
        <v>slrs</v>
      </c>
      <c r="C11853" s="2" t="str">
        <f ca="1">IFERROR(__xludf.DUMMYFUNCTION("""COMPUTED_VALUE"""),"Solrise Finance")</f>
        <v>Solrise Finance</v>
      </c>
    </row>
    <row r="11854" spans="1:3" x14ac:dyDescent="0.25">
      <c r="A11854" s="2" t="str">
        <f ca="1">IFERROR(__xludf.DUMMYFUNCTION("""COMPUTED_VALUE"""),"sols")</f>
        <v>sols</v>
      </c>
      <c r="B11854" s="2" t="str">
        <f ca="1">IFERROR(__xludf.DUMMYFUNCTION("""COMPUTED_VALUE"""),"sols")</f>
        <v>sols</v>
      </c>
      <c r="C11854" s="2" t="str">
        <f ca="1">IFERROR(__xludf.DUMMYFUNCTION("""COMPUTED_VALUE"""),"sols")</f>
        <v>sols</v>
      </c>
    </row>
    <row r="11855" spans="1:3" x14ac:dyDescent="0.25">
      <c r="A11855" s="2" t="str">
        <f ca="1">IFERROR(__xludf.DUMMYFUNCTION("""COMPUTED_VALUE"""),"solsnap")</f>
        <v>solsnap</v>
      </c>
      <c r="B11855" s="2" t="str">
        <f ca="1">IFERROR(__xludf.DUMMYFUNCTION("""COMPUTED_VALUE"""),"snap")</f>
        <v>snap</v>
      </c>
      <c r="C11855" s="2" t="str">
        <f ca="1">IFERROR(__xludf.DUMMYFUNCTION("""COMPUTED_VALUE"""),"SolSnap")</f>
        <v>SolSnap</v>
      </c>
    </row>
    <row r="11856" spans="1:3" x14ac:dyDescent="0.25">
      <c r="A11856" s="2" t="str">
        <f ca="1">IFERROR(__xludf.DUMMYFUNCTION("""COMPUTED_VALUE"""),"solspend")</f>
        <v>solspend</v>
      </c>
      <c r="B11856" s="2" t="str">
        <f ca="1">IFERROR(__xludf.DUMMYFUNCTION("""COMPUTED_VALUE"""),"spend")</f>
        <v>spend</v>
      </c>
      <c r="C11856" s="2" t="str">
        <f ca="1">IFERROR(__xludf.DUMMYFUNCTION("""COMPUTED_VALUE"""),"SolSpend")</f>
        <v>SolSpend</v>
      </c>
    </row>
    <row r="11857" spans="1:3" x14ac:dyDescent="0.25">
      <c r="A11857" s="2" t="str">
        <f ca="1">IFERROR(__xludf.DUMMYFUNCTION("""COMPUTED_VALUE"""),"solsrch")</f>
        <v>solsrch</v>
      </c>
      <c r="B11857" s="2" t="str">
        <f ca="1">IFERROR(__xludf.DUMMYFUNCTION("""COMPUTED_VALUE"""),"srch")</f>
        <v>srch</v>
      </c>
      <c r="C11857" s="2" t="str">
        <f ca="1">IFERROR(__xludf.DUMMYFUNCTION("""COMPUTED_VALUE"""),"SolSrch")</f>
        <v>SolSrch</v>
      </c>
    </row>
    <row r="11858" spans="1:3" x14ac:dyDescent="0.25">
      <c r="A11858" s="2" t="str">
        <f ca="1">IFERROR(__xludf.DUMMYFUNCTION("""COMPUTED_VALUE"""),"solster")</f>
        <v>solster</v>
      </c>
      <c r="B11858" s="2" t="str">
        <f ca="1">IFERROR(__xludf.DUMMYFUNCTION("""COMPUTED_VALUE"""),"str")</f>
        <v>str</v>
      </c>
      <c r="C11858" s="2" t="str">
        <f ca="1">IFERROR(__xludf.DUMMYFUNCTION("""COMPUTED_VALUE"""),"Solster")</f>
        <v>Solster</v>
      </c>
    </row>
    <row r="11859" spans="1:3" x14ac:dyDescent="0.25">
      <c r="A11859" s="2" t="str">
        <f ca="1">IFERROR(__xludf.DUMMYFUNCTION("""COMPUTED_VALUE"""),"solstorm")</f>
        <v>solstorm</v>
      </c>
      <c r="B11859" s="2" t="str">
        <f ca="1">IFERROR(__xludf.DUMMYFUNCTION("""COMPUTED_VALUE"""),"storm")</f>
        <v>storm</v>
      </c>
      <c r="C11859" s="2" t="str">
        <f ca="1">IFERROR(__xludf.DUMMYFUNCTION("""COMPUTED_VALUE"""),"SOLSTORM")</f>
        <v>SOLSTORM</v>
      </c>
    </row>
    <row r="11860" spans="1:3" x14ac:dyDescent="0.25">
      <c r="A11860" s="2" t="str">
        <f ca="1">IFERROR(__xludf.DUMMYFUNCTION("""COMPUTED_VALUE"""),"solstream")</f>
        <v>solstream</v>
      </c>
      <c r="B11860" s="2" t="str">
        <f ca="1">IFERROR(__xludf.DUMMYFUNCTION("""COMPUTED_VALUE"""),"stream")</f>
        <v>stream</v>
      </c>
      <c r="C11860" s="2" t="str">
        <f ca="1">IFERROR(__xludf.DUMMYFUNCTION("""COMPUTED_VALUE"""),"Solstream")</f>
        <v>Solstream</v>
      </c>
    </row>
    <row r="11861" spans="1:3" x14ac:dyDescent="0.25">
      <c r="A11861" s="2" t="str">
        <f ca="1">IFERROR(__xludf.DUMMYFUNCTION("""COMPUTED_VALUE"""),"soltalk-ai")</f>
        <v>soltalk-ai</v>
      </c>
      <c r="B11861" s="2" t="str">
        <f ca="1">IFERROR(__xludf.DUMMYFUNCTION("""COMPUTED_VALUE"""),"soltalk")</f>
        <v>soltalk</v>
      </c>
      <c r="C11861" s="2" t="str">
        <f ca="1">IFERROR(__xludf.DUMMYFUNCTION("""COMPUTED_VALUE"""),"Soltalk AI")</f>
        <v>Soltalk AI</v>
      </c>
    </row>
    <row r="11862" spans="1:3" x14ac:dyDescent="0.25">
      <c r="A11862" s="2" t="str">
        <f ca="1">IFERROR(__xludf.DUMMYFUNCTION("""COMPUTED_VALUE"""),"soltracker")</f>
        <v>soltracker</v>
      </c>
      <c r="B11862" s="2" t="str">
        <f ca="1">IFERROR(__xludf.DUMMYFUNCTION("""COMPUTED_VALUE"""),"tracker")</f>
        <v>tracker</v>
      </c>
      <c r="C11862" s="2" t="str">
        <f ca="1">IFERROR(__xludf.DUMMYFUNCTION("""COMPUTED_VALUE"""),"SolTracker")</f>
        <v>SolTracker</v>
      </c>
    </row>
    <row r="11863" spans="1:3" x14ac:dyDescent="0.25">
      <c r="A11863" s="2" t="str">
        <f ca="1">IFERROR(__xludf.DUMMYFUNCTION("""COMPUTED_VALUE"""),"soltradingbot")</f>
        <v>soltradingbot</v>
      </c>
      <c r="B11863" s="2" t="str">
        <f ca="1">IFERROR(__xludf.DUMMYFUNCTION("""COMPUTED_VALUE"""),"stbot")</f>
        <v>stbot</v>
      </c>
      <c r="C11863" s="2" t="str">
        <f ca="1">IFERROR(__xludf.DUMMYFUNCTION("""COMPUTED_VALUE"""),"SolTradingBot")</f>
        <v>SolTradingBot</v>
      </c>
    </row>
    <row r="11864" spans="1:3" x14ac:dyDescent="0.25">
      <c r="A11864" s="2" t="str">
        <f ca="1">IFERROR(__xludf.DUMMYFUNCTION("""COMPUTED_VALUE"""),"solv-btc")</f>
        <v>solv-btc</v>
      </c>
      <c r="B11864" s="2" t="str">
        <f ca="1">IFERROR(__xludf.DUMMYFUNCTION("""COMPUTED_VALUE"""),"solvbtc")</f>
        <v>solvbtc</v>
      </c>
      <c r="C11864" s="2" t="str">
        <f ca="1">IFERROR(__xludf.DUMMYFUNCTION("""COMPUTED_VALUE"""),"Solv Protocol SolvBTC")</f>
        <v>Solv Protocol SolvBTC</v>
      </c>
    </row>
    <row r="11865" spans="1:3" x14ac:dyDescent="0.25">
      <c r="A11865" s="2" t="str">
        <f ca="1">IFERROR(__xludf.DUMMYFUNCTION("""COMPUTED_VALUE"""),"solve-care")</f>
        <v>solve-care</v>
      </c>
      <c r="B11865" s="2" t="str">
        <f ca="1">IFERROR(__xludf.DUMMYFUNCTION("""COMPUTED_VALUE"""),"solve")</f>
        <v>solve</v>
      </c>
      <c r="C11865" s="2" t="str">
        <f ca="1">IFERROR(__xludf.DUMMYFUNCTION("""COMPUTED_VALUE"""),"SOLVE")</f>
        <v>SOLVE</v>
      </c>
    </row>
    <row r="11866" spans="1:3" x14ac:dyDescent="0.25">
      <c r="A11866" s="2" t="str">
        <f ca="1">IFERROR(__xludf.DUMMYFUNCTION("""COMPUTED_VALUE"""),"solvegas")</f>
        <v>solvegas</v>
      </c>
      <c r="B11866" s="2" t="str">
        <f ca="1">IFERROR(__xludf.DUMMYFUNCTION("""COMPUTED_VALUE"""),"solvegas")</f>
        <v>solvegas</v>
      </c>
      <c r="C11866" s="2" t="str">
        <f ca="1">IFERROR(__xludf.DUMMYFUNCTION("""COMPUTED_VALUE"""),"SolVegas")</f>
        <v>SolVegas</v>
      </c>
    </row>
    <row r="11867" spans="1:3" x14ac:dyDescent="0.25">
      <c r="A11867" s="2" t="str">
        <f ca="1">IFERROR(__xludf.DUMMYFUNCTION("""COMPUTED_VALUE"""),"solv-protocol")</f>
        <v>solv-protocol</v>
      </c>
      <c r="B11867" s="2" t="str">
        <f ca="1">IFERROR(__xludf.DUMMYFUNCTION("""COMPUTED_VALUE"""),"solv")</f>
        <v>solv</v>
      </c>
      <c r="C11867" s="2" t="str">
        <f ca="1">IFERROR(__xludf.DUMMYFUNCTION("""COMPUTED_VALUE"""),"Solv Protocol")</f>
        <v>Solv Protocol</v>
      </c>
    </row>
    <row r="11868" spans="1:3" x14ac:dyDescent="0.25">
      <c r="A11868" s="2" t="str">
        <f ca="1">IFERROR(__xludf.DUMMYFUNCTION("""COMPUTED_VALUE"""),"solv-protocol-solvbtc-bbn")</f>
        <v>solv-protocol-solvbtc-bbn</v>
      </c>
      <c r="B11868" s="2" t="str">
        <f ca="1">IFERROR(__xludf.DUMMYFUNCTION("""COMPUTED_VALUE"""),"solvbtc.bbn")</f>
        <v>solvbtc.bbn</v>
      </c>
      <c r="C11868" s="2" t="str">
        <f ca="1">IFERROR(__xludf.DUMMYFUNCTION("""COMPUTED_VALUE"""),"Solv Protocol SolvBTC.BBN")</f>
        <v>Solv Protocol SolvBTC.BBN</v>
      </c>
    </row>
    <row r="11869" spans="1:3" x14ac:dyDescent="0.25">
      <c r="A11869" s="2" t="str">
        <f ca="1">IFERROR(__xludf.DUMMYFUNCTION("""COMPUTED_VALUE"""),"solv-protocol-solvbtc-ena")</f>
        <v>solv-protocol-solvbtc-ena</v>
      </c>
      <c r="B11869" s="2" t="str">
        <f ca="1">IFERROR(__xludf.DUMMYFUNCTION("""COMPUTED_VALUE"""),"solvbtc.ena")</f>
        <v>solvbtc.ena</v>
      </c>
      <c r="C11869" s="2" t="str">
        <f ca="1">IFERROR(__xludf.DUMMYFUNCTION("""COMPUTED_VALUE"""),"Solv Protocol SolvBTC.ENA")</f>
        <v>Solv Protocol SolvBTC.ENA</v>
      </c>
    </row>
    <row r="11870" spans="1:3" x14ac:dyDescent="0.25">
      <c r="A11870" s="2" t="str">
        <f ca="1">IFERROR(__xludf.DUMMYFUNCTION("""COMPUTED_VALUE"""),"sol-wormhole")</f>
        <v>sol-wormhole</v>
      </c>
      <c r="B11870" s="2" t="str">
        <f ca="1">IFERROR(__xludf.DUMMYFUNCTION("""COMPUTED_VALUE"""),"sol")</f>
        <v>sol</v>
      </c>
      <c r="C11870" s="2" t="str">
        <f ca="1">IFERROR(__xludf.DUMMYFUNCTION("""COMPUTED_VALUE"""),"SOL (Wormhole)")</f>
        <v>SOL (Wormhole)</v>
      </c>
    </row>
    <row r="11871" spans="1:3" x14ac:dyDescent="0.25">
      <c r="A11871" s="2" t="str">
        <f ca="1">IFERROR(__xludf.DUMMYFUNCTION("""COMPUTED_VALUE"""),"sol-x")</f>
        <v>sol-x</v>
      </c>
      <c r="B11871" s="2" t="str">
        <f ca="1">IFERROR(__xludf.DUMMYFUNCTION("""COMPUTED_VALUE"""),"solx")</f>
        <v>solx</v>
      </c>
      <c r="C11871" s="2" t="str">
        <f ca="1">IFERROR(__xludf.DUMMYFUNCTION("""COMPUTED_VALUE"""),"Sol X")</f>
        <v>Sol X</v>
      </c>
    </row>
    <row r="11872" spans="1:3" x14ac:dyDescent="0.25">
      <c r="A11872" s="2" t="str">
        <f ca="1">IFERROR(__xludf.DUMMYFUNCTION("""COMPUTED_VALUE"""),"solxdex")</f>
        <v>solxdex</v>
      </c>
      <c r="B11872" s="2" t="str">
        <f ca="1">IFERROR(__xludf.DUMMYFUNCTION("""COMPUTED_VALUE"""),"solx")</f>
        <v>solx</v>
      </c>
      <c r="C11872" s="2" t="str">
        <f ca="1">IFERROR(__xludf.DUMMYFUNCTION("""COMPUTED_VALUE"""),"SolXdex")</f>
        <v>SolXdex</v>
      </c>
    </row>
    <row r="11873" spans="1:3" x14ac:dyDescent="0.25">
      <c r="A11873" s="2" t="str">
        <f ca="1">IFERROR(__xludf.DUMMYFUNCTION("""COMPUTED_VALUE"""),"solxencat")</f>
        <v>solxencat</v>
      </c>
      <c r="B11873" s="2" t="str">
        <f ca="1">IFERROR(__xludf.DUMMYFUNCTION("""COMPUTED_VALUE"""),"xencat")</f>
        <v>xencat</v>
      </c>
      <c r="C11873" s="2" t="str">
        <f ca="1">IFERROR(__xludf.DUMMYFUNCTION("""COMPUTED_VALUE"""),"SolXenCat")</f>
        <v>SolXenCat</v>
      </c>
    </row>
    <row r="11874" spans="1:3" x14ac:dyDescent="0.25">
      <c r="A11874" s="2" t="str">
        <f ca="1">IFERROR(__xludf.DUMMYFUNCTION("""COMPUTED_VALUE"""),"solyard-finance")</f>
        <v>solyard-finance</v>
      </c>
      <c r="B11874" s="2" t="str">
        <f ca="1">IFERROR(__xludf.DUMMYFUNCTION("""COMPUTED_VALUE"""),"yard")</f>
        <v>yard</v>
      </c>
      <c r="C11874" s="2" t="str">
        <f ca="1">IFERROR(__xludf.DUMMYFUNCTION("""COMPUTED_VALUE"""),"Solyard Finance")</f>
        <v>Solyard Finance</v>
      </c>
    </row>
    <row r="11875" spans="1:3" x14ac:dyDescent="0.25">
      <c r="A11875" s="2" t="str">
        <f ca="1">IFERROR(__xludf.DUMMYFUNCTION("""COMPUTED_VALUE"""),"solympics")</f>
        <v>solympics</v>
      </c>
      <c r="B11875" s="2" t="str">
        <f ca="1">IFERROR(__xludf.DUMMYFUNCTION("""COMPUTED_VALUE"""),"solympics")</f>
        <v>solympics</v>
      </c>
      <c r="C11875" s="2" t="str">
        <f ca="1">IFERROR(__xludf.DUMMYFUNCTION("""COMPUTED_VALUE"""),"Solympics")</f>
        <v>Solympics</v>
      </c>
    </row>
    <row r="11876" spans="1:3" x14ac:dyDescent="0.25">
      <c r="A11876" s="2" t="str">
        <f ca="1">IFERROR(__xludf.DUMMYFUNCTION("""COMPUTED_VALUE"""),"solzilla")</f>
        <v>solzilla</v>
      </c>
      <c r="B11876" s="2" t="str">
        <f ca="1">IFERROR(__xludf.DUMMYFUNCTION("""COMPUTED_VALUE"""),"solzilla")</f>
        <v>solzilla</v>
      </c>
      <c r="C11876" s="2" t="str">
        <f ca="1">IFERROR(__xludf.DUMMYFUNCTION("""COMPUTED_VALUE"""),"Solzilla")</f>
        <v>Solzilla</v>
      </c>
    </row>
    <row r="11877" spans="1:3" x14ac:dyDescent="0.25">
      <c r="A11877" s="2" t="str">
        <f ca="1">IFERROR(__xludf.DUMMYFUNCTION("""COMPUTED_VALUE"""),"soma-finance")</f>
        <v>soma-finance</v>
      </c>
      <c r="B11877" s="2" t="str">
        <f ca="1">IFERROR(__xludf.DUMMYFUNCTION("""COMPUTED_VALUE"""),"soma")</f>
        <v>soma</v>
      </c>
      <c r="C11877" s="2" t="str">
        <f ca="1">IFERROR(__xludf.DUMMYFUNCTION("""COMPUTED_VALUE"""),"SOMA.finance")</f>
        <v>SOMA.finance</v>
      </c>
    </row>
    <row r="11878" spans="1:3" x14ac:dyDescent="0.25">
      <c r="A11878" s="2" t="str">
        <f ca="1">IFERROR(__xludf.DUMMYFUNCTION("""COMPUTED_VALUE"""),"som-bonkmon-fraud")</f>
        <v>som-bonkmon-fraud</v>
      </c>
      <c r="B11878" s="2" t="str">
        <f ca="1">IFERROR(__xludf.DUMMYFUNCTION("""COMPUTED_VALUE"""),"sbf")</f>
        <v>sbf</v>
      </c>
      <c r="C11878" s="2" t="str">
        <f ca="1">IFERROR(__xludf.DUMMYFUNCTION("""COMPUTED_VALUE"""),"Som Bonkmon Fraud")</f>
        <v>Som Bonkmon Fraud</v>
      </c>
    </row>
    <row r="11879" spans="1:3" x14ac:dyDescent="0.25">
      <c r="A11879" s="2" t="str">
        <f ca="1">IFERROR(__xludf.DUMMYFUNCTION("""COMPUTED_VALUE"""),"sombra-network")</f>
        <v>sombra-network</v>
      </c>
      <c r="B11879" s="2" t="str">
        <f ca="1">IFERROR(__xludf.DUMMYFUNCTION("""COMPUTED_VALUE"""),"smbr")</f>
        <v>smbr</v>
      </c>
      <c r="C11879" s="2" t="str">
        <f ca="1">IFERROR(__xludf.DUMMYFUNCTION("""COMPUTED_VALUE"""),"Sombra")</f>
        <v>Sombra</v>
      </c>
    </row>
    <row r="11880" spans="1:3" x14ac:dyDescent="0.25">
      <c r="A11880" s="2" t="str">
        <f ca="1">IFERROR(__xludf.DUMMYFUNCTION("""COMPUTED_VALUE"""),"somee-social")</f>
        <v>somee-social</v>
      </c>
      <c r="B11880" s="2" t="str">
        <f ca="1">IFERROR(__xludf.DUMMYFUNCTION("""COMPUTED_VALUE"""),"somee")</f>
        <v>somee</v>
      </c>
      <c r="C11880" s="2" t="str">
        <f ca="1">IFERROR(__xludf.DUMMYFUNCTION("""COMPUTED_VALUE"""),"SoMee.Social")</f>
        <v>SoMee.Social</v>
      </c>
    </row>
    <row r="11881" spans="1:3" x14ac:dyDescent="0.25">
      <c r="A11881" s="2" t="str">
        <f ca="1">IFERROR(__xludf.DUMMYFUNCTION("""COMPUTED_VALUE"""),"somesing")</f>
        <v>somesing</v>
      </c>
      <c r="B11881" s="2" t="str">
        <f ca="1">IFERROR(__xludf.DUMMYFUNCTION("""COMPUTED_VALUE"""),"ssg")</f>
        <v>ssg</v>
      </c>
      <c r="C11881" s="2" t="str">
        <f ca="1">IFERROR(__xludf.DUMMYFUNCTION("""COMPUTED_VALUE"""),"SOMESING")</f>
        <v>SOMESING</v>
      </c>
    </row>
    <row r="11882" spans="1:3" x14ac:dyDescent="0.25">
      <c r="A11882" s="2" t="str">
        <f ca="1">IFERROR(__xludf.DUMMYFUNCTION("""COMPUTED_VALUE"""),"sommelier")</f>
        <v>sommelier</v>
      </c>
      <c r="B11882" s="2" t="str">
        <f ca="1">IFERROR(__xludf.DUMMYFUNCTION("""COMPUTED_VALUE"""),"somm")</f>
        <v>somm</v>
      </c>
      <c r="C11882" s="2" t="str">
        <f ca="1">IFERROR(__xludf.DUMMYFUNCTION("""COMPUTED_VALUE"""),"Sommelier")</f>
        <v>Sommelier</v>
      </c>
    </row>
    <row r="11883" spans="1:3" x14ac:dyDescent="0.25">
      <c r="A11883" s="2" t="str">
        <f ca="1">IFERROR(__xludf.DUMMYFUNCTION("""COMPUTED_VALUE"""),"somnium-space-cubes")</f>
        <v>somnium-space-cubes</v>
      </c>
      <c r="B11883" s="2" t="str">
        <f ca="1">IFERROR(__xludf.DUMMYFUNCTION("""COMPUTED_VALUE"""),"cube")</f>
        <v>cube</v>
      </c>
      <c r="C11883" s="2" t="str">
        <f ca="1">IFERROR(__xludf.DUMMYFUNCTION("""COMPUTED_VALUE"""),"Somnium Space CUBEs")</f>
        <v>Somnium Space CUBEs</v>
      </c>
    </row>
    <row r="11884" spans="1:3" x14ac:dyDescent="0.25">
      <c r="A11884" s="2" t="str">
        <f ca="1">IFERROR(__xludf.DUMMYFUNCTION("""COMPUTED_VALUE"""),"somon")</f>
        <v>somon</v>
      </c>
      <c r="B11884" s="2" t="str">
        <f ca="1">IFERROR(__xludf.DUMMYFUNCTION("""COMPUTED_VALUE"""),"owo")</f>
        <v>owo</v>
      </c>
      <c r="C11884" s="2" t="str">
        <f ca="1">IFERROR(__xludf.DUMMYFUNCTION("""COMPUTED_VALUE"""),"SoMon")</f>
        <v>SoMon</v>
      </c>
    </row>
    <row r="11885" spans="1:3" x14ac:dyDescent="0.25">
      <c r="A11885" s="2" t="str">
        <f ca="1">IFERROR(__xludf.DUMMYFUNCTION("""COMPUTED_VALUE"""),"somps")</f>
        <v>somps</v>
      </c>
      <c r="B11885" s="2" t="str">
        <f ca="1">IFERROR(__xludf.DUMMYFUNCTION("""COMPUTED_VALUE"""),"somps")</f>
        <v>somps</v>
      </c>
      <c r="C11885" s="2" t="str">
        <f ca="1">IFERROR(__xludf.DUMMYFUNCTION("""COMPUTED_VALUE"""),"SOMPS")</f>
        <v>SOMPS</v>
      </c>
    </row>
    <row r="11886" spans="1:3" x14ac:dyDescent="0.25">
      <c r="A11886" s="2" t="str">
        <f ca="1">IFERROR(__xludf.DUMMYFUNCTION("""COMPUTED_VALUE"""),"so-much-higher")</f>
        <v>so-much-higher</v>
      </c>
      <c r="B11886" s="2" t="str">
        <f ca="1">IFERROR(__xludf.DUMMYFUNCTION("""COMPUTED_VALUE"""),"smh")</f>
        <v>smh</v>
      </c>
      <c r="C11886" s="2" t="str">
        <f ca="1">IFERROR(__xludf.DUMMYFUNCTION("""COMPUTED_VALUE"""),"So Much Higher")</f>
        <v>So Much Higher</v>
      </c>
    </row>
    <row r="11887" spans="1:3" x14ac:dyDescent="0.25">
      <c r="A11887" s="2" t="str">
        <f ca="1">IFERROR(__xludf.DUMMYFUNCTION("""COMPUTED_VALUE"""),"sonar-systems")</f>
        <v>sonar-systems</v>
      </c>
      <c r="B11887" s="2" t="str">
        <f ca="1">IFERROR(__xludf.DUMMYFUNCTION("""COMPUTED_VALUE"""),"sonar")</f>
        <v>sonar</v>
      </c>
      <c r="C11887" s="2" t="str">
        <f ca="1">IFERROR(__xludf.DUMMYFUNCTION("""COMPUTED_VALUE"""),"Sonar Systems")</f>
        <v>Sonar Systems</v>
      </c>
    </row>
    <row r="11888" spans="1:3" x14ac:dyDescent="0.25">
      <c r="A11888" s="2" t="str">
        <f ca="1">IFERROR(__xludf.DUMMYFUNCTION("""COMPUTED_VALUE"""),"sonarwatch")</f>
        <v>sonarwatch</v>
      </c>
      <c r="B11888" s="2" t="str">
        <f ca="1">IFERROR(__xludf.DUMMYFUNCTION("""COMPUTED_VALUE"""),"sonar")</f>
        <v>sonar</v>
      </c>
      <c r="C11888" s="2" t="str">
        <f ca="1">IFERROR(__xludf.DUMMYFUNCTION("""COMPUTED_VALUE"""),"SonarWatch")</f>
        <v>SonarWatch</v>
      </c>
    </row>
    <row r="11889" spans="1:3" x14ac:dyDescent="0.25">
      <c r="A11889" s="2" t="str">
        <f ca="1">IFERROR(__xludf.DUMMYFUNCTION("""COMPUTED_VALUE"""),"sonata-network")</f>
        <v>sonata-network</v>
      </c>
      <c r="B11889" s="2" t="str">
        <f ca="1">IFERROR(__xludf.DUMMYFUNCTION("""COMPUTED_VALUE"""),"sona")</f>
        <v>sona</v>
      </c>
      <c r="C11889" s="2" t="str">
        <f ca="1">IFERROR(__xludf.DUMMYFUNCTION("""COMPUTED_VALUE"""),"Sonata Network")</f>
        <v>Sonata Network</v>
      </c>
    </row>
    <row r="11890" spans="1:3" x14ac:dyDescent="0.25">
      <c r="A11890" s="2" t="str">
        <f ca="1">IFERROR(__xludf.DUMMYFUNCTION("""COMPUTED_VALUE"""),"songbird")</f>
        <v>songbird</v>
      </c>
      <c r="B11890" s="2" t="str">
        <f ca="1">IFERROR(__xludf.DUMMYFUNCTION("""COMPUTED_VALUE"""),"sgb")</f>
        <v>sgb</v>
      </c>
      <c r="C11890" s="2" t="str">
        <f ca="1">IFERROR(__xludf.DUMMYFUNCTION("""COMPUTED_VALUE"""),"Songbird")</f>
        <v>Songbird</v>
      </c>
    </row>
    <row r="11891" spans="1:3" x14ac:dyDescent="0.25">
      <c r="A11891" s="2" t="str">
        <f ca="1">IFERROR(__xludf.DUMMYFUNCTION("""COMPUTED_VALUE"""),"songbird-finance")</f>
        <v>songbird-finance</v>
      </c>
      <c r="B11891" s="2" t="str">
        <f ca="1">IFERROR(__xludf.DUMMYFUNCTION("""COMPUTED_VALUE"""),"sfin")</f>
        <v>sfin</v>
      </c>
      <c r="C11891" s="2" t="str">
        <f ca="1">IFERROR(__xludf.DUMMYFUNCTION("""COMPUTED_VALUE"""),"Songbird Finance")</f>
        <v>Songbird Finance</v>
      </c>
    </row>
    <row r="11892" spans="1:3" x14ac:dyDescent="0.25">
      <c r="A11892" s="2" t="str">
        <f ca="1">IFERROR(__xludf.DUMMYFUNCTION("""COMPUTED_VALUE"""),"sonic-2")</f>
        <v>sonic-2</v>
      </c>
      <c r="B11892" s="2" t="str">
        <f ca="1">IFERROR(__xludf.DUMMYFUNCTION("""COMPUTED_VALUE"""),"sonic")</f>
        <v>sonic</v>
      </c>
      <c r="C11892" s="2" t="str">
        <f ca="1">IFERROR(__xludf.DUMMYFUNCTION("""COMPUTED_VALUE"""),"Sonic")</f>
        <v>Sonic</v>
      </c>
    </row>
    <row r="11893" spans="1:3" x14ac:dyDescent="0.25">
      <c r="A11893" s="2" t="str">
        <f ca="1">IFERROR(__xludf.DUMMYFUNCTION("""COMPUTED_VALUE"""),"sonic-3")</f>
        <v>sonic-3</v>
      </c>
      <c r="B11893" s="2" t="str">
        <f ca="1">IFERROR(__xludf.DUMMYFUNCTION("""COMPUTED_VALUE"""),"s")</f>
        <v>s</v>
      </c>
      <c r="C11893" s="2" t="str">
        <f ca="1">IFERROR(__xludf.DUMMYFUNCTION("""COMPUTED_VALUE"""),"Sonic")</f>
        <v>Sonic</v>
      </c>
    </row>
    <row r="11894" spans="1:3" x14ac:dyDescent="0.25">
      <c r="A11894" s="2" t="str">
        <f ca="1">IFERROR(__xludf.DUMMYFUNCTION("""COMPUTED_VALUE"""),"sonic-goat")</f>
        <v>sonic-goat</v>
      </c>
      <c r="B11894" s="2" t="str">
        <f ca="1">IFERROR(__xludf.DUMMYFUNCTION("""COMPUTED_VALUE"""),"sgoat")</f>
        <v>sgoat</v>
      </c>
      <c r="C11894" s="2" t="str">
        <f ca="1">IFERROR(__xludf.DUMMYFUNCTION("""COMPUTED_VALUE"""),"Sonic Goat")</f>
        <v>Sonic Goat</v>
      </c>
    </row>
    <row r="11895" spans="1:3" x14ac:dyDescent="0.25">
      <c r="A11895" s="2" t="str">
        <f ca="1">IFERROR(__xludf.DUMMYFUNCTION("""COMPUTED_VALUE"""),"sonic-inu")</f>
        <v>sonic-inu</v>
      </c>
      <c r="B11895" s="2" t="str">
        <f ca="1">IFERROR(__xludf.DUMMYFUNCTION("""COMPUTED_VALUE"""),"sonic")</f>
        <v>sonic</v>
      </c>
      <c r="C11895" s="2" t="str">
        <f ca="1">IFERROR(__xludf.DUMMYFUNCTION("""COMPUTED_VALUE"""),"Sonic Inu")</f>
        <v>Sonic Inu</v>
      </c>
    </row>
    <row r="11896" spans="1:3" x14ac:dyDescent="0.25">
      <c r="A11896" s="2" t="str">
        <f ca="1">IFERROR(__xludf.DUMMYFUNCTION("""COMPUTED_VALUE"""),"sonic-snipe-bot")</f>
        <v>sonic-snipe-bot</v>
      </c>
      <c r="B11896" s="2" t="str">
        <f ca="1">IFERROR(__xludf.DUMMYFUNCTION("""COMPUTED_VALUE"""),"sonic")</f>
        <v>sonic</v>
      </c>
      <c r="C11896" s="2" t="str">
        <f ca="1">IFERROR(__xludf.DUMMYFUNCTION("""COMPUTED_VALUE"""),"Sonic Snipe Bot")</f>
        <v>Sonic Snipe Bot</v>
      </c>
    </row>
    <row r="11897" spans="1:3" x14ac:dyDescent="0.25">
      <c r="A11897" s="2" t="str">
        <f ca="1">IFERROR(__xludf.DUMMYFUNCTION("""COMPUTED_VALUE"""),"sonic-sniper-bot")</f>
        <v>sonic-sniper-bot</v>
      </c>
      <c r="B11897" s="2" t="str">
        <f ca="1">IFERROR(__xludf.DUMMYFUNCTION("""COMPUTED_VALUE"""),"sonic")</f>
        <v>sonic</v>
      </c>
      <c r="C11897" s="2" t="str">
        <f ca="1">IFERROR(__xludf.DUMMYFUNCTION("""COMPUTED_VALUE"""),"Sonic Sniper BOT")</f>
        <v>Sonic Sniper BOT</v>
      </c>
    </row>
    <row r="11898" spans="1:3" x14ac:dyDescent="0.25">
      <c r="A11898" s="2" t="str">
        <f ca="1">IFERROR(__xludf.DUMMYFUNCTION("""COMPUTED_VALUE"""),"sonic-solana")</f>
        <v>sonic-solana</v>
      </c>
      <c r="B11898" s="2" t="str">
        <f ca="1">IFERROR(__xludf.DUMMYFUNCTION("""COMPUTED_VALUE"""),"sonic")</f>
        <v>sonic</v>
      </c>
      <c r="C11898" s="2" t="str">
        <f ca="1">IFERROR(__xludf.DUMMYFUNCTION("""COMPUTED_VALUE"""),"Sonic Solana")</f>
        <v>Sonic Solana</v>
      </c>
    </row>
    <row r="11899" spans="1:3" x14ac:dyDescent="0.25">
      <c r="A11899" s="2" t="str">
        <f ca="1">IFERROR(__xludf.DUMMYFUNCTION("""COMPUTED_VALUE"""),"sonic-suite")</f>
        <v>sonic-suite</v>
      </c>
      <c r="B11899" s="2" t="str">
        <f ca="1">IFERROR(__xludf.DUMMYFUNCTION("""COMPUTED_VALUE"""),"sonic")</f>
        <v>sonic</v>
      </c>
      <c r="C11899" s="2" t="str">
        <f ca="1">IFERROR(__xludf.DUMMYFUNCTION("""COMPUTED_VALUE"""),"Sonic Suite")</f>
        <v>Sonic Suite</v>
      </c>
    </row>
    <row r="11900" spans="1:3" x14ac:dyDescent="0.25">
      <c r="A11900" s="2" t="str">
        <f ca="1">IFERROR(__xludf.DUMMYFUNCTION("""COMPUTED_VALUE"""),"sonic-the-goat")</f>
        <v>sonic-the-goat</v>
      </c>
      <c r="B11900" s="2" t="str">
        <f ca="1">IFERROR(__xludf.DUMMYFUNCTION("""COMPUTED_VALUE"""),"goat")</f>
        <v>goat</v>
      </c>
      <c r="C11900" s="2" t="str">
        <f ca="1">IFERROR(__xludf.DUMMYFUNCTION("""COMPUTED_VALUE"""),"Sonic The Goat")</f>
        <v>Sonic The Goat</v>
      </c>
    </row>
    <row r="11901" spans="1:3" x14ac:dyDescent="0.25">
      <c r="A11901" s="2" t="str">
        <f ca="1">IFERROR(__xludf.DUMMYFUNCTION("""COMPUTED_VALUE"""),"sonicwifhat")</f>
        <v>sonicwifhat</v>
      </c>
      <c r="B11901" s="2" t="str">
        <f ca="1">IFERROR(__xludf.DUMMYFUNCTION("""COMPUTED_VALUE"""),"sonicwif")</f>
        <v>sonicwif</v>
      </c>
      <c r="C11901" s="2" t="str">
        <f ca="1">IFERROR(__xludf.DUMMYFUNCTION("""COMPUTED_VALUE"""),"SonicWifHat")</f>
        <v>SonicWifHat</v>
      </c>
    </row>
    <row r="11902" spans="1:3" x14ac:dyDescent="0.25">
      <c r="A11902" s="2" t="str">
        <f ca="1">IFERROR(__xludf.DUMMYFUNCTION("""COMPUTED_VALUE"""),"sonik")</f>
        <v>sonik</v>
      </c>
      <c r="B11902" s="2" t="str">
        <f ca="1">IFERROR(__xludf.DUMMYFUNCTION("""COMPUTED_VALUE"""),"sonik")</f>
        <v>sonik</v>
      </c>
      <c r="C11902" s="2" t="str">
        <f ca="1">IFERROR(__xludf.DUMMYFUNCTION("""COMPUTED_VALUE"""),"SONIK")</f>
        <v>SONIK</v>
      </c>
    </row>
    <row r="11903" spans="1:3" x14ac:dyDescent="0.25">
      <c r="A11903" s="2" t="str">
        <f ca="1">IFERROR(__xludf.DUMMYFUNCTION("""COMPUTED_VALUE"""),"sonm")</f>
        <v>sonm</v>
      </c>
      <c r="B11903" s="2" t="str">
        <f ca="1">IFERROR(__xludf.DUMMYFUNCTION("""COMPUTED_VALUE"""),"snm")</f>
        <v>snm</v>
      </c>
      <c r="C11903" s="2" t="str">
        <f ca="1">IFERROR(__xludf.DUMMYFUNCTION("""COMPUTED_VALUE"""),"SONM")</f>
        <v>SONM</v>
      </c>
    </row>
    <row r="11904" spans="1:3" x14ac:dyDescent="0.25">
      <c r="A11904" s="2" t="str">
        <f ca="1">IFERROR(__xludf.DUMMYFUNCTION("""COMPUTED_VALUE"""),"sonne-finance")</f>
        <v>sonne-finance</v>
      </c>
      <c r="B11904" s="2" t="str">
        <f ca="1">IFERROR(__xludf.DUMMYFUNCTION("""COMPUTED_VALUE"""),"sonne")</f>
        <v>sonne</v>
      </c>
      <c r="C11904" s="2" t="str">
        <f ca="1">IFERROR(__xludf.DUMMYFUNCTION("""COMPUTED_VALUE"""),"Sonne Finance")</f>
        <v>Sonne Finance</v>
      </c>
    </row>
    <row r="11905" spans="1:3" x14ac:dyDescent="0.25">
      <c r="A11905" s="2" t="str">
        <f ca="1">IFERROR(__xludf.DUMMYFUNCTION("""COMPUTED_VALUE"""),"son-of-brett")</f>
        <v>son-of-brett</v>
      </c>
      <c r="B11905" s="2" t="str">
        <f ca="1">IFERROR(__xludf.DUMMYFUNCTION("""COMPUTED_VALUE"""),"bratt")</f>
        <v>bratt</v>
      </c>
      <c r="C11905" s="2" t="str">
        <f ca="1">IFERROR(__xludf.DUMMYFUNCTION("""COMPUTED_VALUE"""),"Son of Brett")</f>
        <v>Son of Brett</v>
      </c>
    </row>
    <row r="11906" spans="1:3" x14ac:dyDescent="0.25">
      <c r="A11906" s="2" t="str">
        <f ca="1">IFERROR(__xludf.DUMMYFUNCTION("""COMPUTED_VALUE"""),"sonorc")</f>
        <v>sonorc</v>
      </c>
      <c r="B11906" s="2" t="str">
        <f ca="1">IFERROR(__xludf.DUMMYFUNCTION("""COMPUTED_VALUE"""),"sonorc")</f>
        <v>sonorc</v>
      </c>
      <c r="C11906" s="2" t="str">
        <f ca="1">IFERROR(__xludf.DUMMYFUNCTION("""COMPUTED_VALUE"""),"Sonorc")</f>
        <v>Sonorc</v>
      </c>
    </row>
    <row r="11907" spans="1:3" x14ac:dyDescent="0.25">
      <c r="A11907" s="2" t="str">
        <f ca="1">IFERROR(__xludf.DUMMYFUNCTION("""COMPUTED_VALUE"""),"sonorus")</f>
        <v>sonorus</v>
      </c>
      <c r="B11907" s="2" t="str">
        <f ca="1">IFERROR(__xludf.DUMMYFUNCTION("""COMPUTED_VALUE"""),"sns")</f>
        <v>sns</v>
      </c>
      <c r="C11907" s="2" t="str">
        <f ca="1">IFERROR(__xludf.DUMMYFUNCTION("""COMPUTED_VALUE"""),"Sonorus")</f>
        <v>Sonorus</v>
      </c>
    </row>
    <row r="11908" spans="1:3" x14ac:dyDescent="0.25">
      <c r="A11908" s="2" t="str">
        <f ca="1">IFERROR(__xludf.DUMMYFUNCTION("""COMPUTED_VALUE"""),"soonswap")</f>
        <v>soonswap</v>
      </c>
      <c r="B11908" s="2" t="str">
        <f ca="1">IFERROR(__xludf.DUMMYFUNCTION("""COMPUTED_VALUE"""),"soon")</f>
        <v>soon</v>
      </c>
      <c r="C11908" s="2" t="str">
        <f ca="1">IFERROR(__xludf.DUMMYFUNCTION("""COMPUTED_VALUE"""),"SoonVerse")</f>
        <v>SoonVerse</v>
      </c>
    </row>
    <row r="11909" spans="1:3" x14ac:dyDescent="0.25">
      <c r="A11909" s="2" t="str">
        <f ca="1">IFERROR(__xludf.DUMMYFUNCTION("""COMPUTED_VALUE"""),"sopay")</f>
        <v>sopay</v>
      </c>
      <c r="B11909" s="2" t="str">
        <f ca="1">IFERROR(__xludf.DUMMYFUNCTION("""COMPUTED_VALUE"""),"sop")</f>
        <v>sop</v>
      </c>
      <c r="C11909" s="2" t="str">
        <f ca="1">IFERROR(__xludf.DUMMYFUNCTION("""COMPUTED_VALUE"""),"SoPay")</f>
        <v>SoPay</v>
      </c>
    </row>
    <row r="11910" spans="1:3" x14ac:dyDescent="0.25">
      <c r="A11910" s="2" t="str">
        <f ca="1">IFERROR(__xludf.DUMMYFUNCTION("""COMPUTED_VALUE"""),"soperme")</f>
        <v>soperme</v>
      </c>
      <c r="B11910" s="2" t="str">
        <f ca="1">IFERROR(__xludf.DUMMYFUNCTION("""COMPUTED_VALUE"""),"s")</f>
        <v>s</v>
      </c>
      <c r="C11910" s="2" t="str">
        <f ca="1">IFERROR(__xludf.DUMMYFUNCTION("""COMPUTED_VALUE"""),"Soperme")</f>
        <v>Soperme</v>
      </c>
    </row>
    <row r="11911" spans="1:3" x14ac:dyDescent="0.25">
      <c r="A11911" s="2" t="str">
        <f ca="1">IFERROR(__xludf.DUMMYFUNCTION("""COMPUTED_VALUE"""),"sopermen")</f>
        <v>sopermen</v>
      </c>
      <c r="B11911" s="2" t="str">
        <f ca="1">IFERROR(__xludf.DUMMYFUNCTION("""COMPUTED_VALUE"""),"soopy")</f>
        <v>soopy</v>
      </c>
      <c r="C11911" s="2" t="str">
        <f ca="1">IFERROR(__xludf.DUMMYFUNCTION("""COMPUTED_VALUE"""),"Sopermen")</f>
        <v>Sopermen</v>
      </c>
    </row>
    <row r="11912" spans="1:3" x14ac:dyDescent="0.25">
      <c r="A11912" s="2" t="str">
        <f ca="1">IFERROR(__xludf.DUMMYFUNCTION("""COMPUTED_VALUE"""),"sophiaverse")</f>
        <v>sophiaverse</v>
      </c>
      <c r="B11912" s="2" t="str">
        <f ca="1">IFERROR(__xludf.DUMMYFUNCTION("""COMPUTED_VALUE"""),"soph")</f>
        <v>soph</v>
      </c>
      <c r="C11912" s="2" t="str">
        <f ca="1">IFERROR(__xludf.DUMMYFUNCTION("""COMPUTED_VALUE"""),"SophiaVerse")</f>
        <v>SophiaVerse</v>
      </c>
    </row>
    <row r="11913" spans="1:3" x14ac:dyDescent="0.25">
      <c r="A11913" s="2" t="str">
        <f ca="1">IFERROR(__xludf.DUMMYFUNCTION("""COMPUTED_VALUE"""),"sophon")</f>
        <v>sophon</v>
      </c>
      <c r="B11913" s="2" t="str">
        <f ca="1">IFERROR(__xludf.DUMMYFUNCTION("""COMPUTED_VALUE"""),"soph")</f>
        <v>soph</v>
      </c>
      <c r="C11913" s="2" t="str">
        <f ca="1">IFERROR(__xludf.DUMMYFUNCTION("""COMPUTED_VALUE"""),"Sophon")</f>
        <v>Sophon</v>
      </c>
    </row>
    <row r="11914" spans="1:3" x14ac:dyDescent="0.25">
      <c r="A11914" s="2" t="str">
        <f ca="1">IFERROR(__xludf.DUMMYFUNCTION("""COMPUTED_VALUE"""),"sora")</f>
        <v>sora</v>
      </c>
      <c r="B11914" s="2" t="str">
        <f ca="1">IFERROR(__xludf.DUMMYFUNCTION("""COMPUTED_VALUE"""),"xor")</f>
        <v>xor</v>
      </c>
      <c r="C11914" s="2" t="str">
        <f ca="1">IFERROR(__xludf.DUMMYFUNCTION("""COMPUTED_VALUE"""),"Sora")</f>
        <v>Sora</v>
      </c>
    </row>
    <row r="11915" spans="1:3" x14ac:dyDescent="0.25">
      <c r="A11915" s="2" t="str">
        <f ca="1">IFERROR(__xludf.DUMMYFUNCTION("""COMPUTED_VALUE"""),"sora-ai")</f>
        <v>sora-ai</v>
      </c>
      <c r="B11915" s="2" t="str">
        <f ca="1">IFERROR(__xludf.DUMMYFUNCTION("""COMPUTED_VALUE"""),"sora")</f>
        <v>sora</v>
      </c>
      <c r="C11915" s="2" t="str">
        <f ca="1">IFERROR(__xludf.DUMMYFUNCTION("""COMPUTED_VALUE"""),"Sora AI")</f>
        <v>Sora AI</v>
      </c>
    </row>
    <row r="11916" spans="1:3" x14ac:dyDescent="0.25">
      <c r="A11916" s="2" t="str">
        <f ca="1">IFERROR(__xludf.DUMMYFUNCTION("""COMPUTED_VALUE"""),"sorabtc-ordinals")</f>
        <v>sorabtc-ordinals</v>
      </c>
      <c r="B11916" s="2" t="str">
        <f ca="1">IFERROR(__xludf.DUMMYFUNCTION("""COMPUTED_VALUE"""),"sorabtc")</f>
        <v>sorabtc</v>
      </c>
      <c r="C11916" s="2" t="str">
        <f ca="1">IFERROR(__xludf.DUMMYFUNCTION("""COMPUTED_VALUE"""),"SoraBTC (Ordinals)")</f>
        <v>SoraBTC (Ordinals)</v>
      </c>
    </row>
    <row r="11917" spans="1:3" x14ac:dyDescent="0.25">
      <c r="A11917" s="2" t="str">
        <f ca="1">IFERROR(__xludf.DUMMYFUNCTION("""COMPUTED_VALUE"""),"sora-chameleon")</f>
        <v>sora-chameleon</v>
      </c>
      <c r="B11917" s="2" t="str">
        <f ca="1">IFERROR(__xludf.DUMMYFUNCTION("""COMPUTED_VALUE"""),"karma")</f>
        <v>karma</v>
      </c>
      <c r="C11917" s="2" t="str">
        <f ca="1">IFERROR(__xludf.DUMMYFUNCTION("""COMPUTED_VALUE"""),"SORA Chameleon")</f>
        <v>SORA Chameleon</v>
      </c>
    </row>
    <row r="11918" spans="1:3" x14ac:dyDescent="0.25">
      <c r="A11918" s="2" t="str">
        <f ca="1">IFERROR(__xludf.DUMMYFUNCTION("""COMPUTED_VALUE"""),"sorachancoin")</f>
        <v>sorachancoin</v>
      </c>
      <c r="B11918" s="2" t="str">
        <f ca="1">IFERROR(__xludf.DUMMYFUNCTION("""COMPUTED_VALUE"""),"sora")</f>
        <v>sora</v>
      </c>
      <c r="C11918" s="2" t="str">
        <f ca="1">IFERROR(__xludf.DUMMYFUNCTION("""COMPUTED_VALUE"""),"SorachanCoin")</f>
        <v>SorachanCoin</v>
      </c>
    </row>
    <row r="11919" spans="1:3" x14ac:dyDescent="0.25">
      <c r="A11919" s="2" t="str">
        <f ca="1">IFERROR(__xludf.DUMMYFUNCTION("""COMPUTED_VALUE"""),"sora-doge")</f>
        <v>sora-doge</v>
      </c>
      <c r="B11919" s="2" t="str">
        <f ca="1">IFERROR(__xludf.DUMMYFUNCTION("""COMPUTED_VALUE"""),"soradoge")</f>
        <v>soradoge</v>
      </c>
      <c r="C11919" s="2" t="str">
        <f ca="1">IFERROR(__xludf.DUMMYFUNCTION("""COMPUTED_VALUE"""),"Sora Doge")</f>
        <v>Sora Doge</v>
      </c>
    </row>
    <row r="11920" spans="1:3" x14ac:dyDescent="0.25">
      <c r="A11920" s="2" t="str">
        <f ca="1">IFERROR(__xludf.DUMMYFUNCTION("""COMPUTED_VALUE"""),"sora-solana")</f>
        <v>sora-solana</v>
      </c>
      <c r="B11920" s="2" t="str">
        <f ca="1">IFERROR(__xludf.DUMMYFUNCTION("""COMPUTED_VALUE"""),"sora")</f>
        <v>sora</v>
      </c>
      <c r="C11920" s="2" t="str">
        <f ca="1">IFERROR(__xludf.DUMMYFUNCTION("""COMPUTED_VALUE"""),"Sora Solana")</f>
        <v>Sora Solana</v>
      </c>
    </row>
    <row r="11921" spans="1:3" x14ac:dyDescent="0.25">
      <c r="A11921" s="2" t="str">
        <f ca="1">IFERROR(__xludf.DUMMYFUNCTION("""COMPUTED_VALUE"""),"sora-synthetic-brl")</f>
        <v>sora-synthetic-brl</v>
      </c>
      <c r="B11921" s="2" t="str">
        <f ca="1">IFERROR(__xludf.DUMMYFUNCTION("""COMPUTED_VALUE"""),"xstbrl")</f>
        <v>xstbrl</v>
      </c>
      <c r="C11921" s="2" t="str">
        <f ca="1">IFERROR(__xludf.DUMMYFUNCTION("""COMPUTED_VALUE"""),"SORA Synthetic BRL")</f>
        <v>SORA Synthetic BRL</v>
      </c>
    </row>
    <row r="11922" spans="1:3" x14ac:dyDescent="0.25">
      <c r="A11922" s="2" t="str">
        <f ca="1">IFERROR(__xludf.DUMMYFUNCTION("""COMPUTED_VALUE"""),"sora-synthetic-jpy")</f>
        <v>sora-synthetic-jpy</v>
      </c>
      <c r="B11922" s="2" t="str">
        <f ca="1">IFERROR(__xludf.DUMMYFUNCTION("""COMPUTED_VALUE"""),"xstjpy")</f>
        <v>xstjpy</v>
      </c>
      <c r="C11922" s="2" t="str">
        <f ca="1">IFERROR(__xludf.DUMMYFUNCTION("""COMPUTED_VALUE"""),"SORA Synthetic JPY")</f>
        <v>SORA Synthetic JPY</v>
      </c>
    </row>
    <row r="11923" spans="1:3" x14ac:dyDescent="0.25">
      <c r="A11923" s="2" t="str">
        <f ca="1">IFERROR(__xludf.DUMMYFUNCTION("""COMPUTED_VALUE"""),"sora-synthetic-ltc")</f>
        <v>sora-synthetic-ltc</v>
      </c>
      <c r="B11923" s="2" t="str">
        <f ca="1">IFERROR(__xludf.DUMMYFUNCTION("""COMPUTED_VALUE"""),"xstltc")</f>
        <v>xstltc</v>
      </c>
      <c r="C11923" s="2" t="str">
        <f ca="1">IFERROR(__xludf.DUMMYFUNCTION("""COMPUTED_VALUE"""),"SORA Synthetic LTC")</f>
        <v>SORA Synthetic LTC</v>
      </c>
    </row>
    <row r="11924" spans="1:3" x14ac:dyDescent="0.25">
      <c r="A11924" s="2" t="str">
        <f ca="1">IFERROR(__xludf.DUMMYFUNCTION("""COMPUTED_VALUE"""),"sora-synthetic-rub")</f>
        <v>sora-synthetic-rub</v>
      </c>
      <c r="B11924" s="2" t="str">
        <f ca="1">IFERROR(__xludf.DUMMYFUNCTION("""COMPUTED_VALUE"""),"xstrub")</f>
        <v>xstrub</v>
      </c>
      <c r="C11924" s="2" t="str">
        <f ca="1">IFERROR(__xludf.DUMMYFUNCTION("""COMPUTED_VALUE"""),"SORA Synthetic RUB")</f>
        <v>SORA Synthetic RUB</v>
      </c>
    </row>
    <row r="11925" spans="1:3" x14ac:dyDescent="0.25">
      <c r="A11925" s="2" t="str">
        <f ca="1">IFERROR(__xludf.DUMMYFUNCTION("""COMPUTED_VALUE"""),"sora-synthetic-usd")</f>
        <v>sora-synthetic-usd</v>
      </c>
      <c r="B11925" s="2" t="str">
        <f ca="1">IFERROR(__xludf.DUMMYFUNCTION("""COMPUTED_VALUE"""),"xstusd")</f>
        <v>xstusd</v>
      </c>
      <c r="C11925" s="2" t="str">
        <f ca="1">IFERROR(__xludf.DUMMYFUNCTION("""COMPUTED_VALUE"""),"SORA Synthetic USD")</f>
        <v>SORA Synthetic USD</v>
      </c>
    </row>
    <row r="11926" spans="1:3" x14ac:dyDescent="0.25">
      <c r="A11926" s="2" t="str">
        <f ca="1">IFERROR(__xludf.DUMMYFUNCTION("""COMPUTED_VALUE"""),"sora-synthetic-xag")</f>
        <v>sora-synthetic-xag</v>
      </c>
      <c r="B11926" s="2" t="str">
        <f ca="1">IFERROR(__xludf.DUMMYFUNCTION("""COMPUTED_VALUE"""),"xstxag")</f>
        <v>xstxag</v>
      </c>
      <c r="C11926" s="2" t="str">
        <f ca="1">IFERROR(__xludf.DUMMYFUNCTION("""COMPUTED_VALUE"""),"SORA Synthetic XAG")</f>
        <v>SORA Synthetic XAG</v>
      </c>
    </row>
    <row r="11927" spans="1:3" x14ac:dyDescent="0.25">
      <c r="A11927" s="2" t="str">
        <f ca="1">IFERROR(__xludf.DUMMYFUNCTION("""COMPUTED_VALUE"""),"sora-validator-token")</f>
        <v>sora-validator-token</v>
      </c>
      <c r="B11927" s="2" t="str">
        <f ca="1">IFERROR(__xludf.DUMMYFUNCTION("""COMPUTED_VALUE"""),"val")</f>
        <v>val</v>
      </c>
      <c r="C11927" s="2" t="str">
        <f ca="1">IFERROR(__xludf.DUMMYFUNCTION("""COMPUTED_VALUE"""),"Sora Validator")</f>
        <v>Sora Validator</v>
      </c>
    </row>
    <row r="11928" spans="1:3" x14ac:dyDescent="0.25">
      <c r="A11928" s="2" t="str">
        <f ca="1">IFERROR(__xludf.DUMMYFUNCTION("""COMPUTED_VALUE"""),"sorcery-finance")</f>
        <v>sorcery-finance</v>
      </c>
      <c r="B11928" s="2" t="str">
        <f ca="1">IFERROR(__xludf.DUMMYFUNCTION("""COMPUTED_VALUE"""),"sor")</f>
        <v>sor</v>
      </c>
      <c r="C11928" s="2" t="str">
        <f ca="1">IFERROR(__xludf.DUMMYFUNCTION("""COMPUTED_VALUE"""),"Sorcery Finance")</f>
        <v>Sorcery Finance</v>
      </c>
    </row>
    <row r="11929" spans="1:3" x14ac:dyDescent="0.25">
      <c r="A11929" s="2" t="str">
        <f ca="1">IFERROR(__xludf.DUMMYFUNCTION("""COMPUTED_VALUE"""),"soroosh-smart-ecosystem")</f>
        <v>soroosh-smart-ecosystem</v>
      </c>
      <c r="B11929" s="2" t="str">
        <f ca="1">IFERROR(__xludf.DUMMYFUNCTION("""COMPUTED_VALUE"""),"sse")</f>
        <v>sse</v>
      </c>
      <c r="C11929" s="2" t="str">
        <f ca="1">IFERROR(__xludf.DUMMYFUNCTION("""COMPUTED_VALUE"""),"Soroosh Smart Ecosystem")</f>
        <v>Soroosh Smart Ecosystem</v>
      </c>
    </row>
    <row r="11930" spans="1:3" x14ac:dyDescent="0.25">
      <c r="A11930" s="2" t="str">
        <f ca="1">IFERROR(__xludf.DUMMYFUNCTION("""COMPUTED_VALUE"""),"soros")</f>
        <v>soros</v>
      </c>
      <c r="B11930" s="2" t="str">
        <f ca="1">IFERROR(__xludf.DUMMYFUNCTION("""COMPUTED_VALUE"""),"sor")</f>
        <v>sor</v>
      </c>
      <c r="C11930" s="2" t="str">
        <f ca="1">IFERROR(__xludf.DUMMYFUNCTION("""COMPUTED_VALUE"""),"Soros")</f>
        <v>Soros</v>
      </c>
    </row>
    <row r="11931" spans="1:3" x14ac:dyDescent="0.25">
      <c r="A11931" s="2" t="str">
        <f ca="1">IFERROR(__xludf.DUMMYFUNCTION("""COMPUTED_VALUE"""),"souiland")</f>
        <v>souiland</v>
      </c>
      <c r="B11931" s="2" t="str">
        <f ca="1">IFERROR(__xludf.DUMMYFUNCTION("""COMPUTED_VALUE"""),"slt")</f>
        <v>slt</v>
      </c>
      <c r="C11931" s="2" t="str">
        <f ca="1">IFERROR(__xludf.DUMMYFUNCTION("""COMPUTED_VALUE"""),"SouILand")</f>
        <v>SouILand</v>
      </c>
    </row>
    <row r="11932" spans="1:3" x14ac:dyDescent="0.25">
      <c r="A11932" s="2" t="str">
        <f ca="1">IFERROR(__xludf.DUMMYFUNCTION("""COMPUTED_VALUE"""),"soulboundid")</f>
        <v>soulboundid</v>
      </c>
      <c r="B11932" s="2" t="str">
        <f ca="1">IFERROR(__xludf.DUMMYFUNCTION("""COMPUTED_VALUE"""),"soulb")</f>
        <v>soulb</v>
      </c>
      <c r="C11932" s="2" t="str">
        <f ca="1">IFERROR(__xludf.DUMMYFUNCTION("""COMPUTED_VALUE"""),"SoulboundID")</f>
        <v>SoulboundID</v>
      </c>
    </row>
    <row r="11933" spans="1:3" x14ac:dyDescent="0.25">
      <c r="A11933" s="2" t="str">
        <f ca="1">IFERROR(__xludf.DUMMYFUNCTION("""COMPUTED_VALUE"""),"soul-dog-city-bones")</f>
        <v>soul-dog-city-bones</v>
      </c>
      <c r="B11933" s="2" t="str">
        <f ca="1">IFERROR(__xludf.DUMMYFUNCTION("""COMPUTED_VALUE"""),"bones")</f>
        <v>bones</v>
      </c>
      <c r="C11933" s="2" t="str">
        <f ca="1">IFERROR(__xludf.DUMMYFUNCTION("""COMPUTED_VALUE"""),"Soul Dogs City Bones")</f>
        <v>Soul Dogs City Bones</v>
      </c>
    </row>
    <row r="11934" spans="1:3" x14ac:dyDescent="0.25">
      <c r="A11934" s="2" t="str">
        <f ca="1">IFERROR(__xludf.DUMMYFUNCTION("""COMPUTED_VALUE"""),"soulja-coin")</f>
        <v>soulja-coin</v>
      </c>
      <c r="B11934" s="2" t="str">
        <f ca="1">IFERROR(__xludf.DUMMYFUNCTION("""COMPUTED_VALUE"""),"sboy")</f>
        <v>sboy</v>
      </c>
      <c r="C11934" s="2" t="str">
        <f ca="1">IFERROR(__xludf.DUMMYFUNCTION("""COMPUTED_VALUE"""),"Soulja Coin")</f>
        <v>Soulja Coin</v>
      </c>
    </row>
    <row r="11935" spans="1:3" x14ac:dyDescent="0.25">
      <c r="A11935" s="2" t="str">
        <f ca="1">IFERROR(__xludf.DUMMYFUNCTION("""COMPUTED_VALUE"""),"soulocoin")</f>
        <v>soulocoin</v>
      </c>
      <c r="B11935" s="2" t="str">
        <f ca="1">IFERROR(__xludf.DUMMYFUNCTION("""COMPUTED_VALUE"""),"soulo")</f>
        <v>soulo</v>
      </c>
      <c r="C11935" s="2" t="str">
        <f ca="1">IFERROR(__xludf.DUMMYFUNCTION("""COMPUTED_VALUE"""),"SouloCoin")</f>
        <v>SouloCoin</v>
      </c>
    </row>
    <row r="11936" spans="1:3" x14ac:dyDescent="0.25">
      <c r="A11936" s="2" t="str">
        <f ca="1">IFERROR(__xludf.DUMMYFUNCTION("""COMPUTED_VALUE"""),"soulsaver")</f>
        <v>soulsaver</v>
      </c>
      <c r="B11936" s="2" t="str">
        <f ca="1">IFERROR(__xludf.DUMMYFUNCTION("""COMPUTED_VALUE"""),"soul")</f>
        <v>soul</v>
      </c>
      <c r="C11936" s="2" t="str">
        <f ca="1">IFERROR(__xludf.DUMMYFUNCTION("""COMPUTED_VALUE"""),"Soulsaver")</f>
        <v>Soulsaver</v>
      </c>
    </row>
    <row r="11937" spans="1:3" x14ac:dyDescent="0.25">
      <c r="A11937" s="2" t="str">
        <f ca="1">IFERROR(__xludf.DUMMYFUNCTION("""COMPUTED_VALUE"""),"soul-scanner")</f>
        <v>soul-scanner</v>
      </c>
      <c r="B11937" s="2" t="str">
        <f ca="1">IFERROR(__xludf.DUMMYFUNCTION("""COMPUTED_VALUE"""),"soul")</f>
        <v>soul</v>
      </c>
      <c r="C11937" s="2" t="str">
        <f ca="1">IFERROR(__xludf.DUMMYFUNCTION("""COMPUTED_VALUE"""),"Soul Scanner")</f>
        <v>Soul Scanner</v>
      </c>
    </row>
    <row r="11938" spans="1:3" x14ac:dyDescent="0.25">
      <c r="A11938" s="2" t="str">
        <f ca="1">IFERROR(__xludf.DUMMYFUNCTION("""COMPUTED_VALUE"""),"soul-society")</f>
        <v>soul-society</v>
      </c>
      <c r="B11938" s="2" t="str">
        <f ca="1">IFERROR(__xludf.DUMMYFUNCTION("""COMPUTED_VALUE"""),"hon")</f>
        <v>hon</v>
      </c>
      <c r="C11938" s="2" t="str">
        <f ca="1">IFERROR(__xludf.DUMMYFUNCTION("""COMPUTED_VALUE"""),"Soul Society")</f>
        <v>Soul Society</v>
      </c>
    </row>
    <row r="11939" spans="1:3" x14ac:dyDescent="0.25">
      <c r="A11939" s="2" t="str">
        <f ca="1">IFERROR(__xludf.DUMMYFUNCTION("""COMPUTED_VALUE"""),"soul-swap")</f>
        <v>soul-swap</v>
      </c>
      <c r="B11939" s="2" t="str">
        <f ca="1">IFERROR(__xludf.DUMMYFUNCTION("""COMPUTED_VALUE"""),"soul")</f>
        <v>soul</v>
      </c>
      <c r="C11939" s="2" t="str">
        <f ca="1">IFERROR(__xludf.DUMMYFUNCTION("""COMPUTED_VALUE"""),"Soul Swap")</f>
        <v>Soul Swap</v>
      </c>
    </row>
    <row r="11940" spans="1:3" x14ac:dyDescent="0.25">
      <c r="A11940" s="2" t="str">
        <f ca="1">IFERROR(__xludf.DUMMYFUNCTION("""COMPUTED_VALUE"""),"sound-linx")</f>
        <v>sound-linx</v>
      </c>
      <c r="B11940" s="2" t="str">
        <f ca="1">IFERROR(__xludf.DUMMYFUNCTION("""COMPUTED_VALUE"""),"sdlx")</f>
        <v>sdlx</v>
      </c>
      <c r="C11940" s="2" t="str">
        <f ca="1">IFERROR(__xludf.DUMMYFUNCTION("""COMPUTED_VALUE"""),"SoundLinX")</f>
        <v>SoundLinX</v>
      </c>
    </row>
    <row r="11941" spans="1:3" x14ac:dyDescent="0.25">
      <c r="A11941" s="2" t="str">
        <f ca="1">IFERROR(__xludf.DUMMYFUNCTION("""COMPUTED_VALUE"""),"souni-token")</f>
        <v>souni-token</v>
      </c>
      <c r="B11941" s="2" t="str">
        <f ca="1">IFERROR(__xludf.DUMMYFUNCTION("""COMPUTED_VALUE"""),"son")</f>
        <v>son</v>
      </c>
      <c r="C11941" s="2" t="str">
        <f ca="1">IFERROR(__xludf.DUMMYFUNCTION("""COMPUTED_VALUE"""),"Souni")</f>
        <v>Souni</v>
      </c>
    </row>
    <row r="11942" spans="1:3" x14ac:dyDescent="0.25">
      <c r="A11942" s="2" t="str">
        <f ca="1">IFERROR(__xludf.DUMMYFUNCTION("""COMPUTED_VALUE"""),"soup-finance")</f>
        <v>soup-finance</v>
      </c>
      <c r="B11942" s="2" t="str">
        <f ca="1">IFERROR(__xludf.DUMMYFUNCTION("""COMPUTED_VALUE"""),"soup")</f>
        <v>soup</v>
      </c>
      <c r="C11942" s="2" t="str">
        <f ca="1">IFERROR(__xludf.DUMMYFUNCTION("""COMPUTED_VALUE"""),"Soup Finance")</f>
        <v>Soup Finance</v>
      </c>
    </row>
    <row r="11943" spans="1:3" x14ac:dyDescent="0.25">
      <c r="A11943" s="2" t="str">
        <f ca="1">IFERROR(__xludf.DUMMYFUNCTION("""COMPUTED_VALUE"""),"source")</f>
        <v>source</v>
      </c>
      <c r="B11943" s="2" t="str">
        <f ca="1">IFERROR(__xludf.DUMMYFUNCTION("""COMPUTED_VALUE"""),"source")</f>
        <v>source</v>
      </c>
      <c r="C11943" s="2" t="str">
        <f ca="1">IFERROR(__xludf.DUMMYFUNCTION("""COMPUTED_VALUE"""),"Source")</f>
        <v>Source</v>
      </c>
    </row>
    <row r="11944" spans="1:3" x14ac:dyDescent="0.25">
      <c r="A11944" s="2" t="str">
        <f ca="1">IFERROR(__xludf.DUMMYFUNCTION("""COMPUTED_VALUE"""),"south-korea-coin")</f>
        <v>south-korea-coin</v>
      </c>
      <c r="B11944" s="2" t="str">
        <f ca="1">IFERROR(__xludf.DUMMYFUNCTION("""COMPUTED_VALUE"""),"korea")</f>
        <v>korea</v>
      </c>
      <c r="C11944" s="2" t="str">
        <f ca="1">IFERROR(__xludf.DUMMYFUNCTION("""COMPUTED_VALUE"""),"South Korea Coin")</f>
        <v>South Korea Coin</v>
      </c>
    </row>
    <row r="11945" spans="1:3" x14ac:dyDescent="0.25">
      <c r="A11945" s="2" t="str">
        <f ca="1">IFERROR(__xludf.DUMMYFUNCTION("""COMPUTED_VALUE"""),"sovryn")</f>
        <v>sovryn</v>
      </c>
      <c r="B11945" s="2" t="str">
        <f ca="1">IFERROR(__xludf.DUMMYFUNCTION("""COMPUTED_VALUE"""),"sov")</f>
        <v>sov</v>
      </c>
      <c r="C11945" s="2" t="str">
        <f ca="1">IFERROR(__xludf.DUMMYFUNCTION("""COMPUTED_VALUE"""),"Sovryn")</f>
        <v>Sovryn</v>
      </c>
    </row>
    <row r="11946" spans="1:3" x14ac:dyDescent="0.25">
      <c r="A11946" s="2" t="str">
        <f ca="1">IFERROR(__xludf.DUMMYFUNCTION("""COMPUTED_VALUE"""),"sovryn-dollar")</f>
        <v>sovryn-dollar</v>
      </c>
      <c r="B11946" s="2" t="str">
        <f ca="1">IFERROR(__xludf.DUMMYFUNCTION("""COMPUTED_VALUE"""),"dllr")</f>
        <v>dllr</v>
      </c>
      <c r="C11946" s="2" t="str">
        <f ca="1">IFERROR(__xludf.DUMMYFUNCTION("""COMPUTED_VALUE"""),"Sovryn Dollar")</f>
        <v>Sovryn Dollar</v>
      </c>
    </row>
    <row r="11947" spans="1:3" x14ac:dyDescent="0.25">
      <c r="A11947" s="2" t="str">
        <f ca="1">IFERROR(__xludf.DUMMYFUNCTION("""COMPUTED_VALUE"""),"sowa-ai")</f>
        <v>sowa-ai</v>
      </c>
      <c r="B11947" s="2" t="str">
        <f ca="1">IFERROR(__xludf.DUMMYFUNCTION("""COMPUTED_VALUE"""),"sowa")</f>
        <v>sowa</v>
      </c>
      <c r="C11947" s="2" t="str">
        <f ca="1">IFERROR(__xludf.DUMMYFUNCTION("""COMPUTED_VALUE"""),"Sowa AI")</f>
        <v>Sowa AI</v>
      </c>
    </row>
    <row r="11948" spans="1:3" x14ac:dyDescent="0.25">
      <c r="A11948" s="2" t="str">
        <f ca="1">IFERROR(__xludf.DUMMYFUNCTION("""COMPUTED_VALUE"""),"sowaka")</f>
        <v>sowaka</v>
      </c>
      <c r="B11948" s="2" t="str">
        <f ca="1">IFERROR(__xludf.DUMMYFUNCTION("""COMPUTED_VALUE"""),"swk")</f>
        <v>swk</v>
      </c>
      <c r="C11948" s="2" t="str">
        <f ca="1">IFERROR(__xludf.DUMMYFUNCTION("""COMPUTED_VALUE"""),"Sowaka")</f>
        <v>Sowaka</v>
      </c>
    </row>
    <row r="11949" spans="1:3" x14ac:dyDescent="0.25">
      <c r="A11949" s="2" t="str">
        <f ca="1">IFERROR(__xludf.DUMMYFUNCTION("""COMPUTED_VALUE"""),"soyjak")</f>
        <v>soyjak</v>
      </c>
      <c r="B11949" s="2" t="str">
        <f ca="1">IFERROR(__xludf.DUMMYFUNCTION("""COMPUTED_VALUE"""),"soy")</f>
        <v>soy</v>
      </c>
      <c r="C11949" s="2" t="str">
        <f ca="1">IFERROR(__xludf.DUMMYFUNCTION("""COMPUTED_VALUE"""),"Soyjak")</f>
        <v>Soyjak</v>
      </c>
    </row>
    <row r="11950" spans="1:3" x14ac:dyDescent="0.25">
      <c r="A11950" s="2" t="str">
        <f ca="1">IFERROR(__xludf.DUMMYFUNCTION("""COMPUTED_VALUE"""),"soyjak-2")</f>
        <v>soyjak-2</v>
      </c>
      <c r="B11950" s="2" t="str">
        <f ca="1">IFERROR(__xludf.DUMMYFUNCTION("""COMPUTED_VALUE"""),"soy")</f>
        <v>soy</v>
      </c>
      <c r="C11950" s="2" t="str">
        <f ca="1">IFERROR(__xludf.DUMMYFUNCTION("""COMPUTED_VALUE"""),"Soyjak")</f>
        <v>Soyjak</v>
      </c>
    </row>
    <row r="11951" spans="1:3" x14ac:dyDescent="0.25">
      <c r="A11951" s="2" t="str">
        <f ca="1">IFERROR(__xludf.DUMMYFUNCTION("""COMPUTED_VALUE"""),"soylanamanletcaptainz")</f>
        <v>soylanamanletcaptainz</v>
      </c>
      <c r="B11951" s="2" t="str">
        <f ca="1">IFERROR(__xludf.DUMMYFUNCTION("""COMPUTED_VALUE"""),"ansem")</f>
        <v>ansem</v>
      </c>
      <c r="C11951" s="2" t="str">
        <f ca="1">IFERROR(__xludf.DUMMYFUNCTION("""COMPUTED_VALUE"""),"SoylanaManletCaptainZ")</f>
        <v>SoylanaManletCaptainZ</v>
      </c>
    </row>
    <row r="11952" spans="1:3" x14ac:dyDescent="0.25">
      <c r="A11952" s="2" t="str">
        <f ca="1">IFERROR(__xludf.DUMMYFUNCTION("""COMPUTED_VALUE"""),"spaceape")</f>
        <v>spaceape</v>
      </c>
      <c r="B11952" s="2" t="str">
        <f ca="1">IFERROR(__xludf.DUMMYFUNCTION("""COMPUTED_VALUE"""),"spaceape")</f>
        <v>spaceape</v>
      </c>
      <c r="C11952" s="2" t="str">
        <f ca="1">IFERROR(__xludf.DUMMYFUNCTION("""COMPUTED_VALUE"""),"SpaceApe")</f>
        <v>SpaceApe</v>
      </c>
    </row>
    <row r="11953" spans="1:3" x14ac:dyDescent="0.25">
      <c r="A11953" s="2" t="str">
        <f ca="1">IFERROR(__xludf.DUMMYFUNCTION("""COMPUTED_VALUE"""),"spacebar")</f>
        <v>spacebar</v>
      </c>
      <c r="B11953" s="2" t="str">
        <f ca="1">IFERROR(__xludf.DUMMYFUNCTION("""COMPUTED_VALUE"""),"air")</f>
        <v>air</v>
      </c>
      <c r="C11953" s="2" t="str">
        <f ca="1">IFERROR(__xludf.DUMMYFUNCTION("""COMPUTED_VALUE"""),"Spacebar")</f>
        <v>Spacebar</v>
      </c>
    </row>
    <row r="11954" spans="1:3" x14ac:dyDescent="0.25">
      <c r="A11954" s="2" t="str">
        <f ca="1">IFERROR(__xludf.DUMMYFUNCTION("""COMPUTED_VALUE"""),"spacecatch")</f>
        <v>spacecatch</v>
      </c>
      <c r="B11954" s="2" t="str">
        <f ca="1">IFERROR(__xludf.DUMMYFUNCTION("""COMPUTED_VALUE"""),"catch")</f>
        <v>catch</v>
      </c>
      <c r="C11954" s="2" t="str">
        <f ca="1">IFERROR(__xludf.DUMMYFUNCTION("""COMPUTED_VALUE"""),"SpaceCatch")</f>
        <v>SpaceCatch</v>
      </c>
    </row>
    <row r="11955" spans="1:3" x14ac:dyDescent="0.25">
      <c r="A11955" s="2" t="str">
        <f ca="1">IFERROR(__xludf.DUMMYFUNCTION("""COMPUTED_VALUE"""),"spacechain-erc-20")</f>
        <v>spacechain-erc-20</v>
      </c>
      <c r="B11955" s="2" t="str">
        <f ca="1">IFERROR(__xludf.DUMMYFUNCTION("""COMPUTED_VALUE"""),"spc")</f>
        <v>spc</v>
      </c>
      <c r="C11955" s="2" t="str">
        <f ca="1">IFERROR(__xludf.DUMMYFUNCTION("""COMPUTED_VALUE"""),"SpaceChain (ERC-20)")</f>
        <v>SpaceChain (ERC-20)</v>
      </c>
    </row>
    <row r="11956" spans="1:3" x14ac:dyDescent="0.25">
      <c r="A11956" s="2" t="str">
        <f ca="1">IFERROR(__xludf.DUMMYFUNCTION("""COMPUTED_VALUE"""),"spacedawgs")</f>
        <v>spacedawgs</v>
      </c>
      <c r="B11956" s="2" t="str">
        <f ca="1">IFERROR(__xludf.DUMMYFUNCTION("""COMPUTED_VALUE"""),"dawgs")</f>
        <v>dawgs</v>
      </c>
      <c r="C11956" s="2" t="str">
        <f ca="1">IFERROR(__xludf.DUMMYFUNCTION("""COMPUTED_VALUE"""),"SpaceDawgs")</f>
        <v>SpaceDawgs</v>
      </c>
    </row>
    <row r="11957" spans="1:3" x14ac:dyDescent="0.25">
      <c r="A11957" s="2" t="str">
        <f ca="1">IFERROR(__xludf.DUMMYFUNCTION("""COMPUTED_VALUE"""),"spacedoge")</f>
        <v>spacedoge</v>
      </c>
      <c r="B11957" s="2" t="str">
        <f ca="1">IFERROR(__xludf.DUMMYFUNCTION("""COMPUTED_VALUE"""),"sdoge")</f>
        <v>sdoge</v>
      </c>
      <c r="C11957" s="2" t="str">
        <f ca="1">IFERROR(__xludf.DUMMYFUNCTION("""COMPUTED_VALUE"""),"SpaceDoge")</f>
        <v>SpaceDoge</v>
      </c>
    </row>
    <row r="11958" spans="1:3" x14ac:dyDescent="0.25">
      <c r="A11958" s="2" t="str">
        <f ca="1">IFERROR(__xludf.DUMMYFUNCTION("""COMPUTED_VALUE"""),"space-dog-solana")</f>
        <v>space-dog-solana</v>
      </c>
      <c r="B11958" s="2" t="str">
        <f ca="1">IFERROR(__xludf.DUMMYFUNCTION("""COMPUTED_VALUE"""),"laika")</f>
        <v>laika</v>
      </c>
      <c r="C11958" s="2" t="str">
        <f ca="1">IFERROR(__xludf.DUMMYFUNCTION("""COMPUTED_VALUE"""),"Space Dog Solana")</f>
        <v>Space Dog Solana</v>
      </c>
    </row>
    <row r="11959" spans="1:3" x14ac:dyDescent="0.25">
      <c r="A11959" s="2" t="str">
        <f ca="1">IFERROR(__xludf.DUMMYFUNCTION("""COMPUTED_VALUE"""),"spacefalcon")</f>
        <v>spacefalcon</v>
      </c>
      <c r="B11959" s="2" t="str">
        <f ca="1">IFERROR(__xludf.DUMMYFUNCTION("""COMPUTED_VALUE"""),"fcon")</f>
        <v>fcon</v>
      </c>
      <c r="C11959" s="2" t="str">
        <f ca="1">IFERROR(__xludf.DUMMYFUNCTION("""COMPUTED_VALUE"""),"SpaceFalcon")</f>
        <v>SpaceFalcon</v>
      </c>
    </row>
    <row r="11960" spans="1:3" x14ac:dyDescent="0.25">
      <c r="A11960" s="2" t="str">
        <f ca="1">IFERROR(__xludf.DUMMYFUNCTION("""COMPUTED_VALUE"""),"spacefi")</f>
        <v>spacefi</v>
      </c>
      <c r="B11960" s="2" t="str">
        <f ca="1">IFERROR(__xludf.DUMMYFUNCTION("""COMPUTED_VALUE"""),"space")</f>
        <v>space</v>
      </c>
      <c r="C11960" s="2" t="str">
        <f ca="1">IFERROR(__xludf.DUMMYFUNCTION("""COMPUTED_VALUE"""),"SpaceFi (Evmos)")</f>
        <v>SpaceFi (Evmos)</v>
      </c>
    </row>
    <row r="11961" spans="1:3" x14ac:dyDescent="0.25">
      <c r="A11961" s="2" t="str">
        <f ca="1">IFERROR(__xludf.DUMMYFUNCTION("""COMPUTED_VALUE"""),"spacefi-zksync")</f>
        <v>spacefi-zksync</v>
      </c>
      <c r="B11961" s="2" t="str">
        <f ca="1">IFERROR(__xludf.DUMMYFUNCTION("""COMPUTED_VALUE"""),"space")</f>
        <v>space</v>
      </c>
      <c r="C11961" s="2" t="str">
        <f ca="1">IFERROR(__xludf.DUMMYFUNCTION("""COMPUTED_VALUE"""),"SpaceFi")</f>
        <v>SpaceFi</v>
      </c>
    </row>
    <row r="11962" spans="1:3" x14ac:dyDescent="0.25">
      <c r="A11962" s="2" t="str">
        <f ca="1">IFERROR(__xludf.DUMMYFUNCTION("""COMPUTED_VALUE"""),"spacegoat-token")</f>
        <v>spacegoat-token</v>
      </c>
      <c r="B11962" s="2" t="str">
        <f ca="1">IFERROR(__xludf.DUMMYFUNCTION("""COMPUTED_VALUE"""),"sgt")</f>
        <v>sgt</v>
      </c>
      <c r="C11962" s="2" t="str">
        <f ca="1">IFERROR(__xludf.DUMMYFUNCTION("""COMPUTED_VALUE"""),"SpaceGoat")</f>
        <v>SpaceGoat</v>
      </c>
    </row>
    <row r="11963" spans="1:3" x14ac:dyDescent="0.25">
      <c r="A11963" s="2" t="str">
        <f ca="1">IFERROR(__xludf.DUMMYFUNCTION("""COMPUTED_VALUE"""),"space-guild-diamond-token")</f>
        <v>space-guild-diamond-token</v>
      </c>
      <c r="B11963" s="2" t="str">
        <f ca="1">IFERROR(__xludf.DUMMYFUNCTION("""COMPUTED_VALUE"""),"dnt")</f>
        <v>dnt</v>
      </c>
      <c r="C11963" s="2" t="str">
        <f ca="1">IFERROR(__xludf.DUMMYFUNCTION("""COMPUTED_VALUE"""),"Space Guild Diamond Token")</f>
        <v>Space Guild Diamond Token</v>
      </c>
    </row>
    <row r="11964" spans="1:3" x14ac:dyDescent="0.25">
      <c r="A11964" s="2" t="str">
        <f ca="1">IFERROR(__xludf.DUMMYFUNCTION("""COMPUTED_VALUE"""),"space-hamster-2")</f>
        <v>space-hamster-2</v>
      </c>
      <c r="B11964" s="2" t="str">
        <f ca="1">IFERROR(__xludf.DUMMYFUNCTION("""COMPUTED_VALUE"""),"hamster")</f>
        <v>hamster</v>
      </c>
      <c r="C11964" s="2" t="str">
        <f ca="1">IFERROR(__xludf.DUMMYFUNCTION("""COMPUTED_VALUE"""),"Space Hamster")</f>
        <v>Space Hamster</v>
      </c>
    </row>
    <row r="11965" spans="1:3" x14ac:dyDescent="0.25">
      <c r="A11965" s="2" t="str">
        <f ca="1">IFERROR(__xludf.DUMMYFUNCTION("""COMPUTED_VALUE"""),"space-id")</f>
        <v>space-id</v>
      </c>
      <c r="B11965" s="2" t="str">
        <f ca="1">IFERROR(__xludf.DUMMYFUNCTION("""COMPUTED_VALUE"""),"id")</f>
        <v>id</v>
      </c>
      <c r="C11965" s="2" t="str">
        <f ca="1">IFERROR(__xludf.DUMMYFUNCTION("""COMPUTED_VALUE"""),"SPACE ID")</f>
        <v>SPACE ID</v>
      </c>
    </row>
    <row r="11966" spans="1:3" x14ac:dyDescent="0.25">
      <c r="A11966" s="2" t="str">
        <f ca="1">IFERROR(__xludf.DUMMYFUNCTION("""COMPUTED_VALUE"""),"space-iz")</f>
        <v>space-iz</v>
      </c>
      <c r="B11966" s="2" t="str">
        <f ca="1">IFERROR(__xludf.DUMMYFUNCTION("""COMPUTED_VALUE"""),"spiz")</f>
        <v>spiz</v>
      </c>
      <c r="C11966" s="2" t="str">
        <f ca="1">IFERROR(__xludf.DUMMYFUNCTION("""COMPUTED_VALUE"""),"SPACE-iZ")</f>
        <v>SPACE-iZ</v>
      </c>
    </row>
    <row r="11967" spans="1:3" x14ac:dyDescent="0.25">
      <c r="A11967" s="2" t="str">
        <f ca="1">IFERROR(__xludf.DUMMYFUNCTION("""COMPUTED_VALUE"""),"spacelens")</f>
        <v>spacelens</v>
      </c>
      <c r="B11967" s="2" t="str">
        <f ca="1">IFERROR(__xludf.DUMMYFUNCTION("""COMPUTED_VALUE"""),"space")</f>
        <v>space</v>
      </c>
      <c r="C11967" s="2" t="str">
        <f ca="1">IFERROR(__xludf.DUMMYFUNCTION("""COMPUTED_VALUE"""),"Spacelens")</f>
        <v>Spacelens</v>
      </c>
    </row>
    <row r="11968" spans="1:3" x14ac:dyDescent="0.25">
      <c r="A11968" s="2" t="str">
        <f ca="1">IFERROR(__xludf.DUMMYFUNCTION("""COMPUTED_VALUE"""),"spacemesh")</f>
        <v>spacemesh</v>
      </c>
      <c r="B11968" s="2" t="str">
        <f ca="1">IFERROR(__xludf.DUMMYFUNCTION("""COMPUTED_VALUE"""),"$smh")</f>
        <v>$smh</v>
      </c>
      <c r="C11968" s="2" t="str">
        <f ca="1">IFERROR(__xludf.DUMMYFUNCTION("""COMPUTED_VALUE"""),"Spacemesh")</f>
        <v>Spacemesh</v>
      </c>
    </row>
    <row r="11969" spans="1:3" x14ac:dyDescent="0.25">
      <c r="A11969" s="2" t="str">
        <f ca="1">IFERROR(__xludf.DUMMYFUNCTION("""COMPUTED_VALUE"""),"spacemine")</f>
        <v>spacemine</v>
      </c>
      <c r="B11969" s="2" t="str">
        <f ca="1">IFERROR(__xludf.DUMMYFUNCTION("""COMPUTED_VALUE"""),"mine")</f>
        <v>mine</v>
      </c>
      <c r="C11969" s="2" t="str">
        <f ca="1">IFERROR(__xludf.DUMMYFUNCTION("""COMPUTED_VALUE"""),"SpaceMine")</f>
        <v>SpaceMine</v>
      </c>
    </row>
    <row r="11970" spans="1:3" x14ac:dyDescent="0.25">
      <c r="A11970" s="2" t="str">
        <f ca="1">IFERROR(__xludf.DUMMYFUNCTION("""COMPUTED_VALUE"""),"space-misfits")</f>
        <v>space-misfits</v>
      </c>
      <c r="B11970" s="2" t="str">
        <f ca="1">IFERROR(__xludf.DUMMYFUNCTION("""COMPUTED_VALUE"""),"smcw")</f>
        <v>smcw</v>
      </c>
      <c r="C11970" s="2" t="str">
        <f ca="1">IFERROR(__xludf.DUMMYFUNCTION("""COMPUTED_VALUE"""),"Space Misfits")</f>
        <v>Space Misfits</v>
      </c>
    </row>
    <row r="11971" spans="1:3" x14ac:dyDescent="0.25">
      <c r="A11971" s="2" t="str">
        <f ca="1">IFERROR(__xludf.DUMMYFUNCTION("""COMPUTED_VALUE"""),"spacen")</f>
        <v>spacen</v>
      </c>
      <c r="B11971" s="2" t="str">
        <f ca="1">IFERROR(__xludf.DUMMYFUNCTION("""COMPUTED_VALUE"""),"sn")</f>
        <v>sn</v>
      </c>
      <c r="C11971" s="2" t="str">
        <f ca="1">IFERROR(__xludf.DUMMYFUNCTION("""COMPUTED_VALUE"""),"SpaceN")</f>
        <v>SpaceN</v>
      </c>
    </row>
    <row r="11972" spans="1:3" x14ac:dyDescent="0.25">
      <c r="A11972" s="2" t="str">
        <f ca="1">IFERROR(__xludf.DUMMYFUNCTION("""COMPUTED_VALUE"""),"spacepenguin")</f>
        <v>spacepenguin</v>
      </c>
      <c r="B11972" s="2" t="str">
        <f ca="1">IFERROR(__xludf.DUMMYFUNCTION("""COMPUTED_VALUE"""),"p3nguin")</f>
        <v>p3nguin</v>
      </c>
      <c r="C11972" s="2" t="str">
        <f ca="1">IFERROR(__xludf.DUMMYFUNCTION("""COMPUTED_VALUE"""),"SpacePenguin")</f>
        <v>SpacePenguin</v>
      </c>
    </row>
    <row r="11973" spans="1:3" x14ac:dyDescent="0.25">
      <c r="A11973" s="2" t="str">
        <f ca="1">IFERROR(__xludf.DUMMYFUNCTION("""COMPUTED_VALUE"""),"spacepi-token")</f>
        <v>spacepi-token</v>
      </c>
      <c r="B11973" s="2" t="str">
        <f ca="1">IFERROR(__xludf.DUMMYFUNCTION("""COMPUTED_VALUE"""),"spacepi")</f>
        <v>spacepi</v>
      </c>
      <c r="C11973" s="2" t="str">
        <f ca="1">IFERROR(__xludf.DUMMYFUNCTION("""COMPUTED_VALUE"""),"SpacePi Token")</f>
        <v>SpacePi Token</v>
      </c>
    </row>
    <row r="11974" spans="1:3" x14ac:dyDescent="0.25">
      <c r="A11974" s="2" t="str">
        <f ca="1">IFERROR(__xludf.DUMMYFUNCTION("""COMPUTED_VALUE"""),"spaceswap-milk2")</f>
        <v>spaceswap-milk2</v>
      </c>
      <c r="B11974" s="2" t="str">
        <f ca="1">IFERROR(__xludf.DUMMYFUNCTION("""COMPUTED_VALUE"""),"milk2")</f>
        <v>milk2</v>
      </c>
      <c r="C11974" s="2" t="str">
        <f ca="1">IFERROR(__xludf.DUMMYFUNCTION("""COMPUTED_VALUE"""),"Spaceswap MILK2")</f>
        <v>Spaceswap MILK2</v>
      </c>
    </row>
    <row r="11975" spans="1:3" x14ac:dyDescent="0.25">
      <c r="A11975" s="2" t="str">
        <f ca="1">IFERROR(__xludf.DUMMYFUNCTION("""COMPUTED_VALUE"""),"spaceswap-shake")</f>
        <v>spaceswap-shake</v>
      </c>
      <c r="B11975" s="2" t="str">
        <f ca="1">IFERROR(__xludf.DUMMYFUNCTION("""COMPUTED_VALUE"""),"shake")</f>
        <v>shake</v>
      </c>
      <c r="C11975" s="2" t="str">
        <f ca="1">IFERROR(__xludf.DUMMYFUNCTION("""COMPUTED_VALUE"""),"Spaceswap SHAKE")</f>
        <v>Spaceswap SHAKE</v>
      </c>
    </row>
    <row r="11976" spans="1:3" x14ac:dyDescent="0.25">
      <c r="A11976" s="2" t="str">
        <f ca="1">IFERROR(__xludf.DUMMYFUNCTION("""COMPUTED_VALUE"""),"space-token-bsc")</f>
        <v>space-token-bsc</v>
      </c>
      <c r="B11976" s="2" t="str">
        <f ca="1">IFERROR(__xludf.DUMMYFUNCTION("""COMPUTED_VALUE"""),"space")</f>
        <v>space</v>
      </c>
      <c r="C11976" s="2" t="str">
        <f ca="1">IFERROR(__xludf.DUMMYFUNCTION("""COMPUTED_VALUE"""),"Space Token")</f>
        <v>Space Token</v>
      </c>
    </row>
    <row r="11977" spans="1:3" x14ac:dyDescent="0.25">
      <c r="A11977" s="2" t="str">
        <f ca="1">IFERROR(__xludf.DUMMYFUNCTION("""COMPUTED_VALUE"""),"spacevikings")</f>
        <v>spacevikings</v>
      </c>
      <c r="B11977" s="2" t="str">
        <f ca="1">IFERROR(__xludf.DUMMYFUNCTION("""COMPUTED_VALUE"""),"svt")</f>
        <v>svt</v>
      </c>
      <c r="C11977" s="2" t="str">
        <f ca="1">IFERROR(__xludf.DUMMYFUNCTION("""COMPUTED_VALUE"""),"SpaceVikings")</f>
        <v>SpaceVikings</v>
      </c>
    </row>
    <row r="11978" spans="1:3" x14ac:dyDescent="0.25">
      <c r="A11978" s="2" t="str">
        <f ca="1">IFERROR(__xludf.DUMMYFUNCTION("""COMPUTED_VALUE"""),"spacexpanse")</f>
        <v>spacexpanse</v>
      </c>
      <c r="B11978" s="2" t="str">
        <f ca="1">IFERROR(__xludf.DUMMYFUNCTION("""COMPUTED_VALUE"""),"rod")</f>
        <v>rod</v>
      </c>
      <c r="C11978" s="2" t="str">
        <f ca="1">IFERROR(__xludf.DUMMYFUNCTION("""COMPUTED_VALUE"""),"SpaceXpanse")</f>
        <v>SpaceXpanse</v>
      </c>
    </row>
    <row r="11979" spans="1:3" x14ac:dyDescent="0.25">
      <c r="A11979" s="2" t="str">
        <f ca="1">IFERROR(__xludf.DUMMYFUNCTION("""COMPUTED_VALUE"""),"spacey-2025")</f>
        <v>spacey-2025</v>
      </c>
      <c r="B11979" s="2" t="str">
        <f ca="1">IFERROR(__xludf.DUMMYFUNCTION("""COMPUTED_VALUE"""),"spay")</f>
        <v>spay</v>
      </c>
      <c r="C11979" s="2" t="str">
        <f ca="1">IFERROR(__xludf.DUMMYFUNCTION("""COMPUTED_VALUE"""),"SpaceY 2025")</f>
        <v>SpaceY 2025</v>
      </c>
    </row>
    <row r="11980" spans="1:3" x14ac:dyDescent="0.25">
      <c r="A11980" s="2" t="str">
        <f ca="1">IFERROR(__xludf.DUMMYFUNCTION("""COMPUTED_VALUE"""),"spain-coin")</f>
        <v>spain-coin</v>
      </c>
      <c r="B11980" s="2" t="str">
        <f ca="1">IFERROR(__xludf.DUMMYFUNCTION("""COMPUTED_VALUE"""),"esp")</f>
        <v>esp</v>
      </c>
      <c r="C11980" s="2" t="str">
        <f ca="1">IFERROR(__xludf.DUMMYFUNCTION("""COMPUTED_VALUE"""),"Spain Coin")</f>
        <v>Spain Coin</v>
      </c>
    </row>
    <row r="11981" spans="1:3" x14ac:dyDescent="0.25">
      <c r="A11981" s="2" t="str">
        <f ca="1">IFERROR(__xludf.DUMMYFUNCTION("""COMPUTED_VALUE"""),"spain-national-fan-token")</f>
        <v>spain-national-fan-token</v>
      </c>
      <c r="B11981" s="2" t="str">
        <f ca="1">IFERROR(__xludf.DUMMYFUNCTION("""COMPUTED_VALUE"""),"snft")</f>
        <v>snft</v>
      </c>
      <c r="C11981" s="2" t="str">
        <f ca="1">IFERROR(__xludf.DUMMYFUNCTION("""COMPUTED_VALUE"""),"Spain National Football Team Fan Token")</f>
        <v>Spain National Football Team Fan Token</v>
      </c>
    </row>
    <row r="11982" spans="1:3" x14ac:dyDescent="0.25">
      <c r="A11982" s="2" t="str">
        <f ca="1">IFERROR(__xludf.DUMMYFUNCTION("""COMPUTED_VALUE"""),"spark-2")</f>
        <v>spark-2</v>
      </c>
      <c r="B11982" s="2" t="str">
        <f ca="1">IFERROR(__xludf.DUMMYFUNCTION("""COMPUTED_VALUE"""),"spk")</f>
        <v>spk</v>
      </c>
      <c r="C11982" s="2" t="str">
        <f ca="1">IFERROR(__xludf.DUMMYFUNCTION("""COMPUTED_VALUE"""),"Spark")</f>
        <v>Spark</v>
      </c>
    </row>
    <row r="11983" spans="1:3" x14ac:dyDescent="0.25">
      <c r="A11983" s="2" t="str">
        <f ca="1">IFERROR(__xludf.DUMMYFUNCTION("""COMPUTED_VALUE"""),"sparklucky")</f>
        <v>sparklucky</v>
      </c>
      <c r="B11983" s="2" t="str">
        <f ca="1">IFERROR(__xludf.DUMMYFUNCTION("""COMPUTED_VALUE"""),"slc")</f>
        <v>slc</v>
      </c>
      <c r="C11983" s="2" t="str">
        <f ca="1">IFERROR(__xludf.DUMMYFUNCTION("""COMPUTED_VALUE"""),"SparkLucky")</f>
        <v>SparkLucky</v>
      </c>
    </row>
    <row r="11984" spans="1:3" x14ac:dyDescent="0.25">
      <c r="A11984" s="2" t="str">
        <f ca="1">IFERROR(__xludf.DUMMYFUNCTION("""COMPUTED_VALUE"""),"sparko")</f>
        <v>sparko</v>
      </c>
      <c r="B11984" s="2" t="str">
        <f ca="1">IFERROR(__xludf.DUMMYFUNCTION("""COMPUTED_VALUE"""),"sparko")</f>
        <v>sparko</v>
      </c>
      <c r="C11984" s="2" t="str">
        <f ca="1">IFERROR(__xludf.DUMMYFUNCTION("""COMPUTED_VALUE"""),"Sparko")</f>
        <v>Sparko</v>
      </c>
    </row>
    <row r="11985" spans="1:3" x14ac:dyDescent="0.25">
      <c r="A11985" s="2" t="str">
        <f ca="1">IFERROR(__xludf.DUMMYFUNCTION("""COMPUTED_VALUE"""),"sparkpoint")</f>
        <v>sparkpoint</v>
      </c>
      <c r="B11985" s="2" t="str">
        <f ca="1">IFERROR(__xludf.DUMMYFUNCTION("""COMPUTED_VALUE"""),"srk")</f>
        <v>srk</v>
      </c>
      <c r="C11985" s="2" t="str">
        <f ca="1">IFERROR(__xludf.DUMMYFUNCTION("""COMPUTED_VALUE"""),"SparkPoint")</f>
        <v>SparkPoint</v>
      </c>
    </row>
    <row r="11986" spans="1:3" x14ac:dyDescent="0.25">
      <c r="A11986" s="2" t="str">
        <f ca="1">IFERROR(__xludf.DUMMYFUNCTION("""COMPUTED_VALUE"""),"sparkpoint-fuel")</f>
        <v>sparkpoint-fuel</v>
      </c>
      <c r="B11986" s="2" t="str">
        <f ca="1">IFERROR(__xludf.DUMMYFUNCTION("""COMPUTED_VALUE"""),"sfuel")</f>
        <v>sfuel</v>
      </c>
      <c r="C11986" s="2" t="str">
        <f ca="1">IFERROR(__xludf.DUMMYFUNCTION("""COMPUTED_VALUE"""),"SparkPoint Fuel")</f>
        <v>SparkPoint Fuel</v>
      </c>
    </row>
    <row r="11987" spans="1:3" x14ac:dyDescent="0.25">
      <c r="A11987" s="2" t="str">
        <f ca="1">IFERROR(__xludf.DUMMYFUNCTION("""COMPUTED_VALUE"""),"sparks")</f>
        <v>sparks</v>
      </c>
      <c r="B11987" s="2" t="str">
        <f ca="1">IFERROR(__xludf.DUMMYFUNCTION("""COMPUTED_VALUE"""),"spk")</f>
        <v>spk</v>
      </c>
      <c r="C11987" s="2" t="str">
        <f ca="1">IFERROR(__xludf.DUMMYFUNCTION("""COMPUTED_VALUE"""),"SparksPay")</f>
        <v>SparksPay</v>
      </c>
    </row>
    <row r="11988" spans="1:3" x14ac:dyDescent="0.25">
      <c r="A11988" s="2" t="str">
        <f ca="1">IFERROR(__xludf.DUMMYFUNCTION("""COMPUTED_VALUE"""),"sparkswap")</f>
        <v>sparkswap</v>
      </c>
      <c r="B11988" s="2" t="str">
        <f ca="1">IFERROR(__xludf.DUMMYFUNCTION("""COMPUTED_VALUE"""),"spark")</f>
        <v>spark</v>
      </c>
      <c r="C11988" s="2" t="str">
        <f ca="1">IFERROR(__xludf.DUMMYFUNCTION("""COMPUTED_VALUE"""),"Sparkswap")</f>
        <v>Sparkswap</v>
      </c>
    </row>
    <row r="11989" spans="1:3" x14ac:dyDescent="0.25">
      <c r="A11989" s="2" t="str">
        <f ca="1">IFERROR(__xludf.DUMMYFUNCTION("""COMPUTED_VALUE"""),"spartacus")</f>
        <v>spartacus</v>
      </c>
      <c r="B11989" s="2" t="str">
        <f ca="1">IFERROR(__xludf.DUMMYFUNCTION("""COMPUTED_VALUE"""),"spa")</f>
        <v>spa</v>
      </c>
      <c r="C11989" s="2" t="str">
        <f ca="1">IFERROR(__xludf.DUMMYFUNCTION("""COMPUTED_VALUE"""),"Spartacus")</f>
        <v>Spartacus</v>
      </c>
    </row>
    <row r="11990" spans="1:3" x14ac:dyDescent="0.25">
      <c r="A11990" s="2" t="str">
        <f ca="1">IFERROR(__xludf.DUMMYFUNCTION("""COMPUTED_VALUE"""),"spartadex")</f>
        <v>spartadex</v>
      </c>
      <c r="B11990" s="2" t="str">
        <f ca="1">IFERROR(__xludf.DUMMYFUNCTION("""COMPUTED_VALUE"""),"sparta")</f>
        <v>sparta</v>
      </c>
      <c r="C11990" s="2" t="str">
        <f ca="1">IFERROR(__xludf.DUMMYFUNCTION("""COMPUTED_VALUE"""),"SpartaDEX")</f>
        <v>SpartaDEX</v>
      </c>
    </row>
    <row r="11991" spans="1:3" x14ac:dyDescent="0.25">
      <c r="A11991" s="2" t="str">
        <f ca="1">IFERROR(__xludf.DUMMYFUNCTION("""COMPUTED_VALUE"""),"spartan-protocol-token")</f>
        <v>spartan-protocol-token</v>
      </c>
      <c r="B11991" s="2" t="str">
        <f ca="1">IFERROR(__xludf.DUMMYFUNCTION("""COMPUTED_VALUE"""),"sparta")</f>
        <v>sparta</v>
      </c>
      <c r="C11991" s="2" t="str">
        <f ca="1">IFERROR(__xludf.DUMMYFUNCTION("""COMPUTED_VALUE"""),"Spartan Protocol")</f>
        <v>Spartan Protocol</v>
      </c>
    </row>
    <row r="11992" spans="1:3" x14ac:dyDescent="0.25">
      <c r="A11992" s="2" t="str">
        <f ca="1">IFERROR(__xludf.DUMMYFUNCTION("""COMPUTED_VALUE"""),"spatial-computing")</f>
        <v>spatial-computing</v>
      </c>
      <c r="B11992" s="2" t="str">
        <f ca="1">IFERROR(__xludf.DUMMYFUNCTION("""COMPUTED_VALUE"""),"cmpt")</f>
        <v>cmpt</v>
      </c>
      <c r="C11992" s="2" t="str">
        <f ca="1">IFERROR(__xludf.DUMMYFUNCTION("""COMPUTED_VALUE"""),"Spatial Computing")</f>
        <v>Spatial Computing</v>
      </c>
    </row>
    <row r="11993" spans="1:3" x14ac:dyDescent="0.25">
      <c r="A11993" s="2" t="str">
        <f ca="1">IFERROR(__xludf.DUMMYFUNCTION("""COMPUTED_VALUE"""),"spdr-s-p-500-etf-trust-defichain")</f>
        <v>spdr-s-p-500-etf-trust-defichain</v>
      </c>
      <c r="B11993" s="2" t="str">
        <f ca="1">IFERROR(__xludf.DUMMYFUNCTION("""COMPUTED_VALUE"""),"dspy")</f>
        <v>dspy</v>
      </c>
      <c r="C11993" s="2" t="str">
        <f ca="1">IFERROR(__xludf.DUMMYFUNCTION("""COMPUTED_VALUE"""),"SPDR S&amp;P 500 ETF Trust Defichain")</f>
        <v>SPDR S&amp;P 500 ETF Trust Defichain</v>
      </c>
    </row>
    <row r="11994" spans="1:3" x14ac:dyDescent="0.25">
      <c r="A11994" s="2" t="str">
        <f ca="1">IFERROR(__xludf.DUMMYFUNCTION("""COMPUTED_VALUE"""),"specialmetalx")</f>
        <v>specialmetalx</v>
      </c>
      <c r="B11994" s="2" t="str">
        <f ca="1">IFERROR(__xludf.DUMMYFUNCTION("""COMPUTED_VALUE"""),"smetx")</f>
        <v>smetx</v>
      </c>
      <c r="C11994" s="2" t="str">
        <f ca="1">IFERROR(__xludf.DUMMYFUNCTION("""COMPUTED_VALUE"""),"SpecialMetalX")</f>
        <v>SpecialMetalX</v>
      </c>
    </row>
    <row r="11995" spans="1:3" x14ac:dyDescent="0.25">
      <c r="A11995" s="2" t="str">
        <f ca="1">IFERROR(__xludf.DUMMYFUNCTION("""COMPUTED_VALUE"""),"speciex")</f>
        <v>speciex</v>
      </c>
      <c r="B11995" s="2" t="str">
        <f ca="1">IFERROR(__xludf.DUMMYFUNCTION("""COMPUTED_VALUE"""),"spex")</f>
        <v>spex</v>
      </c>
      <c r="C11995" s="2" t="str">
        <f ca="1">IFERROR(__xludf.DUMMYFUNCTION("""COMPUTED_VALUE"""),"Speciex")</f>
        <v>Speciex</v>
      </c>
    </row>
    <row r="11996" spans="1:3" x14ac:dyDescent="0.25">
      <c r="A11996" s="2" t="str">
        <f ca="1">IFERROR(__xludf.DUMMYFUNCTION("""COMPUTED_VALUE"""),"spectra-cash")</f>
        <v>spectra-cash</v>
      </c>
      <c r="B11996" s="2" t="str">
        <f ca="1">IFERROR(__xludf.DUMMYFUNCTION("""COMPUTED_VALUE"""),"scl")</f>
        <v>scl</v>
      </c>
      <c r="C11996" s="2" t="str">
        <f ca="1">IFERROR(__xludf.DUMMYFUNCTION("""COMPUTED_VALUE"""),"Spectra Cash")</f>
        <v>Spectra Cash</v>
      </c>
    </row>
    <row r="11997" spans="1:3" x14ac:dyDescent="0.25">
      <c r="A11997" s="2" t="str">
        <f ca="1">IFERROR(__xludf.DUMMYFUNCTION("""COMPUTED_VALUE"""),"spectra-chain")</f>
        <v>spectra-chain</v>
      </c>
      <c r="B11997" s="2" t="str">
        <f ca="1">IFERROR(__xludf.DUMMYFUNCTION("""COMPUTED_VALUE"""),"spct")</f>
        <v>spct</v>
      </c>
      <c r="C11997" s="2" t="str">
        <f ca="1">IFERROR(__xludf.DUMMYFUNCTION("""COMPUTED_VALUE"""),"Spectra Chain")</f>
        <v>Spectra Chain</v>
      </c>
    </row>
    <row r="11998" spans="1:3" x14ac:dyDescent="0.25">
      <c r="A11998" s="2" t="str">
        <f ca="1">IFERROR(__xludf.DUMMYFUNCTION("""COMPUTED_VALUE"""),"spectral")</f>
        <v>spectral</v>
      </c>
      <c r="B11998" s="2" t="str">
        <f ca="1">IFERROR(__xludf.DUMMYFUNCTION("""COMPUTED_VALUE"""),"spec")</f>
        <v>spec</v>
      </c>
      <c r="C11998" s="2" t="str">
        <f ca="1">IFERROR(__xludf.DUMMYFUNCTION("""COMPUTED_VALUE"""),"Spectral")</f>
        <v>Spectral</v>
      </c>
    </row>
    <row r="11999" spans="1:3" x14ac:dyDescent="0.25">
      <c r="A11999" s="2" t="str">
        <f ca="1">IFERROR(__xludf.DUMMYFUNCTION("""COMPUTED_VALUE"""),"spectre-2")</f>
        <v>spectre-2</v>
      </c>
      <c r="B11999" s="2" t="str">
        <f ca="1">IFERROR(__xludf.DUMMYFUNCTION("""COMPUTED_VALUE"""),"spctr")</f>
        <v>spctr</v>
      </c>
      <c r="C11999" s="2" t="str">
        <f ca="1">IFERROR(__xludf.DUMMYFUNCTION("""COMPUTED_VALUE"""),"Spectre")</f>
        <v>Spectre</v>
      </c>
    </row>
    <row r="12000" spans="1:3" x14ac:dyDescent="0.25">
      <c r="A12000" s="2" t="str">
        <f ca="1">IFERROR(__xludf.DUMMYFUNCTION("""COMPUTED_VALUE"""),"spectre-ai")</f>
        <v>spectre-ai</v>
      </c>
      <c r="B12000" s="2" t="str">
        <f ca="1">IFERROR(__xludf.DUMMYFUNCTION("""COMPUTED_VALUE"""),"spectre")</f>
        <v>spectre</v>
      </c>
      <c r="C12000" s="2" t="str">
        <f ca="1">IFERROR(__xludf.DUMMYFUNCTION("""COMPUTED_VALUE"""),"Spectre AI")</f>
        <v>Spectre AI</v>
      </c>
    </row>
    <row r="12001" spans="1:3" x14ac:dyDescent="0.25">
      <c r="A12001" s="2" t="str">
        <f ca="1">IFERROR(__xludf.DUMMYFUNCTION("""COMPUTED_VALUE"""),"spectrecoin")</f>
        <v>spectrecoin</v>
      </c>
      <c r="B12001" s="2" t="str">
        <f ca="1">IFERROR(__xludf.DUMMYFUNCTION("""COMPUTED_VALUE"""),"alias")</f>
        <v>alias</v>
      </c>
      <c r="C12001" s="2" t="str">
        <f ca="1">IFERROR(__xludf.DUMMYFUNCTION("""COMPUTED_VALUE"""),"Alias")</f>
        <v>Alias</v>
      </c>
    </row>
    <row r="12002" spans="1:3" x14ac:dyDescent="0.25">
      <c r="A12002" s="2" t="str">
        <f ca="1">IFERROR(__xludf.DUMMYFUNCTION("""COMPUTED_VALUE"""),"spectre-network")</f>
        <v>spectre-network</v>
      </c>
      <c r="B12002" s="2" t="str">
        <f ca="1">IFERROR(__xludf.DUMMYFUNCTION("""COMPUTED_VALUE"""),"spr")</f>
        <v>spr</v>
      </c>
      <c r="C12002" s="2" t="str">
        <f ca="1">IFERROR(__xludf.DUMMYFUNCTION("""COMPUTED_VALUE"""),"Spectre")</f>
        <v>Spectre</v>
      </c>
    </row>
    <row r="12003" spans="1:3" x14ac:dyDescent="0.25">
      <c r="A12003" s="2" t="str">
        <f ca="1">IFERROR(__xludf.DUMMYFUNCTION("""COMPUTED_VALUE"""),"spectrum-eth")</f>
        <v>spectrum-eth</v>
      </c>
      <c r="B12003" s="2" t="str">
        <f ca="1">IFERROR(__xludf.DUMMYFUNCTION("""COMPUTED_VALUE"""),"speth")</f>
        <v>speth</v>
      </c>
      <c r="C12003" s="2" t="str">
        <f ca="1">IFERROR(__xludf.DUMMYFUNCTION("""COMPUTED_VALUE"""),"Spectrum ETH")</f>
        <v>Spectrum ETH</v>
      </c>
    </row>
    <row r="12004" spans="1:3" x14ac:dyDescent="0.25">
      <c r="A12004" s="2" t="str">
        <f ca="1">IFERROR(__xludf.DUMMYFUNCTION("""COMPUTED_VALUE"""),"spectrum-finance")</f>
        <v>spectrum-finance</v>
      </c>
      <c r="B12004" s="2" t="str">
        <f ca="1">IFERROR(__xludf.DUMMYFUNCTION("""COMPUTED_VALUE"""),"spf")</f>
        <v>spf</v>
      </c>
      <c r="C12004" s="2" t="str">
        <f ca="1">IFERROR(__xludf.DUMMYFUNCTION("""COMPUTED_VALUE"""),"Spectrum Finance")</f>
        <v>Spectrum Finance</v>
      </c>
    </row>
    <row r="12005" spans="1:3" x14ac:dyDescent="0.25">
      <c r="A12005" s="2" t="str">
        <f ca="1">IFERROR(__xludf.DUMMYFUNCTION("""COMPUTED_VALUE"""),"spectrum-marketplace")</f>
        <v>spectrum-marketplace</v>
      </c>
      <c r="B12005" s="2" t="str">
        <f ca="1">IFERROR(__xludf.DUMMYFUNCTION("""COMPUTED_VALUE"""),"spec")</f>
        <v>spec</v>
      </c>
      <c r="C12005" s="2" t="str">
        <f ca="1">IFERROR(__xludf.DUMMYFUNCTION("""COMPUTED_VALUE"""),"Spectrum Marketplace")</f>
        <v>Spectrum Marketplace</v>
      </c>
    </row>
    <row r="12006" spans="1:3" x14ac:dyDescent="0.25">
      <c r="A12006" s="2" t="str">
        <f ca="1">IFERROR(__xludf.DUMMYFUNCTION("""COMPUTED_VALUE"""),"speculate")</f>
        <v>speculate</v>
      </c>
      <c r="B12006" s="2" t="str">
        <f ca="1">IFERROR(__xludf.DUMMYFUNCTION("""COMPUTED_VALUE"""),"spec")</f>
        <v>spec</v>
      </c>
      <c r="C12006" s="2" t="str">
        <f ca="1">IFERROR(__xludf.DUMMYFUNCTION("""COMPUTED_VALUE"""),"Speculate")</f>
        <v>Speculate</v>
      </c>
    </row>
    <row r="12007" spans="1:3" x14ac:dyDescent="0.25">
      <c r="A12007" s="2" t="str">
        <f ca="1">IFERROR(__xludf.DUMMYFUNCTION("""COMPUTED_VALUE"""),"speculate-dao")</f>
        <v>speculate-dao</v>
      </c>
      <c r="B12007" s="2" t="str">
        <f ca="1">IFERROR(__xludf.DUMMYFUNCTION("""COMPUTED_VALUE"""),"spec")</f>
        <v>spec</v>
      </c>
      <c r="C12007" s="2" t="str">
        <f ca="1">IFERROR(__xludf.DUMMYFUNCTION("""COMPUTED_VALUE"""),"Speculate DAO")</f>
        <v>Speculate DAO</v>
      </c>
    </row>
    <row r="12008" spans="1:3" x14ac:dyDescent="0.25">
      <c r="A12008" s="2" t="str">
        <f ca="1">IFERROR(__xludf.DUMMYFUNCTION("""COMPUTED_VALUE"""),"speed-star-joc")</f>
        <v>speed-star-joc</v>
      </c>
      <c r="B12008" s="2" t="str">
        <f ca="1">IFERROR(__xludf.DUMMYFUNCTION("""COMPUTED_VALUE"""),"joc")</f>
        <v>joc</v>
      </c>
      <c r="C12008" s="2" t="str">
        <f ca="1">IFERROR(__xludf.DUMMYFUNCTION("""COMPUTED_VALUE"""),"Speed Star JOC")</f>
        <v>Speed Star JOC</v>
      </c>
    </row>
    <row r="12009" spans="1:3" x14ac:dyDescent="0.25">
      <c r="A12009" s="2" t="str">
        <f ca="1">IFERROR(__xludf.DUMMYFUNCTION("""COMPUTED_VALUE"""),"speed-star-speed")</f>
        <v>speed-star-speed</v>
      </c>
      <c r="B12009" s="2" t="str">
        <f ca="1">IFERROR(__xludf.DUMMYFUNCTION("""COMPUTED_VALUE"""),"speed")</f>
        <v>speed</v>
      </c>
      <c r="C12009" s="2" t="str">
        <f ca="1">IFERROR(__xludf.DUMMYFUNCTION("""COMPUTED_VALUE"""),"Speed Star SPEED")</f>
        <v>Speed Star SPEED</v>
      </c>
    </row>
    <row r="12010" spans="1:3" x14ac:dyDescent="0.25">
      <c r="A12010" s="2" t="str">
        <f ca="1">IFERROR(__xludf.DUMMYFUNCTION("""COMPUTED_VALUE"""),"speed-star-star")</f>
        <v>speed-star-star</v>
      </c>
      <c r="B12010" s="2" t="str">
        <f ca="1">IFERROR(__xludf.DUMMYFUNCTION("""COMPUTED_VALUE"""),"star")</f>
        <v>star</v>
      </c>
      <c r="C12010" s="2" t="str">
        <f ca="1">IFERROR(__xludf.DUMMYFUNCTION("""COMPUTED_VALUE"""),"Speed Star STAR")</f>
        <v>Speed Star STAR</v>
      </c>
    </row>
    <row r="12011" spans="1:3" x14ac:dyDescent="0.25">
      <c r="A12011" s="2" t="str">
        <f ca="1">IFERROR(__xludf.DUMMYFUNCTION("""COMPUTED_VALUE"""),"speedy")</f>
        <v>speedy</v>
      </c>
      <c r="B12011" s="2" t="str">
        <f ca="1">IFERROR(__xludf.DUMMYFUNCTION("""COMPUTED_VALUE"""),"speedy")</f>
        <v>speedy</v>
      </c>
      <c r="C12011" s="2" t="str">
        <f ca="1">IFERROR(__xludf.DUMMYFUNCTION("""COMPUTED_VALUE"""),"Speedy")</f>
        <v>Speedy</v>
      </c>
    </row>
    <row r="12012" spans="1:3" x14ac:dyDescent="0.25">
      <c r="A12012" s="2" t="str">
        <f ca="1">IFERROR(__xludf.DUMMYFUNCTION("""COMPUTED_VALUE"""),"speedy-2")</f>
        <v>speedy-2</v>
      </c>
      <c r="B12012" s="2" t="str">
        <f ca="1">IFERROR(__xludf.DUMMYFUNCTION("""COMPUTED_VALUE"""),"speedy")</f>
        <v>speedy</v>
      </c>
      <c r="C12012" s="2" t="str">
        <f ca="1">IFERROR(__xludf.DUMMYFUNCTION("""COMPUTED_VALUE"""),"Speedy")</f>
        <v>Speedy</v>
      </c>
    </row>
    <row r="12013" spans="1:3" x14ac:dyDescent="0.25">
      <c r="A12013" s="2" t="str">
        <f ca="1">IFERROR(__xludf.DUMMYFUNCTION("""COMPUTED_VALUE"""),"speero")</f>
        <v>speero</v>
      </c>
      <c r="B12013" s="2" t="str">
        <f ca="1">IFERROR(__xludf.DUMMYFUNCTION("""COMPUTED_VALUE"""),"speero")</f>
        <v>speero</v>
      </c>
      <c r="C12013" s="2" t="str">
        <f ca="1">IFERROR(__xludf.DUMMYFUNCTION("""COMPUTED_VALUE"""),"Speero")</f>
        <v>Speero</v>
      </c>
    </row>
    <row r="12014" spans="1:3" x14ac:dyDescent="0.25">
      <c r="A12014" s="2" t="str">
        <f ca="1">IFERROR(__xludf.DUMMYFUNCTION("""COMPUTED_VALUE"""),"spellfire")</f>
        <v>spellfire</v>
      </c>
      <c r="B12014" s="2" t="str">
        <f ca="1">IFERROR(__xludf.DUMMYFUNCTION("""COMPUTED_VALUE"""),"spellfire")</f>
        <v>spellfire</v>
      </c>
      <c r="C12014" s="2" t="str">
        <f ca="1">IFERROR(__xludf.DUMMYFUNCTION("""COMPUTED_VALUE"""),"Spellfire")</f>
        <v>Spellfire</v>
      </c>
    </row>
    <row r="12015" spans="1:3" x14ac:dyDescent="0.25">
      <c r="A12015" s="2" t="str">
        <f ca="1">IFERROR(__xludf.DUMMYFUNCTION("""COMPUTED_VALUE"""),"spell-token")</f>
        <v>spell-token</v>
      </c>
      <c r="B12015" s="2" t="str">
        <f ca="1">IFERROR(__xludf.DUMMYFUNCTION("""COMPUTED_VALUE"""),"spell")</f>
        <v>spell</v>
      </c>
      <c r="C12015" s="2" t="str">
        <f ca="1">IFERROR(__xludf.DUMMYFUNCTION("""COMPUTED_VALUE"""),"Spell")</f>
        <v>Spell</v>
      </c>
    </row>
    <row r="12016" spans="1:3" x14ac:dyDescent="0.25">
      <c r="A12016" s="2" t="str">
        <f ca="1">IFERROR(__xludf.DUMMYFUNCTION("""COMPUTED_VALUE"""),"sperax")</f>
        <v>sperax</v>
      </c>
      <c r="B12016" s="2" t="str">
        <f ca="1">IFERROR(__xludf.DUMMYFUNCTION("""COMPUTED_VALUE"""),"spa")</f>
        <v>spa</v>
      </c>
      <c r="C12016" s="2" t="str">
        <f ca="1">IFERROR(__xludf.DUMMYFUNCTION("""COMPUTED_VALUE"""),"Sperax")</f>
        <v>Sperax</v>
      </c>
    </row>
    <row r="12017" spans="1:3" x14ac:dyDescent="0.25">
      <c r="A12017" s="2" t="str">
        <f ca="1">IFERROR(__xludf.DUMMYFUNCTION("""COMPUTED_VALUE"""),"sperax-usd")</f>
        <v>sperax-usd</v>
      </c>
      <c r="B12017" s="2" t="str">
        <f ca="1">IFERROR(__xludf.DUMMYFUNCTION("""COMPUTED_VALUE"""),"usds")</f>
        <v>usds</v>
      </c>
      <c r="C12017" s="2" t="str">
        <f ca="1">IFERROR(__xludf.DUMMYFUNCTION("""COMPUTED_VALUE"""),"Sperax USD")</f>
        <v>Sperax USD</v>
      </c>
    </row>
    <row r="12018" spans="1:3" x14ac:dyDescent="0.25">
      <c r="A12018" s="2" t="str">
        <f ca="1">IFERROR(__xludf.DUMMYFUNCTION("""COMPUTED_VALUE"""),"sphere-finance")</f>
        <v>sphere-finance</v>
      </c>
      <c r="B12018" s="2" t="str">
        <f ca="1">IFERROR(__xludf.DUMMYFUNCTION("""COMPUTED_VALUE"""),"sphere")</f>
        <v>sphere</v>
      </c>
      <c r="C12018" s="2" t="str">
        <f ca="1">IFERROR(__xludf.DUMMYFUNCTION("""COMPUTED_VALUE"""),"Sphere Finance")</f>
        <v>Sphere Finance</v>
      </c>
    </row>
    <row r="12019" spans="1:3" x14ac:dyDescent="0.25">
      <c r="A12019" s="2" t="str">
        <f ca="1">IFERROR(__xludf.DUMMYFUNCTION("""COMPUTED_VALUE"""),"spheresxs")</f>
        <v>spheresxs</v>
      </c>
      <c r="B12019" s="2" t="str">
        <f ca="1">IFERROR(__xludf.DUMMYFUNCTION("""COMPUTED_VALUE"""),"sxs")</f>
        <v>sxs</v>
      </c>
      <c r="C12019" s="2" t="str">
        <f ca="1">IFERROR(__xludf.DUMMYFUNCTION("""COMPUTED_VALUE"""),"SphereSXS")</f>
        <v>SphereSXS</v>
      </c>
    </row>
    <row r="12020" spans="1:3" x14ac:dyDescent="0.25">
      <c r="A12020" s="2" t="str">
        <f ca="1">IFERROR(__xludf.DUMMYFUNCTION("""COMPUTED_VALUE"""),"spherex-token")</f>
        <v>spherex-token</v>
      </c>
      <c r="B12020" s="2" t="str">
        <f ca="1">IFERROR(__xludf.DUMMYFUNCTION("""COMPUTED_VALUE"""),"here")</f>
        <v>here</v>
      </c>
      <c r="C12020" s="2" t="str">
        <f ca="1">IFERROR(__xludf.DUMMYFUNCTION("""COMPUTED_VALUE"""),"SphereX Token")</f>
        <v>SphereX Token</v>
      </c>
    </row>
    <row r="12021" spans="1:3" x14ac:dyDescent="0.25">
      <c r="A12021" s="2" t="str">
        <f ca="1">IFERROR(__xludf.DUMMYFUNCTION("""COMPUTED_VALUE"""),"spherium")</f>
        <v>spherium</v>
      </c>
      <c r="B12021" s="2" t="str">
        <f ca="1">IFERROR(__xludf.DUMMYFUNCTION("""COMPUTED_VALUE"""),"sphri")</f>
        <v>sphri</v>
      </c>
      <c r="C12021" s="2" t="str">
        <f ca="1">IFERROR(__xludf.DUMMYFUNCTION("""COMPUTED_VALUE"""),"Spherium")</f>
        <v>Spherium</v>
      </c>
    </row>
    <row r="12022" spans="1:3" x14ac:dyDescent="0.25">
      <c r="A12022" s="2" t="str">
        <f ca="1">IFERROR(__xludf.DUMMYFUNCTION("""COMPUTED_VALUE"""),"spheroid-universe")</f>
        <v>spheroid-universe</v>
      </c>
      <c r="B12022" s="2" t="str">
        <f ca="1">IFERROR(__xludf.DUMMYFUNCTION("""COMPUTED_VALUE"""),"sph")</f>
        <v>sph</v>
      </c>
      <c r="C12022" s="2" t="str">
        <f ca="1">IFERROR(__xludf.DUMMYFUNCTION("""COMPUTED_VALUE"""),"Spheroid Universe")</f>
        <v>Spheroid Universe</v>
      </c>
    </row>
    <row r="12023" spans="1:3" x14ac:dyDescent="0.25">
      <c r="A12023" s="2" t="str">
        <f ca="1">IFERROR(__xludf.DUMMYFUNCTION("""COMPUTED_VALUE"""),"spheron-network")</f>
        <v>spheron-network</v>
      </c>
      <c r="B12023" s="2" t="str">
        <f ca="1">IFERROR(__xludf.DUMMYFUNCTION("""COMPUTED_VALUE"""),"sphn")</f>
        <v>sphn</v>
      </c>
      <c r="C12023" s="2" t="str">
        <f ca="1">IFERROR(__xludf.DUMMYFUNCTION("""COMPUTED_VALUE"""),"Spheron Network")</f>
        <v>Spheron Network</v>
      </c>
    </row>
    <row r="12024" spans="1:3" x14ac:dyDescent="0.25">
      <c r="A12024" s="2" t="str">
        <f ca="1">IFERROR(__xludf.DUMMYFUNCTION("""COMPUTED_VALUE"""),"sphynx-labs-bae5b42e-5e37-4607-8691-b56d3a5f344c")</f>
        <v>sphynx-labs-bae5b42e-5e37-4607-8691-b56d3a5f344c</v>
      </c>
      <c r="B12024" s="2" t="str">
        <f ca="1">IFERROR(__xludf.DUMMYFUNCTION("""COMPUTED_VALUE"""),"sphynx")</f>
        <v>sphynx</v>
      </c>
      <c r="C12024" s="2" t="str">
        <f ca="1">IFERROR(__xludf.DUMMYFUNCTION("""COMPUTED_VALUE"""),"Sphynx Labs")</f>
        <v>Sphynx Labs</v>
      </c>
    </row>
    <row r="12025" spans="1:3" x14ac:dyDescent="0.25">
      <c r="A12025" s="2" t="str">
        <f ca="1">IFERROR(__xludf.DUMMYFUNCTION("""COMPUTED_VALUE"""),"spiceusd")</f>
        <v>spiceusd</v>
      </c>
      <c r="B12025" s="2" t="str">
        <f ca="1">IFERROR(__xludf.DUMMYFUNCTION("""COMPUTED_VALUE"""),"usds")</f>
        <v>usds</v>
      </c>
      <c r="C12025" s="2" t="str">
        <f ca="1">IFERROR(__xludf.DUMMYFUNCTION("""COMPUTED_VALUE"""),"SpiceUSD")</f>
        <v>SpiceUSD</v>
      </c>
    </row>
    <row r="12026" spans="1:3" x14ac:dyDescent="0.25">
      <c r="A12026" s="2" t="str">
        <f ca="1">IFERROR(__xludf.DUMMYFUNCTION("""COMPUTED_VALUE"""),"spiderswap")</f>
        <v>spiderswap</v>
      </c>
      <c r="B12026" s="2" t="str">
        <f ca="1">IFERROR(__xludf.DUMMYFUNCTION("""COMPUTED_VALUE"""),"spdr")</f>
        <v>spdr</v>
      </c>
      <c r="C12026" s="2" t="str">
        <f ca="1">IFERROR(__xludf.DUMMYFUNCTION("""COMPUTED_VALUE"""),"SpiderSwap")</f>
        <v>SpiderSwap</v>
      </c>
    </row>
    <row r="12027" spans="1:3" x14ac:dyDescent="0.25">
      <c r="A12027" s="2" t="str">
        <f ca="1">IFERROR(__xludf.DUMMYFUNCTION("""COMPUTED_VALUE"""),"spike")</f>
        <v>spike</v>
      </c>
      <c r="B12027" s="2" t="str">
        <f ca="1">IFERROR(__xludf.DUMMYFUNCTION("""COMPUTED_VALUE"""),"spike")</f>
        <v>spike</v>
      </c>
      <c r="C12027" s="2" t="str">
        <f ca="1">IFERROR(__xludf.DUMMYFUNCTION("""COMPUTED_VALUE"""),"Spike")</f>
        <v>Spike</v>
      </c>
    </row>
    <row r="12028" spans="1:3" x14ac:dyDescent="0.25">
      <c r="A12028" s="2" t="str">
        <f ca="1">IFERROR(__xludf.DUMMYFUNCTION("""COMPUTED_VALUE"""),"spike-2")</f>
        <v>spike-2</v>
      </c>
      <c r="B12028" s="2" t="str">
        <f ca="1">IFERROR(__xludf.DUMMYFUNCTION("""COMPUTED_VALUE"""),"spike")</f>
        <v>spike</v>
      </c>
      <c r="C12028" s="2" t="str">
        <f ca="1">IFERROR(__xludf.DUMMYFUNCTION("""COMPUTED_VALUE"""),"Spike")</f>
        <v>Spike</v>
      </c>
    </row>
    <row r="12029" spans="1:3" x14ac:dyDescent="0.25">
      <c r="A12029" s="2" t="str">
        <f ca="1">IFERROR(__xludf.DUMMYFUNCTION("""COMPUTED_VALUE"""),"spike-but-based")</f>
        <v>spike-but-based</v>
      </c>
      <c r="B12029" s="2" t="str">
        <f ca="1">IFERROR(__xludf.DUMMYFUNCTION("""COMPUTED_VALUE"""),"spike")</f>
        <v>spike</v>
      </c>
      <c r="C12029" s="2" t="str">
        <f ca="1">IFERROR(__xludf.DUMMYFUNCTION("""COMPUTED_VALUE"""),"SPIKE")</f>
        <v>SPIKE</v>
      </c>
    </row>
    <row r="12030" spans="1:3" x14ac:dyDescent="0.25">
      <c r="A12030" s="2" t="str">
        <f ca="1">IFERROR(__xludf.DUMMYFUNCTION("""COMPUTED_VALUE"""),"spike-on-eth")</f>
        <v>spike-on-eth</v>
      </c>
      <c r="B12030" s="2" t="str">
        <f ca="1">IFERROR(__xludf.DUMMYFUNCTION("""COMPUTED_VALUE"""),"spike")</f>
        <v>spike</v>
      </c>
      <c r="C12030" s="2" t="str">
        <f ca="1">IFERROR(__xludf.DUMMYFUNCTION("""COMPUTED_VALUE"""),"Spike")</f>
        <v>Spike</v>
      </c>
    </row>
    <row r="12031" spans="1:3" x14ac:dyDescent="0.25">
      <c r="A12031" s="2" t="str">
        <f ca="1">IFERROR(__xludf.DUMMYFUNCTION("""COMPUTED_VALUE"""),"spiko-us-t-bills-money-market-fund")</f>
        <v>spiko-us-t-bills-money-market-fund</v>
      </c>
      <c r="B12031" s="2" t="str">
        <f ca="1">IFERROR(__xludf.DUMMYFUNCTION("""COMPUTED_VALUE"""),"ustbl")</f>
        <v>ustbl</v>
      </c>
      <c r="C12031" s="2" t="str">
        <f ca="1">IFERROR(__xludf.DUMMYFUNCTION("""COMPUTED_VALUE"""),"Spiko US T-Bills Money Market Fund")</f>
        <v>Spiko US T-Bills Money Market Fund</v>
      </c>
    </row>
    <row r="12032" spans="1:3" x14ac:dyDescent="0.25">
      <c r="A12032" s="2" t="str">
        <f ca="1">IFERROR(__xludf.DUMMYFUNCTION("""COMPUTED_VALUE"""),"spillways")</f>
        <v>spillways</v>
      </c>
      <c r="B12032" s="2" t="str">
        <f ca="1">IFERROR(__xludf.DUMMYFUNCTION("""COMPUTED_VALUE"""),"spillways")</f>
        <v>spillways</v>
      </c>
      <c r="C12032" s="2" t="str">
        <f ca="1">IFERROR(__xludf.DUMMYFUNCTION("""COMPUTED_VALUE"""),"Spillways")</f>
        <v>Spillways</v>
      </c>
    </row>
    <row r="12033" spans="1:3" x14ac:dyDescent="0.25">
      <c r="A12033" s="2" t="str">
        <f ca="1">IFERROR(__xludf.DUMMYFUNCTION("""COMPUTED_VALUE"""),"spinaq")</f>
        <v>spinaq</v>
      </c>
      <c r="B12033" s="2" t="str">
        <f ca="1">IFERROR(__xludf.DUMMYFUNCTION("""COMPUTED_VALUE"""),"spinaq")</f>
        <v>spinaq</v>
      </c>
      <c r="C12033" s="2" t="str">
        <f ca="1">IFERROR(__xludf.DUMMYFUNCTION("""COMPUTED_VALUE"""),"Spinaq")</f>
        <v>Spinaq</v>
      </c>
    </row>
    <row r="12034" spans="1:3" x14ac:dyDescent="0.25">
      <c r="A12034" s="2" t="str">
        <f ca="1">IFERROR(__xludf.DUMMYFUNCTION("""COMPUTED_VALUE"""),"spin-fi")</f>
        <v>spin-fi</v>
      </c>
      <c r="B12034" s="2" t="str">
        <f ca="1">IFERROR(__xludf.DUMMYFUNCTION("""COMPUTED_VALUE"""),"$spin")</f>
        <v>$spin</v>
      </c>
      <c r="C12034" s="2" t="str">
        <f ca="1">IFERROR(__xludf.DUMMYFUNCTION("""COMPUTED_VALUE"""),"Spin Fi")</f>
        <v>Spin Fi</v>
      </c>
    </row>
    <row r="12035" spans="1:3" x14ac:dyDescent="0.25">
      <c r="A12035" s="2" t="str">
        <f ca="1">IFERROR(__xludf.DUMMYFUNCTION("""COMPUTED_VALUE"""),"spintop")</f>
        <v>spintop</v>
      </c>
      <c r="B12035" s="2" t="str">
        <f ca="1">IFERROR(__xludf.DUMMYFUNCTION("""COMPUTED_VALUE"""),"spin")</f>
        <v>spin</v>
      </c>
      <c r="C12035" s="2" t="str">
        <f ca="1">IFERROR(__xludf.DUMMYFUNCTION("""COMPUTED_VALUE"""),"Spintop")</f>
        <v>Spintop</v>
      </c>
    </row>
    <row r="12036" spans="1:3" x14ac:dyDescent="0.25">
      <c r="A12036" s="2" t="str">
        <f ca="1">IFERROR(__xludf.DUMMYFUNCTION("""COMPUTED_VALUE"""),"spintria")</f>
        <v>spintria</v>
      </c>
      <c r="B12036" s="2" t="str">
        <f ca="1">IFERROR(__xludf.DUMMYFUNCTION("""COMPUTED_VALUE"""),"sp")</f>
        <v>sp</v>
      </c>
      <c r="C12036" s="2" t="str">
        <f ca="1">IFERROR(__xludf.DUMMYFUNCTION("""COMPUTED_VALUE"""),"Spintria")</f>
        <v>Spintria</v>
      </c>
    </row>
    <row r="12037" spans="1:3" x14ac:dyDescent="0.25">
      <c r="A12037" s="2" t="str">
        <f ca="1">IFERROR(__xludf.DUMMYFUNCTION("""COMPUTED_VALUE"""),"spiraldao-coil")</f>
        <v>spiraldao-coil</v>
      </c>
      <c r="B12037" s="2" t="str">
        <f ca="1">IFERROR(__xludf.DUMMYFUNCTION("""COMPUTED_VALUE"""),"coil")</f>
        <v>coil</v>
      </c>
      <c r="C12037" s="2" t="str">
        <f ca="1">IFERROR(__xludf.DUMMYFUNCTION("""COMPUTED_VALUE"""),"SpiralDAO Coil")</f>
        <v>SpiralDAO Coil</v>
      </c>
    </row>
    <row r="12038" spans="1:3" x14ac:dyDescent="0.25">
      <c r="A12038" s="2" t="str">
        <f ca="1">IFERROR(__xludf.DUMMYFUNCTION("""COMPUTED_VALUE"""),"spiritswap")</f>
        <v>spiritswap</v>
      </c>
      <c r="B12038" s="2" t="str">
        <f ca="1">IFERROR(__xludf.DUMMYFUNCTION("""COMPUTED_VALUE"""),"spirit")</f>
        <v>spirit</v>
      </c>
      <c r="C12038" s="2" t="str">
        <f ca="1">IFERROR(__xludf.DUMMYFUNCTION("""COMPUTED_VALUE"""),"SpiritSwap")</f>
        <v>SpiritSwap</v>
      </c>
    </row>
    <row r="12039" spans="1:3" x14ac:dyDescent="0.25">
      <c r="A12039" s="2" t="str">
        <f ca="1">IFERROR(__xludf.DUMMYFUNCTION("""COMPUTED_VALUE"""),"splash-trade")</f>
        <v>splash-trade</v>
      </c>
      <c r="B12039" s="2" t="str">
        <f ca="1">IFERROR(__xludf.DUMMYFUNCTION("""COMPUTED_VALUE"""),"splash")</f>
        <v>splash</v>
      </c>
      <c r="C12039" s="2" t="str">
        <f ca="1">IFERROR(__xludf.DUMMYFUNCTION("""COMPUTED_VALUE"""),"Splash")</f>
        <v>Splash</v>
      </c>
    </row>
    <row r="12040" spans="1:3" x14ac:dyDescent="0.25">
      <c r="A12040" s="2" t="str">
        <f ca="1">IFERROR(__xludf.DUMMYFUNCTION("""COMPUTED_VALUE"""),"splinterlands")</f>
        <v>splinterlands</v>
      </c>
      <c r="B12040" s="2" t="str">
        <f ca="1">IFERROR(__xludf.DUMMYFUNCTION("""COMPUTED_VALUE"""),"sps")</f>
        <v>sps</v>
      </c>
      <c r="C12040" s="2" t="str">
        <f ca="1">IFERROR(__xludf.DUMMYFUNCTION("""COMPUTED_VALUE"""),"Splintershards")</f>
        <v>Splintershards</v>
      </c>
    </row>
    <row r="12041" spans="1:3" x14ac:dyDescent="0.25">
      <c r="A12041" s="2" t="str">
        <f ca="1">IFERROR(__xludf.DUMMYFUNCTION("""COMPUTED_VALUE"""),"splyt")</f>
        <v>splyt</v>
      </c>
      <c r="B12041" s="2" t="str">
        <f ca="1">IFERROR(__xludf.DUMMYFUNCTION("""COMPUTED_VALUE"""),"shopx")</f>
        <v>shopx</v>
      </c>
      <c r="C12041" s="2" t="str">
        <f ca="1">IFERROR(__xludf.DUMMYFUNCTION("""COMPUTED_VALUE"""),"SHOPX")</f>
        <v>SHOPX</v>
      </c>
    </row>
    <row r="12042" spans="1:3" x14ac:dyDescent="0.25">
      <c r="A12042" s="2" t="str">
        <f ca="1">IFERROR(__xludf.DUMMYFUNCTION("""COMPUTED_VALUE"""),"spodermen")</f>
        <v>spodermen</v>
      </c>
      <c r="B12042" s="2" t="str">
        <f ca="1">IFERROR(__xludf.DUMMYFUNCTION("""COMPUTED_VALUE"""),"spoody")</f>
        <v>spoody</v>
      </c>
      <c r="C12042" s="2" t="str">
        <f ca="1">IFERROR(__xludf.DUMMYFUNCTION("""COMPUTED_VALUE"""),"Spodermen")</f>
        <v>Spodermen</v>
      </c>
    </row>
    <row r="12043" spans="1:3" x14ac:dyDescent="0.25">
      <c r="A12043" s="2" t="str">
        <f ca="1">IFERROR(__xludf.DUMMYFUNCTION("""COMPUTED_VALUE"""),"sponge-2")</f>
        <v>sponge-2</v>
      </c>
      <c r="B12043" s="2" t="str">
        <f ca="1">IFERROR(__xludf.DUMMYFUNCTION("""COMPUTED_VALUE"""),"$sponge")</f>
        <v>$sponge</v>
      </c>
      <c r="C12043" s="2" t="str">
        <f ca="1">IFERROR(__xludf.DUMMYFUNCTION("""COMPUTED_VALUE"""),"Sponge")</f>
        <v>Sponge</v>
      </c>
    </row>
    <row r="12044" spans="1:3" x14ac:dyDescent="0.25">
      <c r="A12044" s="2" t="str">
        <f ca="1">IFERROR(__xludf.DUMMYFUNCTION("""COMPUTED_VALUE"""),"sponge-f08b2fe4-9d9c-47c3-b5a0-84c2ac3bbbff")</f>
        <v>sponge-f08b2fe4-9d9c-47c3-b5a0-84c2ac3bbbff</v>
      </c>
      <c r="B12044" s="2" t="str">
        <f ca="1">IFERROR(__xludf.DUMMYFUNCTION("""COMPUTED_VALUE"""),"$sponge")</f>
        <v>$sponge</v>
      </c>
      <c r="C12044" s="2" t="str">
        <f ca="1">IFERROR(__xludf.DUMMYFUNCTION("""COMPUTED_VALUE"""),"Sponge (OLD)")</f>
        <v>Sponge (OLD)</v>
      </c>
    </row>
    <row r="12045" spans="1:3" x14ac:dyDescent="0.25">
      <c r="A12045" s="2" t="str">
        <f ca="1">IFERROR(__xludf.DUMMYFUNCTION("""COMPUTED_VALUE"""),"spoofify")</f>
        <v>spoofify</v>
      </c>
      <c r="B12045" s="2" t="str">
        <f ca="1">IFERROR(__xludf.DUMMYFUNCTION("""COMPUTED_VALUE"""),"spoof")</f>
        <v>spoof</v>
      </c>
      <c r="C12045" s="2" t="str">
        <f ca="1">IFERROR(__xludf.DUMMYFUNCTION("""COMPUTED_VALUE"""),"Spoofify")</f>
        <v>Spoofify</v>
      </c>
    </row>
    <row r="12046" spans="1:3" x14ac:dyDescent="0.25">
      <c r="A12046" s="2" t="str">
        <f ca="1">IFERROR(__xludf.DUMMYFUNCTION("""COMPUTED_VALUE"""),"spookyshiba-2")</f>
        <v>spookyshiba-2</v>
      </c>
      <c r="B12046" s="2" t="str">
        <f ca="1">IFERROR(__xludf.DUMMYFUNCTION("""COMPUTED_VALUE"""),"spky")</f>
        <v>spky</v>
      </c>
      <c r="C12046" s="2" t="str">
        <f ca="1">IFERROR(__xludf.DUMMYFUNCTION("""COMPUTED_VALUE"""),"SpookyShiba")</f>
        <v>SpookyShiba</v>
      </c>
    </row>
    <row r="12047" spans="1:3" x14ac:dyDescent="0.25">
      <c r="A12047" s="2" t="str">
        <f ca="1">IFERROR(__xludf.DUMMYFUNCTION("""COMPUTED_VALUE"""),"spookyswap")</f>
        <v>spookyswap</v>
      </c>
      <c r="B12047" s="2" t="str">
        <f ca="1">IFERROR(__xludf.DUMMYFUNCTION("""COMPUTED_VALUE"""),"boo")</f>
        <v>boo</v>
      </c>
      <c r="C12047" s="2" t="str">
        <f ca="1">IFERROR(__xludf.DUMMYFUNCTION("""COMPUTED_VALUE"""),"Spookyswap")</f>
        <v>Spookyswap</v>
      </c>
    </row>
    <row r="12048" spans="1:3" x14ac:dyDescent="0.25">
      <c r="A12048" s="2" t="str">
        <f ca="1">IFERROR(__xludf.DUMMYFUNCTION("""COMPUTED_VALUE"""),"spooky-the-phantom")</f>
        <v>spooky-the-phantom</v>
      </c>
      <c r="B12048" s="2" t="str">
        <f ca="1">IFERROR(__xludf.DUMMYFUNCTION("""COMPUTED_VALUE"""),"spooky")</f>
        <v>spooky</v>
      </c>
      <c r="C12048" s="2" t="str">
        <f ca="1">IFERROR(__xludf.DUMMYFUNCTION("""COMPUTED_VALUE"""),"Spooky The Phantom")</f>
        <v>Spooky The Phantom</v>
      </c>
    </row>
    <row r="12049" spans="1:3" x14ac:dyDescent="0.25">
      <c r="A12049" s="2" t="str">
        <f ca="1">IFERROR(__xludf.DUMMYFUNCTION("""COMPUTED_VALUE"""),"spool-dao-token")</f>
        <v>spool-dao-token</v>
      </c>
      <c r="B12049" s="2" t="str">
        <f ca="1">IFERROR(__xludf.DUMMYFUNCTION("""COMPUTED_VALUE"""),"spool")</f>
        <v>spool</v>
      </c>
      <c r="C12049" s="2" t="str">
        <f ca="1">IFERROR(__xludf.DUMMYFUNCTION("""COMPUTED_VALUE"""),"Spool")</f>
        <v>Spool</v>
      </c>
    </row>
    <row r="12050" spans="1:3" x14ac:dyDescent="0.25">
      <c r="A12050" s="2" t="str">
        <f ca="1">IFERROR(__xludf.DUMMYFUNCTION("""COMPUTED_VALUE"""),"spore")</f>
        <v>spore</v>
      </c>
      <c r="B12050" s="2" t="str">
        <f ca="1">IFERROR(__xludf.DUMMYFUNCTION("""COMPUTED_VALUE"""),"spore")</f>
        <v>spore</v>
      </c>
      <c r="C12050" s="2" t="str">
        <f ca="1">IFERROR(__xludf.DUMMYFUNCTION("""COMPUTED_VALUE"""),"Spore")</f>
        <v>Spore</v>
      </c>
    </row>
    <row r="12051" spans="1:3" x14ac:dyDescent="0.25">
      <c r="A12051" s="2" t="str">
        <f ca="1">IFERROR(__xludf.DUMMYFUNCTION("""COMPUTED_VALUE"""),"spores-network")</f>
        <v>spores-network</v>
      </c>
      <c r="B12051" s="2" t="str">
        <f ca="1">IFERROR(__xludf.DUMMYFUNCTION("""COMPUTED_VALUE"""),"spo")</f>
        <v>spo</v>
      </c>
      <c r="C12051" s="2" t="str">
        <f ca="1">IFERROR(__xludf.DUMMYFUNCTION("""COMPUTED_VALUE"""),"Spores Network")</f>
        <v>Spores Network</v>
      </c>
    </row>
    <row r="12052" spans="1:3" x14ac:dyDescent="0.25">
      <c r="A12052" s="2" t="str">
        <f ca="1">IFERROR(__xludf.DUMMYFUNCTION("""COMPUTED_VALUE"""),"sporkdao")</f>
        <v>sporkdao</v>
      </c>
      <c r="B12052" s="2" t="str">
        <f ca="1">IFERROR(__xludf.DUMMYFUNCTION("""COMPUTED_VALUE"""),"spork")</f>
        <v>spork</v>
      </c>
      <c r="C12052" s="2" t="str">
        <f ca="1">IFERROR(__xludf.DUMMYFUNCTION("""COMPUTED_VALUE"""),"SporkDAO")</f>
        <v>SporkDAO</v>
      </c>
    </row>
    <row r="12053" spans="1:3" x14ac:dyDescent="0.25">
      <c r="A12053" s="2" t="str">
        <f ca="1">IFERROR(__xludf.DUMMYFUNCTION("""COMPUTED_VALUE"""),"sport")</f>
        <v>sport</v>
      </c>
      <c r="B12053" s="2" t="str">
        <f ca="1">IFERROR(__xludf.DUMMYFUNCTION("""COMPUTED_VALUE"""),"sport")</f>
        <v>sport</v>
      </c>
      <c r="C12053" s="2" t="str">
        <f ca="1">IFERROR(__xludf.DUMMYFUNCTION("""COMPUTED_VALUE"""),"SPORT")</f>
        <v>SPORT</v>
      </c>
    </row>
    <row r="12054" spans="1:3" x14ac:dyDescent="0.25">
      <c r="A12054" s="2" t="str">
        <f ca="1">IFERROR(__xludf.DUMMYFUNCTION("""COMPUTED_VALUE"""),"sportium")</f>
        <v>sportium</v>
      </c>
      <c r="B12054" s="2" t="str">
        <f ca="1">IFERROR(__xludf.DUMMYFUNCTION("""COMPUTED_VALUE"""),"sprt")</f>
        <v>sprt</v>
      </c>
      <c r="C12054" s="2" t="str">
        <f ca="1">IFERROR(__xludf.DUMMYFUNCTION("""COMPUTED_VALUE"""),"Sportium")</f>
        <v>Sportium</v>
      </c>
    </row>
    <row r="12055" spans="1:3" x14ac:dyDescent="0.25">
      <c r="A12055" s="2" t="str">
        <f ca="1">IFERROR(__xludf.DUMMYFUNCTION("""COMPUTED_VALUE"""),"sportpoint")</f>
        <v>sportpoint</v>
      </c>
      <c r="B12055" s="2" t="str">
        <f ca="1">IFERROR(__xludf.DUMMYFUNCTION("""COMPUTED_VALUE"""),"point")</f>
        <v>point</v>
      </c>
      <c r="C12055" s="2" t="str">
        <f ca="1">IFERROR(__xludf.DUMMYFUNCTION("""COMPUTED_VALUE"""),"SportPoint")</f>
        <v>SportPoint</v>
      </c>
    </row>
    <row r="12056" spans="1:3" x14ac:dyDescent="0.25">
      <c r="A12056" s="2" t="str">
        <f ca="1">IFERROR(__xludf.DUMMYFUNCTION("""COMPUTED_VALUE"""),"sports-bet")</f>
        <v>sports-bet</v>
      </c>
      <c r="B12056" s="2" t="str">
        <f ca="1">IFERROR(__xludf.DUMMYFUNCTION("""COMPUTED_VALUE"""),"sbet")</f>
        <v>sbet</v>
      </c>
      <c r="C12056" s="2" t="str">
        <f ca="1">IFERROR(__xludf.DUMMYFUNCTION("""COMPUTED_VALUE"""),"Sports Bet")</f>
        <v>Sports Bet</v>
      </c>
    </row>
    <row r="12057" spans="1:3" x14ac:dyDescent="0.25">
      <c r="A12057" s="2" t="str">
        <f ca="1">IFERROR(__xludf.DUMMYFUNCTION("""COMPUTED_VALUE"""),"sportsicon")</f>
        <v>sportsicon</v>
      </c>
      <c r="B12057" s="2" t="str">
        <f ca="1">IFERROR(__xludf.DUMMYFUNCTION("""COMPUTED_VALUE"""),"$icons")</f>
        <v>$icons</v>
      </c>
      <c r="C12057" s="2" t="str">
        <f ca="1">IFERROR(__xludf.DUMMYFUNCTION("""COMPUTED_VALUE"""),"SportsIcon")</f>
        <v>SportsIcon</v>
      </c>
    </row>
    <row r="12058" spans="1:3" x14ac:dyDescent="0.25">
      <c r="A12058" s="2" t="str">
        <f ca="1">IFERROR(__xludf.DUMMYFUNCTION("""COMPUTED_VALUE"""),"sportsology-game")</f>
        <v>sportsology-game</v>
      </c>
      <c r="B12058" s="2" t="str">
        <f ca="1">IFERROR(__xludf.DUMMYFUNCTION("""COMPUTED_VALUE"""),"game")</f>
        <v>game</v>
      </c>
      <c r="C12058" s="2" t="str">
        <f ca="1">IFERROR(__xludf.DUMMYFUNCTION("""COMPUTED_VALUE"""),"$GAME Token")</f>
        <v>$GAME Token</v>
      </c>
    </row>
    <row r="12059" spans="1:3" x14ac:dyDescent="0.25">
      <c r="A12059" s="2" t="str">
        <f ca="1">IFERROR(__xludf.DUMMYFUNCTION("""COMPUTED_VALUE"""),"sports-pie")</f>
        <v>sports-pie</v>
      </c>
      <c r="B12059" s="2" t="str">
        <f ca="1">IFERROR(__xludf.DUMMYFUNCTION("""COMPUTED_VALUE"""),"pie")</f>
        <v>pie</v>
      </c>
      <c r="C12059" s="2" t="str">
        <f ca="1">IFERROR(__xludf.DUMMYFUNCTION("""COMPUTED_VALUE"""),"Sports PIE")</f>
        <v>Sports PIE</v>
      </c>
    </row>
    <row r="12060" spans="1:3" x14ac:dyDescent="0.25">
      <c r="A12060" s="2" t="str">
        <f ca="1">IFERROR(__xludf.DUMMYFUNCTION("""COMPUTED_VALUE"""),"sportzchain")</f>
        <v>sportzchain</v>
      </c>
      <c r="B12060" s="2" t="str">
        <f ca="1">IFERROR(__xludf.DUMMYFUNCTION("""COMPUTED_VALUE"""),"spn")</f>
        <v>spn</v>
      </c>
      <c r="C12060" s="2" t="str">
        <f ca="1">IFERROR(__xludf.DUMMYFUNCTION("""COMPUTED_VALUE"""),"Sportzchain")</f>
        <v>Sportzchain</v>
      </c>
    </row>
    <row r="12061" spans="1:3" x14ac:dyDescent="0.25">
      <c r="A12061" s="2" t="str">
        <f ca="1">IFERROR(__xludf.DUMMYFUNCTION("""COMPUTED_VALUE"""),"spot")</f>
        <v>spot</v>
      </c>
      <c r="B12061" s="2" t="str">
        <f ca="1">IFERROR(__xludf.DUMMYFUNCTION("""COMPUTED_VALUE"""),"spot")</f>
        <v>spot</v>
      </c>
      <c r="C12061" s="2" t="str">
        <f ca="1">IFERROR(__xludf.DUMMYFUNCTION("""COMPUTED_VALUE"""),"Spot")</f>
        <v>Spot</v>
      </c>
    </row>
    <row r="12062" spans="1:3" x14ac:dyDescent="0.25">
      <c r="A12062" s="2" t="str">
        <f ca="1">IFERROR(__xludf.DUMMYFUNCTION("""COMPUTED_VALUE"""),"spottie-wifi")</f>
        <v>spottie-wifi</v>
      </c>
      <c r="B12062" s="2" t="str">
        <f ca="1">IFERROR(__xludf.DUMMYFUNCTION("""COMPUTED_VALUE"""),"wifi")</f>
        <v>wifi</v>
      </c>
      <c r="C12062" s="2" t="str">
        <f ca="1">IFERROR(__xludf.DUMMYFUNCTION("""COMPUTED_VALUE"""),"Spottie WiFi")</f>
        <v>Spottie WiFi</v>
      </c>
    </row>
    <row r="12063" spans="1:3" x14ac:dyDescent="0.25">
      <c r="A12063" s="2" t="str">
        <f ca="1">IFERROR(__xludf.DUMMYFUNCTION("""COMPUTED_VALUE"""),"spring")</f>
        <v>spring</v>
      </c>
      <c r="B12063" s="2" t="str">
        <f ca="1">IFERROR(__xludf.DUMMYFUNCTION("""COMPUTED_VALUE"""),"spring")</f>
        <v>spring</v>
      </c>
      <c r="C12063" s="2" t="str">
        <f ca="1">IFERROR(__xludf.DUMMYFUNCTION("""COMPUTED_VALUE"""),"Spring Token")</f>
        <v>Spring Token</v>
      </c>
    </row>
    <row r="12064" spans="1:3" x14ac:dyDescent="0.25">
      <c r="A12064" s="2" t="str">
        <f ca="1">IFERROR(__xludf.DUMMYFUNCTION("""COMPUTED_VALUE"""),"sprink")</f>
        <v>sprink</v>
      </c>
      <c r="B12064" s="2" t="str">
        <f ca="1">IFERROR(__xludf.DUMMYFUNCTION("""COMPUTED_VALUE"""),"sprink")</f>
        <v>sprink</v>
      </c>
      <c r="C12064" s="2" t="str">
        <f ca="1">IFERROR(__xludf.DUMMYFUNCTION("""COMPUTED_VALUE"""),"Sprink")</f>
        <v>Sprink</v>
      </c>
    </row>
    <row r="12065" spans="1:3" x14ac:dyDescent="0.25">
      <c r="A12065" s="2" t="str">
        <f ca="1">IFERROR(__xludf.DUMMYFUNCTION("""COMPUTED_VALUE"""),"sprint-2")</f>
        <v>sprint-2</v>
      </c>
      <c r="B12065" s="2" t="str">
        <f ca="1">IFERROR(__xludf.DUMMYFUNCTION("""COMPUTED_VALUE"""),"swp")</f>
        <v>swp</v>
      </c>
      <c r="C12065" s="2" t="str">
        <f ca="1">IFERROR(__xludf.DUMMYFUNCTION("""COMPUTED_VALUE"""),"Sprint")</f>
        <v>Sprint</v>
      </c>
    </row>
    <row r="12066" spans="1:3" x14ac:dyDescent="0.25">
      <c r="A12066" s="2" t="str">
        <f ca="1">IFERROR(__xludf.DUMMYFUNCTION("""COMPUTED_VALUE"""),"sprint-coin")</f>
        <v>sprint-coin</v>
      </c>
      <c r="B12066" s="2" t="str">
        <f ca="1">IFERROR(__xludf.DUMMYFUNCTION("""COMPUTED_VALUE"""),"sprx")</f>
        <v>sprx</v>
      </c>
      <c r="C12066" s="2" t="str">
        <f ca="1">IFERROR(__xludf.DUMMYFUNCTION("""COMPUTED_VALUE"""),"Sprint Coin")</f>
        <v>Sprint Coin</v>
      </c>
    </row>
    <row r="12067" spans="1:3" x14ac:dyDescent="0.25">
      <c r="A12067" s="2" t="str">
        <f ca="1">IFERROR(__xludf.DUMMYFUNCTION("""COMPUTED_VALUE"""),"spritzmoon-crypto")</f>
        <v>spritzmoon-crypto</v>
      </c>
      <c r="B12067" s="2" t="str">
        <f ca="1">IFERROR(__xludf.DUMMYFUNCTION("""COMPUTED_VALUE"""),"spritzmoon")</f>
        <v>spritzmoon</v>
      </c>
      <c r="C12067" s="2" t="str">
        <f ca="1">IFERROR(__xludf.DUMMYFUNCTION("""COMPUTED_VALUE"""),"SpritzMoon Crypto Token")</f>
        <v>SpritzMoon Crypto Token</v>
      </c>
    </row>
    <row r="12068" spans="1:3" x14ac:dyDescent="0.25">
      <c r="A12068" s="2" t="str">
        <f ca="1">IFERROR(__xludf.DUMMYFUNCTION("""COMPUTED_VALUE"""),"spume")</f>
        <v>spume</v>
      </c>
      <c r="B12068" s="2" t="str">
        <f ca="1">IFERROR(__xludf.DUMMYFUNCTION("""COMPUTED_VALUE"""),"spume")</f>
        <v>spume</v>
      </c>
      <c r="C12068" s="2" t="str">
        <f ca="1">IFERROR(__xludf.DUMMYFUNCTION("""COMPUTED_VALUE"""),"Spume")</f>
        <v>Spume</v>
      </c>
    </row>
    <row r="12069" spans="1:3" x14ac:dyDescent="0.25">
      <c r="A12069" s="2" t="str">
        <f ca="1">IFERROR(__xludf.DUMMYFUNCTION("""COMPUTED_VALUE"""),"spurdex")</f>
        <v>spurdex</v>
      </c>
      <c r="B12069" s="2" t="str">
        <f ca="1">IFERROR(__xludf.DUMMYFUNCTION("""COMPUTED_VALUE"""),"spdx")</f>
        <v>spdx</v>
      </c>
      <c r="C12069" s="2" t="str">
        <f ca="1">IFERROR(__xludf.DUMMYFUNCTION("""COMPUTED_VALUE"""),"SpurDex")</f>
        <v>SpurDex</v>
      </c>
    </row>
    <row r="12070" spans="1:3" x14ac:dyDescent="0.25">
      <c r="A12070" s="2" t="str">
        <f ca="1">IFERROR(__xludf.DUMMYFUNCTION("""COMPUTED_VALUE"""),"spurdo")</f>
        <v>spurdo</v>
      </c>
      <c r="B12070" s="2" t="str">
        <f ca="1">IFERROR(__xludf.DUMMYFUNCTION("""COMPUTED_VALUE"""),"spurdo")</f>
        <v>spurdo</v>
      </c>
      <c r="C12070" s="2" t="str">
        <f ca="1">IFERROR(__xludf.DUMMYFUNCTION("""COMPUTED_VALUE"""),"Spurdo")</f>
        <v>Spurdo</v>
      </c>
    </row>
    <row r="12071" spans="1:3" x14ac:dyDescent="0.25">
      <c r="A12071" s="2" t="str">
        <f ca="1">IFERROR(__xludf.DUMMYFUNCTION("""COMPUTED_VALUE"""),"spurdo-on-eth")</f>
        <v>spurdo-on-eth</v>
      </c>
      <c r="B12071" s="2" t="str">
        <f ca="1">IFERROR(__xludf.DUMMYFUNCTION("""COMPUTED_VALUE"""),"spurdo")</f>
        <v>spurdo</v>
      </c>
      <c r="C12071" s="2" t="str">
        <f ca="1">IFERROR(__xludf.DUMMYFUNCTION("""COMPUTED_VALUE"""),"SPURDO ON ETH")</f>
        <v>SPURDO ON ETH</v>
      </c>
    </row>
    <row r="12072" spans="1:3" x14ac:dyDescent="0.25">
      <c r="A12072" s="2" t="str">
        <f ca="1">IFERROR(__xludf.DUMMYFUNCTION("""COMPUTED_VALUE"""),"spurdo-sparde")</f>
        <v>spurdo-sparde</v>
      </c>
      <c r="B12072" s="2" t="str">
        <f ca="1">IFERROR(__xludf.DUMMYFUNCTION("""COMPUTED_VALUE"""),"spurdo")</f>
        <v>spurdo</v>
      </c>
      <c r="C12072" s="2" t="str">
        <f ca="1">IFERROR(__xludf.DUMMYFUNCTION("""COMPUTED_VALUE"""),"Spurdo Spärde")</f>
        <v>Spurdo Spärde</v>
      </c>
    </row>
    <row r="12073" spans="1:3" x14ac:dyDescent="0.25">
      <c r="A12073" s="2" t="str">
        <f ca="1">IFERROR(__xludf.DUMMYFUNCTION("""COMPUTED_VALUE"""),"spurdo-sparde-on-eth")</f>
        <v>spurdo-sparde-on-eth</v>
      </c>
      <c r="B12073" s="2" t="str">
        <f ca="1">IFERROR(__xludf.DUMMYFUNCTION("""COMPUTED_VALUE"""),"spurdo")</f>
        <v>spurdo</v>
      </c>
      <c r="C12073" s="2" t="str">
        <f ca="1">IFERROR(__xludf.DUMMYFUNCTION("""COMPUTED_VALUE"""),"Spurdo Spärde")</f>
        <v>Spurdo Spärde</v>
      </c>
    </row>
    <row r="12074" spans="1:3" x14ac:dyDescent="0.25">
      <c r="A12074" s="2" t="str">
        <f ca="1">IFERROR(__xludf.DUMMYFUNCTION("""COMPUTED_VALUE"""),"spx6900")</f>
        <v>spx6900</v>
      </c>
      <c r="B12074" s="2" t="str">
        <f ca="1">IFERROR(__xludf.DUMMYFUNCTION("""COMPUTED_VALUE"""),"spx")</f>
        <v>spx</v>
      </c>
      <c r="C12074" s="2" t="str">
        <f ca="1">IFERROR(__xludf.DUMMYFUNCTION("""COMPUTED_VALUE"""),"SPX6900")</f>
        <v>SPX6900</v>
      </c>
    </row>
    <row r="12075" spans="1:3" x14ac:dyDescent="0.25">
      <c r="A12075" s="2" t="str">
        <f ca="1">IFERROR(__xludf.DUMMYFUNCTION("""COMPUTED_VALUE"""),"spyro")</f>
        <v>spyro</v>
      </c>
      <c r="B12075" s="2" t="str">
        <f ca="1">IFERROR(__xludf.DUMMYFUNCTION("""COMPUTED_VALUE"""),"spyro")</f>
        <v>spyro</v>
      </c>
      <c r="C12075" s="2" t="str">
        <f ca="1">IFERROR(__xludf.DUMMYFUNCTION("""COMPUTED_VALUE"""),"SPYRO")</f>
        <v>SPYRO</v>
      </c>
    </row>
    <row r="12076" spans="1:3" x14ac:dyDescent="0.25">
      <c r="A12076" s="2" t="str">
        <f ca="1">IFERROR(__xludf.DUMMYFUNCTION("""COMPUTED_VALUE"""),"spyrolana")</f>
        <v>spyrolana</v>
      </c>
      <c r="B12076" s="2" t="str">
        <f ca="1">IFERROR(__xludf.DUMMYFUNCTION("""COMPUTED_VALUE"""),"spyro")</f>
        <v>spyro</v>
      </c>
      <c r="C12076" s="2" t="str">
        <f ca="1">IFERROR(__xludf.DUMMYFUNCTION("""COMPUTED_VALUE"""),"Spyrolana")</f>
        <v>Spyrolana</v>
      </c>
    </row>
    <row r="12077" spans="1:3" x14ac:dyDescent="0.25">
      <c r="A12077" s="2" t="str">
        <f ca="1">IFERROR(__xludf.DUMMYFUNCTION("""COMPUTED_VALUE"""),"sqd")</f>
        <v>sqd</v>
      </c>
      <c r="B12077" s="2" t="str">
        <f ca="1">IFERROR(__xludf.DUMMYFUNCTION("""COMPUTED_VALUE"""),"sqd")</f>
        <v>sqd</v>
      </c>
      <c r="C12077" s="2" t="str">
        <f ca="1">IFERROR(__xludf.DUMMYFUNCTION("""COMPUTED_VALUE"""),"SQD")</f>
        <v>SQD</v>
      </c>
    </row>
    <row r="12078" spans="1:3" x14ac:dyDescent="0.25">
      <c r="A12078" s="2" t="str">
        <f ca="1">IFERROR(__xludf.DUMMYFUNCTION("""COMPUTED_VALUE"""),"sqgl-vault-nftx")</f>
        <v>sqgl-vault-nftx</v>
      </c>
      <c r="B12078" s="2" t="str">
        <f ca="1">IFERROR(__xludf.DUMMYFUNCTION("""COMPUTED_VALUE"""),"sqgl")</f>
        <v>sqgl</v>
      </c>
      <c r="C12078" s="2" t="str">
        <f ca="1">IFERROR(__xludf.DUMMYFUNCTION("""COMPUTED_VALUE"""),"SQGL Vault (NFTX)")</f>
        <v>SQGL Vault (NFTX)</v>
      </c>
    </row>
    <row r="12079" spans="1:3" x14ac:dyDescent="0.25">
      <c r="A12079" s="2" t="str">
        <f ca="1">IFERROR(__xludf.DUMMYFUNCTION("""COMPUTED_VALUE"""),"sqrbit")</f>
        <v>sqrbit</v>
      </c>
      <c r="B12079" s="2" t="str">
        <f ca="1">IFERROR(__xludf.DUMMYFUNCTION("""COMPUTED_VALUE"""),"sqrb")</f>
        <v>sqrb</v>
      </c>
      <c r="C12079" s="2" t="str">
        <f ca="1">IFERROR(__xludf.DUMMYFUNCTION("""COMPUTED_VALUE"""),"SQRBIT")</f>
        <v>SQRBIT</v>
      </c>
    </row>
    <row r="12080" spans="1:3" x14ac:dyDescent="0.25">
      <c r="A12080" s="2" t="str">
        <f ca="1">IFERROR(__xludf.DUMMYFUNCTION("""COMPUTED_VALUE"""),"sqrcat")</f>
        <v>sqrcat</v>
      </c>
      <c r="B12080" s="2" t="str">
        <f ca="1">IFERROR(__xludf.DUMMYFUNCTION("""COMPUTED_VALUE"""),"sqrcat")</f>
        <v>sqrcat</v>
      </c>
      <c r="C12080" s="2" t="str">
        <f ca="1">IFERROR(__xludf.DUMMYFUNCTION("""COMPUTED_VALUE"""),"SQRCAT")</f>
        <v>SQRCAT</v>
      </c>
    </row>
    <row r="12081" spans="1:3" x14ac:dyDescent="0.25">
      <c r="A12081" s="2" t="str">
        <f ca="1">IFERROR(__xludf.DUMMYFUNCTION("""COMPUTED_VALUE"""),"sqts-ordinals")</f>
        <v>sqts-ordinals</v>
      </c>
      <c r="B12081" s="2" t="str">
        <f ca="1">IFERROR(__xludf.DUMMYFUNCTION("""COMPUTED_VALUE"""),"sqts")</f>
        <v>sqts</v>
      </c>
      <c r="C12081" s="2" t="str">
        <f ca="1">IFERROR(__xludf.DUMMYFUNCTION("""COMPUTED_VALUE"""),"SQTS (Ordinals)")</f>
        <v>SQTS (Ordinals)</v>
      </c>
    </row>
    <row r="12082" spans="1:3" x14ac:dyDescent="0.25">
      <c r="A12082" s="2" t="str">
        <f ca="1">IFERROR(__xludf.DUMMYFUNCTION("""COMPUTED_VALUE"""),"squad")</f>
        <v>squad</v>
      </c>
      <c r="B12082" s="2" t="str">
        <f ca="1">IFERROR(__xludf.DUMMYFUNCTION("""COMPUTED_VALUE"""),"squad")</f>
        <v>squad</v>
      </c>
      <c r="C12082" s="2" t="str">
        <f ca="1">IFERROR(__xludf.DUMMYFUNCTION("""COMPUTED_VALUE"""),"Superpower Squad")</f>
        <v>Superpower Squad</v>
      </c>
    </row>
    <row r="12083" spans="1:3" x14ac:dyDescent="0.25">
      <c r="A12083" s="2" t="str">
        <f ca="1">IFERROR(__xludf.DUMMYFUNCTION("""COMPUTED_VALUE"""),"squadswap")</f>
        <v>squadswap</v>
      </c>
      <c r="B12083" s="2" t="str">
        <f ca="1">IFERROR(__xludf.DUMMYFUNCTION("""COMPUTED_VALUE"""),"squad")</f>
        <v>squad</v>
      </c>
      <c r="C12083" s="2" t="str">
        <f ca="1">IFERROR(__xludf.DUMMYFUNCTION("""COMPUTED_VALUE"""),"SquadSwap")</f>
        <v>SquadSwap</v>
      </c>
    </row>
    <row r="12084" spans="1:3" x14ac:dyDescent="0.25">
      <c r="A12084" s="2" t="str">
        <f ca="1">IFERROR(__xludf.DUMMYFUNCTION("""COMPUTED_VALUE"""),"squared-token")</f>
        <v>squared-token</v>
      </c>
      <c r="B12084" s="2" t="str">
        <f ca="1">IFERROR(__xludf.DUMMYFUNCTION("""COMPUTED_VALUE"""),"sqd")</f>
        <v>sqd</v>
      </c>
      <c r="C12084" s="2" t="str">
        <f ca="1">IFERROR(__xludf.DUMMYFUNCTION("""COMPUTED_VALUE"""),"Squared Token [OLD]")</f>
        <v>Squared Token [OLD]</v>
      </c>
    </row>
    <row r="12085" spans="1:3" x14ac:dyDescent="0.25">
      <c r="A12085" s="2" t="str">
        <f ca="1">IFERROR(__xludf.DUMMYFUNCTION("""COMPUTED_VALUE"""),"squared-token-2")</f>
        <v>squared-token-2</v>
      </c>
      <c r="B12085" s="2" t="str">
        <f ca="1">IFERROR(__xludf.DUMMYFUNCTION("""COMPUTED_VALUE"""),"sqd")</f>
        <v>sqd</v>
      </c>
      <c r="C12085" s="2" t="str">
        <f ca="1">IFERROR(__xludf.DUMMYFUNCTION("""COMPUTED_VALUE"""),"Squared Token")</f>
        <v>Squared Token</v>
      </c>
    </row>
    <row r="12086" spans="1:3" x14ac:dyDescent="0.25">
      <c r="A12086" s="2" t="str">
        <f ca="1">IFERROR(__xludf.DUMMYFUNCTION("""COMPUTED_VALUE"""),"squid-game")</f>
        <v>squid-game</v>
      </c>
      <c r="B12086" s="2" t="str">
        <f ca="1">IFERROR(__xludf.DUMMYFUNCTION("""COMPUTED_VALUE"""),"squid")</f>
        <v>squid</v>
      </c>
      <c r="C12086" s="2" t="str">
        <f ca="1">IFERROR(__xludf.DUMMYFUNCTION("""COMPUTED_VALUE"""),"Squid Game")</f>
        <v>Squid Game</v>
      </c>
    </row>
    <row r="12087" spans="1:3" x14ac:dyDescent="0.25">
      <c r="A12087" s="2" t="str">
        <f ca="1">IFERROR(__xludf.DUMMYFUNCTION("""COMPUTED_VALUE"""),"squid-game-2")</f>
        <v>squid-game-2</v>
      </c>
      <c r="B12087" s="2" t="str">
        <f ca="1">IFERROR(__xludf.DUMMYFUNCTION("""COMPUTED_VALUE"""),"squid")</f>
        <v>squid</v>
      </c>
      <c r="C12087" s="2" t="str">
        <f ca="1">IFERROR(__xludf.DUMMYFUNCTION("""COMPUTED_VALUE"""),"Squid Game")</f>
        <v>Squid Game</v>
      </c>
    </row>
    <row r="12088" spans="1:3" x14ac:dyDescent="0.25">
      <c r="A12088" s="2" t="str">
        <f ca="1">IFERROR(__xludf.DUMMYFUNCTION("""COMPUTED_VALUE"""),"squidgrow")</f>
        <v>squidgrow</v>
      </c>
      <c r="B12088" s="2" t="str">
        <f ca="1">IFERROR(__xludf.DUMMYFUNCTION("""COMPUTED_VALUE"""),"squidgrow")</f>
        <v>squidgrow</v>
      </c>
      <c r="C12088" s="2" t="str">
        <f ca="1">IFERROR(__xludf.DUMMYFUNCTION("""COMPUTED_VALUE"""),"SquidGrow [OLD]")</f>
        <v>SquidGrow [OLD]</v>
      </c>
    </row>
    <row r="12089" spans="1:3" x14ac:dyDescent="0.25">
      <c r="A12089" s="2" t="str">
        <f ca="1">IFERROR(__xludf.DUMMYFUNCTION("""COMPUTED_VALUE"""),"squidgrow-2")</f>
        <v>squidgrow-2</v>
      </c>
      <c r="B12089" s="2" t="str">
        <f ca="1">IFERROR(__xludf.DUMMYFUNCTION("""COMPUTED_VALUE"""),"sqgrow")</f>
        <v>sqgrow</v>
      </c>
      <c r="C12089" s="2" t="str">
        <f ca="1">IFERROR(__xludf.DUMMYFUNCTION("""COMPUTED_VALUE"""),"SquidGrow")</f>
        <v>SquidGrow</v>
      </c>
    </row>
    <row r="12090" spans="1:3" x14ac:dyDescent="0.25">
      <c r="A12090" s="2" t="str">
        <f ca="1">IFERROR(__xludf.DUMMYFUNCTION("""COMPUTED_VALUE"""),"squidtg")</f>
        <v>squidtg</v>
      </c>
      <c r="B12090" s="2" t="str">
        <f ca="1">IFERROR(__xludf.DUMMYFUNCTION("""COMPUTED_VALUE"""),"$sqg")</f>
        <v>$sqg</v>
      </c>
      <c r="C12090" s="2" t="str">
        <f ca="1">IFERROR(__xludf.DUMMYFUNCTION("""COMPUTED_VALUE"""),"SquidTG")</f>
        <v>SquidTG</v>
      </c>
    </row>
    <row r="12091" spans="1:3" x14ac:dyDescent="0.25">
      <c r="A12091" s="2" t="str">
        <f ca="1">IFERROR(__xludf.DUMMYFUNCTION("""COMPUTED_VALUE"""),"squirry")</f>
        <v>squirry</v>
      </c>
      <c r="B12091" s="2" t="str">
        <f ca="1">IFERROR(__xludf.DUMMYFUNCTION("""COMPUTED_VALUE"""),"squirry")</f>
        <v>squirry</v>
      </c>
      <c r="C12091" s="2" t="str">
        <f ca="1">IFERROR(__xludf.DUMMYFUNCTION("""COMPUTED_VALUE"""),"Squirry")</f>
        <v>Squirry</v>
      </c>
    </row>
    <row r="12092" spans="1:3" x14ac:dyDescent="0.25">
      <c r="A12092" s="2" t="str">
        <f ca="1">IFERROR(__xludf.DUMMYFUNCTION("""COMPUTED_VALUE"""),"srcgame")</f>
        <v>srcgame</v>
      </c>
      <c r="B12092" s="2" t="str">
        <f ca="1">IFERROR(__xludf.DUMMYFUNCTION("""COMPUTED_VALUE"""),"sgm")</f>
        <v>sgm</v>
      </c>
      <c r="C12092" s="2" t="str">
        <f ca="1">IFERROR(__xludf.DUMMYFUNCTION("""COMPUTED_VALUE"""),"SRCGAME")</f>
        <v>SRCGAME</v>
      </c>
    </row>
    <row r="12093" spans="1:3" x14ac:dyDescent="0.25">
      <c r="A12093" s="2" t="str">
        <f ca="1">IFERROR(__xludf.DUMMYFUNCTION("""COMPUTED_VALUE"""),"srune")</f>
        <v>srune</v>
      </c>
      <c r="B12093" s="2" t="str">
        <f ca="1">IFERROR(__xludf.DUMMYFUNCTION("""COMPUTED_VALUE"""),"srune")</f>
        <v>srune</v>
      </c>
      <c r="C12093" s="2" t="str">
        <f ca="1">IFERROR(__xludf.DUMMYFUNCTION("""COMPUTED_VALUE"""),"sRUNE")</f>
        <v>sRUNE</v>
      </c>
    </row>
    <row r="12094" spans="1:3" x14ac:dyDescent="0.25">
      <c r="A12094" s="2" t="str">
        <f ca="1">IFERROR(__xludf.DUMMYFUNCTION("""COMPUTED_VALUE"""),"ssv-network")</f>
        <v>ssv-network</v>
      </c>
      <c r="B12094" s="2" t="str">
        <f ca="1">IFERROR(__xludf.DUMMYFUNCTION("""COMPUTED_VALUE"""),"ssv")</f>
        <v>ssv</v>
      </c>
      <c r="C12094" s="2" t="str">
        <f ca="1">IFERROR(__xludf.DUMMYFUNCTION("""COMPUTED_VALUE"""),"SSV Network")</f>
        <v>SSV Network</v>
      </c>
    </row>
    <row r="12095" spans="1:3" x14ac:dyDescent="0.25">
      <c r="A12095" s="2" t="str">
        <f ca="1">IFERROR(__xludf.DUMMYFUNCTION("""COMPUTED_VALUE"""),"stabilize")</f>
        <v>stabilize</v>
      </c>
      <c r="B12095" s="2" t="str">
        <f ca="1">IFERROR(__xludf.DUMMYFUNCTION("""COMPUTED_VALUE"""),"stbz")</f>
        <v>stbz</v>
      </c>
      <c r="C12095" s="2" t="str">
        <f ca="1">IFERROR(__xludf.DUMMYFUNCTION("""COMPUTED_VALUE"""),"Stabilize")</f>
        <v>Stabilize</v>
      </c>
    </row>
    <row r="12096" spans="1:3" x14ac:dyDescent="0.25">
      <c r="A12096" s="2" t="str">
        <f ca="1">IFERROR(__xludf.DUMMYFUNCTION("""COMPUTED_VALUE"""),"stablecoin")</f>
        <v>stablecoin</v>
      </c>
      <c r="B12096" s="2" t="str">
        <f ca="1">IFERROR(__xludf.DUMMYFUNCTION("""COMPUTED_VALUE"""),"stable")</f>
        <v>stable</v>
      </c>
      <c r="C12096" s="2" t="str">
        <f ca="1">IFERROR(__xludf.DUMMYFUNCTION("""COMPUTED_VALUE"""),"Stablecoin")</f>
        <v>Stablecoin</v>
      </c>
    </row>
    <row r="12097" spans="1:3" x14ac:dyDescent="0.25">
      <c r="A12097" s="2" t="str">
        <f ca="1">IFERROR(__xludf.DUMMYFUNCTION("""COMPUTED_VALUE"""),"stablecomp")</f>
        <v>stablecomp</v>
      </c>
      <c r="B12097" s="2" t="str">
        <f ca="1">IFERROR(__xludf.DUMMYFUNCTION("""COMPUTED_VALUE"""),"scomp")</f>
        <v>scomp</v>
      </c>
      <c r="C12097" s="2" t="str">
        <f ca="1">IFERROR(__xludf.DUMMYFUNCTION("""COMPUTED_VALUE"""),"Stablecomp")</f>
        <v>Stablecomp</v>
      </c>
    </row>
    <row r="12098" spans="1:3" x14ac:dyDescent="0.25">
      <c r="A12098" s="2" t="str">
        <f ca="1">IFERROR(__xludf.DUMMYFUNCTION("""COMPUTED_VALUE"""),"stable-com-usd3")</f>
        <v>stable-com-usd3</v>
      </c>
      <c r="B12098" s="2" t="str">
        <f ca="1">IFERROR(__xludf.DUMMYFUNCTION("""COMPUTED_VALUE"""),"usd3")</f>
        <v>usd3</v>
      </c>
      <c r="C12098" s="2" t="str">
        <f ca="1">IFERROR(__xludf.DUMMYFUNCTION("""COMPUTED_VALUE"""),"Stable.com USD3")</f>
        <v>Stable.com USD3</v>
      </c>
    </row>
    <row r="12099" spans="1:3" x14ac:dyDescent="0.25">
      <c r="A12099" s="2" t="str">
        <f ca="1">IFERROR(__xludf.DUMMYFUNCTION("""COMPUTED_VALUE"""),"stabledoc-token")</f>
        <v>stabledoc-token</v>
      </c>
      <c r="B12099" s="2" t="str">
        <f ca="1">IFERROR(__xludf.DUMMYFUNCTION("""COMPUTED_VALUE"""),"sdt")</f>
        <v>sdt</v>
      </c>
      <c r="C12099" s="2" t="str">
        <f ca="1">IFERROR(__xludf.DUMMYFUNCTION("""COMPUTED_VALUE"""),"Stabledoc")</f>
        <v>Stabledoc</v>
      </c>
    </row>
    <row r="12100" spans="1:3" x14ac:dyDescent="0.25">
      <c r="A12100" s="2" t="str">
        <f ca="1">IFERROR(__xludf.DUMMYFUNCTION("""COMPUTED_VALUE"""),"stable-usdlr")</f>
        <v>stable-usdlr</v>
      </c>
      <c r="B12100" s="2" t="str">
        <f ca="1">IFERROR(__xludf.DUMMYFUNCTION("""COMPUTED_VALUE"""),"usdlr")</f>
        <v>usdlr</v>
      </c>
      <c r="C12100" s="2" t="str">
        <f ca="1">IFERROR(__xludf.DUMMYFUNCTION("""COMPUTED_VALUE"""),"Stable USDLR")</f>
        <v>Stable USDLR</v>
      </c>
    </row>
    <row r="12101" spans="1:3" x14ac:dyDescent="0.25">
      <c r="A12101" s="2" t="str">
        <f ca="1">IFERROR(__xludf.DUMMYFUNCTION("""COMPUTED_VALUE"""),"stabl-fi")</f>
        <v>stabl-fi</v>
      </c>
      <c r="B12101" s="2" t="str">
        <f ca="1">IFERROR(__xludf.DUMMYFUNCTION("""COMPUTED_VALUE"""),"cash")</f>
        <v>cash</v>
      </c>
      <c r="C12101" s="2" t="str">
        <f ca="1">IFERROR(__xludf.DUMMYFUNCTION("""COMPUTED_VALUE"""),"Stabl.fi CASH")</f>
        <v>Stabl.fi CASH</v>
      </c>
    </row>
    <row r="12102" spans="1:3" x14ac:dyDescent="0.25">
      <c r="A12102" s="2" t="str">
        <f ca="1">IFERROR(__xludf.DUMMYFUNCTION("""COMPUTED_VALUE"""),"stably-cusd")</f>
        <v>stably-cusd</v>
      </c>
      <c r="B12102" s="2" t="str">
        <f ca="1">IFERROR(__xludf.DUMMYFUNCTION("""COMPUTED_VALUE"""),"cusd")</f>
        <v>cusd</v>
      </c>
      <c r="C12102" s="2" t="str">
        <f ca="1">IFERROR(__xludf.DUMMYFUNCTION("""COMPUTED_VALUE"""),"CUSD")</f>
        <v>CUSD</v>
      </c>
    </row>
    <row r="12103" spans="1:3" x14ac:dyDescent="0.25">
      <c r="A12103" s="2" t="str">
        <f ca="1">IFERROR(__xludf.DUMMYFUNCTION("""COMPUTED_VALUE"""),"stack")</f>
        <v>stack</v>
      </c>
      <c r="B12103" s="2" t="str">
        <f ca="1">IFERROR(__xludf.DUMMYFUNCTION("""COMPUTED_VALUE"""),"stack")</f>
        <v>stack</v>
      </c>
      <c r="C12103" s="2" t="str">
        <f ca="1">IFERROR(__xludf.DUMMYFUNCTION("""COMPUTED_VALUE"""),"Stack")</f>
        <v>Stack</v>
      </c>
    </row>
    <row r="12104" spans="1:3" x14ac:dyDescent="0.25">
      <c r="A12104" s="2" t="str">
        <f ca="1">IFERROR(__xludf.DUMMYFUNCTION("""COMPUTED_VALUE"""),"stack-2")</f>
        <v>stack-2</v>
      </c>
      <c r="B12104" s="2" t="str">
        <f ca="1">IFERROR(__xludf.DUMMYFUNCTION("""COMPUTED_VALUE"""),"more")</f>
        <v>more</v>
      </c>
      <c r="C12104" s="2" t="str">
        <f ca="1">IFERROR(__xludf.DUMMYFUNCTION("""COMPUTED_VALUE"""),"Stack")</f>
        <v>Stack</v>
      </c>
    </row>
    <row r="12105" spans="1:3" x14ac:dyDescent="0.25">
      <c r="A12105" s="2" t="str">
        <f ca="1">IFERROR(__xludf.DUMMYFUNCTION("""COMPUTED_VALUE"""),"stacker-ai")</f>
        <v>stacker-ai</v>
      </c>
      <c r="B12105" s="2" t="str">
        <f ca="1">IFERROR(__xludf.DUMMYFUNCTION("""COMPUTED_VALUE"""),"$stack")</f>
        <v>$stack</v>
      </c>
      <c r="C12105" s="2" t="str">
        <f ca="1">IFERROR(__xludf.DUMMYFUNCTION("""COMPUTED_VALUE"""),"STACKER AI")</f>
        <v>STACKER AI</v>
      </c>
    </row>
    <row r="12106" spans="1:3" x14ac:dyDescent="0.25">
      <c r="A12106" s="2" t="str">
        <f ca="1">IFERROR(__xludf.DUMMYFUNCTION("""COMPUTED_VALUE"""),"stacking-dao")</f>
        <v>stacking-dao</v>
      </c>
      <c r="B12106" s="2" t="str">
        <f ca="1">IFERROR(__xludf.DUMMYFUNCTION("""COMPUTED_VALUE"""),"ststx")</f>
        <v>ststx</v>
      </c>
      <c r="C12106" s="2" t="str">
        <f ca="1">IFERROR(__xludf.DUMMYFUNCTION("""COMPUTED_VALUE"""),"Stacking DAO Stacked Stacks")</f>
        <v>Stacking DAO Stacked Stacks</v>
      </c>
    </row>
    <row r="12107" spans="1:3" x14ac:dyDescent="0.25">
      <c r="A12107" s="2" t="str">
        <f ca="1">IFERROR(__xludf.DUMMYFUNCTION("""COMPUTED_VALUE"""),"stackos")</f>
        <v>stackos</v>
      </c>
      <c r="B12107" s="2" t="str">
        <f ca="1">IFERROR(__xludf.DUMMYFUNCTION("""COMPUTED_VALUE"""),"sfx")</f>
        <v>sfx</v>
      </c>
      <c r="C12107" s="2" t="str">
        <f ca="1">IFERROR(__xludf.DUMMYFUNCTION("""COMPUTED_VALUE"""),"StackOS")</f>
        <v>StackOS</v>
      </c>
    </row>
    <row r="12108" spans="1:3" x14ac:dyDescent="0.25">
      <c r="A12108" s="2" t="str">
        <f ca="1">IFERROR(__xludf.DUMMYFUNCTION("""COMPUTED_VALUE"""),"stacks")</f>
        <v>stacks</v>
      </c>
      <c r="B12108" s="2" t="str">
        <f ca="1">IFERROR(__xludf.DUMMYFUNCTION("""COMPUTED_VALUE"""),"stacks")</f>
        <v>stacks</v>
      </c>
      <c r="C12108" s="2" t="str">
        <f ca="1">IFERROR(__xludf.DUMMYFUNCTION("""COMPUTED_VALUE"""),"STACKS")</f>
        <v>STACKS</v>
      </c>
    </row>
    <row r="12109" spans="1:3" x14ac:dyDescent="0.25">
      <c r="A12109" s="2" t="str">
        <f ca="1">IFERROR(__xludf.DUMMYFUNCTION("""COMPUTED_VALUE"""),"stackswap")</f>
        <v>stackswap</v>
      </c>
      <c r="B12109" s="2" t="str">
        <f ca="1">IFERROR(__xludf.DUMMYFUNCTION("""COMPUTED_VALUE"""),"stsw")</f>
        <v>stsw</v>
      </c>
      <c r="C12109" s="2" t="str">
        <f ca="1">IFERROR(__xludf.DUMMYFUNCTION("""COMPUTED_VALUE"""),"Stackswap")</f>
        <v>Stackswap</v>
      </c>
    </row>
    <row r="12110" spans="1:3" x14ac:dyDescent="0.25">
      <c r="A12110" s="2" t="str">
        <f ca="1">IFERROR(__xludf.DUMMYFUNCTION("""COMPUTED_VALUE"""),"stacktical")</f>
        <v>stacktical</v>
      </c>
      <c r="B12110" s="2" t="str">
        <f ca="1">IFERROR(__xludf.DUMMYFUNCTION("""COMPUTED_VALUE"""),"dsla")</f>
        <v>dsla</v>
      </c>
      <c r="C12110" s="2" t="str">
        <f ca="1">IFERROR(__xludf.DUMMYFUNCTION("""COMPUTED_VALUE"""),"DSLA Protocol")</f>
        <v>DSLA Protocol</v>
      </c>
    </row>
    <row r="12111" spans="1:3" x14ac:dyDescent="0.25">
      <c r="A12111" s="2" t="str">
        <f ca="1">IFERROR(__xludf.DUMMYFUNCTION("""COMPUTED_VALUE"""),"stade-francais-paris-fan-token")</f>
        <v>stade-francais-paris-fan-token</v>
      </c>
      <c r="B12111" s="2" t="str">
        <f ca="1">IFERROR(__xludf.DUMMYFUNCTION("""COMPUTED_VALUE"""),"sfp")</f>
        <v>sfp</v>
      </c>
      <c r="C12111" s="2" t="str">
        <f ca="1">IFERROR(__xludf.DUMMYFUNCTION("""COMPUTED_VALUE"""),"Stade Français Paris Fan Token")</f>
        <v>Stade Français Paris Fan Token</v>
      </c>
    </row>
    <row r="12112" spans="1:3" x14ac:dyDescent="0.25">
      <c r="A12112" s="2" t="str">
        <f ca="1">IFERROR(__xludf.DUMMYFUNCTION("""COMPUTED_VALUE"""),"stader")</f>
        <v>stader</v>
      </c>
      <c r="B12112" s="2" t="str">
        <f ca="1">IFERROR(__xludf.DUMMYFUNCTION("""COMPUTED_VALUE"""),"sd")</f>
        <v>sd</v>
      </c>
      <c r="C12112" s="2" t="str">
        <f ca="1">IFERROR(__xludf.DUMMYFUNCTION("""COMPUTED_VALUE"""),"Stader")</f>
        <v>Stader</v>
      </c>
    </row>
    <row r="12113" spans="1:3" x14ac:dyDescent="0.25">
      <c r="A12113" s="2" t="str">
        <f ca="1">IFERROR(__xludf.DUMMYFUNCTION("""COMPUTED_VALUE"""),"stader-bnbx")</f>
        <v>stader-bnbx</v>
      </c>
      <c r="B12113" s="2" t="str">
        <f ca="1">IFERROR(__xludf.DUMMYFUNCTION("""COMPUTED_VALUE"""),"bnbx")</f>
        <v>bnbx</v>
      </c>
      <c r="C12113" s="2" t="str">
        <f ca="1">IFERROR(__xludf.DUMMYFUNCTION("""COMPUTED_VALUE"""),"Stader BNBx")</f>
        <v>Stader BNBx</v>
      </c>
    </row>
    <row r="12114" spans="1:3" x14ac:dyDescent="0.25">
      <c r="A12114" s="2" t="str">
        <f ca="1">IFERROR(__xludf.DUMMYFUNCTION("""COMPUTED_VALUE"""),"stader-ethx")</f>
        <v>stader-ethx</v>
      </c>
      <c r="B12114" s="2" t="str">
        <f ca="1">IFERROR(__xludf.DUMMYFUNCTION("""COMPUTED_VALUE"""),"ethx")</f>
        <v>ethx</v>
      </c>
      <c r="C12114" s="2" t="str">
        <f ca="1">IFERROR(__xludf.DUMMYFUNCTION("""COMPUTED_VALUE"""),"Stader ETHx")</f>
        <v>Stader ETHx</v>
      </c>
    </row>
    <row r="12115" spans="1:3" x14ac:dyDescent="0.25">
      <c r="A12115" s="2" t="str">
        <f ca="1">IFERROR(__xludf.DUMMYFUNCTION("""COMPUTED_VALUE"""),"stader-maticx")</f>
        <v>stader-maticx</v>
      </c>
      <c r="B12115" s="2" t="str">
        <f ca="1">IFERROR(__xludf.DUMMYFUNCTION("""COMPUTED_VALUE"""),"maticx")</f>
        <v>maticx</v>
      </c>
      <c r="C12115" s="2" t="str">
        <f ca="1">IFERROR(__xludf.DUMMYFUNCTION("""COMPUTED_VALUE"""),"Stader MaticX")</f>
        <v>Stader MaticX</v>
      </c>
    </row>
    <row r="12116" spans="1:3" x14ac:dyDescent="0.25">
      <c r="A12116" s="2" t="str">
        <f ca="1">IFERROR(__xludf.DUMMYFUNCTION("""COMPUTED_VALUE"""),"stader-nearx")</f>
        <v>stader-nearx</v>
      </c>
      <c r="B12116" s="2" t="str">
        <f ca="1">IFERROR(__xludf.DUMMYFUNCTION("""COMPUTED_VALUE"""),"nearx")</f>
        <v>nearx</v>
      </c>
      <c r="C12116" s="2" t="str">
        <f ca="1">IFERROR(__xludf.DUMMYFUNCTION("""COMPUTED_VALUE"""),"Stader NearX")</f>
        <v>Stader NearX</v>
      </c>
    </row>
    <row r="12117" spans="1:3" x14ac:dyDescent="0.25">
      <c r="A12117" s="2" t="str">
        <f ca="1">IFERROR(__xludf.DUMMYFUNCTION("""COMPUTED_VALUE"""),"stader-sftmx")</f>
        <v>stader-sftmx</v>
      </c>
      <c r="B12117" s="2" t="str">
        <f ca="1">IFERROR(__xludf.DUMMYFUNCTION("""COMPUTED_VALUE"""),"sftmx")</f>
        <v>sftmx</v>
      </c>
      <c r="C12117" s="2" t="str">
        <f ca="1">IFERROR(__xludf.DUMMYFUNCTION("""COMPUTED_VALUE"""),"BeethovenX sFTMX")</f>
        <v>BeethovenX sFTMX</v>
      </c>
    </row>
    <row r="12118" spans="1:3" x14ac:dyDescent="0.25">
      <c r="A12118" s="2" t="str">
        <f ca="1">IFERROR(__xludf.DUMMYFUNCTION("""COMPUTED_VALUE"""),"stafi")</f>
        <v>stafi</v>
      </c>
      <c r="B12118" s="2" t="str">
        <f ca="1">IFERROR(__xludf.DUMMYFUNCTION("""COMPUTED_VALUE"""),"fis")</f>
        <v>fis</v>
      </c>
      <c r="C12118" s="2" t="str">
        <f ca="1">IFERROR(__xludf.DUMMYFUNCTION("""COMPUTED_VALUE"""),"Stafi")</f>
        <v>Stafi</v>
      </c>
    </row>
    <row r="12119" spans="1:3" x14ac:dyDescent="0.25">
      <c r="A12119" s="2" t="str">
        <f ca="1">IFERROR(__xludf.DUMMYFUNCTION("""COMPUTED_VALUE"""),"stafi-staked-matic")</f>
        <v>stafi-staked-matic</v>
      </c>
      <c r="B12119" s="2" t="str">
        <f ca="1">IFERROR(__xludf.DUMMYFUNCTION("""COMPUTED_VALUE"""),"rmatic")</f>
        <v>rmatic</v>
      </c>
      <c r="C12119" s="2" t="str">
        <f ca="1">IFERROR(__xludf.DUMMYFUNCTION("""COMPUTED_VALUE"""),"StaFi Staked MATIC")</f>
        <v>StaFi Staked MATIC</v>
      </c>
    </row>
    <row r="12120" spans="1:3" x14ac:dyDescent="0.25">
      <c r="A12120" s="2" t="str">
        <f ca="1">IFERROR(__xludf.DUMMYFUNCTION("""COMPUTED_VALUE"""),"stafi-staked-sol")</f>
        <v>stafi-staked-sol</v>
      </c>
      <c r="B12120" s="2" t="str">
        <f ca="1">IFERROR(__xludf.DUMMYFUNCTION("""COMPUTED_VALUE"""),"rsol")</f>
        <v>rsol</v>
      </c>
      <c r="C12120" s="2" t="str">
        <f ca="1">IFERROR(__xludf.DUMMYFUNCTION("""COMPUTED_VALUE"""),"StaFi Staked SOL")</f>
        <v>StaFi Staked SOL</v>
      </c>
    </row>
    <row r="12121" spans="1:3" x14ac:dyDescent="0.25">
      <c r="A12121" s="2" t="str">
        <f ca="1">IFERROR(__xludf.DUMMYFUNCTION("""COMPUTED_VALUE"""),"stafi-staked-swth")</f>
        <v>stafi-staked-swth</v>
      </c>
      <c r="B12121" s="2" t="str">
        <f ca="1">IFERROR(__xludf.DUMMYFUNCTION("""COMPUTED_VALUE"""),"rswth")</f>
        <v>rswth</v>
      </c>
      <c r="C12121" s="2" t="str">
        <f ca="1">IFERROR(__xludf.DUMMYFUNCTION("""COMPUTED_VALUE"""),"StaFi Staked SWTH")</f>
        <v>StaFi Staked SWTH</v>
      </c>
    </row>
    <row r="12122" spans="1:3" x14ac:dyDescent="0.25">
      <c r="A12122" s="2" t="str">
        <f ca="1">IFERROR(__xludf.DUMMYFUNCTION("""COMPUTED_VALUE"""),"stage-0")</f>
        <v>stage-0</v>
      </c>
      <c r="B12122" s="2" t="str">
        <f ca="1">IFERROR(__xludf.DUMMYFUNCTION("""COMPUTED_VALUE"""),"acc")</f>
        <v>acc</v>
      </c>
      <c r="C12122" s="2" t="str">
        <f ca="1">IFERROR(__xludf.DUMMYFUNCTION("""COMPUTED_VALUE"""),"ACC")</f>
        <v>ACC</v>
      </c>
    </row>
    <row r="12123" spans="1:3" x14ac:dyDescent="0.25">
      <c r="A12123" s="2" t="str">
        <f ca="1">IFERROR(__xludf.DUMMYFUNCTION("""COMPUTED_VALUE"""),"staika")</f>
        <v>staika</v>
      </c>
      <c r="B12123" s="2" t="str">
        <f ca="1">IFERROR(__xludf.DUMMYFUNCTION("""COMPUTED_VALUE"""),"stik")</f>
        <v>stik</v>
      </c>
      <c r="C12123" s="2" t="str">
        <f ca="1">IFERROR(__xludf.DUMMYFUNCTION("""COMPUTED_VALUE"""),"Staika")</f>
        <v>Staika</v>
      </c>
    </row>
    <row r="12124" spans="1:3" x14ac:dyDescent="0.25">
      <c r="A12124" s="2" t="str">
        <f ca="1">IFERROR(__xludf.DUMMYFUNCTION("""COMPUTED_VALUE"""),"stakebooster-token")</f>
        <v>stakebooster-token</v>
      </c>
      <c r="B12124" s="2" t="str">
        <f ca="1">IFERROR(__xludf.DUMMYFUNCTION("""COMPUTED_VALUE"""),"sbt")</f>
        <v>sbt</v>
      </c>
      <c r="C12124" s="2" t="str">
        <f ca="1">IFERROR(__xludf.DUMMYFUNCTION("""COMPUTED_VALUE"""),"StakeBooster Token")</f>
        <v>StakeBooster Token</v>
      </c>
    </row>
    <row r="12125" spans="1:3" x14ac:dyDescent="0.25">
      <c r="A12125" s="2" t="str">
        <f ca="1">IFERROR(__xludf.DUMMYFUNCTION("""COMPUTED_VALUE"""),"stakeborg-dao")</f>
        <v>stakeborg-dao</v>
      </c>
      <c r="B12125" s="2" t="str">
        <f ca="1">IFERROR(__xludf.DUMMYFUNCTION("""COMPUTED_VALUE"""),"standard")</f>
        <v>standard</v>
      </c>
      <c r="C12125" s="2" t="str">
        <f ca="1">IFERROR(__xludf.DUMMYFUNCTION("""COMPUTED_VALUE"""),"Construct")</f>
        <v>Construct</v>
      </c>
    </row>
    <row r="12126" spans="1:3" x14ac:dyDescent="0.25">
      <c r="A12126" s="2" t="str">
        <f ca="1">IFERROR(__xludf.DUMMYFUNCTION("""COMPUTED_VALUE"""),"stake-city-staked-sol")</f>
        <v>stake-city-staked-sol</v>
      </c>
      <c r="B12126" s="2" t="str">
        <f ca="1">IFERROR(__xludf.DUMMYFUNCTION("""COMPUTED_VALUE"""),"stakesol")</f>
        <v>stakesol</v>
      </c>
      <c r="C12126" s="2" t="str">
        <f ca="1">IFERROR(__xludf.DUMMYFUNCTION("""COMPUTED_VALUE"""),"Stake City Staked SOL")</f>
        <v>Stake City Staked SOL</v>
      </c>
    </row>
    <row r="12127" spans="1:3" x14ac:dyDescent="0.25">
      <c r="A12127" s="2" t="str">
        <f ca="1">IFERROR(__xludf.DUMMYFUNCTION("""COMPUTED_VALUE"""),"stakecube")</f>
        <v>stakecube</v>
      </c>
      <c r="B12127" s="2" t="str">
        <f ca="1">IFERROR(__xludf.DUMMYFUNCTION("""COMPUTED_VALUE"""),"scc")</f>
        <v>scc</v>
      </c>
      <c r="C12127" s="2" t="str">
        <f ca="1">IFERROR(__xludf.DUMMYFUNCTION("""COMPUTED_VALUE"""),"Stakecube")</f>
        <v>Stakecube</v>
      </c>
    </row>
    <row r="12128" spans="1:3" x14ac:dyDescent="0.25">
      <c r="A12128" s="2" t="str">
        <f ca="1">IFERROR(__xludf.DUMMYFUNCTION("""COMPUTED_VALUE"""),"staked-aave-balancer-pool-token")</f>
        <v>staked-aave-balancer-pool-token</v>
      </c>
      <c r="B12128" s="2" t="str">
        <f ca="1">IFERROR(__xludf.DUMMYFUNCTION("""COMPUTED_VALUE"""),"stkabpt")</f>
        <v>stkabpt</v>
      </c>
      <c r="C12128" s="2" t="str">
        <f ca="1">IFERROR(__xludf.DUMMYFUNCTION("""COMPUTED_VALUE"""),"Staked Aave Balancer Pool Token")</f>
        <v>Staked Aave Balancer Pool Token</v>
      </c>
    </row>
    <row r="12129" spans="1:3" x14ac:dyDescent="0.25">
      <c r="A12129" s="2" t="str">
        <f ca="1">IFERROR(__xludf.DUMMYFUNCTION("""COMPUTED_VALUE"""),"staked-ageur")</f>
        <v>staked-ageur</v>
      </c>
      <c r="B12129" s="2" t="str">
        <f ca="1">IFERROR(__xludf.DUMMYFUNCTION("""COMPUTED_VALUE"""),"steur")</f>
        <v>steur</v>
      </c>
      <c r="C12129" s="2" t="str">
        <f ca="1">IFERROR(__xludf.DUMMYFUNCTION("""COMPUTED_VALUE"""),"Angle Staked EURA")</f>
        <v>Angle Staked EURA</v>
      </c>
    </row>
    <row r="12130" spans="1:3" x14ac:dyDescent="0.25">
      <c r="A12130" s="2" t="str">
        <f ca="1">IFERROR(__xludf.DUMMYFUNCTION("""COMPUTED_VALUE"""),"stake-dao")</f>
        <v>stake-dao</v>
      </c>
      <c r="B12130" s="2" t="str">
        <f ca="1">IFERROR(__xludf.DUMMYFUNCTION("""COMPUTED_VALUE"""),"sdt")</f>
        <v>sdt</v>
      </c>
      <c r="C12130" s="2" t="str">
        <f ca="1">IFERROR(__xludf.DUMMYFUNCTION("""COMPUTED_VALUE"""),"Stake DAO")</f>
        <v>Stake DAO</v>
      </c>
    </row>
    <row r="12131" spans="1:3" x14ac:dyDescent="0.25">
      <c r="A12131" s="2" t="str">
        <f ca="1">IFERROR(__xludf.DUMMYFUNCTION("""COMPUTED_VALUE"""),"stake-dao-crv")</f>
        <v>stake-dao-crv</v>
      </c>
      <c r="B12131" s="2" t="str">
        <f ca="1">IFERROR(__xludf.DUMMYFUNCTION("""COMPUTED_VALUE"""),"sdcrv")</f>
        <v>sdcrv</v>
      </c>
      <c r="C12131" s="2" t="str">
        <f ca="1">IFERROR(__xludf.DUMMYFUNCTION("""COMPUTED_VALUE"""),"Stake DAO CRV")</f>
        <v>Stake DAO CRV</v>
      </c>
    </row>
    <row r="12132" spans="1:3" x14ac:dyDescent="0.25">
      <c r="A12132" s="2" t="str">
        <f ca="1">IFERROR(__xludf.DUMMYFUNCTION("""COMPUTED_VALUE"""),"stake-dao-sdpendle")</f>
        <v>stake-dao-sdpendle</v>
      </c>
      <c r="B12132" s="2" t="str">
        <f ca="1">IFERROR(__xludf.DUMMYFUNCTION("""COMPUTED_VALUE"""),"sdpendle")</f>
        <v>sdpendle</v>
      </c>
      <c r="C12132" s="2" t="str">
        <f ca="1">IFERROR(__xludf.DUMMYFUNCTION("""COMPUTED_VALUE"""),"Stake DAO sdPENDLE")</f>
        <v>Stake DAO sdPENDLE</v>
      </c>
    </row>
    <row r="12133" spans="1:3" x14ac:dyDescent="0.25">
      <c r="A12133" s="2" t="str">
        <f ca="1">IFERROR(__xludf.DUMMYFUNCTION("""COMPUTED_VALUE"""),"staked-aurora")</f>
        <v>staked-aurora</v>
      </c>
      <c r="B12133" s="2" t="str">
        <f ca="1">IFERROR(__xludf.DUMMYFUNCTION("""COMPUTED_VALUE"""),"staur")</f>
        <v>staur</v>
      </c>
      <c r="C12133" s="2" t="str">
        <f ca="1">IFERROR(__xludf.DUMMYFUNCTION("""COMPUTED_VALUE"""),"Staked Aurora")</f>
        <v>Staked Aurora</v>
      </c>
    </row>
    <row r="12134" spans="1:3" x14ac:dyDescent="0.25">
      <c r="A12134" s="2" t="str">
        <f ca="1">IFERROR(__xludf.DUMMYFUNCTION("""COMPUTED_VALUE"""),"staked-bifi")</f>
        <v>staked-bifi</v>
      </c>
      <c r="B12134" s="2" t="str">
        <f ca="1">IFERROR(__xludf.DUMMYFUNCTION("""COMPUTED_VALUE"""),"moobifi")</f>
        <v>moobifi</v>
      </c>
      <c r="C12134" s="2" t="str">
        <f ca="1">IFERROR(__xludf.DUMMYFUNCTION("""COMPUTED_VALUE"""),"Staked BIFI")</f>
        <v>Staked BIFI</v>
      </c>
    </row>
    <row r="12135" spans="1:3" x14ac:dyDescent="0.25">
      <c r="A12135" s="2" t="str">
        <f ca="1">IFERROR(__xludf.DUMMYFUNCTION("""COMPUTED_VALUE"""),"staked-core")</f>
        <v>staked-core</v>
      </c>
      <c r="B12135" s="2" t="str">
        <f ca="1">IFERROR(__xludf.DUMMYFUNCTION("""COMPUTED_VALUE"""),"score")</f>
        <v>score</v>
      </c>
      <c r="C12135" s="2" t="str">
        <f ca="1">IFERROR(__xludf.DUMMYFUNCTION("""COMPUTED_VALUE"""),"Staked CORE")</f>
        <v>Staked CORE</v>
      </c>
    </row>
    <row r="12136" spans="1:3" x14ac:dyDescent="0.25">
      <c r="A12136" s="2" t="str">
        <f ca="1">IFERROR(__xludf.DUMMYFUNCTION("""COMPUTED_VALUE"""),"staked-ether")</f>
        <v>staked-ether</v>
      </c>
      <c r="B12136" s="2" t="str">
        <f ca="1">IFERROR(__xludf.DUMMYFUNCTION("""COMPUTED_VALUE"""),"steth")</f>
        <v>steth</v>
      </c>
      <c r="C12136" s="2" t="str">
        <f ca="1">IFERROR(__xludf.DUMMYFUNCTION("""COMPUTED_VALUE"""),"Lido Staked Ether")</f>
        <v>Lido Staked Ether</v>
      </c>
    </row>
    <row r="12137" spans="1:3" x14ac:dyDescent="0.25">
      <c r="A12137" s="2" t="str">
        <f ca="1">IFERROR(__xludf.DUMMYFUNCTION("""COMPUTED_VALUE"""),"staked-ethos-reserve-note")</f>
        <v>staked-ethos-reserve-note</v>
      </c>
      <c r="B12137" s="2" t="str">
        <f ca="1">IFERROR(__xludf.DUMMYFUNCTION("""COMPUTED_VALUE"""),"stern")</f>
        <v>stern</v>
      </c>
      <c r="C12137" s="2" t="str">
        <f ca="1">IFERROR(__xludf.DUMMYFUNCTION("""COMPUTED_VALUE"""),"Staked Ethos Reserve Note")</f>
        <v>Staked Ethos Reserve Note</v>
      </c>
    </row>
    <row r="12138" spans="1:3" x14ac:dyDescent="0.25">
      <c r="A12138" s="2" t="str">
        <f ca="1">IFERROR(__xludf.DUMMYFUNCTION("""COMPUTED_VALUE"""),"staked-frax")</f>
        <v>staked-frax</v>
      </c>
      <c r="B12138" s="2" t="str">
        <f ca="1">IFERROR(__xludf.DUMMYFUNCTION("""COMPUTED_VALUE"""),"sfrax")</f>
        <v>sfrax</v>
      </c>
      <c r="C12138" s="2" t="str">
        <f ca="1">IFERROR(__xludf.DUMMYFUNCTION("""COMPUTED_VALUE"""),"Staked FRAX")</f>
        <v>Staked FRAX</v>
      </c>
    </row>
    <row r="12139" spans="1:3" x14ac:dyDescent="0.25">
      <c r="A12139" s="2" t="str">
        <f ca="1">IFERROR(__xludf.DUMMYFUNCTION("""COMPUTED_VALUE"""),"staked-frax-ether")</f>
        <v>staked-frax-ether</v>
      </c>
      <c r="B12139" s="2" t="str">
        <f ca="1">IFERROR(__xludf.DUMMYFUNCTION("""COMPUTED_VALUE"""),"sfrxeth")</f>
        <v>sfrxeth</v>
      </c>
      <c r="C12139" s="2" t="str">
        <f ca="1">IFERROR(__xludf.DUMMYFUNCTION("""COMPUTED_VALUE"""),"Staked Frax Ether")</f>
        <v>Staked Frax Ether</v>
      </c>
    </row>
    <row r="12140" spans="1:3" x14ac:dyDescent="0.25">
      <c r="A12140" s="2" t="str">
        <f ca="1">IFERROR(__xludf.DUMMYFUNCTION("""COMPUTED_VALUE"""),"staked-fx")</f>
        <v>staked-fx</v>
      </c>
      <c r="B12140" s="2" t="str">
        <f ca="1">IFERROR(__xludf.DUMMYFUNCTION("""COMPUTED_VALUE"""),"stfx")</f>
        <v>stfx</v>
      </c>
      <c r="C12140" s="2" t="str">
        <f ca="1">IFERROR(__xludf.DUMMYFUNCTION("""COMPUTED_VALUE"""),"Staked FX")</f>
        <v>Staked FX</v>
      </c>
    </row>
    <row r="12141" spans="1:3" x14ac:dyDescent="0.25">
      <c r="A12141" s="2" t="str">
        <f ca="1">IFERROR(__xludf.DUMMYFUNCTION("""COMPUTED_VALUE"""),"staked-hope")</f>
        <v>staked-hope</v>
      </c>
      <c r="B12141" s="2" t="str">
        <f ca="1">IFERROR(__xludf.DUMMYFUNCTION("""COMPUTED_VALUE"""),"sthope")</f>
        <v>sthope</v>
      </c>
      <c r="C12141" s="2" t="str">
        <f ca="1">IFERROR(__xludf.DUMMYFUNCTION("""COMPUTED_VALUE"""),"Staked HOPE")</f>
        <v>Staked HOPE</v>
      </c>
    </row>
    <row r="12142" spans="1:3" x14ac:dyDescent="0.25">
      <c r="A12142" s="2" t="str">
        <f ca="1">IFERROR(__xludf.DUMMYFUNCTION("""COMPUTED_VALUE"""),"staked-kcs")</f>
        <v>staked-kcs</v>
      </c>
      <c r="B12142" s="2" t="str">
        <f ca="1">IFERROR(__xludf.DUMMYFUNCTION("""COMPUTED_VALUE"""),"skcs")</f>
        <v>skcs</v>
      </c>
      <c r="C12142" s="2" t="str">
        <f ca="1">IFERROR(__xludf.DUMMYFUNCTION("""COMPUTED_VALUE"""),"Staked KCS")</f>
        <v>Staked KCS</v>
      </c>
    </row>
    <row r="12143" spans="1:3" x14ac:dyDescent="0.25">
      <c r="A12143" s="2" t="str">
        <f ca="1">IFERROR(__xludf.DUMMYFUNCTION("""COMPUTED_VALUE"""),"staked-metis-token")</f>
        <v>staked-metis-token</v>
      </c>
      <c r="B12143" s="2" t="str">
        <f ca="1">IFERROR(__xludf.DUMMYFUNCTION("""COMPUTED_VALUE"""),"artmetis")</f>
        <v>artmetis</v>
      </c>
      <c r="C12143" s="2" t="str">
        <f ca="1">IFERROR(__xludf.DUMMYFUNCTION("""COMPUTED_VALUE"""),"Staked Metis Token")</f>
        <v>Staked Metis Token</v>
      </c>
    </row>
    <row r="12144" spans="1:3" x14ac:dyDescent="0.25">
      <c r="A12144" s="2" t="str">
        <f ca="1">IFERROR(__xludf.DUMMYFUNCTION("""COMPUTED_VALUE"""),"staked-near")</f>
        <v>staked-near</v>
      </c>
      <c r="B12144" s="2" t="str">
        <f ca="1">IFERROR(__xludf.DUMMYFUNCTION("""COMPUTED_VALUE"""),"stnear")</f>
        <v>stnear</v>
      </c>
      <c r="C12144" s="2" t="str">
        <f ca="1">IFERROR(__xludf.DUMMYFUNCTION("""COMPUTED_VALUE"""),"Staked NEAR")</f>
        <v>Staked NEAR</v>
      </c>
    </row>
    <row r="12145" spans="1:3" x14ac:dyDescent="0.25">
      <c r="A12145" s="2" t="str">
        <f ca="1">IFERROR(__xludf.DUMMYFUNCTION("""COMPUTED_VALUE"""),"staked-ogn")</f>
        <v>staked-ogn</v>
      </c>
      <c r="B12145" s="2" t="str">
        <f ca="1">IFERROR(__xludf.DUMMYFUNCTION("""COMPUTED_VALUE"""),"xogn")</f>
        <v>xogn</v>
      </c>
      <c r="C12145" s="2" t="str">
        <f ca="1">IFERROR(__xludf.DUMMYFUNCTION("""COMPUTED_VALUE"""),"Staked OGN")</f>
        <v>Staked OGN</v>
      </c>
    </row>
    <row r="12146" spans="1:3" x14ac:dyDescent="0.25">
      <c r="A12146" s="2" t="str">
        <f ca="1">IFERROR(__xludf.DUMMYFUNCTION("""COMPUTED_VALUE"""),"staked-strk")</f>
        <v>staked-strk</v>
      </c>
      <c r="B12146" s="2" t="str">
        <f ca="1">IFERROR(__xludf.DUMMYFUNCTION("""COMPUTED_VALUE"""),"nststrk")</f>
        <v>nststrk</v>
      </c>
      <c r="C12146" s="2" t="str">
        <f ca="1">IFERROR(__xludf.DUMMYFUNCTION("""COMPUTED_VALUE"""),"Nostra Staked STRK")</f>
        <v>Nostra Staked STRK</v>
      </c>
    </row>
    <row r="12147" spans="1:3" x14ac:dyDescent="0.25">
      <c r="A12147" s="2" t="str">
        <f ca="1">IFERROR(__xludf.DUMMYFUNCTION("""COMPUTED_VALUE"""),"staked-tarot")</f>
        <v>staked-tarot</v>
      </c>
      <c r="B12147" s="2" t="str">
        <f ca="1">IFERROR(__xludf.DUMMYFUNCTION("""COMPUTED_VALUE"""),"xtarot")</f>
        <v>xtarot</v>
      </c>
      <c r="C12147" s="2" t="str">
        <f ca="1">IFERROR(__xludf.DUMMYFUNCTION("""COMPUTED_VALUE"""),"Staked TAROT")</f>
        <v>Staked TAROT</v>
      </c>
    </row>
    <row r="12148" spans="1:3" x14ac:dyDescent="0.25">
      <c r="A12148" s="2" t="str">
        <f ca="1">IFERROR(__xludf.DUMMYFUNCTION("""COMPUTED_VALUE"""),"staked-thala-apt")</f>
        <v>staked-thala-apt</v>
      </c>
      <c r="B12148" s="2" t="str">
        <f ca="1">IFERROR(__xludf.DUMMYFUNCTION("""COMPUTED_VALUE"""),"sthapt")</f>
        <v>sthapt</v>
      </c>
      <c r="C12148" s="2" t="str">
        <f ca="1">IFERROR(__xludf.DUMMYFUNCTION("""COMPUTED_VALUE"""),"Staked Thala APT")</f>
        <v>Staked Thala APT</v>
      </c>
    </row>
    <row r="12149" spans="1:3" x14ac:dyDescent="0.25">
      <c r="A12149" s="2" t="str">
        <f ca="1">IFERROR(__xludf.DUMMYFUNCTION("""COMPUTED_VALUE"""),"staked-tlos")</f>
        <v>staked-tlos</v>
      </c>
      <c r="B12149" s="2" t="str">
        <f ca="1">IFERROR(__xludf.DUMMYFUNCTION("""COMPUTED_VALUE"""),"stlos")</f>
        <v>stlos</v>
      </c>
      <c r="C12149" s="2" t="str">
        <f ca="1">IFERROR(__xludf.DUMMYFUNCTION("""COMPUTED_VALUE"""),"Staked TLOS")</f>
        <v>Staked TLOS</v>
      </c>
    </row>
    <row r="12150" spans="1:3" x14ac:dyDescent="0.25">
      <c r="A12150" s="2" t="str">
        <f ca="1">IFERROR(__xludf.DUMMYFUNCTION("""COMPUTED_VALUE"""),"staked-trx")</f>
        <v>staked-trx</v>
      </c>
      <c r="B12150" s="2" t="str">
        <f ca="1">IFERROR(__xludf.DUMMYFUNCTION("""COMPUTED_VALUE"""),"strx")</f>
        <v>strx</v>
      </c>
      <c r="C12150" s="2" t="str">
        <f ca="1">IFERROR(__xludf.DUMMYFUNCTION("""COMPUTED_VALUE"""),"Staked TRX")</f>
        <v>Staked TRX</v>
      </c>
    </row>
    <row r="12151" spans="1:3" x14ac:dyDescent="0.25">
      <c r="A12151" s="2" t="str">
        <f ca="1">IFERROR(__xludf.DUMMYFUNCTION("""COMPUTED_VALUE"""),"staked-usdt")</f>
        <v>staked-usdt</v>
      </c>
      <c r="B12151" s="2" t="str">
        <f ca="1">IFERROR(__xludf.DUMMYFUNCTION("""COMPUTED_VALUE"""),"stusdt")</f>
        <v>stusdt</v>
      </c>
      <c r="C12151" s="2" t="str">
        <f ca="1">IFERROR(__xludf.DUMMYFUNCTION("""COMPUTED_VALUE"""),"Staked USDT")</f>
        <v>Staked USDT</v>
      </c>
    </row>
    <row r="12152" spans="1:3" x14ac:dyDescent="0.25">
      <c r="A12152" s="2" t="str">
        <f ca="1">IFERROR(__xludf.DUMMYFUNCTION("""COMPUTED_VALUE"""),"staked-vector")</f>
        <v>staked-vector</v>
      </c>
      <c r="B12152" s="2" t="str">
        <f ca="1">IFERROR(__xludf.DUMMYFUNCTION("""COMPUTED_VALUE"""),"svec")</f>
        <v>svec</v>
      </c>
      <c r="C12152" s="2" t="str">
        <f ca="1">IFERROR(__xludf.DUMMYFUNCTION("""COMPUTED_VALUE"""),"Staked Vector")</f>
        <v>Staked Vector</v>
      </c>
    </row>
    <row r="12153" spans="1:3" x14ac:dyDescent="0.25">
      <c r="A12153" s="2" t="str">
        <f ca="1">IFERROR(__xludf.DUMMYFUNCTION("""COMPUTED_VALUE"""),"staked-veth")</f>
        <v>staked-veth</v>
      </c>
      <c r="B12153" s="2" t="str">
        <f ca="1">IFERROR(__xludf.DUMMYFUNCTION("""COMPUTED_VALUE"""),"sveth")</f>
        <v>sveth</v>
      </c>
      <c r="C12153" s="2" t="str">
        <f ca="1">IFERROR(__xludf.DUMMYFUNCTION("""COMPUTED_VALUE"""),"Vector Reserve Staked vETH")</f>
        <v>Vector Reserve Staked vETH</v>
      </c>
    </row>
    <row r="12154" spans="1:3" x14ac:dyDescent="0.25">
      <c r="A12154" s="2" t="str">
        <f ca="1">IFERROR(__xludf.DUMMYFUNCTION("""COMPUTED_VALUE"""),"staked-vlx")</f>
        <v>staked-vlx</v>
      </c>
      <c r="B12154" s="2" t="str">
        <f ca="1">IFERROR(__xludf.DUMMYFUNCTION("""COMPUTED_VALUE"""),"stvlx")</f>
        <v>stvlx</v>
      </c>
      <c r="C12154" s="2" t="str">
        <f ca="1">IFERROR(__xludf.DUMMYFUNCTION("""COMPUTED_VALUE"""),"Staked VLX")</f>
        <v>Staked VLX</v>
      </c>
    </row>
    <row r="12155" spans="1:3" x14ac:dyDescent="0.25">
      <c r="A12155" s="2" t="str">
        <f ca="1">IFERROR(__xludf.DUMMYFUNCTION("""COMPUTED_VALUE"""),"staked-yearn-crv-vault")</f>
        <v>staked-yearn-crv-vault</v>
      </c>
      <c r="B12155" s="2" t="str">
        <f ca="1">IFERROR(__xludf.DUMMYFUNCTION("""COMPUTED_VALUE"""),"st-ycrv")</f>
        <v>st-ycrv</v>
      </c>
      <c r="C12155" s="2" t="str">
        <f ca="1">IFERROR(__xludf.DUMMYFUNCTION("""COMPUTED_VALUE"""),"Staked Yearn CRV Vault")</f>
        <v>Staked Yearn CRV Vault</v>
      </c>
    </row>
    <row r="12156" spans="1:3" x14ac:dyDescent="0.25">
      <c r="A12156" s="2" t="str">
        <f ca="1">IFERROR(__xludf.DUMMYFUNCTION("""COMPUTED_VALUE"""),"staked-yearn-ether")</f>
        <v>staked-yearn-ether</v>
      </c>
      <c r="B12156" s="2" t="str">
        <f ca="1">IFERROR(__xludf.DUMMYFUNCTION("""COMPUTED_VALUE"""),"st-yeth")</f>
        <v>st-yeth</v>
      </c>
      <c r="C12156" s="2" t="str">
        <f ca="1">IFERROR(__xludf.DUMMYFUNCTION("""COMPUTED_VALUE"""),"Staked Yearn Ether")</f>
        <v>Staked Yearn Ether</v>
      </c>
    </row>
    <row r="12157" spans="1:3" x14ac:dyDescent="0.25">
      <c r="A12157" s="2" t="str">
        <f ca="1">IFERROR(__xludf.DUMMYFUNCTION("""COMPUTED_VALUE"""),"stakehouse-keth")</f>
        <v>stakehouse-keth</v>
      </c>
      <c r="B12157" s="2" t="str">
        <f ca="1">IFERROR(__xludf.DUMMYFUNCTION("""COMPUTED_VALUE"""),"keth")</f>
        <v>keth</v>
      </c>
      <c r="C12157" s="2" t="str">
        <f ca="1">IFERROR(__xludf.DUMMYFUNCTION("""COMPUTED_VALUE"""),"Stakehouse kETH")</f>
        <v>Stakehouse kETH</v>
      </c>
    </row>
    <row r="12158" spans="1:3" x14ac:dyDescent="0.25">
      <c r="A12158" s="2" t="str">
        <f ca="1">IFERROR(__xludf.DUMMYFUNCTION("""COMPUTED_VALUE"""),"stakelayer")</f>
        <v>stakelayer</v>
      </c>
      <c r="B12158" s="2" t="str">
        <f ca="1">IFERROR(__xludf.DUMMYFUNCTION("""COMPUTED_VALUE"""),"stakelayer")</f>
        <v>stakelayer</v>
      </c>
      <c r="C12158" s="2" t="str">
        <f ca="1">IFERROR(__xludf.DUMMYFUNCTION("""COMPUTED_VALUE"""),"StakeLayer")</f>
        <v>StakeLayer</v>
      </c>
    </row>
    <row r="12159" spans="1:3" x14ac:dyDescent="0.25">
      <c r="A12159" s="2" t="str">
        <f ca="1">IFERROR(__xludf.DUMMYFUNCTION("""COMPUTED_VALUE"""),"stake-link")</f>
        <v>stake-link</v>
      </c>
      <c r="B12159" s="2" t="str">
        <f ca="1">IFERROR(__xludf.DUMMYFUNCTION("""COMPUTED_VALUE"""),"sdl")</f>
        <v>sdl</v>
      </c>
      <c r="C12159" s="2" t="str">
        <f ca="1">IFERROR(__xludf.DUMMYFUNCTION("""COMPUTED_VALUE"""),"stake.link")</f>
        <v>stake.link</v>
      </c>
    </row>
    <row r="12160" spans="1:3" x14ac:dyDescent="0.25">
      <c r="A12160" s="2" t="str">
        <f ca="1">IFERROR(__xludf.DUMMYFUNCTION("""COMPUTED_VALUE"""),"stake-link-staked-link")</f>
        <v>stake-link-staked-link</v>
      </c>
      <c r="B12160" s="2" t="str">
        <f ca="1">IFERROR(__xludf.DUMMYFUNCTION("""COMPUTED_VALUE"""),"stlink")</f>
        <v>stlink</v>
      </c>
      <c r="C12160" s="2" t="str">
        <f ca="1">IFERROR(__xludf.DUMMYFUNCTION("""COMPUTED_VALUE"""),"Staked LINK")</f>
        <v>Staked LINK</v>
      </c>
    </row>
    <row r="12161" spans="1:3" x14ac:dyDescent="0.25">
      <c r="A12161" s="2" t="str">
        <f ca="1">IFERROR(__xludf.DUMMYFUNCTION("""COMPUTED_VALUE"""),"stakestone-ether")</f>
        <v>stakestone-ether</v>
      </c>
      <c r="B12161" s="2" t="str">
        <f ca="1">IFERROR(__xludf.DUMMYFUNCTION("""COMPUTED_VALUE"""),"stone")</f>
        <v>stone</v>
      </c>
      <c r="C12161" s="2" t="str">
        <f ca="1">IFERROR(__xludf.DUMMYFUNCTION("""COMPUTED_VALUE"""),"StakeStone ETH")</f>
        <v>StakeStone ETH</v>
      </c>
    </row>
    <row r="12162" spans="1:3" x14ac:dyDescent="0.25">
      <c r="A12162" s="2" t="str">
        <f ca="1">IFERROR(__xludf.DUMMYFUNCTION("""COMPUTED_VALUE"""),"stake-together")</f>
        <v>stake-together</v>
      </c>
      <c r="B12162" s="2" t="str">
        <f ca="1">IFERROR(__xludf.DUMMYFUNCTION("""COMPUTED_VALUE"""),"stpeth")</f>
        <v>stpeth</v>
      </c>
      <c r="C12162" s="2" t="str">
        <f ca="1">IFERROR(__xludf.DUMMYFUNCTION("""COMPUTED_VALUE"""),"Stake Together")</f>
        <v>Stake Together</v>
      </c>
    </row>
    <row r="12163" spans="1:3" x14ac:dyDescent="0.25">
      <c r="A12163" s="2" t="str">
        <f ca="1">IFERROR(__xludf.DUMMYFUNCTION("""COMPUTED_VALUE"""),"stakevault-network")</f>
        <v>stakevault-network</v>
      </c>
      <c r="B12163" s="2" t="str">
        <f ca="1">IFERROR(__xludf.DUMMYFUNCTION("""COMPUTED_VALUE"""),"svn")</f>
        <v>svn</v>
      </c>
      <c r="C12163" s="2" t="str">
        <f ca="1">IFERROR(__xludf.DUMMYFUNCTION("""COMPUTED_VALUE"""),"StakeVault.Network")</f>
        <v>StakeVault.Network</v>
      </c>
    </row>
    <row r="12164" spans="1:3" x14ac:dyDescent="0.25">
      <c r="A12164" s="2" t="str">
        <f ca="1">IFERROR(__xludf.DUMMYFUNCTION("""COMPUTED_VALUE"""),"stakewise")</f>
        <v>stakewise</v>
      </c>
      <c r="B12164" s="2" t="str">
        <f ca="1">IFERROR(__xludf.DUMMYFUNCTION("""COMPUTED_VALUE"""),"swise")</f>
        <v>swise</v>
      </c>
      <c r="C12164" s="2" t="str">
        <f ca="1">IFERROR(__xludf.DUMMYFUNCTION("""COMPUTED_VALUE"""),"StakeWise")</f>
        <v>StakeWise</v>
      </c>
    </row>
    <row r="12165" spans="1:3" x14ac:dyDescent="0.25">
      <c r="A12165" s="2" t="str">
        <f ca="1">IFERROR(__xludf.DUMMYFUNCTION("""COMPUTED_VALUE"""),"stakewise-staked-gno-2")</f>
        <v>stakewise-staked-gno-2</v>
      </c>
      <c r="B12165" s="2" t="str">
        <f ca="1">IFERROR(__xludf.DUMMYFUNCTION("""COMPUTED_VALUE"""),"osgno")</f>
        <v>osgno</v>
      </c>
      <c r="C12165" s="2" t="str">
        <f ca="1">IFERROR(__xludf.DUMMYFUNCTION("""COMPUTED_VALUE"""),"StakeWise Staked GNO")</f>
        <v>StakeWise Staked GNO</v>
      </c>
    </row>
    <row r="12166" spans="1:3" x14ac:dyDescent="0.25">
      <c r="A12166" s="2" t="str">
        <f ca="1">IFERROR(__xludf.DUMMYFUNCTION("""COMPUTED_VALUE"""),"stakewise-v3-oseth")</f>
        <v>stakewise-v3-oseth</v>
      </c>
      <c r="B12166" s="2" t="str">
        <f ca="1">IFERROR(__xludf.DUMMYFUNCTION("""COMPUTED_VALUE"""),"oseth")</f>
        <v>oseth</v>
      </c>
      <c r="C12166" s="2" t="str">
        <f ca="1">IFERROR(__xludf.DUMMYFUNCTION("""COMPUTED_VALUE"""),"StakeWise Staked ETH")</f>
        <v>StakeWise Staked ETH</v>
      </c>
    </row>
    <row r="12167" spans="1:3" x14ac:dyDescent="0.25">
      <c r="A12167" s="2" t="str">
        <f ca="1">IFERROR(__xludf.DUMMYFUNCTION("""COMPUTED_VALUE"""),"stamp-2")</f>
        <v>stamp-2</v>
      </c>
      <c r="B12167" s="2" t="str">
        <f ca="1">IFERROR(__xludf.DUMMYFUNCTION("""COMPUTED_VALUE"""),"stamp")</f>
        <v>stamp</v>
      </c>
      <c r="C12167" s="2" t="str">
        <f ca="1">IFERROR(__xludf.DUMMYFUNCTION("""COMPUTED_VALUE"""),"STAMP")</f>
        <v>STAMP</v>
      </c>
    </row>
    <row r="12168" spans="1:3" x14ac:dyDescent="0.25">
      <c r="A12168" s="2" t="str">
        <f ca="1">IFERROR(__xludf.DUMMYFUNCTION("""COMPUTED_VALUE"""),"stampmap")</f>
        <v>stampmap</v>
      </c>
      <c r="B12168" s="2" t="str">
        <f ca="1">IFERROR(__xludf.DUMMYFUNCTION("""COMPUTED_VALUE"""),"stmap")</f>
        <v>stmap</v>
      </c>
      <c r="C12168" s="2" t="str">
        <f ca="1">IFERROR(__xludf.DUMMYFUNCTION("""COMPUTED_VALUE"""),"StampMap")</f>
        <v>StampMap</v>
      </c>
    </row>
    <row r="12169" spans="1:3" x14ac:dyDescent="0.25">
      <c r="A12169" s="2" t="str">
        <f ca="1">IFERROR(__xludf.DUMMYFUNCTION("""COMPUTED_VALUE"""),"standard-protocol")</f>
        <v>standard-protocol</v>
      </c>
      <c r="B12169" s="2" t="str">
        <f ca="1">IFERROR(__xludf.DUMMYFUNCTION("""COMPUTED_VALUE"""),"stnd")</f>
        <v>stnd</v>
      </c>
      <c r="C12169" s="2" t="str">
        <f ca="1">IFERROR(__xludf.DUMMYFUNCTION("""COMPUTED_VALUE"""),"Standard Protocol")</f>
        <v>Standard Protocol</v>
      </c>
    </row>
    <row r="12170" spans="1:3" x14ac:dyDescent="0.25">
      <c r="A12170" s="2" t="str">
        <f ca="1">IFERROR(__xludf.DUMMYFUNCTION("""COMPUTED_VALUE"""),"standard-token")</f>
        <v>standard-token</v>
      </c>
      <c r="B12170" s="2" t="str">
        <f ca="1">IFERROR(__xludf.DUMMYFUNCTION("""COMPUTED_VALUE"""),"tst")</f>
        <v>tst</v>
      </c>
      <c r="C12170" s="2" t="str">
        <f ca="1">IFERROR(__xludf.DUMMYFUNCTION("""COMPUTED_VALUE"""),"The Standard Token")</f>
        <v>The Standard Token</v>
      </c>
    </row>
    <row r="12171" spans="1:3" x14ac:dyDescent="0.25">
      <c r="A12171" s="2" t="str">
        <f ca="1">IFERROR(__xludf.DUMMYFUNCTION("""COMPUTED_VALUE"""),"stanley-cup-coin")</f>
        <v>stanley-cup-coin</v>
      </c>
      <c r="B12171" s="2" t="str">
        <f ca="1">IFERROR(__xludf.DUMMYFUNCTION("""COMPUTED_VALUE"""),"stan")</f>
        <v>stan</v>
      </c>
      <c r="C12171" s="2" t="str">
        <f ca="1">IFERROR(__xludf.DUMMYFUNCTION("""COMPUTED_VALUE"""),"Stanley Cup Coin")</f>
        <v>Stanley Cup Coin</v>
      </c>
    </row>
    <row r="12172" spans="1:3" x14ac:dyDescent="0.25">
      <c r="A12172" s="2" t="str">
        <f ca="1">IFERROR(__xludf.DUMMYFUNCTION("""COMPUTED_VALUE"""),"star-atlas")</f>
        <v>star-atlas</v>
      </c>
      <c r="B12172" s="2" t="str">
        <f ca="1">IFERROR(__xludf.DUMMYFUNCTION("""COMPUTED_VALUE"""),"atlas")</f>
        <v>atlas</v>
      </c>
      <c r="C12172" s="2" t="str">
        <f ca="1">IFERROR(__xludf.DUMMYFUNCTION("""COMPUTED_VALUE"""),"Star Atlas")</f>
        <v>Star Atlas</v>
      </c>
    </row>
    <row r="12173" spans="1:3" x14ac:dyDescent="0.25">
      <c r="A12173" s="2" t="str">
        <f ca="1">IFERROR(__xludf.DUMMYFUNCTION("""COMPUTED_VALUE"""),"star-atlas-dao")</f>
        <v>star-atlas-dao</v>
      </c>
      <c r="B12173" s="2" t="str">
        <f ca="1">IFERROR(__xludf.DUMMYFUNCTION("""COMPUTED_VALUE"""),"polis")</f>
        <v>polis</v>
      </c>
      <c r="C12173" s="2" t="str">
        <f ca="1">IFERROR(__xludf.DUMMYFUNCTION("""COMPUTED_VALUE"""),"Star Atlas DAO")</f>
        <v>Star Atlas DAO</v>
      </c>
    </row>
    <row r="12174" spans="1:3" x14ac:dyDescent="0.25">
      <c r="A12174" s="2" t="str">
        <f ca="1">IFERROR(__xludf.DUMMYFUNCTION("""COMPUTED_VALUE"""),"starbot")</f>
        <v>starbot</v>
      </c>
      <c r="B12174" s="2" t="str">
        <f ca="1">IFERROR(__xludf.DUMMYFUNCTION("""COMPUTED_VALUE"""),"star")</f>
        <v>star</v>
      </c>
      <c r="C12174" s="2" t="str">
        <f ca="1">IFERROR(__xludf.DUMMYFUNCTION("""COMPUTED_VALUE"""),"Starbot")</f>
        <v>Starbot</v>
      </c>
    </row>
    <row r="12175" spans="1:3" x14ac:dyDescent="0.25">
      <c r="A12175" s="2" t="str">
        <f ca="1">IFERROR(__xludf.DUMMYFUNCTION("""COMPUTED_VALUE"""),"starbots")</f>
        <v>starbots</v>
      </c>
      <c r="B12175" s="2" t="str">
        <f ca="1">IFERROR(__xludf.DUMMYFUNCTION("""COMPUTED_VALUE"""),"bot")</f>
        <v>bot</v>
      </c>
      <c r="C12175" s="2" t="str">
        <f ca="1">IFERROR(__xludf.DUMMYFUNCTION("""COMPUTED_VALUE"""),"Starbots")</f>
        <v>Starbots</v>
      </c>
    </row>
    <row r="12176" spans="1:3" x14ac:dyDescent="0.25">
      <c r="A12176" s="2" t="str">
        <f ca="1">IFERROR(__xludf.DUMMYFUNCTION("""COMPUTED_VALUE"""),"star-cat")</f>
        <v>star-cat</v>
      </c>
      <c r="B12176" s="2" t="str">
        <f ca="1">IFERROR(__xludf.DUMMYFUNCTION("""COMPUTED_VALUE"""),"sc")</f>
        <v>sc</v>
      </c>
      <c r="C12176" s="2" t="str">
        <f ca="1">IFERROR(__xludf.DUMMYFUNCTION("""COMPUTED_VALUE"""),"STAR CAT")</f>
        <v>STAR CAT</v>
      </c>
    </row>
    <row r="12177" spans="1:3" x14ac:dyDescent="0.25">
      <c r="A12177" s="2" t="str">
        <f ca="1">IFERROR(__xludf.DUMMYFUNCTION("""COMPUTED_VALUE"""),"starck")</f>
        <v>starck</v>
      </c>
      <c r="B12177" s="2" t="str">
        <f ca="1">IFERROR(__xludf.DUMMYFUNCTION("""COMPUTED_VALUE"""),"stk")</f>
        <v>stk</v>
      </c>
      <c r="C12177" s="2" t="str">
        <f ca="1">IFERROR(__xludf.DUMMYFUNCTION("""COMPUTED_VALUE"""),"Starck")</f>
        <v>Starck</v>
      </c>
    </row>
    <row r="12178" spans="1:3" x14ac:dyDescent="0.25">
      <c r="A12178" s="2" t="str">
        <f ca="1">IFERROR(__xludf.DUMMYFUNCTION("""COMPUTED_VALUE"""),"starcoin")</f>
        <v>starcoin</v>
      </c>
      <c r="B12178" s="2" t="str">
        <f ca="1">IFERROR(__xludf.DUMMYFUNCTION("""COMPUTED_VALUE"""),"stc")</f>
        <v>stc</v>
      </c>
      <c r="C12178" s="2" t="str">
        <f ca="1">IFERROR(__xludf.DUMMYFUNCTION("""COMPUTED_VALUE"""),"Starcoin")</f>
        <v>Starcoin</v>
      </c>
    </row>
    <row r="12179" spans="1:3" x14ac:dyDescent="0.25">
      <c r="A12179" s="2" t="str">
        <f ca="1">IFERROR(__xludf.DUMMYFUNCTION("""COMPUTED_VALUE"""),"starecat")</f>
        <v>starecat</v>
      </c>
      <c r="B12179" s="2" t="str">
        <f ca="1">IFERROR(__xludf.DUMMYFUNCTION("""COMPUTED_VALUE"""),"helia")</f>
        <v>helia</v>
      </c>
      <c r="C12179" s="2" t="str">
        <f ca="1">IFERROR(__xludf.DUMMYFUNCTION("""COMPUTED_VALUE"""),"StareCat")</f>
        <v>StareCat</v>
      </c>
    </row>
    <row r="12180" spans="1:3" x14ac:dyDescent="0.25">
      <c r="A12180" s="2" t="str">
        <f ca="1">IFERROR(__xludf.DUMMYFUNCTION("""COMPUTED_VALUE"""),"star-fate")</f>
        <v>star-fate</v>
      </c>
      <c r="B12180" s="2" t="str">
        <f ca="1">IFERROR(__xludf.DUMMYFUNCTION("""COMPUTED_VALUE"""),"sfe")</f>
        <v>sfe</v>
      </c>
      <c r="C12180" s="2" t="str">
        <f ca="1">IFERROR(__xludf.DUMMYFUNCTION("""COMPUTED_VALUE"""),"Star Fate")</f>
        <v>Star Fate</v>
      </c>
    </row>
    <row r="12181" spans="1:3" x14ac:dyDescent="0.25">
      <c r="A12181" s="2" t="str">
        <f ca="1">IFERROR(__xludf.DUMMYFUNCTION("""COMPUTED_VALUE"""),"starfish-finance")</f>
        <v>starfish-finance</v>
      </c>
      <c r="B12181" s="2" t="str">
        <f ca="1">IFERROR(__xludf.DUMMYFUNCTION("""COMPUTED_VALUE"""),"sean")</f>
        <v>sean</v>
      </c>
      <c r="C12181" s="2" t="str">
        <f ca="1">IFERROR(__xludf.DUMMYFUNCTION("""COMPUTED_VALUE"""),"Starfish Finance")</f>
        <v>Starfish Finance</v>
      </c>
    </row>
    <row r="12182" spans="1:3" x14ac:dyDescent="0.25">
      <c r="A12182" s="2" t="str">
        <f ca="1">IFERROR(__xludf.DUMMYFUNCTION("""COMPUTED_VALUE"""),"stargate-bridged-astr-astar-zkevm")</f>
        <v>stargate-bridged-astr-astar-zkevm</v>
      </c>
      <c r="B12182" s="2" t="str">
        <f ca="1">IFERROR(__xludf.DUMMYFUNCTION("""COMPUTED_VALUE"""),"astr")</f>
        <v>astr</v>
      </c>
      <c r="C12182" s="2" t="str">
        <f ca="1">IFERROR(__xludf.DUMMYFUNCTION("""COMPUTED_VALUE"""),"Stargate Bridged ASTR (Astar zkEVM)")</f>
        <v>Stargate Bridged ASTR (Astar zkEVM)</v>
      </c>
    </row>
    <row r="12183" spans="1:3" x14ac:dyDescent="0.25">
      <c r="A12183" s="2" t="str">
        <f ca="1">IFERROR(__xludf.DUMMYFUNCTION("""COMPUTED_VALUE"""),"stargate-bridged-usdc-iota")</f>
        <v>stargate-bridged-usdc-iota</v>
      </c>
      <c r="B12183" s="2" t="str">
        <f ca="1">IFERROR(__xludf.DUMMYFUNCTION("""COMPUTED_VALUE"""),"usdc.e")</f>
        <v>usdc.e</v>
      </c>
      <c r="C12183" s="2" t="str">
        <f ca="1">IFERROR(__xludf.DUMMYFUNCTION("""COMPUTED_VALUE"""),"Stargate Bridged USDC (Iota EVM)")</f>
        <v>Stargate Bridged USDC (Iota EVM)</v>
      </c>
    </row>
    <row r="12184" spans="1:3" x14ac:dyDescent="0.25">
      <c r="A12184" s="2" t="str">
        <f ca="1">IFERROR(__xludf.DUMMYFUNCTION("""COMPUTED_VALUE"""),"stargate-bridged-usdc-iota-evm")</f>
        <v>stargate-bridged-usdc-iota-evm</v>
      </c>
      <c r="B12184" s="2" t="str">
        <f ca="1">IFERROR(__xludf.DUMMYFUNCTION("""COMPUTED_VALUE"""),"usdt")</f>
        <v>usdt</v>
      </c>
      <c r="C12184" s="2" t="str">
        <f ca="1">IFERROR(__xludf.DUMMYFUNCTION("""COMPUTED_VALUE"""),"Stargate Bridged USDT (Iota EVM)")</f>
        <v>Stargate Bridged USDT (Iota EVM)</v>
      </c>
    </row>
    <row r="12185" spans="1:3" x14ac:dyDescent="0.25">
      <c r="A12185" s="2" t="str">
        <f ca="1">IFERROR(__xludf.DUMMYFUNCTION("""COMPUTED_VALUE"""),"stargate-bridged-usdt-flare-network")</f>
        <v>stargate-bridged-usdt-flare-network</v>
      </c>
      <c r="B12185" s="2" t="str">
        <f ca="1">IFERROR(__xludf.DUMMYFUNCTION("""COMPUTED_VALUE"""),"usdt")</f>
        <v>usdt</v>
      </c>
      <c r="C12185" s="2" t="str">
        <f ca="1">IFERROR(__xludf.DUMMYFUNCTION("""COMPUTED_VALUE"""),"Stargate Bridged USDT (Flare Network)")</f>
        <v>Stargate Bridged USDT (Flare Network)</v>
      </c>
    </row>
    <row r="12186" spans="1:3" x14ac:dyDescent="0.25">
      <c r="A12186" s="2" t="str">
        <f ca="1">IFERROR(__xludf.DUMMYFUNCTION("""COMPUTED_VALUE"""),"stargate-bridged-weth-iota-evm")</f>
        <v>stargate-bridged-weth-iota-evm</v>
      </c>
      <c r="B12186" s="2" t="str">
        <f ca="1">IFERROR(__xludf.DUMMYFUNCTION("""COMPUTED_VALUE"""),"weth")</f>
        <v>weth</v>
      </c>
      <c r="C12186" s="2" t="str">
        <f ca="1">IFERROR(__xludf.DUMMYFUNCTION("""COMPUTED_VALUE"""),"Stargate Bridged WETH (Iota EVM)")</f>
        <v>Stargate Bridged WETH (Iota EVM)</v>
      </c>
    </row>
    <row r="12187" spans="1:3" x14ac:dyDescent="0.25">
      <c r="A12187" s="2" t="str">
        <f ca="1">IFERROR(__xludf.DUMMYFUNCTION("""COMPUTED_VALUE"""),"stargate-finance")</f>
        <v>stargate-finance</v>
      </c>
      <c r="B12187" s="2" t="str">
        <f ca="1">IFERROR(__xludf.DUMMYFUNCTION("""COMPUTED_VALUE"""),"stg")</f>
        <v>stg</v>
      </c>
      <c r="C12187" s="2" t="str">
        <f ca="1">IFERROR(__xludf.DUMMYFUNCTION("""COMPUTED_VALUE"""),"Stargate Finance")</f>
        <v>Stargate Finance</v>
      </c>
    </row>
    <row r="12188" spans="1:3" x14ac:dyDescent="0.25">
      <c r="A12188" s="2" t="str">
        <f ca="1">IFERROR(__xludf.DUMMYFUNCTION("""COMPUTED_VALUE"""),"stargaze")</f>
        <v>stargaze</v>
      </c>
      <c r="B12188" s="2" t="str">
        <f ca="1">IFERROR(__xludf.DUMMYFUNCTION("""COMPUTED_VALUE"""),"stars")</f>
        <v>stars</v>
      </c>
      <c r="C12188" s="2" t="str">
        <f ca="1">IFERROR(__xludf.DUMMYFUNCTION("""COMPUTED_VALUE"""),"Stargaze")</f>
        <v>Stargaze</v>
      </c>
    </row>
    <row r="12189" spans="1:3" x14ac:dyDescent="0.25">
      <c r="A12189" s="2" t="str">
        <f ca="1">IFERROR(__xludf.DUMMYFUNCTION("""COMPUTED_VALUE"""),"starheroes")</f>
        <v>starheroes</v>
      </c>
      <c r="B12189" s="2" t="str">
        <f ca="1">IFERROR(__xludf.DUMMYFUNCTION("""COMPUTED_VALUE"""),"star")</f>
        <v>star</v>
      </c>
      <c r="C12189" s="2" t="str">
        <f ca="1">IFERROR(__xludf.DUMMYFUNCTION("""COMPUTED_VALUE"""),"StarHeroes")</f>
        <v>StarHeroes</v>
      </c>
    </row>
    <row r="12190" spans="1:3" x14ac:dyDescent="0.25">
      <c r="A12190" s="2" t="str">
        <f ca="1">IFERROR(__xludf.DUMMYFUNCTION("""COMPUTED_VALUE"""),"starknet")</f>
        <v>starknet</v>
      </c>
      <c r="B12190" s="2" t="str">
        <f ca="1">IFERROR(__xludf.DUMMYFUNCTION("""COMPUTED_VALUE"""),"strk")</f>
        <v>strk</v>
      </c>
      <c r="C12190" s="2" t="str">
        <f ca="1">IFERROR(__xludf.DUMMYFUNCTION("""COMPUTED_VALUE"""),"Starknet")</f>
        <v>Starknet</v>
      </c>
    </row>
    <row r="12191" spans="1:3" x14ac:dyDescent="0.25">
      <c r="A12191" s="2" t="str">
        <f ca="1">IFERROR(__xludf.DUMMYFUNCTION("""COMPUTED_VALUE"""),"stark-owl")</f>
        <v>stark-owl</v>
      </c>
      <c r="B12191" s="2" t="str">
        <f ca="1">IFERROR(__xludf.DUMMYFUNCTION("""COMPUTED_VALUE"""),"owl")</f>
        <v>owl</v>
      </c>
      <c r="C12191" s="2" t="str">
        <f ca="1">IFERROR(__xludf.DUMMYFUNCTION("""COMPUTED_VALUE"""),"Stark Owl")</f>
        <v>Stark Owl</v>
      </c>
    </row>
    <row r="12192" spans="1:3" x14ac:dyDescent="0.25">
      <c r="A12192" s="2" t="str">
        <f ca="1">IFERROR(__xludf.DUMMYFUNCTION("""COMPUTED_VALUE"""),"starkpepe")</f>
        <v>starkpepe</v>
      </c>
      <c r="B12192" s="2" t="str">
        <f ca="1">IFERROR(__xludf.DUMMYFUNCTION("""COMPUTED_VALUE"""),"spepe")</f>
        <v>spepe</v>
      </c>
      <c r="C12192" s="2" t="str">
        <f ca="1">IFERROR(__xludf.DUMMYFUNCTION("""COMPUTED_VALUE"""),"StarkPepe")</f>
        <v>StarkPepe</v>
      </c>
    </row>
    <row r="12193" spans="1:3" x14ac:dyDescent="0.25">
      <c r="A12193" s="2" t="str">
        <f ca="1">IFERROR(__xludf.DUMMYFUNCTION("""COMPUTED_VALUE"""),"starkpunks")</f>
        <v>starkpunks</v>
      </c>
      <c r="B12193" s="2" t="str">
        <f ca="1">IFERROR(__xludf.DUMMYFUNCTION("""COMPUTED_VALUE"""),"punk")</f>
        <v>punk</v>
      </c>
      <c r="C12193" s="2" t="str">
        <f ca="1">IFERROR(__xludf.DUMMYFUNCTION("""COMPUTED_VALUE"""),"Starkpunks")</f>
        <v>Starkpunks</v>
      </c>
    </row>
    <row r="12194" spans="1:3" x14ac:dyDescent="0.25">
      <c r="A12194" s="2" t="str">
        <f ca="1">IFERROR(__xludf.DUMMYFUNCTION("""COMPUTED_VALUE"""),"starlaunch")</f>
        <v>starlaunch</v>
      </c>
      <c r="B12194" s="2" t="str">
        <f ca="1">IFERROR(__xludf.DUMMYFUNCTION("""COMPUTED_VALUE"""),"stars")</f>
        <v>stars</v>
      </c>
      <c r="C12194" s="2" t="str">
        <f ca="1">IFERROR(__xludf.DUMMYFUNCTION("""COMPUTED_VALUE"""),"StarLaunch")</f>
        <v>StarLaunch</v>
      </c>
    </row>
    <row r="12195" spans="1:3" x14ac:dyDescent="0.25">
      <c r="A12195" s="2" t="str">
        <f ca="1">IFERROR(__xludf.DUMMYFUNCTION("""COMPUTED_VALUE"""),"starlay-finance")</f>
        <v>starlay-finance</v>
      </c>
      <c r="B12195" s="2" t="str">
        <f ca="1">IFERROR(__xludf.DUMMYFUNCTION("""COMPUTED_VALUE"""),"lay")</f>
        <v>lay</v>
      </c>
      <c r="C12195" s="2" t="str">
        <f ca="1">IFERROR(__xludf.DUMMYFUNCTION("""COMPUTED_VALUE"""),"Starlay Finance")</f>
        <v>Starlay Finance</v>
      </c>
    </row>
    <row r="12196" spans="1:3" x14ac:dyDescent="0.25">
      <c r="A12196" s="2" t="str">
        <f ca="1">IFERROR(__xludf.DUMMYFUNCTION("""COMPUTED_VALUE"""),"starlink")</f>
        <v>starlink</v>
      </c>
      <c r="B12196" s="2" t="str">
        <f ca="1">IFERROR(__xludf.DUMMYFUNCTION("""COMPUTED_VALUE"""),"starl")</f>
        <v>starl</v>
      </c>
      <c r="C12196" s="2" t="str">
        <f ca="1">IFERROR(__xludf.DUMMYFUNCTION("""COMPUTED_VALUE"""),"StarLink")</f>
        <v>StarLink</v>
      </c>
    </row>
    <row r="12197" spans="1:3" x14ac:dyDescent="0.25">
      <c r="A12197" s="2" t="str">
        <f ca="1">IFERROR(__xludf.DUMMYFUNCTION("""COMPUTED_VALUE"""),"starlink-program")</f>
        <v>starlink-program</v>
      </c>
      <c r="B12197" s="2" t="str">
        <f ca="1">IFERROR(__xludf.DUMMYFUNCTION("""COMPUTED_VALUE"""),"slk")</f>
        <v>slk</v>
      </c>
      <c r="C12197" s="2" t="str">
        <f ca="1">IFERROR(__xludf.DUMMYFUNCTION("""COMPUTED_VALUE"""),"Starlink Program")</f>
        <v>Starlink Program</v>
      </c>
    </row>
    <row r="12198" spans="1:3" x14ac:dyDescent="0.25">
      <c r="A12198" s="2" t="str">
        <f ca="1">IFERROR(__xludf.DUMMYFUNCTION("""COMPUTED_VALUE"""),"starmine")</f>
        <v>starmine</v>
      </c>
      <c r="B12198" s="2" t="str">
        <f ca="1">IFERROR(__xludf.DUMMYFUNCTION("""COMPUTED_VALUE"""),"smt")</f>
        <v>smt</v>
      </c>
      <c r="C12198" s="2" t="str">
        <f ca="1">IFERROR(__xludf.DUMMYFUNCTION("""COMPUTED_VALUE"""),"Starmine")</f>
        <v>Starmine</v>
      </c>
    </row>
    <row r="12199" spans="1:3" x14ac:dyDescent="0.25">
      <c r="A12199" s="2" t="str">
        <f ca="1">IFERROR(__xludf.DUMMYFUNCTION("""COMPUTED_VALUE"""),"starmon-token")</f>
        <v>starmon-token</v>
      </c>
      <c r="B12199" s="2" t="str">
        <f ca="1">IFERROR(__xludf.DUMMYFUNCTION("""COMPUTED_VALUE"""),"smon")</f>
        <v>smon</v>
      </c>
      <c r="C12199" s="2" t="str">
        <f ca="1">IFERROR(__xludf.DUMMYFUNCTION("""COMPUTED_VALUE"""),"StarMon")</f>
        <v>StarMon</v>
      </c>
    </row>
    <row r="12200" spans="1:3" x14ac:dyDescent="0.25">
      <c r="A12200" s="2" t="str">
        <f ca="1">IFERROR(__xludf.DUMMYFUNCTION("""COMPUTED_VALUE"""),"starname")</f>
        <v>starname</v>
      </c>
      <c r="B12200" s="2" t="str">
        <f ca="1">IFERROR(__xludf.DUMMYFUNCTION("""COMPUTED_VALUE"""),"iov")</f>
        <v>iov</v>
      </c>
      <c r="C12200" s="2" t="str">
        <f ca="1">IFERROR(__xludf.DUMMYFUNCTION("""COMPUTED_VALUE"""),"Starname")</f>
        <v>Starname</v>
      </c>
    </row>
    <row r="12201" spans="1:3" x14ac:dyDescent="0.25">
      <c r="A12201" s="2" t="str">
        <f ca="1">IFERROR(__xludf.DUMMYFUNCTION("""COMPUTED_VALUE"""),"starnet")</f>
        <v>starnet</v>
      </c>
      <c r="B12201" s="2" t="str">
        <f ca="1">IFERROR(__xludf.DUMMYFUNCTION("""COMPUTED_VALUE"""),"aibang")</f>
        <v>aibang</v>
      </c>
      <c r="C12201" s="2" t="str">
        <f ca="1">IFERROR(__xludf.DUMMYFUNCTION("""COMPUTED_VALUE"""),"Starnet")</f>
        <v>Starnet</v>
      </c>
    </row>
    <row r="12202" spans="1:3" x14ac:dyDescent="0.25">
      <c r="A12202" s="2" t="str">
        <f ca="1">IFERROR(__xludf.DUMMYFUNCTION("""COMPUTED_VALUE"""),"starpad")</f>
        <v>starpad</v>
      </c>
      <c r="B12202" s="2" t="str">
        <f ca="1">IFERROR(__xludf.DUMMYFUNCTION("""COMPUTED_VALUE"""),"srp")</f>
        <v>srp</v>
      </c>
      <c r="C12202" s="2" t="str">
        <f ca="1">IFERROR(__xludf.DUMMYFUNCTION("""COMPUTED_VALUE"""),"Starpad")</f>
        <v>Starpad</v>
      </c>
    </row>
    <row r="12203" spans="1:3" x14ac:dyDescent="0.25">
      <c r="A12203" s="2" t="str">
        <f ca="1">IFERROR(__xludf.DUMMYFUNCTION("""COMPUTED_VALUE"""),"star-pepe")</f>
        <v>star-pepe</v>
      </c>
      <c r="B12203" s="2" t="str">
        <f ca="1">IFERROR(__xludf.DUMMYFUNCTION("""COMPUTED_VALUE"""),"pepes")</f>
        <v>pepes</v>
      </c>
      <c r="C12203" s="2" t="str">
        <f ca="1">IFERROR(__xludf.DUMMYFUNCTION("""COMPUTED_VALUE"""),"Star Pepe")</f>
        <v>Star Pepe</v>
      </c>
    </row>
    <row r="12204" spans="1:3" x14ac:dyDescent="0.25">
      <c r="A12204" s="2" t="str">
        <f ca="1">IFERROR(__xludf.DUMMYFUNCTION("""COMPUTED_VALUE"""),"starri")</f>
        <v>starri</v>
      </c>
      <c r="B12204" s="2" t="str">
        <f ca="1">IFERROR(__xludf.DUMMYFUNCTION("""COMPUTED_VALUE"""),"starri")</f>
        <v>starri</v>
      </c>
      <c r="C12204" s="2" t="str">
        <f ca="1">IFERROR(__xludf.DUMMYFUNCTION("""COMPUTED_VALUE"""),"Starri")</f>
        <v>Starri</v>
      </c>
    </row>
    <row r="12205" spans="1:3" x14ac:dyDescent="0.25">
      <c r="A12205" s="2" t="str">
        <f ca="1">IFERROR(__xludf.DUMMYFUNCTION("""COMPUTED_VALUE"""),"starrynift")</f>
        <v>starrynift</v>
      </c>
      <c r="B12205" s="2" t="str">
        <f ca="1">IFERROR(__xludf.DUMMYFUNCTION("""COMPUTED_VALUE"""),"snift")</f>
        <v>snift</v>
      </c>
      <c r="C12205" s="2" t="str">
        <f ca="1">IFERROR(__xludf.DUMMYFUNCTION("""COMPUTED_VALUE"""),"StarryNift")</f>
        <v>StarryNift</v>
      </c>
    </row>
    <row r="12206" spans="1:3" x14ac:dyDescent="0.25">
      <c r="A12206" s="2" t="str">
        <f ca="1">IFERROR(__xludf.DUMMYFUNCTION("""COMPUTED_VALUE"""),"stars")</f>
        <v>stars</v>
      </c>
      <c r="B12206" s="2" t="str">
        <f ca="1">IFERROR(__xludf.DUMMYFUNCTION("""COMPUTED_VALUE"""),"srx")</f>
        <v>srx</v>
      </c>
      <c r="C12206" s="2" t="str">
        <f ca="1">IFERROR(__xludf.DUMMYFUNCTION("""COMPUTED_VALUE"""),"Stars")</f>
        <v>Stars</v>
      </c>
    </row>
    <row r="12207" spans="1:3" x14ac:dyDescent="0.25">
      <c r="A12207" s="2" t="str">
        <f ca="1">IFERROR(__xludf.DUMMYFUNCTION("""COMPUTED_VALUE"""),"starsharks")</f>
        <v>starsharks</v>
      </c>
      <c r="B12207" s="2" t="str">
        <f ca="1">IFERROR(__xludf.DUMMYFUNCTION("""COMPUTED_VALUE"""),"sss")</f>
        <v>sss</v>
      </c>
      <c r="C12207" s="2" t="str">
        <f ca="1">IFERROR(__xludf.DUMMYFUNCTION("""COMPUTED_VALUE"""),"StarSharks")</f>
        <v>StarSharks</v>
      </c>
    </row>
    <row r="12208" spans="1:3" x14ac:dyDescent="0.25">
      <c r="A12208" s="2" t="str">
        <f ca="1">IFERROR(__xludf.DUMMYFUNCTION("""COMPUTED_VALUE"""),"starship")</f>
        <v>starship</v>
      </c>
      <c r="B12208" s="2" t="str">
        <f ca="1">IFERROR(__xludf.DUMMYFUNCTION("""COMPUTED_VALUE"""),"starship")</f>
        <v>starship</v>
      </c>
      <c r="C12208" s="2" t="str">
        <f ca="1">IFERROR(__xludf.DUMMYFUNCTION("""COMPUTED_VALUE"""),"StarShip")</f>
        <v>StarShip</v>
      </c>
    </row>
    <row r="12209" spans="1:3" x14ac:dyDescent="0.25">
      <c r="A12209" s="2" t="str">
        <f ca="1">IFERROR(__xludf.DUMMYFUNCTION("""COMPUTED_VALUE"""),"starship-3")</f>
        <v>starship-3</v>
      </c>
      <c r="B12209" s="2" t="str">
        <f ca="1">IFERROR(__xludf.DUMMYFUNCTION("""COMPUTED_VALUE"""),"ssp")</f>
        <v>ssp</v>
      </c>
      <c r="C12209" s="2" t="str">
        <f ca="1">IFERROR(__xludf.DUMMYFUNCTION("""COMPUTED_VALUE"""),"Starship")</f>
        <v>Starship</v>
      </c>
    </row>
    <row r="12210" spans="1:3" x14ac:dyDescent="0.25">
      <c r="A12210" s="2" t="str">
        <f ca="1">IFERROR(__xludf.DUMMYFUNCTION("""COMPUTED_VALUE"""),"starship-4")</f>
        <v>starship-4</v>
      </c>
      <c r="B12210" s="2" t="str">
        <f ca="1">IFERROR(__xludf.DUMMYFUNCTION("""COMPUTED_VALUE"""),"stship")</f>
        <v>stship</v>
      </c>
      <c r="C12210" s="2" t="str">
        <f ca="1">IFERROR(__xludf.DUMMYFUNCTION("""COMPUTED_VALUE"""),"StarShip🚀")</f>
        <v>StarShip🚀</v>
      </c>
    </row>
    <row r="12211" spans="1:3" x14ac:dyDescent="0.25">
      <c r="A12211" s="2" t="str">
        <f ca="1">IFERROR(__xludf.DUMMYFUNCTION("""COMPUTED_VALUE"""),"starship-erc20")</f>
        <v>starship-erc20</v>
      </c>
      <c r="B12211" s="2" t="str">
        <f ca="1">IFERROR(__xludf.DUMMYFUNCTION("""COMPUTED_VALUE"""),"sship")</f>
        <v>sship</v>
      </c>
      <c r="C12211" s="2" t="str">
        <f ca="1">IFERROR(__xludf.DUMMYFUNCTION("""COMPUTED_VALUE"""),"StarShip ERC20")</f>
        <v>StarShip ERC20</v>
      </c>
    </row>
    <row r="12212" spans="1:3" x14ac:dyDescent="0.25">
      <c r="A12212" s="2" t="str">
        <f ca="1">IFERROR(__xludf.DUMMYFUNCTION("""COMPUTED_VALUE"""),"starslax")</f>
        <v>starslax</v>
      </c>
      <c r="B12212" s="2" t="str">
        <f ca="1">IFERROR(__xludf.DUMMYFUNCTION("""COMPUTED_VALUE"""),"sslx")</f>
        <v>sslx</v>
      </c>
      <c r="C12212" s="2" t="str">
        <f ca="1">IFERROR(__xludf.DUMMYFUNCTION("""COMPUTED_VALUE"""),"StarSlax")</f>
        <v>StarSlax</v>
      </c>
    </row>
    <row r="12213" spans="1:3" x14ac:dyDescent="0.25">
      <c r="A12213" s="2" t="str">
        <f ca="1">IFERROR(__xludf.DUMMYFUNCTION("""COMPUTED_VALUE"""),"star-wars-cat")</f>
        <v>star-wars-cat</v>
      </c>
      <c r="B12213" s="2" t="str">
        <f ca="1">IFERROR(__xludf.DUMMYFUNCTION("""COMPUTED_VALUE"""),"swcat")</f>
        <v>swcat</v>
      </c>
      <c r="C12213" s="2" t="str">
        <f ca="1">IFERROR(__xludf.DUMMYFUNCTION("""COMPUTED_VALUE"""),"Star Wars Cat")</f>
        <v>Star Wars Cat</v>
      </c>
    </row>
    <row r="12214" spans="1:3" x14ac:dyDescent="0.25">
      <c r="A12214" s="2" t="str">
        <f ca="1">IFERROR(__xludf.DUMMYFUNCTION("""COMPUTED_VALUE"""),"starworks-global-ecosystem")</f>
        <v>starworks-global-ecosystem</v>
      </c>
      <c r="B12214" s="2" t="str">
        <f ca="1">IFERROR(__xludf.DUMMYFUNCTION("""COMPUTED_VALUE"""),"starx")</f>
        <v>starx</v>
      </c>
      <c r="C12214" s="2" t="str">
        <f ca="1">IFERROR(__xludf.DUMMYFUNCTION("""COMPUTED_VALUE"""),"STARX")</f>
        <v>STARX</v>
      </c>
    </row>
    <row r="12215" spans="1:3" x14ac:dyDescent="0.25">
      <c r="A12215" s="2" t="str">
        <f ca="1">IFERROR(__xludf.DUMMYFUNCTION("""COMPUTED_VALUE"""),"stash-inu")</f>
        <v>stash-inu</v>
      </c>
      <c r="B12215" s="2" t="str">
        <f ca="1">IFERROR(__xludf.DUMMYFUNCTION("""COMPUTED_VALUE"""),"stash")</f>
        <v>stash</v>
      </c>
      <c r="C12215" s="2" t="str">
        <f ca="1">IFERROR(__xludf.DUMMYFUNCTION("""COMPUTED_VALUE"""),"Stash Inu")</f>
        <v>Stash Inu</v>
      </c>
    </row>
    <row r="12216" spans="1:3" x14ac:dyDescent="0.25">
      <c r="A12216" s="2" t="str">
        <f ca="1">IFERROR(__xludf.DUMMYFUNCTION("""COMPUTED_VALUE"""),"stasis-eurs")</f>
        <v>stasis-eurs</v>
      </c>
      <c r="B12216" s="2" t="str">
        <f ca="1">IFERROR(__xludf.DUMMYFUNCTION("""COMPUTED_VALUE"""),"eurs")</f>
        <v>eurs</v>
      </c>
      <c r="C12216" s="2" t="str">
        <f ca="1">IFERROR(__xludf.DUMMYFUNCTION("""COMPUTED_VALUE"""),"STASIS EURO")</f>
        <v>STASIS EURO</v>
      </c>
    </row>
    <row r="12217" spans="1:3" x14ac:dyDescent="0.25">
      <c r="A12217" s="2" t="str">
        <f ca="1">IFERROR(__xludf.DUMMYFUNCTION("""COMPUTED_VALUE"""),"stasis-network")</f>
        <v>stasis-network</v>
      </c>
      <c r="B12217" s="2" t="str">
        <f ca="1">IFERROR(__xludf.DUMMYFUNCTION("""COMPUTED_VALUE"""),"bloc")</f>
        <v>bloc</v>
      </c>
      <c r="C12217" s="2" t="str">
        <f ca="1">IFERROR(__xludf.DUMMYFUNCTION("""COMPUTED_VALUE"""),"BlockCentral Token")</f>
        <v>BlockCentral Token</v>
      </c>
    </row>
    <row r="12218" spans="1:3" x14ac:dyDescent="0.25">
      <c r="A12218" s="2" t="str">
        <f ca="1">IFERROR(__xludf.DUMMYFUNCTION("""COMPUTED_VALUE"""),"stat")</f>
        <v>stat</v>
      </c>
      <c r="B12218" s="2" t="str">
        <f ca="1">IFERROR(__xludf.DUMMYFUNCTION("""COMPUTED_VALUE"""),"stat")</f>
        <v>stat</v>
      </c>
      <c r="C12218" s="2" t="str">
        <f ca="1">IFERROR(__xludf.DUMMYFUNCTION("""COMPUTED_VALUE"""),"STAT")</f>
        <v>STAT</v>
      </c>
    </row>
    <row r="12219" spans="1:3" x14ac:dyDescent="0.25">
      <c r="A12219" s="2" t="str">
        <f ca="1">IFERROR(__xludf.DUMMYFUNCTION("""COMPUTED_VALUE"""),"statera")</f>
        <v>statera</v>
      </c>
      <c r="B12219" s="2" t="str">
        <f ca="1">IFERROR(__xludf.DUMMYFUNCTION("""COMPUTED_VALUE"""),"sta")</f>
        <v>sta</v>
      </c>
      <c r="C12219" s="2" t="str">
        <f ca="1">IFERROR(__xludf.DUMMYFUNCTION("""COMPUTED_VALUE"""),"Statera")</f>
        <v>Statera</v>
      </c>
    </row>
    <row r="12220" spans="1:3" x14ac:dyDescent="0.25">
      <c r="A12220" s="2" t="str">
        <f ca="1">IFERROR(__xludf.DUMMYFUNCTION("""COMPUTED_VALUE"""),"sta-token")</f>
        <v>sta-token</v>
      </c>
      <c r="B12220" s="2" t="str">
        <f ca="1">IFERROR(__xludf.DUMMYFUNCTION("""COMPUTED_VALUE"""),"sta")</f>
        <v>sta</v>
      </c>
      <c r="C12220" s="2" t="str">
        <f ca="1">IFERROR(__xludf.DUMMYFUNCTION("""COMPUTED_VALUE"""),"STA")</f>
        <v>STA</v>
      </c>
    </row>
    <row r="12221" spans="1:3" x14ac:dyDescent="0.25">
      <c r="A12221" s="2" t="str">
        <f ca="1">IFERROR(__xludf.DUMMYFUNCTION("""COMPUTED_VALUE"""),"stats")</f>
        <v>stats</v>
      </c>
      <c r="B12221" s="2" t="str">
        <f ca="1">IFERROR(__xludf.DUMMYFUNCTION("""COMPUTED_VALUE"""),"stats")</f>
        <v>stats</v>
      </c>
      <c r="C12221" s="2" t="str">
        <f ca="1">IFERROR(__xludf.DUMMYFUNCTION("""COMPUTED_VALUE"""),"STATS")</f>
        <v>STATS</v>
      </c>
    </row>
    <row r="12222" spans="1:3" x14ac:dyDescent="0.25">
      <c r="A12222" s="2" t="str">
        <f ca="1">IFERROR(__xludf.DUMMYFUNCTION("""COMPUTED_VALUE"""),"statter-network")</f>
        <v>statter-network</v>
      </c>
      <c r="B12222" s="2" t="str">
        <f ca="1">IFERROR(__xludf.DUMMYFUNCTION("""COMPUTED_VALUE"""),"stt")</f>
        <v>stt</v>
      </c>
      <c r="C12222" s="2" t="str">
        <f ca="1">IFERROR(__xludf.DUMMYFUNCTION("""COMPUTED_VALUE"""),"Statter Network")</f>
        <v>Statter Network</v>
      </c>
    </row>
    <row r="12223" spans="1:3" x14ac:dyDescent="0.25">
      <c r="A12223" s="2" t="str">
        <f ca="1">IFERROR(__xludf.DUMMYFUNCTION("""COMPUTED_VALUE"""),"status")</f>
        <v>status</v>
      </c>
      <c r="B12223" s="2" t="str">
        <f ca="1">IFERROR(__xludf.DUMMYFUNCTION("""COMPUTED_VALUE"""),"snt")</f>
        <v>snt</v>
      </c>
      <c r="C12223" s="2" t="str">
        <f ca="1">IFERROR(__xludf.DUMMYFUNCTION("""COMPUTED_VALUE"""),"Status")</f>
        <v>Status</v>
      </c>
    </row>
    <row r="12224" spans="1:3" x14ac:dyDescent="0.25">
      <c r="A12224" s="2" t="str">
        <f ca="1">IFERROR(__xludf.DUMMYFUNCTION("""COMPUTED_VALUE"""),"stay")</f>
        <v>stay</v>
      </c>
      <c r="B12224" s="2" t="str">
        <f ca="1">IFERROR(__xludf.DUMMYFUNCTION("""COMPUTED_VALUE"""),"stay")</f>
        <v>stay</v>
      </c>
      <c r="C12224" s="2" t="str">
        <f ca="1">IFERROR(__xludf.DUMMYFUNCTION("""COMPUTED_VALUE"""),"STAY")</f>
        <v>STAY</v>
      </c>
    </row>
    <row r="12225" spans="1:3" x14ac:dyDescent="0.25">
      <c r="A12225" s="2" t="str">
        <f ca="1">IFERROR(__xludf.DUMMYFUNCTION("""COMPUTED_VALUE"""),"staynex")</f>
        <v>staynex</v>
      </c>
      <c r="B12225" s="2" t="str">
        <f ca="1">IFERROR(__xludf.DUMMYFUNCTION("""COMPUTED_VALUE"""),"stay")</f>
        <v>stay</v>
      </c>
      <c r="C12225" s="2" t="str">
        <f ca="1">IFERROR(__xludf.DUMMYFUNCTION("""COMPUTED_VALUE"""),"STAYNEX")</f>
        <v>STAYNEX</v>
      </c>
    </row>
    <row r="12226" spans="1:3" x14ac:dyDescent="0.25">
      <c r="A12226" s="2" t="str">
        <f ca="1">IFERROR(__xludf.DUMMYFUNCTION("""COMPUTED_VALUE"""),"staysafu")</f>
        <v>staysafu</v>
      </c>
      <c r="B12226" s="2" t="str">
        <f ca="1">IFERROR(__xludf.DUMMYFUNCTION("""COMPUTED_VALUE"""),"safu")</f>
        <v>safu</v>
      </c>
      <c r="C12226" s="2" t="str">
        <f ca="1">IFERROR(__xludf.DUMMYFUNCTION("""COMPUTED_VALUE"""),"StaySAFU")</f>
        <v>StaySAFU</v>
      </c>
    </row>
    <row r="12227" spans="1:3" x14ac:dyDescent="0.25">
      <c r="A12227" s="2" t="str">
        <f ca="1">IFERROR(__xludf.DUMMYFUNCTION("""COMPUTED_VALUE"""),"steak")</f>
        <v>steak</v>
      </c>
      <c r="B12227" s="2" t="str">
        <f ca="1">IFERROR(__xludf.DUMMYFUNCTION("""COMPUTED_VALUE"""),"steak")</f>
        <v>steak</v>
      </c>
      <c r="C12227" s="2" t="str">
        <f ca="1">IFERROR(__xludf.DUMMYFUNCTION("""COMPUTED_VALUE"""),"Steak")</f>
        <v>Steak</v>
      </c>
    </row>
    <row r="12228" spans="1:3" x14ac:dyDescent="0.25">
      <c r="A12228" s="2" t="str">
        <f ca="1">IFERROR(__xludf.DUMMYFUNCTION("""COMPUTED_VALUE"""),"steakd")</f>
        <v>steakd</v>
      </c>
      <c r="B12228" s="2" t="str">
        <f ca="1">IFERROR(__xludf.DUMMYFUNCTION("""COMPUTED_VALUE"""),"sdx")</f>
        <v>sdx</v>
      </c>
      <c r="C12228" s="2" t="str">
        <f ca="1">IFERROR(__xludf.DUMMYFUNCTION("""COMPUTED_VALUE"""),"Steakd")</f>
        <v>Steakd</v>
      </c>
    </row>
    <row r="12229" spans="1:3" x14ac:dyDescent="0.25">
      <c r="A12229" s="2" t="str">
        <f ca="1">IFERROR(__xludf.DUMMYFUNCTION("""COMPUTED_VALUE"""),"steakhouse-resteaking-vault")</f>
        <v>steakhouse-resteaking-vault</v>
      </c>
      <c r="B12229" s="2" t="str">
        <f ca="1">IFERROR(__xludf.DUMMYFUNCTION("""COMPUTED_VALUE"""),"steaklrt")</f>
        <v>steaklrt</v>
      </c>
      <c r="C12229" s="2" t="str">
        <f ca="1">IFERROR(__xludf.DUMMYFUNCTION("""COMPUTED_VALUE"""),"Steakhouse Resteaking Vault")</f>
        <v>Steakhouse Resteaking Vault</v>
      </c>
    </row>
    <row r="12230" spans="1:3" x14ac:dyDescent="0.25">
      <c r="A12230" s="2" t="str">
        <f ca="1">IFERROR(__xludf.DUMMYFUNCTION("""COMPUTED_VALUE"""),"steakhut-finance")</f>
        <v>steakhut-finance</v>
      </c>
      <c r="B12230" s="2" t="str">
        <f ca="1">IFERROR(__xludf.DUMMYFUNCTION("""COMPUTED_VALUE"""),"steak")</f>
        <v>steak</v>
      </c>
      <c r="C12230" s="2" t="str">
        <f ca="1">IFERROR(__xludf.DUMMYFUNCTION("""COMPUTED_VALUE"""),"SteakHut Finance")</f>
        <v>SteakHut Finance</v>
      </c>
    </row>
    <row r="12231" spans="1:3" x14ac:dyDescent="0.25">
      <c r="A12231" s="2" t="str">
        <f ca="1">IFERROR(__xludf.DUMMYFUNCTION("""COMPUTED_VALUE"""),"stealth-deals")</f>
        <v>stealth-deals</v>
      </c>
      <c r="B12231" s="2" t="str">
        <f ca="1">IFERROR(__xludf.DUMMYFUNCTION("""COMPUTED_VALUE"""),"deal")</f>
        <v>deal</v>
      </c>
      <c r="C12231" s="2" t="str">
        <f ca="1">IFERROR(__xludf.DUMMYFUNCTION("""COMPUTED_VALUE"""),"Stealth Deals")</f>
        <v>Stealth Deals</v>
      </c>
    </row>
    <row r="12232" spans="1:3" x14ac:dyDescent="0.25">
      <c r="A12232" s="2" t="str">
        <f ca="1">IFERROR(__xludf.DUMMYFUNCTION("""COMPUTED_VALUE"""),"steam")</f>
        <v>steam</v>
      </c>
      <c r="B12232" s="2" t="str">
        <f ca="1">IFERROR(__xludf.DUMMYFUNCTION("""COMPUTED_VALUE"""),"steam")</f>
        <v>steam</v>
      </c>
      <c r="C12232" s="2" t="str">
        <f ca="1">IFERROR(__xludf.DUMMYFUNCTION("""COMPUTED_VALUE"""),"STEAM")</f>
        <v>STEAM</v>
      </c>
    </row>
    <row r="12233" spans="1:3" x14ac:dyDescent="0.25">
      <c r="A12233" s="2" t="str">
        <f ca="1">IFERROR(__xludf.DUMMYFUNCTION("""COMPUTED_VALUE"""),"steamboat-willie")</f>
        <v>steamboat-willie</v>
      </c>
      <c r="B12233" s="2" t="str">
        <f ca="1">IFERROR(__xludf.DUMMYFUNCTION("""COMPUTED_VALUE"""),"mickey")</f>
        <v>mickey</v>
      </c>
      <c r="C12233" s="2" t="str">
        <f ca="1">IFERROR(__xludf.DUMMYFUNCTION("""COMPUTED_VALUE"""),"Steamboat Willie")</f>
        <v>Steamboat Willie</v>
      </c>
    </row>
    <row r="12234" spans="1:3" x14ac:dyDescent="0.25">
      <c r="A12234" s="2" t="str">
        <f ca="1">IFERROR(__xludf.DUMMYFUNCTION("""COMPUTED_VALUE"""),"steam-exchange")</f>
        <v>steam-exchange</v>
      </c>
      <c r="B12234" s="2" t="str">
        <f ca="1">IFERROR(__xludf.DUMMYFUNCTION("""COMPUTED_VALUE"""),"steamx")</f>
        <v>steamx</v>
      </c>
      <c r="C12234" s="2" t="str">
        <f ca="1">IFERROR(__xludf.DUMMYFUNCTION("""COMPUTED_VALUE"""),"Steam Exchange")</f>
        <v>Steam Exchange</v>
      </c>
    </row>
    <row r="12235" spans="1:3" x14ac:dyDescent="0.25">
      <c r="A12235" s="2" t="str">
        <f ca="1">IFERROR(__xludf.DUMMYFUNCTION("""COMPUTED_VALUE"""),"steem")</f>
        <v>steem</v>
      </c>
      <c r="B12235" s="2" t="str">
        <f ca="1">IFERROR(__xludf.DUMMYFUNCTION("""COMPUTED_VALUE"""),"steem")</f>
        <v>steem</v>
      </c>
      <c r="C12235" s="2" t="str">
        <f ca="1">IFERROR(__xludf.DUMMYFUNCTION("""COMPUTED_VALUE"""),"Steem")</f>
        <v>Steem</v>
      </c>
    </row>
    <row r="12236" spans="1:3" x14ac:dyDescent="0.25">
      <c r="A12236" s="2" t="str">
        <f ca="1">IFERROR(__xludf.DUMMYFUNCTION("""COMPUTED_VALUE"""),"steem-dollars")</f>
        <v>steem-dollars</v>
      </c>
      <c r="B12236" s="2" t="str">
        <f ca="1">IFERROR(__xludf.DUMMYFUNCTION("""COMPUTED_VALUE"""),"sbd")</f>
        <v>sbd</v>
      </c>
      <c r="C12236" s="2" t="str">
        <f ca="1">IFERROR(__xludf.DUMMYFUNCTION("""COMPUTED_VALUE"""),"Steem Dollars")</f>
        <v>Steem Dollars</v>
      </c>
    </row>
    <row r="12237" spans="1:3" x14ac:dyDescent="0.25">
      <c r="A12237" s="2" t="str">
        <f ca="1">IFERROR(__xludf.DUMMYFUNCTION("""COMPUTED_VALUE"""),"steep-jubs")</f>
        <v>steep-jubs</v>
      </c>
      <c r="B12237" s="2" t="str">
        <f ca="1">IFERROR(__xludf.DUMMYFUNCTION("""COMPUTED_VALUE"""),"opple")</f>
        <v>opple</v>
      </c>
      <c r="C12237" s="2" t="str">
        <f ca="1">IFERROR(__xludf.DUMMYFUNCTION("""COMPUTED_VALUE"""),"steep jubs")</f>
        <v>steep jubs</v>
      </c>
    </row>
    <row r="12238" spans="1:3" x14ac:dyDescent="0.25">
      <c r="A12238" s="2" t="str">
        <f ca="1">IFERROR(__xludf.DUMMYFUNCTION("""COMPUTED_VALUE"""),"stella-fantasy-token")</f>
        <v>stella-fantasy-token</v>
      </c>
      <c r="B12238" s="2" t="str">
        <f ca="1">IFERROR(__xludf.DUMMYFUNCTION("""COMPUTED_VALUE"""),"sfty")</f>
        <v>sfty</v>
      </c>
      <c r="C12238" s="2" t="str">
        <f ca="1">IFERROR(__xludf.DUMMYFUNCTION("""COMPUTED_VALUE"""),"Stella Fantasy Token")</f>
        <v>Stella Fantasy Token</v>
      </c>
    </row>
    <row r="12239" spans="1:3" x14ac:dyDescent="0.25">
      <c r="A12239" s="2" t="str">
        <f ca="1">IFERROR(__xludf.DUMMYFUNCTION("""COMPUTED_VALUE"""),"stellar")</f>
        <v>stellar</v>
      </c>
      <c r="B12239" s="2" t="str">
        <f ca="1">IFERROR(__xludf.DUMMYFUNCTION("""COMPUTED_VALUE"""),"xlm")</f>
        <v>xlm</v>
      </c>
      <c r="C12239" s="2" t="str">
        <f ca="1">IFERROR(__xludf.DUMMYFUNCTION("""COMPUTED_VALUE"""),"Stellar")</f>
        <v>Stellar</v>
      </c>
    </row>
    <row r="12240" spans="1:3" x14ac:dyDescent="0.25">
      <c r="A12240" s="2" t="str">
        <f ca="1">IFERROR(__xludf.DUMMYFUNCTION("""COMPUTED_VALUE"""),"stellaryai")</f>
        <v>stellaryai</v>
      </c>
      <c r="B12240" s="2" t="str">
        <f ca="1">IFERROR(__xludf.DUMMYFUNCTION("""COMPUTED_VALUE"""),"stelai")</f>
        <v>stelai</v>
      </c>
      <c r="C12240" s="2" t="str">
        <f ca="1">IFERROR(__xludf.DUMMYFUNCTION("""COMPUTED_VALUE"""),"StellaryAI")</f>
        <v>StellaryAI</v>
      </c>
    </row>
    <row r="12241" spans="1:3" x14ac:dyDescent="0.25">
      <c r="A12241" s="2" t="str">
        <f ca="1">IFERROR(__xludf.DUMMYFUNCTION("""COMPUTED_VALUE"""),"stellaswap")</f>
        <v>stellaswap</v>
      </c>
      <c r="B12241" s="2" t="str">
        <f ca="1">IFERROR(__xludf.DUMMYFUNCTION("""COMPUTED_VALUE"""),"stella")</f>
        <v>stella</v>
      </c>
      <c r="C12241" s="2" t="str">
        <f ca="1">IFERROR(__xludf.DUMMYFUNCTION("""COMPUTED_VALUE"""),"StellaSwap")</f>
        <v>StellaSwap</v>
      </c>
    </row>
    <row r="12242" spans="1:3" x14ac:dyDescent="0.25">
      <c r="A12242" s="2" t="str">
        <f ca="1">IFERROR(__xludf.DUMMYFUNCTION("""COMPUTED_VALUE"""),"stellaswap-staked-dot")</f>
        <v>stellaswap-staked-dot</v>
      </c>
      <c r="B12242" s="2" t="str">
        <f ca="1">IFERROR(__xludf.DUMMYFUNCTION("""COMPUTED_VALUE"""),"stdot")</f>
        <v>stdot</v>
      </c>
      <c r="C12242" s="2" t="str">
        <f ca="1">IFERROR(__xludf.DUMMYFUNCTION("""COMPUTED_VALUE"""),"StellaSwap Staked DOT")</f>
        <v>StellaSwap Staked DOT</v>
      </c>
    </row>
    <row r="12243" spans="1:3" x14ac:dyDescent="0.25">
      <c r="A12243" s="2" t="str">
        <f ca="1">IFERROR(__xludf.DUMMYFUNCTION("""COMPUTED_VALUE"""),"stellite")</f>
        <v>stellite</v>
      </c>
      <c r="B12243" s="2" t="str">
        <f ca="1">IFERROR(__xludf.DUMMYFUNCTION("""COMPUTED_VALUE"""),"xla")</f>
        <v>xla</v>
      </c>
      <c r="C12243" s="2" t="str">
        <f ca="1">IFERROR(__xludf.DUMMYFUNCTION("""COMPUTED_VALUE"""),"Scala")</f>
        <v>Scala</v>
      </c>
    </row>
    <row r="12244" spans="1:3" x14ac:dyDescent="0.25">
      <c r="A12244" s="2" t="str">
        <f ca="1">IFERROR(__xludf.DUMMYFUNCTION("""COMPUTED_VALUE"""),"stelsi")</f>
        <v>stelsi</v>
      </c>
      <c r="B12244" s="2" t="str">
        <f ca="1">IFERROR(__xludf.DUMMYFUNCTION("""COMPUTED_VALUE"""),"stls")</f>
        <v>stls</v>
      </c>
      <c r="C12244" s="2" t="str">
        <f ca="1">IFERROR(__xludf.DUMMYFUNCTION("""COMPUTED_VALUE"""),"STELSI")</f>
        <v>STELSI</v>
      </c>
    </row>
    <row r="12245" spans="1:3" x14ac:dyDescent="0.25">
      <c r="A12245" s="2" t="str">
        <f ca="1">IFERROR(__xludf.DUMMYFUNCTION("""COMPUTED_VALUE"""),"stemx")</f>
        <v>stemx</v>
      </c>
      <c r="B12245" s="2" t="str">
        <f ca="1">IFERROR(__xludf.DUMMYFUNCTION("""COMPUTED_VALUE"""),"stemx")</f>
        <v>stemx</v>
      </c>
      <c r="C12245" s="2" t="str">
        <f ca="1">IFERROR(__xludf.DUMMYFUNCTION("""COMPUTED_VALUE"""),"STEMX")</f>
        <v>STEMX</v>
      </c>
    </row>
    <row r="12246" spans="1:3" x14ac:dyDescent="0.25">
      <c r="A12246" s="2" t="str">
        <f ca="1">IFERROR(__xludf.DUMMYFUNCTION("""COMPUTED_VALUE"""),"step")</f>
        <v>step</v>
      </c>
      <c r="B12246" s="2" t="str">
        <f ca="1">IFERROR(__xludf.DUMMYFUNCTION("""COMPUTED_VALUE"""),"step")</f>
        <v>step</v>
      </c>
      <c r="C12246" s="2" t="str">
        <f ca="1">IFERROR(__xludf.DUMMYFUNCTION("""COMPUTED_VALUE"""),"Step")</f>
        <v>Step</v>
      </c>
    </row>
    <row r="12247" spans="1:3" x14ac:dyDescent="0.25">
      <c r="A12247" s="2" t="str">
        <f ca="1">IFERROR(__xludf.DUMMYFUNCTION("""COMPUTED_VALUE"""),"step-app-fitfi")</f>
        <v>step-app-fitfi</v>
      </c>
      <c r="B12247" s="2" t="str">
        <f ca="1">IFERROR(__xludf.DUMMYFUNCTION("""COMPUTED_VALUE"""),"fitfi")</f>
        <v>fitfi</v>
      </c>
      <c r="C12247" s="2" t="str">
        <f ca="1">IFERROR(__xludf.DUMMYFUNCTION("""COMPUTED_VALUE"""),"Step App")</f>
        <v>Step App</v>
      </c>
    </row>
    <row r="12248" spans="1:3" x14ac:dyDescent="0.25">
      <c r="A12248" s="2" t="str">
        <f ca="1">IFERROR(__xludf.DUMMYFUNCTION("""COMPUTED_VALUE"""),"step-bridged-wbtc-step-network")</f>
        <v>step-bridged-wbtc-step-network</v>
      </c>
      <c r="B12248" s="2" t="str">
        <f ca="1">IFERROR(__xludf.DUMMYFUNCTION("""COMPUTED_VALUE"""),"wbtc")</f>
        <v>wbtc</v>
      </c>
      <c r="C12248" s="2" t="str">
        <f ca="1">IFERROR(__xludf.DUMMYFUNCTION("""COMPUTED_VALUE"""),"Step Bridged WBTC (Step Network)")</f>
        <v>Step Bridged WBTC (Step Network)</v>
      </c>
    </row>
    <row r="12249" spans="1:3" x14ac:dyDescent="0.25">
      <c r="A12249" s="2" t="str">
        <f ca="1">IFERROR(__xludf.DUMMYFUNCTION("""COMPUTED_VALUE"""),"stepex")</f>
        <v>stepex</v>
      </c>
      <c r="B12249" s="2" t="str">
        <f ca="1">IFERROR(__xludf.DUMMYFUNCTION("""COMPUTED_VALUE"""),"spex")</f>
        <v>spex</v>
      </c>
      <c r="C12249" s="2" t="str">
        <f ca="1">IFERROR(__xludf.DUMMYFUNCTION("""COMPUTED_VALUE"""),"StepEx")</f>
        <v>StepEx</v>
      </c>
    </row>
    <row r="12250" spans="1:3" x14ac:dyDescent="0.25">
      <c r="A12250" s="2" t="str">
        <f ca="1">IFERROR(__xludf.DUMMYFUNCTION("""COMPUTED_VALUE"""),"step-finance")</f>
        <v>step-finance</v>
      </c>
      <c r="B12250" s="2" t="str">
        <f ca="1">IFERROR(__xludf.DUMMYFUNCTION("""COMPUTED_VALUE"""),"step")</f>
        <v>step</v>
      </c>
      <c r="C12250" s="2" t="str">
        <f ca="1">IFERROR(__xludf.DUMMYFUNCTION("""COMPUTED_VALUE"""),"Step Finance")</f>
        <v>Step Finance</v>
      </c>
    </row>
    <row r="12251" spans="1:3" x14ac:dyDescent="0.25">
      <c r="A12251" s="2" t="str">
        <f ca="1">IFERROR(__xludf.DUMMYFUNCTION("""COMPUTED_VALUE"""),"step-hero")</f>
        <v>step-hero</v>
      </c>
      <c r="B12251" s="2" t="str">
        <f ca="1">IFERROR(__xludf.DUMMYFUNCTION("""COMPUTED_VALUE"""),"hero")</f>
        <v>hero</v>
      </c>
      <c r="C12251" s="2" t="str">
        <f ca="1">IFERROR(__xludf.DUMMYFUNCTION("""COMPUTED_VALUE"""),"Step Hero")</f>
        <v>Step Hero</v>
      </c>
    </row>
    <row r="12252" spans="1:3" x14ac:dyDescent="0.25">
      <c r="A12252" s="2" t="str">
        <f ca="1">IFERROR(__xludf.DUMMYFUNCTION("""COMPUTED_VALUE"""),"stepn")</f>
        <v>stepn</v>
      </c>
      <c r="B12252" s="2" t="str">
        <f ca="1">IFERROR(__xludf.DUMMYFUNCTION("""COMPUTED_VALUE"""),"gmt")</f>
        <v>gmt</v>
      </c>
      <c r="C12252" s="2" t="str">
        <f ca="1">IFERROR(__xludf.DUMMYFUNCTION("""COMPUTED_VALUE"""),"GMT")</f>
        <v>GMT</v>
      </c>
    </row>
    <row r="12253" spans="1:3" x14ac:dyDescent="0.25">
      <c r="A12253" s="2" t="str">
        <f ca="1">IFERROR(__xludf.DUMMYFUNCTION("""COMPUTED_VALUE"""),"step-staked-sol")</f>
        <v>step-staked-sol</v>
      </c>
      <c r="B12253" s="2" t="str">
        <f ca="1">IFERROR(__xludf.DUMMYFUNCTION("""COMPUTED_VALUE"""),"stepsol")</f>
        <v>stepsol</v>
      </c>
      <c r="C12253" s="2" t="str">
        <f ca="1">IFERROR(__xludf.DUMMYFUNCTION("""COMPUTED_VALUE"""),"Step Staked SOL")</f>
        <v>Step Staked SOL</v>
      </c>
    </row>
    <row r="12254" spans="1:3" x14ac:dyDescent="0.25">
      <c r="A12254" s="2" t="str">
        <f ca="1">IFERROR(__xludf.DUMMYFUNCTION("""COMPUTED_VALUE"""),"sterling-finance")</f>
        <v>sterling-finance</v>
      </c>
      <c r="B12254" s="2" t="str">
        <f ca="1">IFERROR(__xludf.DUMMYFUNCTION("""COMPUTED_VALUE"""),"str")</f>
        <v>str</v>
      </c>
      <c r="C12254" s="2" t="str">
        <f ca="1">IFERROR(__xludf.DUMMYFUNCTION("""COMPUTED_VALUE"""),"Sterling Finance")</f>
        <v>Sterling Finance</v>
      </c>
    </row>
    <row r="12255" spans="1:3" x14ac:dyDescent="0.25">
      <c r="A12255" s="2" t="str">
        <f ca="1">IFERROR(__xludf.DUMMYFUNCTION("""COMPUTED_VALUE"""),"steth-fuse")</f>
        <v>steth-fuse</v>
      </c>
      <c r="B12255" s="2" t="str">
        <f ca="1">IFERROR(__xludf.DUMMYFUNCTION("""COMPUTED_VALUE"""),"steth")</f>
        <v>steth</v>
      </c>
      <c r="C12255" s="2" t="str">
        <f ca="1">IFERROR(__xludf.DUMMYFUNCTION("""COMPUTED_VALUE"""),"stETH (Fuse)")</f>
        <v>stETH (Fuse)</v>
      </c>
    </row>
    <row r="12256" spans="1:3" x14ac:dyDescent="0.25">
      <c r="A12256" s="2" t="str">
        <f ca="1">IFERROR(__xludf.DUMMYFUNCTION("""COMPUTED_VALUE"""),"steve")</f>
        <v>steve</v>
      </c>
      <c r="B12256" s="2" t="str">
        <f ca="1">IFERROR(__xludf.DUMMYFUNCTION("""COMPUTED_VALUE"""),"$steve")</f>
        <v>$steve</v>
      </c>
      <c r="C12256" s="2" t="str">
        <f ca="1">IFERROR(__xludf.DUMMYFUNCTION("""COMPUTED_VALUE"""),"STEVE")</f>
        <v>STEVE</v>
      </c>
    </row>
    <row r="12257" spans="1:3" x14ac:dyDescent="0.25">
      <c r="A12257" s="2" t="str">
        <f ca="1">IFERROR(__xludf.DUMMYFUNCTION("""COMPUTED_VALUE"""),"steve-2")</f>
        <v>steve-2</v>
      </c>
      <c r="B12257" s="2" t="str">
        <f ca="1">IFERROR(__xludf.DUMMYFUNCTION("""COMPUTED_VALUE"""),"steve")</f>
        <v>steve</v>
      </c>
      <c r="C12257" s="2" t="str">
        <f ca="1">IFERROR(__xludf.DUMMYFUNCTION("""COMPUTED_VALUE"""),"Steve")</f>
        <v>Steve</v>
      </c>
    </row>
    <row r="12258" spans="1:3" x14ac:dyDescent="0.25">
      <c r="A12258" s="2" t="str">
        <f ca="1">IFERROR(__xludf.DUMMYFUNCTION("""COMPUTED_VALUE"""),"stfx")</f>
        <v>stfx</v>
      </c>
      <c r="B12258" s="2" t="str">
        <f ca="1">IFERROR(__xludf.DUMMYFUNCTION("""COMPUTED_VALUE"""),"stfx")</f>
        <v>stfx</v>
      </c>
      <c r="C12258" s="2" t="str">
        <f ca="1">IFERROR(__xludf.DUMMYFUNCTION("""COMPUTED_VALUE"""),"STFX")</f>
        <v>STFX</v>
      </c>
    </row>
    <row r="12259" spans="1:3" x14ac:dyDescent="0.25">
      <c r="A12259" s="2" t="str">
        <f ca="1">IFERROR(__xludf.DUMMYFUNCTION("""COMPUTED_VALUE"""),"stickbug")</f>
        <v>stickbug</v>
      </c>
      <c r="B12259" s="2" t="str">
        <f ca="1">IFERROR(__xludf.DUMMYFUNCTION("""COMPUTED_VALUE"""),"stickbug")</f>
        <v>stickbug</v>
      </c>
      <c r="C12259" s="2" t="str">
        <f ca="1">IFERROR(__xludf.DUMMYFUNCTION("""COMPUTED_VALUE"""),"stickbug")</f>
        <v>stickbug</v>
      </c>
    </row>
    <row r="12260" spans="1:3" x14ac:dyDescent="0.25">
      <c r="A12260" s="2" t="str">
        <f ca="1">IFERROR(__xludf.DUMMYFUNCTION("""COMPUTED_VALUE"""),"stickman")</f>
        <v>stickman</v>
      </c>
      <c r="B12260" s="2" t="str">
        <f ca="1">IFERROR(__xludf.DUMMYFUNCTION("""COMPUTED_VALUE"""),"$sticky")</f>
        <v>$sticky</v>
      </c>
      <c r="C12260" s="2" t="str">
        <f ca="1">IFERROR(__xludf.DUMMYFUNCTION("""COMPUTED_VALUE"""),"stickman")</f>
        <v>stickman</v>
      </c>
    </row>
    <row r="12261" spans="1:3" x14ac:dyDescent="0.25">
      <c r="A12261" s="2" t="str">
        <f ca="1">IFERROR(__xludf.DUMMYFUNCTION("""COMPUTED_VALUE"""),"stilton")</f>
        <v>stilton</v>
      </c>
      <c r="B12261" s="2" t="str">
        <f ca="1">IFERROR(__xludf.DUMMYFUNCTION("""COMPUTED_VALUE"""),"stilt")</f>
        <v>stilt</v>
      </c>
      <c r="C12261" s="2" t="str">
        <f ca="1">IFERROR(__xludf.DUMMYFUNCTION("""COMPUTED_VALUE"""),"Stilton")</f>
        <v>Stilton</v>
      </c>
    </row>
    <row r="12262" spans="1:3" x14ac:dyDescent="0.25">
      <c r="A12262" s="2" t="str">
        <f ca="1">IFERROR(__xludf.DUMMYFUNCTION("""COMPUTED_VALUE"""),"stima")</f>
        <v>stima</v>
      </c>
      <c r="B12262" s="2" t="str">
        <f ca="1">IFERROR(__xludf.DUMMYFUNCTION("""COMPUTED_VALUE"""),"stima")</f>
        <v>stima</v>
      </c>
      <c r="C12262" s="2" t="str">
        <f ca="1">IFERROR(__xludf.DUMMYFUNCTION("""COMPUTED_VALUE"""),"STIMA")</f>
        <v>STIMA</v>
      </c>
    </row>
    <row r="12263" spans="1:3" x14ac:dyDescent="0.25">
      <c r="A12263" s="2" t="str">
        <f ca="1">IFERROR(__xludf.DUMMYFUNCTION("""COMPUTED_VALUE"""),"stkatom")</f>
        <v>stkatom</v>
      </c>
      <c r="B12263" s="2" t="str">
        <f ca="1">IFERROR(__xludf.DUMMYFUNCTION("""COMPUTED_VALUE"""),"stkatom")</f>
        <v>stkatom</v>
      </c>
      <c r="C12263" s="2" t="str">
        <f ca="1">IFERROR(__xludf.DUMMYFUNCTION("""COMPUTED_VALUE"""),"pSTAKE Staked ATOM")</f>
        <v>pSTAKE Staked ATOM</v>
      </c>
    </row>
    <row r="12264" spans="1:3" x14ac:dyDescent="0.25">
      <c r="A12264" s="2" t="str">
        <f ca="1">IFERROR(__xludf.DUMMYFUNCTION("""COMPUTED_VALUE"""),"stkd-scrt")</f>
        <v>stkd-scrt</v>
      </c>
      <c r="B12264" s="2" t="str">
        <f ca="1">IFERROR(__xludf.DUMMYFUNCTION("""COMPUTED_VALUE"""),"stkd")</f>
        <v>stkd</v>
      </c>
      <c r="C12264" s="2" t="str">
        <f ca="1">IFERROR(__xludf.DUMMYFUNCTION("""COMPUTED_VALUE"""),"Stkd SCRT")</f>
        <v>Stkd SCRT</v>
      </c>
    </row>
    <row r="12265" spans="1:3" x14ac:dyDescent="0.25">
      <c r="A12265" s="2" t="str">
        <f ca="1">IFERROR(__xludf.DUMMYFUNCTION("""COMPUTED_VALUE"""),"stobox-token")</f>
        <v>stobox-token</v>
      </c>
      <c r="B12265" s="2" t="str">
        <f ca="1">IFERROR(__xludf.DUMMYFUNCTION("""COMPUTED_VALUE"""),"stbu")</f>
        <v>stbu</v>
      </c>
      <c r="C12265" s="2" t="str">
        <f ca="1">IFERROR(__xludf.DUMMYFUNCTION("""COMPUTED_VALUE"""),"Stobox")</f>
        <v>Stobox</v>
      </c>
    </row>
    <row r="12266" spans="1:3" x14ac:dyDescent="0.25">
      <c r="A12266" s="2" t="str">
        <f ca="1">IFERROR(__xludf.DUMMYFUNCTION("""COMPUTED_VALUE"""),"sto-cash")</f>
        <v>sto-cash</v>
      </c>
      <c r="B12266" s="2" t="str">
        <f ca="1">IFERROR(__xludf.DUMMYFUNCTION("""COMPUTED_VALUE"""),"stoc")</f>
        <v>stoc</v>
      </c>
      <c r="C12266" s="2" t="str">
        <f ca="1">IFERROR(__xludf.DUMMYFUNCTION("""COMPUTED_VALUE"""),"STO Cash")</f>
        <v>STO Cash</v>
      </c>
    </row>
    <row r="12267" spans="1:3" x14ac:dyDescent="0.25">
      <c r="A12267" s="2" t="str">
        <f ca="1">IFERROR(__xludf.DUMMYFUNCTION("""COMPUTED_VALUE"""),"stohn-coin")</f>
        <v>stohn-coin</v>
      </c>
      <c r="B12267" s="2" t="str">
        <f ca="1">IFERROR(__xludf.DUMMYFUNCTION("""COMPUTED_VALUE"""),"soh")</f>
        <v>soh</v>
      </c>
      <c r="C12267" s="2" t="str">
        <f ca="1">IFERROR(__xludf.DUMMYFUNCTION("""COMPUTED_VALUE"""),"Stohn Coin")</f>
        <v>Stohn Coin</v>
      </c>
    </row>
    <row r="12268" spans="1:3" x14ac:dyDescent="0.25">
      <c r="A12268" s="2" t="str">
        <f ca="1">IFERROR(__xludf.DUMMYFUNCTION("""COMPUTED_VALUE"""),"stoicdao")</f>
        <v>stoicdao</v>
      </c>
      <c r="B12268" s="2" t="str">
        <f ca="1">IFERROR(__xludf.DUMMYFUNCTION("""COMPUTED_VALUE"""),"zeta")</f>
        <v>zeta</v>
      </c>
      <c r="C12268" s="2" t="str">
        <f ca="1">IFERROR(__xludf.DUMMYFUNCTION("""COMPUTED_VALUE"""),"stoicDAO")</f>
        <v>stoicDAO</v>
      </c>
    </row>
    <row r="12269" spans="1:3" x14ac:dyDescent="0.25">
      <c r="A12269" s="2" t="str">
        <f ca="1">IFERROR(__xludf.DUMMYFUNCTION("""COMPUTED_VALUE"""),"ston")</f>
        <v>ston</v>
      </c>
      <c r="B12269" s="2" t="str">
        <f ca="1">IFERROR(__xludf.DUMMYFUNCTION("""COMPUTED_VALUE"""),"ston")</f>
        <v>ston</v>
      </c>
      <c r="C12269" s="2" t="str">
        <f ca="1">IFERROR(__xludf.DUMMYFUNCTION("""COMPUTED_VALUE"""),"Ston")</f>
        <v>Ston</v>
      </c>
    </row>
    <row r="12270" spans="1:3" x14ac:dyDescent="0.25">
      <c r="A12270" s="2" t="str">
        <f ca="1">IFERROR(__xludf.DUMMYFUNCTION("""COMPUTED_VALUE"""),"ston-2")</f>
        <v>ston-2</v>
      </c>
      <c r="B12270" s="2" t="str">
        <f ca="1">IFERROR(__xludf.DUMMYFUNCTION("""COMPUTED_VALUE"""),"ston")</f>
        <v>ston</v>
      </c>
      <c r="C12270" s="2" t="str">
        <f ca="1">IFERROR(__xludf.DUMMYFUNCTION("""COMPUTED_VALUE"""),"STON")</f>
        <v>STON</v>
      </c>
    </row>
    <row r="12271" spans="1:3" x14ac:dyDescent="0.25">
      <c r="A12271" s="2" t="str">
        <f ca="1">IFERROR(__xludf.DUMMYFUNCTION("""COMPUTED_VALUE"""),"stoned")</f>
        <v>stoned</v>
      </c>
      <c r="B12271" s="2" t="str">
        <f ca="1">IFERROR(__xludf.DUMMYFUNCTION("""COMPUTED_VALUE"""),"stoned")</f>
        <v>stoned</v>
      </c>
      <c r="C12271" s="2" t="str">
        <f ca="1">IFERROR(__xludf.DUMMYFUNCTION("""COMPUTED_VALUE"""),"STONED")</f>
        <v>STONED</v>
      </c>
    </row>
    <row r="12272" spans="1:3" x14ac:dyDescent="0.25">
      <c r="A12272" s="2" t="str">
        <f ca="1">IFERROR(__xludf.DUMMYFUNCTION("""COMPUTED_VALUE"""),"stonks-3")</f>
        <v>stonks-3</v>
      </c>
      <c r="B12272" s="2" t="str">
        <f ca="1">IFERROR(__xludf.DUMMYFUNCTION("""COMPUTED_VALUE"""),"stonks")</f>
        <v>stonks</v>
      </c>
      <c r="C12272" s="2" t="str">
        <f ca="1">IFERROR(__xludf.DUMMYFUNCTION("""COMPUTED_VALUE"""),"sTONks")</f>
        <v>sTONks</v>
      </c>
    </row>
    <row r="12273" spans="1:3" x14ac:dyDescent="0.25">
      <c r="A12273" s="2" t="str">
        <f ca="1">IFERROR(__xludf.DUMMYFUNCTION("""COMPUTED_VALUE"""),"stonks-cronos")</f>
        <v>stonks-cronos</v>
      </c>
      <c r="B12273" s="2" t="str">
        <f ca="1">IFERROR(__xludf.DUMMYFUNCTION("""COMPUTED_VALUE"""),"stonks")</f>
        <v>stonks</v>
      </c>
      <c r="C12273" s="2" t="str">
        <f ca="1">IFERROR(__xludf.DUMMYFUNCTION("""COMPUTED_VALUE"""),"STONKS")</f>
        <v>STONKS</v>
      </c>
    </row>
    <row r="12274" spans="1:3" x14ac:dyDescent="0.25">
      <c r="A12274" s="2" t="str">
        <f ca="1">IFERROR(__xludf.DUMMYFUNCTION("""COMPUTED_VALUE"""),"stonksdao")</f>
        <v>stonksdao</v>
      </c>
      <c r="B12274" s="2" t="str">
        <f ca="1">IFERROR(__xludf.DUMMYFUNCTION("""COMPUTED_VALUE"""),"stonks")</f>
        <v>stonks</v>
      </c>
      <c r="C12274" s="2" t="str">
        <f ca="1">IFERROR(__xludf.DUMMYFUNCTION("""COMPUTED_VALUE"""),"STONKSDAO")</f>
        <v>STONKSDAO</v>
      </c>
    </row>
    <row r="12275" spans="1:3" x14ac:dyDescent="0.25">
      <c r="A12275" s="2" t="str">
        <f ca="1">IFERROR(__xludf.DUMMYFUNCTION("""COMPUTED_VALUE"""),"stonks-on-eth")</f>
        <v>stonks-on-eth</v>
      </c>
      <c r="B12275" s="2" t="str">
        <f ca="1">IFERROR(__xludf.DUMMYFUNCTION("""COMPUTED_VALUE"""),"stonks")</f>
        <v>stonks</v>
      </c>
      <c r="C12275" s="2" t="str">
        <f ca="1">IFERROR(__xludf.DUMMYFUNCTION("""COMPUTED_VALUE"""),"Stonks on ETH")</f>
        <v>Stonks on ETH</v>
      </c>
    </row>
    <row r="12276" spans="1:3" x14ac:dyDescent="0.25">
      <c r="A12276" s="2" t="str">
        <f ca="1">IFERROR(__xludf.DUMMYFUNCTION("""COMPUTED_VALUE"""),"stooges")</f>
        <v>stooges</v>
      </c>
      <c r="B12276" s="2" t="str">
        <f ca="1">IFERROR(__xludf.DUMMYFUNCTION("""COMPUTED_VALUE"""),"stog")</f>
        <v>stog</v>
      </c>
      <c r="C12276" s="2" t="str">
        <f ca="1">IFERROR(__xludf.DUMMYFUNCTION("""COMPUTED_VALUE"""),"Stooges")</f>
        <v>Stooges</v>
      </c>
    </row>
    <row r="12277" spans="1:3" x14ac:dyDescent="0.25">
      <c r="A12277" s="2" t="str">
        <f ca="1">IFERROR(__xludf.DUMMYFUNCTION("""COMPUTED_VALUE"""),"storagechain")</f>
        <v>storagechain</v>
      </c>
      <c r="B12277" s="2" t="str">
        <f ca="1">IFERROR(__xludf.DUMMYFUNCTION("""COMPUTED_VALUE"""),"wstor")</f>
        <v>wstor</v>
      </c>
      <c r="C12277" s="2" t="str">
        <f ca="1">IFERROR(__xludf.DUMMYFUNCTION("""COMPUTED_VALUE"""),"StorageChain")</f>
        <v>StorageChain</v>
      </c>
    </row>
    <row r="12278" spans="1:3" x14ac:dyDescent="0.25">
      <c r="A12278" s="2" t="str">
        <f ca="1">IFERROR(__xludf.DUMMYFUNCTION("""COMPUTED_VALUE"""),"storepay")</f>
        <v>storepay</v>
      </c>
      <c r="B12278" s="2" t="str">
        <f ca="1">IFERROR(__xludf.DUMMYFUNCTION("""COMPUTED_VALUE"""),"spc")</f>
        <v>spc</v>
      </c>
      <c r="C12278" s="2" t="str">
        <f ca="1">IFERROR(__xludf.DUMMYFUNCTION("""COMPUTED_VALUE"""),"Storepay")</f>
        <v>Storepay</v>
      </c>
    </row>
    <row r="12279" spans="1:3" x14ac:dyDescent="0.25">
      <c r="A12279" s="2" t="str">
        <f ca="1">IFERROR(__xludf.DUMMYFUNCTION("""COMPUTED_VALUE"""),"storex")</f>
        <v>storex</v>
      </c>
      <c r="B12279" s="2" t="str">
        <f ca="1">IFERROR(__xludf.DUMMYFUNCTION("""COMPUTED_VALUE"""),"strx")</f>
        <v>strx</v>
      </c>
      <c r="C12279" s="2" t="str">
        <f ca="1">IFERROR(__xludf.DUMMYFUNCTION("""COMPUTED_VALUE"""),"Storex")</f>
        <v>Storex</v>
      </c>
    </row>
    <row r="12280" spans="1:3" x14ac:dyDescent="0.25">
      <c r="A12280" s="2" t="str">
        <f ca="1">IFERROR(__xludf.DUMMYFUNCTION("""COMPUTED_VALUE"""),"storj")</f>
        <v>storj</v>
      </c>
      <c r="B12280" s="2" t="str">
        <f ca="1">IFERROR(__xludf.DUMMYFUNCTION("""COMPUTED_VALUE"""),"storj")</f>
        <v>storj</v>
      </c>
      <c r="C12280" s="2" t="str">
        <f ca="1">IFERROR(__xludf.DUMMYFUNCTION("""COMPUTED_VALUE"""),"Storj")</f>
        <v>Storj</v>
      </c>
    </row>
    <row r="12281" spans="1:3" x14ac:dyDescent="0.25">
      <c r="A12281" s="2" t="str">
        <f ca="1">IFERROR(__xludf.DUMMYFUNCTION("""COMPUTED_VALUE"""),"storm")</f>
        <v>storm</v>
      </c>
      <c r="B12281" s="2" t="str">
        <f ca="1">IFERROR(__xludf.DUMMYFUNCTION("""COMPUTED_VALUE"""),"stmx")</f>
        <v>stmx</v>
      </c>
      <c r="C12281" s="2" t="str">
        <f ca="1">IFERROR(__xludf.DUMMYFUNCTION("""COMPUTED_VALUE"""),"StormX")</f>
        <v>StormX</v>
      </c>
    </row>
    <row r="12282" spans="1:3" x14ac:dyDescent="0.25">
      <c r="A12282" s="2" t="str">
        <f ca="1">IFERROR(__xludf.DUMMYFUNCTION("""COMPUTED_VALUE"""),"storm-token")</f>
        <v>storm-token</v>
      </c>
      <c r="B12282" s="2" t="str">
        <f ca="1">IFERROR(__xludf.DUMMYFUNCTION("""COMPUTED_VALUE"""),"storm")</f>
        <v>storm</v>
      </c>
      <c r="C12282" s="2" t="str">
        <f ca="1">IFERROR(__xludf.DUMMYFUNCTION("""COMPUTED_VALUE"""),"Storm")</f>
        <v>Storm</v>
      </c>
    </row>
    <row r="12283" spans="1:3" x14ac:dyDescent="0.25">
      <c r="A12283" s="2" t="str">
        <f ca="1">IFERROR(__xludf.DUMMYFUNCTION("""COMPUTED_VALUE"""),"storm-trade")</f>
        <v>storm-trade</v>
      </c>
      <c r="B12283" s="2" t="str">
        <f ca="1">IFERROR(__xludf.DUMMYFUNCTION("""COMPUTED_VALUE"""),"storm")</f>
        <v>storm</v>
      </c>
      <c r="C12283" s="2" t="str">
        <f ca="1">IFERROR(__xludf.DUMMYFUNCTION("""COMPUTED_VALUE"""),"Storm Trade")</f>
        <v>Storm Trade</v>
      </c>
    </row>
    <row r="12284" spans="1:3" x14ac:dyDescent="0.25">
      <c r="A12284" s="2" t="str">
        <f ca="1">IFERROR(__xludf.DUMMYFUNCTION("""COMPUTED_VALUE"""),"storm-warfare")</f>
        <v>storm-warfare</v>
      </c>
      <c r="B12284" s="2" t="str">
        <f ca="1">IFERROR(__xludf.DUMMYFUNCTION("""COMPUTED_VALUE"""),"jan")</f>
        <v>jan</v>
      </c>
      <c r="C12284" s="2" t="str">
        <f ca="1">IFERROR(__xludf.DUMMYFUNCTION("""COMPUTED_VALUE"""),"Storm Warfare")</f>
        <v>Storm Warfare</v>
      </c>
    </row>
    <row r="12285" spans="1:3" x14ac:dyDescent="0.25">
      <c r="A12285" s="2" t="str">
        <f ca="1">IFERROR(__xludf.DUMMYFUNCTION("""COMPUTED_VALUE"""),"storx")</f>
        <v>storx</v>
      </c>
      <c r="B12285" s="2" t="str">
        <f ca="1">IFERROR(__xludf.DUMMYFUNCTION("""COMPUTED_VALUE"""),"srx")</f>
        <v>srx</v>
      </c>
      <c r="C12285" s="2" t="str">
        <f ca="1">IFERROR(__xludf.DUMMYFUNCTION("""COMPUTED_VALUE"""),"StorX")</f>
        <v>StorX</v>
      </c>
    </row>
    <row r="12286" spans="1:3" x14ac:dyDescent="0.25">
      <c r="A12286" s="2" t="str">
        <f ca="1">IFERROR(__xludf.DUMMYFUNCTION("""COMPUTED_VALUE"""),"story")</f>
        <v>story</v>
      </c>
      <c r="B12286" s="2" t="str">
        <f ca="1">IFERROR(__xludf.DUMMYFUNCTION("""COMPUTED_VALUE"""),"story")</f>
        <v>story</v>
      </c>
      <c r="C12286" s="2" t="str">
        <f ca="1">IFERROR(__xludf.DUMMYFUNCTION("""COMPUTED_VALUE"""),"Story")</f>
        <v>Story</v>
      </c>
    </row>
    <row r="12287" spans="1:3" x14ac:dyDescent="0.25">
      <c r="A12287" s="2" t="str">
        <f ca="1">IFERROR(__xludf.DUMMYFUNCTION("""COMPUTED_VALUE"""),"storyfire")</f>
        <v>storyfire</v>
      </c>
      <c r="B12287" s="2" t="str">
        <f ca="1">IFERROR(__xludf.DUMMYFUNCTION("""COMPUTED_VALUE"""),"blaze")</f>
        <v>blaze</v>
      </c>
      <c r="C12287" s="2" t="str">
        <f ca="1">IFERROR(__xludf.DUMMYFUNCTION("""COMPUTED_VALUE"""),"StoryFire")</f>
        <v>StoryFire</v>
      </c>
    </row>
    <row r="12288" spans="1:3" x14ac:dyDescent="0.25">
      <c r="A12288" s="2" t="str">
        <f ca="1">IFERROR(__xludf.DUMMYFUNCTION("""COMPUTED_VALUE"""),"stox")</f>
        <v>stox</v>
      </c>
      <c r="B12288" s="2" t="str">
        <f ca="1">IFERROR(__xludf.DUMMYFUNCTION("""COMPUTED_VALUE"""),"stx")</f>
        <v>stx</v>
      </c>
      <c r="C12288" s="2" t="str">
        <f ca="1">IFERROR(__xludf.DUMMYFUNCTION("""COMPUTED_VALUE"""),"Stox")</f>
        <v>Stox</v>
      </c>
    </row>
    <row r="12289" spans="1:3" x14ac:dyDescent="0.25">
      <c r="A12289" s="2" t="str">
        <f ca="1">IFERROR(__xludf.DUMMYFUNCTION("""COMPUTED_VALUE"""),"stp-network")</f>
        <v>stp-network</v>
      </c>
      <c r="B12289" s="2" t="str">
        <f ca="1">IFERROR(__xludf.DUMMYFUNCTION("""COMPUTED_VALUE"""),"stpt")</f>
        <v>stpt</v>
      </c>
      <c r="C12289" s="2" t="str">
        <f ca="1">IFERROR(__xludf.DUMMYFUNCTION("""COMPUTED_VALUE"""),"STP")</f>
        <v>STP</v>
      </c>
    </row>
    <row r="12290" spans="1:3" x14ac:dyDescent="0.25">
      <c r="A12290" s="2" t="str">
        <f ca="1">IFERROR(__xludf.DUMMYFUNCTION("""COMPUTED_VALUE"""),"straitsx-indonesia-rupiah")</f>
        <v>straitsx-indonesia-rupiah</v>
      </c>
      <c r="B12290" s="2" t="str">
        <f ca="1">IFERROR(__xludf.DUMMYFUNCTION("""COMPUTED_VALUE"""),"xidr")</f>
        <v>xidr</v>
      </c>
      <c r="C12290" s="2" t="str">
        <f ca="1">IFERROR(__xludf.DUMMYFUNCTION("""COMPUTED_VALUE"""),"XIDR")</f>
        <v>XIDR</v>
      </c>
    </row>
    <row r="12291" spans="1:3" x14ac:dyDescent="0.25">
      <c r="A12291" s="2" t="str">
        <f ca="1">IFERROR(__xludf.DUMMYFUNCTION("""COMPUTED_VALUE"""),"straitsx-xusd")</f>
        <v>straitsx-xusd</v>
      </c>
      <c r="B12291" s="2" t="str">
        <f ca="1">IFERROR(__xludf.DUMMYFUNCTION("""COMPUTED_VALUE"""),"xusd")</f>
        <v>xusd</v>
      </c>
      <c r="C12291" s="2" t="str">
        <f ca="1">IFERROR(__xludf.DUMMYFUNCTION("""COMPUTED_VALUE"""),"StraitsX XUSD")</f>
        <v>StraitsX XUSD</v>
      </c>
    </row>
    <row r="12292" spans="1:3" x14ac:dyDescent="0.25">
      <c r="A12292" s="2" t="str">
        <f ca="1">IFERROR(__xludf.DUMMYFUNCTION("""COMPUTED_VALUE"""),"stratis")</f>
        <v>stratis</v>
      </c>
      <c r="B12292" s="2" t="str">
        <f ca="1">IFERROR(__xludf.DUMMYFUNCTION("""COMPUTED_VALUE"""),"strax")</f>
        <v>strax</v>
      </c>
      <c r="C12292" s="2" t="str">
        <f ca="1">IFERROR(__xludf.DUMMYFUNCTION("""COMPUTED_VALUE"""),"Stratis")</f>
        <v>Stratis</v>
      </c>
    </row>
    <row r="12293" spans="1:3" x14ac:dyDescent="0.25">
      <c r="A12293" s="2" t="str">
        <f ca="1">IFERROR(__xludf.DUMMYFUNCTION("""COMPUTED_VALUE"""),"stratos")</f>
        <v>stratos</v>
      </c>
      <c r="B12293" s="2" t="str">
        <f ca="1">IFERROR(__xludf.DUMMYFUNCTION("""COMPUTED_VALUE"""),"stos")</f>
        <v>stos</v>
      </c>
      <c r="C12293" s="2" t="str">
        <f ca="1">IFERROR(__xludf.DUMMYFUNCTION("""COMPUTED_VALUE"""),"Stratos")</f>
        <v>Stratos</v>
      </c>
    </row>
    <row r="12294" spans="1:3" x14ac:dyDescent="0.25">
      <c r="A12294" s="2" t="str">
        <f ca="1">IFERROR(__xludf.DUMMYFUNCTION("""COMPUTED_VALUE"""),"stratovm")</f>
        <v>stratovm</v>
      </c>
      <c r="B12294" s="2" t="str">
        <f ca="1">IFERROR(__xludf.DUMMYFUNCTION("""COMPUTED_VALUE"""),"svm")</f>
        <v>svm</v>
      </c>
      <c r="C12294" s="2" t="str">
        <f ca="1">IFERROR(__xludf.DUMMYFUNCTION("""COMPUTED_VALUE"""),"StratoVM")</f>
        <v>StratoVM</v>
      </c>
    </row>
    <row r="12295" spans="1:3" x14ac:dyDescent="0.25">
      <c r="A12295" s="2" t="str">
        <f ca="1">IFERROR(__xludf.DUMMYFUNCTION("""COMPUTED_VALUE"""),"stratum-exchange")</f>
        <v>stratum-exchange</v>
      </c>
      <c r="B12295" s="2" t="str">
        <f ca="1">IFERROR(__xludf.DUMMYFUNCTION("""COMPUTED_VALUE"""),"strat")</f>
        <v>strat</v>
      </c>
      <c r="C12295" s="2" t="str">
        <f ca="1">IFERROR(__xludf.DUMMYFUNCTION("""COMPUTED_VALUE"""),"Stratum Exchange")</f>
        <v>Stratum Exchange</v>
      </c>
    </row>
    <row r="12296" spans="1:3" x14ac:dyDescent="0.25">
      <c r="A12296" s="2" t="str">
        <f ca="1">IFERROR(__xludf.DUMMYFUNCTION("""COMPUTED_VALUE"""),"strawberry-ai")</f>
        <v>strawberry-ai</v>
      </c>
      <c r="B12296" s="2" t="str">
        <f ca="1">IFERROR(__xludf.DUMMYFUNCTION("""COMPUTED_VALUE"""),"berry")</f>
        <v>berry</v>
      </c>
      <c r="C12296" s="2" t="str">
        <f ca="1">IFERROR(__xludf.DUMMYFUNCTION("""COMPUTED_VALUE"""),"Strawberry AI")</f>
        <v>Strawberry AI</v>
      </c>
    </row>
    <row r="12297" spans="1:3" x14ac:dyDescent="0.25">
      <c r="A12297" s="2" t="str">
        <f ca="1">IFERROR(__xludf.DUMMYFUNCTION("""COMPUTED_VALUE"""),"strawberry-elephant")</f>
        <v>strawberry-elephant</v>
      </c>
      <c r="B12297" s="2" t="str">
        <f ca="1">IFERROR(__xludf.DUMMYFUNCTION("""COMPUTED_VALUE"""),"صباح الفر")</f>
        <v>صباح الفر</v>
      </c>
      <c r="C12297" s="2" t="str">
        <f ca="1">IFERROR(__xludf.DUMMYFUNCTION("""COMPUTED_VALUE"""),"Strawberry Elephant")</f>
        <v>Strawberry Elephant</v>
      </c>
    </row>
    <row r="12298" spans="1:3" x14ac:dyDescent="0.25">
      <c r="A12298" s="2" t="str">
        <f ca="1">IFERROR(__xludf.DUMMYFUNCTION("""COMPUTED_VALUE"""),"strch-token")</f>
        <v>strch-token</v>
      </c>
      <c r="B12298" s="2" t="str">
        <f ca="1">IFERROR(__xludf.DUMMYFUNCTION("""COMPUTED_VALUE"""),"strch")</f>
        <v>strch</v>
      </c>
      <c r="C12298" s="2" t="str">
        <f ca="1">IFERROR(__xludf.DUMMYFUNCTION("""COMPUTED_VALUE"""),"STRCH Token")</f>
        <v>STRCH Token</v>
      </c>
    </row>
    <row r="12299" spans="1:3" x14ac:dyDescent="0.25">
      <c r="A12299" s="2" t="str">
        <f ca="1">IFERROR(__xludf.DUMMYFUNCTION("""COMPUTED_VALUE"""),"streamcoin")</f>
        <v>streamcoin</v>
      </c>
      <c r="B12299" s="2" t="str">
        <f ca="1">IFERROR(__xludf.DUMMYFUNCTION("""COMPUTED_VALUE"""),"strm")</f>
        <v>strm</v>
      </c>
      <c r="C12299" s="2" t="str">
        <f ca="1">IFERROR(__xludf.DUMMYFUNCTION("""COMPUTED_VALUE"""),"StreamCoin")</f>
        <v>StreamCoin</v>
      </c>
    </row>
    <row r="12300" spans="1:3" x14ac:dyDescent="0.25">
      <c r="A12300" s="2" t="str">
        <f ca="1">IFERROR(__xludf.DUMMYFUNCTION("""COMPUTED_VALUE"""),"streamer-inu")</f>
        <v>streamer-inu</v>
      </c>
      <c r="B12300" s="2" t="str">
        <f ca="1">IFERROR(__xludf.DUMMYFUNCTION("""COMPUTED_VALUE"""),"strm")</f>
        <v>strm</v>
      </c>
      <c r="C12300" s="2" t="str">
        <f ca="1">IFERROR(__xludf.DUMMYFUNCTION("""COMPUTED_VALUE"""),"Streamer Inu")</f>
        <v>Streamer Inu</v>
      </c>
    </row>
    <row r="12301" spans="1:3" x14ac:dyDescent="0.25">
      <c r="A12301" s="2" t="str">
        <f ca="1">IFERROR(__xludf.DUMMYFUNCTION("""COMPUTED_VALUE"""),"streamr")</f>
        <v>streamr</v>
      </c>
      <c r="B12301" s="2" t="str">
        <f ca="1">IFERROR(__xludf.DUMMYFUNCTION("""COMPUTED_VALUE"""),"data")</f>
        <v>data</v>
      </c>
      <c r="C12301" s="2" t="str">
        <f ca="1">IFERROR(__xludf.DUMMYFUNCTION("""COMPUTED_VALUE"""),"Streamr")</f>
        <v>Streamr</v>
      </c>
    </row>
    <row r="12302" spans="1:3" x14ac:dyDescent="0.25">
      <c r="A12302" s="2" t="str">
        <f ca="1">IFERROR(__xludf.DUMMYFUNCTION("""COMPUTED_VALUE"""),"streamr-xdata")</f>
        <v>streamr-xdata</v>
      </c>
      <c r="B12302" s="2" t="str">
        <f ca="1">IFERROR(__xludf.DUMMYFUNCTION("""COMPUTED_VALUE"""),"xdata")</f>
        <v>xdata</v>
      </c>
      <c r="C12302" s="2" t="str">
        <f ca="1">IFERROR(__xludf.DUMMYFUNCTION("""COMPUTED_VALUE"""),"Streamr XDATA")</f>
        <v>Streamr XDATA</v>
      </c>
    </row>
    <row r="12303" spans="1:3" x14ac:dyDescent="0.25">
      <c r="A12303" s="2" t="str">
        <f ca="1">IFERROR(__xludf.DUMMYFUNCTION("""COMPUTED_VALUE"""),"streeth")</f>
        <v>streeth</v>
      </c>
      <c r="B12303" s="2" t="str">
        <f ca="1">IFERROR(__xludf.DUMMYFUNCTION("""COMPUTED_VALUE"""),"streeth")</f>
        <v>streeth</v>
      </c>
      <c r="C12303" s="2" t="str">
        <f ca="1">IFERROR(__xludf.DUMMYFUNCTION("""COMPUTED_VALUE"""),"STREETH")</f>
        <v>STREETH</v>
      </c>
    </row>
    <row r="12304" spans="1:3" x14ac:dyDescent="0.25">
      <c r="A12304" s="2" t="str">
        <f ca="1">IFERROR(__xludf.DUMMYFUNCTION("""COMPUTED_VALUE"""),"street-runner")</f>
        <v>street-runner</v>
      </c>
      <c r="B12304" s="2" t="str">
        <f ca="1">IFERROR(__xludf.DUMMYFUNCTION("""COMPUTED_VALUE"""),"srg")</f>
        <v>srg</v>
      </c>
      <c r="C12304" s="2" t="str">
        <f ca="1">IFERROR(__xludf.DUMMYFUNCTION("""COMPUTED_VALUE"""),"Street Runner")</f>
        <v>Street Runner</v>
      </c>
    </row>
    <row r="12305" spans="1:3" x14ac:dyDescent="0.25">
      <c r="A12305" s="2" t="str">
        <f ca="1">IFERROR(__xludf.DUMMYFUNCTION("""COMPUTED_VALUE"""),"stride")</f>
        <v>stride</v>
      </c>
      <c r="B12305" s="2" t="str">
        <f ca="1">IFERROR(__xludf.DUMMYFUNCTION("""COMPUTED_VALUE"""),"strd")</f>
        <v>strd</v>
      </c>
      <c r="C12305" s="2" t="str">
        <f ca="1">IFERROR(__xludf.DUMMYFUNCTION("""COMPUTED_VALUE"""),"Stride")</f>
        <v>Stride</v>
      </c>
    </row>
    <row r="12306" spans="1:3" x14ac:dyDescent="0.25">
      <c r="A12306" s="2" t="str">
        <f ca="1">IFERROR(__xludf.DUMMYFUNCTION("""COMPUTED_VALUE"""),"stride-staked-atom")</f>
        <v>stride-staked-atom</v>
      </c>
      <c r="B12306" s="2" t="str">
        <f ca="1">IFERROR(__xludf.DUMMYFUNCTION("""COMPUTED_VALUE"""),"statom")</f>
        <v>statom</v>
      </c>
      <c r="C12306" s="2" t="str">
        <f ca="1">IFERROR(__xludf.DUMMYFUNCTION("""COMPUTED_VALUE"""),"Stride Staked Atom")</f>
        <v>Stride Staked Atom</v>
      </c>
    </row>
    <row r="12307" spans="1:3" x14ac:dyDescent="0.25">
      <c r="A12307" s="2" t="str">
        <f ca="1">IFERROR(__xludf.DUMMYFUNCTION("""COMPUTED_VALUE"""),"stride-staked-dydx")</f>
        <v>stride-staked-dydx</v>
      </c>
      <c r="B12307" s="2" t="str">
        <f ca="1">IFERROR(__xludf.DUMMYFUNCTION("""COMPUTED_VALUE"""),"stdydx")</f>
        <v>stdydx</v>
      </c>
      <c r="C12307" s="2" t="str">
        <f ca="1">IFERROR(__xludf.DUMMYFUNCTION("""COMPUTED_VALUE"""),"Stride Staked DYDX")</f>
        <v>Stride Staked DYDX</v>
      </c>
    </row>
    <row r="12308" spans="1:3" x14ac:dyDescent="0.25">
      <c r="A12308" s="2" t="str">
        <f ca="1">IFERROR(__xludf.DUMMYFUNCTION("""COMPUTED_VALUE"""),"stride-staked-dym")</f>
        <v>stride-staked-dym</v>
      </c>
      <c r="B12308" s="2" t="str">
        <f ca="1">IFERROR(__xludf.DUMMYFUNCTION("""COMPUTED_VALUE"""),"stdym")</f>
        <v>stdym</v>
      </c>
      <c r="C12308" s="2" t="str">
        <f ca="1">IFERROR(__xludf.DUMMYFUNCTION("""COMPUTED_VALUE"""),"Stride Staked DYM")</f>
        <v>Stride Staked DYM</v>
      </c>
    </row>
    <row r="12309" spans="1:3" x14ac:dyDescent="0.25">
      <c r="A12309" s="2" t="str">
        <f ca="1">IFERROR(__xludf.DUMMYFUNCTION("""COMPUTED_VALUE"""),"stride-staked-injective")</f>
        <v>stride-staked-injective</v>
      </c>
      <c r="B12309" s="2" t="str">
        <f ca="1">IFERROR(__xludf.DUMMYFUNCTION("""COMPUTED_VALUE"""),"stinj")</f>
        <v>stinj</v>
      </c>
      <c r="C12309" s="2" t="str">
        <f ca="1">IFERROR(__xludf.DUMMYFUNCTION("""COMPUTED_VALUE"""),"Stride Staked Injective")</f>
        <v>Stride Staked Injective</v>
      </c>
    </row>
    <row r="12310" spans="1:3" x14ac:dyDescent="0.25">
      <c r="A12310" s="2" t="str">
        <f ca="1">IFERROR(__xludf.DUMMYFUNCTION("""COMPUTED_VALUE"""),"stride-staked-islm")</f>
        <v>stride-staked-islm</v>
      </c>
      <c r="B12310" s="2" t="str">
        <f ca="1">IFERROR(__xludf.DUMMYFUNCTION("""COMPUTED_VALUE"""),"stislm")</f>
        <v>stislm</v>
      </c>
      <c r="C12310" s="2" t="str">
        <f ca="1">IFERROR(__xludf.DUMMYFUNCTION("""COMPUTED_VALUE"""),"Stride Staked ISLM")</f>
        <v>Stride Staked ISLM</v>
      </c>
    </row>
    <row r="12311" spans="1:3" x14ac:dyDescent="0.25">
      <c r="A12311" s="2" t="str">
        <f ca="1">IFERROR(__xludf.DUMMYFUNCTION("""COMPUTED_VALUE"""),"stride-staked-juno")</f>
        <v>stride-staked-juno</v>
      </c>
      <c r="B12311" s="2" t="str">
        <f ca="1">IFERROR(__xludf.DUMMYFUNCTION("""COMPUTED_VALUE"""),"stjuno")</f>
        <v>stjuno</v>
      </c>
      <c r="C12311" s="2" t="str">
        <f ca="1">IFERROR(__xludf.DUMMYFUNCTION("""COMPUTED_VALUE"""),"Stride Staked Juno")</f>
        <v>Stride Staked Juno</v>
      </c>
    </row>
    <row r="12312" spans="1:3" x14ac:dyDescent="0.25">
      <c r="A12312" s="2" t="str">
        <f ca="1">IFERROR(__xludf.DUMMYFUNCTION("""COMPUTED_VALUE"""),"stride-staked-osmo")</f>
        <v>stride-staked-osmo</v>
      </c>
      <c r="B12312" s="2" t="str">
        <f ca="1">IFERROR(__xludf.DUMMYFUNCTION("""COMPUTED_VALUE"""),"stosmo")</f>
        <v>stosmo</v>
      </c>
      <c r="C12312" s="2" t="str">
        <f ca="1">IFERROR(__xludf.DUMMYFUNCTION("""COMPUTED_VALUE"""),"Stride Staked Osmo")</f>
        <v>Stride Staked Osmo</v>
      </c>
    </row>
    <row r="12313" spans="1:3" x14ac:dyDescent="0.25">
      <c r="A12313" s="2" t="str">
        <f ca="1">IFERROR(__xludf.DUMMYFUNCTION("""COMPUTED_VALUE"""),"stride-staked-saga")</f>
        <v>stride-staked-saga</v>
      </c>
      <c r="B12313" s="2" t="str">
        <f ca="1">IFERROR(__xludf.DUMMYFUNCTION("""COMPUTED_VALUE"""),"stsaga")</f>
        <v>stsaga</v>
      </c>
      <c r="C12313" s="2" t="str">
        <f ca="1">IFERROR(__xludf.DUMMYFUNCTION("""COMPUTED_VALUE"""),"Stride Staked SAGA")</f>
        <v>Stride Staked SAGA</v>
      </c>
    </row>
    <row r="12314" spans="1:3" x14ac:dyDescent="0.25">
      <c r="A12314" s="2" t="str">
        <f ca="1">IFERROR(__xludf.DUMMYFUNCTION("""COMPUTED_VALUE"""),"stride-staked-sommelier")</f>
        <v>stride-staked-sommelier</v>
      </c>
      <c r="B12314" s="2" t="str">
        <f ca="1">IFERROR(__xludf.DUMMYFUNCTION("""COMPUTED_VALUE"""),"stsomm")</f>
        <v>stsomm</v>
      </c>
      <c r="C12314" s="2" t="str">
        <f ca="1">IFERROR(__xludf.DUMMYFUNCTION("""COMPUTED_VALUE"""),"Stride Staked Sommelier")</f>
        <v>Stride Staked Sommelier</v>
      </c>
    </row>
    <row r="12315" spans="1:3" x14ac:dyDescent="0.25">
      <c r="A12315" s="2" t="str">
        <f ca="1">IFERROR(__xludf.DUMMYFUNCTION("""COMPUTED_VALUE"""),"stride-staked-stars")</f>
        <v>stride-staked-stars</v>
      </c>
      <c r="B12315" s="2" t="str">
        <f ca="1">IFERROR(__xludf.DUMMYFUNCTION("""COMPUTED_VALUE"""),"ststars")</f>
        <v>ststars</v>
      </c>
      <c r="C12315" s="2" t="str">
        <f ca="1">IFERROR(__xludf.DUMMYFUNCTION("""COMPUTED_VALUE"""),"Stride Staked Stars")</f>
        <v>Stride Staked Stars</v>
      </c>
    </row>
    <row r="12316" spans="1:3" x14ac:dyDescent="0.25">
      <c r="A12316" s="2" t="str">
        <f ca="1">IFERROR(__xludf.DUMMYFUNCTION("""COMPUTED_VALUE"""),"stride-staked-tia")</f>
        <v>stride-staked-tia</v>
      </c>
      <c r="B12316" s="2" t="str">
        <f ca="1">IFERROR(__xludf.DUMMYFUNCTION("""COMPUTED_VALUE"""),"sttia")</f>
        <v>sttia</v>
      </c>
      <c r="C12316" s="2" t="str">
        <f ca="1">IFERROR(__xludf.DUMMYFUNCTION("""COMPUTED_VALUE"""),"Stride Staked TIA")</f>
        <v>Stride Staked TIA</v>
      </c>
    </row>
    <row r="12317" spans="1:3" x14ac:dyDescent="0.25">
      <c r="A12317" s="2" t="str">
        <f ca="1">IFERROR(__xludf.DUMMYFUNCTION("""COMPUTED_VALUE"""),"stride-staked-umee")</f>
        <v>stride-staked-umee</v>
      </c>
      <c r="B12317" s="2" t="str">
        <f ca="1">IFERROR(__xludf.DUMMYFUNCTION("""COMPUTED_VALUE"""),"stumee")</f>
        <v>stumee</v>
      </c>
      <c r="C12317" s="2" t="str">
        <f ca="1">IFERROR(__xludf.DUMMYFUNCTION("""COMPUTED_VALUE"""),"Stride Staked Umee")</f>
        <v>Stride Staked Umee</v>
      </c>
    </row>
    <row r="12318" spans="1:3" x14ac:dyDescent="0.25">
      <c r="A12318" s="2" t="str">
        <f ca="1">IFERROR(__xludf.DUMMYFUNCTION("""COMPUTED_VALUE"""),"strike")</f>
        <v>strike</v>
      </c>
      <c r="B12318" s="2" t="str">
        <f ca="1">IFERROR(__xludf.DUMMYFUNCTION("""COMPUTED_VALUE"""),"strike")</f>
        <v>strike</v>
      </c>
      <c r="C12318" s="2" t="str">
        <f ca="1">IFERROR(__xludf.DUMMYFUNCTION("""COMPUTED_VALUE"""),"Strike")</f>
        <v>Strike</v>
      </c>
    </row>
    <row r="12319" spans="1:3" x14ac:dyDescent="0.25">
      <c r="A12319" s="2" t="str">
        <f ca="1">IFERROR(__xludf.DUMMYFUNCTION("""COMPUTED_VALUE"""),"strike-2")</f>
        <v>strike-2</v>
      </c>
      <c r="B12319" s="2" t="str">
        <f ca="1">IFERROR(__xludf.DUMMYFUNCTION("""COMPUTED_VALUE"""),"strike")</f>
        <v>strike</v>
      </c>
      <c r="C12319" s="2" t="str">
        <f ca="1">IFERROR(__xludf.DUMMYFUNCTION("""COMPUTED_VALUE"""),"Strike")</f>
        <v>Strike</v>
      </c>
    </row>
    <row r="12320" spans="1:3" x14ac:dyDescent="0.25">
      <c r="A12320" s="2" t="str">
        <f ca="1">IFERROR(__xludf.DUMMYFUNCTION("""COMPUTED_VALUE"""),"strikecoin")</f>
        <v>strikecoin</v>
      </c>
      <c r="B12320" s="2" t="str">
        <f ca="1">IFERROR(__xludf.DUMMYFUNCTION("""COMPUTED_VALUE"""),"strx")</f>
        <v>strx</v>
      </c>
      <c r="C12320" s="2" t="str">
        <f ca="1">IFERROR(__xludf.DUMMYFUNCTION("""COMPUTED_VALUE"""),"StrikeX")</f>
        <v>StrikeX</v>
      </c>
    </row>
    <row r="12321" spans="1:3" x14ac:dyDescent="0.25">
      <c r="A12321" s="2" t="str">
        <f ca="1">IFERROR(__xludf.DUMMYFUNCTION("""COMPUTED_VALUE"""),"strike-protocol")</f>
        <v>strike-protocol</v>
      </c>
      <c r="B12321" s="2" t="str">
        <f ca="1">IFERROR(__xludf.DUMMYFUNCTION("""COMPUTED_VALUE"""),"stpr")</f>
        <v>stpr</v>
      </c>
      <c r="C12321" s="2" t="str">
        <f ca="1">IFERROR(__xludf.DUMMYFUNCTION("""COMPUTED_VALUE"""),"Strike Protocol")</f>
        <v>Strike Protocol</v>
      </c>
    </row>
    <row r="12322" spans="1:3" x14ac:dyDescent="0.25">
      <c r="A12322" s="2" t="str">
        <f ca="1">IFERROR(__xludf.DUMMYFUNCTION("""COMPUTED_VALUE"""),"strip-finance")</f>
        <v>strip-finance</v>
      </c>
      <c r="B12322" s="2" t="str">
        <f ca="1">IFERROR(__xludf.DUMMYFUNCTION("""COMPUTED_VALUE"""),"strip")</f>
        <v>strip</v>
      </c>
      <c r="C12322" s="2" t="str">
        <f ca="1">IFERROR(__xludf.DUMMYFUNCTION("""COMPUTED_VALUE"""),"Strip Finance")</f>
        <v>Strip Finance</v>
      </c>
    </row>
    <row r="12323" spans="1:3" x14ac:dyDescent="0.25">
      <c r="A12323" s="2" t="str">
        <f ca="1">IFERROR(__xludf.DUMMYFUNCTION("""COMPUTED_VALUE"""),"strips-finance")</f>
        <v>strips-finance</v>
      </c>
      <c r="B12323" s="2" t="str">
        <f ca="1">IFERROR(__xludf.DUMMYFUNCTION("""COMPUTED_VALUE"""),"strp")</f>
        <v>strp</v>
      </c>
      <c r="C12323" s="2" t="str">
        <f ca="1">IFERROR(__xludf.DUMMYFUNCTION("""COMPUTED_VALUE"""),"Strips Finance")</f>
        <v>Strips Finance</v>
      </c>
    </row>
    <row r="12324" spans="1:3" x14ac:dyDescent="0.25">
      <c r="A12324" s="2" t="str">
        <f ca="1">IFERROR(__xludf.DUMMYFUNCTION("""COMPUTED_VALUE"""),"stripto")</f>
        <v>stripto</v>
      </c>
      <c r="B12324" s="2" t="str">
        <f ca="1">IFERROR(__xludf.DUMMYFUNCTION("""COMPUTED_VALUE"""),"strip")</f>
        <v>strip</v>
      </c>
      <c r="C12324" s="2" t="str">
        <f ca="1">IFERROR(__xludf.DUMMYFUNCTION("""COMPUTED_VALUE"""),"Stripto")</f>
        <v>Stripto</v>
      </c>
    </row>
    <row r="12325" spans="1:3" x14ac:dyDescent="0.25">
      <c r="A12325" s="2" t="str">
        <f ca="1">IFERROR(__xludf.DUMMYFUNCTION("""COMPUTED_VALUE"""),"strong")</f>
        <v>strong</v>
      </c>
      <c r="B12325" s="2" t="str">
        <f ca="1">IFERROR(__xludf.DUMMYFUNCTION("""COMPUTED_VALUE"""),"strong")</f>
        <v>strong</v>
      </c>
      <c r="C12325" s="2" t="str">
        <f ca="1">IFERROR(__xludf.DUMMYFUNCTION("""COMPUTED_VALUE"""),"Strong")</f>
        <v>Strong</v>
      </c>
    </row>
    <row r="12326" spans="1:3" x14ac:dyDescent="0.25">
      <c r="A12326" s="2" t="str">
        <f ca="1">IFERROR(__xludf.DUMMYFUNCTION("""COMPUTED_VALUE"""),"stronger")</f>
        <v>stronger</v>
      </c>
      <c r="B12326" s="2" t="str">
        <f ca="1">IFERROR(__xludf.DUMMYFUNCTION("""COMPUTED_VALUE"""),"strngr")</f>
        <v>strngr</v>
      </c>
      <c r="C12326" s="2" t="str">
        <f ca="1">IFERROR(__xludf.DUMMYFUNCTION("""COMPUTED_VALUE"""),"Stronger")</f>
        <v>Stronger</v>
      </c>
    </row>
    <row r="12327" spans="1:3" x14ac:dyDescent="0.25">
      <c r="A12327" s="2" t="str">
        <f ca="1">IFERROR(__xludf.DUMMYFUNCTION("""COMPUTED_VALUE"""),"stronghands")</f>
        <v>stronghands</v>
      </c>
      <c r="B12327" s="2" t="str">
        <f ca="1">IFERROR(__xludf.DUMMYFUNCTION("""COMPUTED_VALUE"""),"shnd")</f>
        <v>shnd</v>
      </c>
      <c r="C12327" s="2" t="str">
        <f ca="1">IFERROR(__xludf.DUMMYFUNCTION("""COMPUTED_VALUE"""),"StrongHands")</f>
        <v>StrongHands</v>
      </c>
    </row>
    <row r="12328" spans="1:3" x14ac:dyDescent="0.25">
      <c r="A12328" s="2" t="str">
        <f ca="1">IFERROR(__xludf.DUMMYFUNCTION("""COMPUTED_VALUE"""),"stronghands-finance")</f>
        <v>stronghands-finance</v>
      </c>
      <c r="B12328" s="2" t="str">
        <f ca="1">IFERROR(__xludf.DUMMYFUNCTION("""COMPUTED_VALUE"""),"ishnd")</f>
        <v>ishnd</v>
      </c>
      <c r="C12328" s="2" t="str">
        <f ca="1">IFERROR(__xludf.DUMMYFUNCTION("""COMPUTED_VALUE"""),"StrongHands Finance")</f>
        <v>StrongHands Finance</v>
      </c>
    </row>
    <row r="12329" spans="1:3" x14ac:dyDescent="0.25">
      <c r="A12329" s="2" t="str">
        <f ca="1">IFERROR(__xludf.DUMMYFUNCTION("""COMPUTED_VALUE"""),"stronghold-staked-sol")</f>
        <v>stronghold-staked-sol</v>
      </c>
      <c r="B12329" s="2" t="str">
        <f ca="1">IFERROR(__xludf.DUMMYFUNCTION("""COMPUTED_VALUE"""),"strongsol")</f>
        <v>strongsol</v>
      </c>
      <c r="C12329" s="2" t="str">
        <f ca="1">IFERROR(__xludf.DUMMYFUNCTION("""COMPUTED_VALUE"""),"Stronghold Staked SOL")</f>
        <v>Stronghold Staked SOL</v>
      </c>
    </row>
    <row r="12330" spans="1:3" x14ac:dyDescent="0.25">
      <c r="A12330" s="2" t="str">
        <f ca="1">IFERROR(__xludf.DUMMYFUNCTION("""COMPUTED_VALUE"""),"stronghold-token")</f>
        <v>stronghold-token</v>
      </c>
      <c r="B12330" s="2" t="str">
        <f ca="1">IFERROR(__xludf.DUMMYFUNCTION("""COMPUTED_VALUE"""),"shx")</f>
        <v>shx</v>
      </c>
      <c r="C12330" s="2" t="str">
        <f ca="1">IFERROR(__xludf.DUMMYFUNCTION("""COMPUTED_VALUE"""),"Stronghold")</f>
        <v>Stronghold</v>
      </c>
    </row>
    <row r="12331" spans="1:3" x14ac:dyDescent="0.25">
      <c r="A12331" s="2" t="str">
        <f ca="1">IFERROR(__xludf.DUMMYFUNCTION("""COMPUTED_VALUE"""),"strongnode")</f>
        <v>strongnode</v>
      </c>
      <c r="B12331" s="2" t="str">
        <f ca="1">IFERROR(__xludf.DUMMYFUNCTION("""COMPUTED_VALUE"""),"sne")</f>
        <v>sne</v>
      </c>
      <c r="C12331" s="2" t="str">
        <f ca="1">IFERROR(__xludf.DUMMYFUNCTION("""COMPUTED_VALUE"""),"StrongNode")</f>
        <v>StrongNode</v>
      </c>
    </row>
    <row r="12332" spans="1:3" x14ac:dyDescent="0.25">
      <c r="A12332" s="2" t="str">
        <f ca="1">IFERROR(__xludf.DUMMYFUNCTION("""COMPUTED_VALUE"""),"structure-finance")</f>
        <v>structure-finance</v>
      </c>
      <c r="B12332" s="2" t="str">
        <f ca="1">IFERROR(__xludf.DUMMYFUNCTION("""COMPUTED_VALUE"""),"stf")</f>
        <v>stf</v>
      </c>
      <c r="C12332" s="2" t="str">
        <f ca="1">IFERROR(__xludf.DUMMYFUNCTION("""COMPUTED_VALUE"""),"Structure Finance")</f>
        <v>Structure Finance</v>
      </c>
    </row>
    <row r="12333" spans="1:3" x14ac:dyDescent="0.25">
      <c r="A12333" s="2" t="str">
        <f ca="1">IFERROR(__xludf.DUMMYFUNCTION("""COMPUTED_VALUE"""),"stryke")</f>
        <v>stryke</v>
      </c>
      <c r="B12333" s="2" t="str">
        <f ca="1">IFERROR(__xludf.DUMMYFUNCTION("""COMPUTED_VALUE"""),"syk")</f>
        <v>syk</v>
      </c>
      <c r="C12333" s="2" t="str">
        <f ca="1">IFERROR(__xludf.DUMMYFUNCTION("""COMPUTED_VALUE"""),"Stryke")</f>
        <v>Stryke</v>
      </c>
    </row>
    <row r="12334" spans="1:3" x14ac:dyDescent="0.25">
      <c r="A12334" s="2" t="str">
        <f ca="1">IFERROR(__xludf.DUMMYFUNCTION("""COMPUTED_VALUE"""),"student-coin")</f>
        <v>student-coin</v>
      </c>
      <c r="B12334" s="2" t="str">
        <f ca="1">IFERROR(__xludf.DUMMYFUNCTION("""COMPUTED_VALUE"""),"stc")</f>
        <v>stc</v>
      </c>
      <c r="C12334" s="2" t="str">
        <f ca="1">IFERROR(__xludf.DUMMYFUNCTION("""COMPUTED_VALUE"""),"Student Coin")</f>
        <v>Student Coin</v>
      </c>
    </row>
    <row r="12335" spans="1:3" x14ac:dyDescent="0.25">
      <c r="A12335" s="2" t="str">
        <f ca="1">IFERROR(__xludf.DUMMYFUNCTION("""COMPUTED_VALUE"""),"study")</f>
        <v>study</v>
      </c>
      <c r="B12335" s="2" t="str">
        <f ca="1">IFERROR(__xludf.DUMMYFUNCTION("""COMPUTED_VALUE"""),"study")</f>
        <v>study</v>
      </c>
      <c r="C12335" s="2" t="str">
        <f ca="1">IFERROR(__xludf.DUMMYFUNCTION("""COMPUTED_VALUE"""),"Study")</f>
        <v>Study</v>
      </c>
    </row>
    <row r="12336" spans="1:3" x14ac:dyDescent="0.25">
      <c r="A12336" s="2" t="str">
        <f ca="1">IFERROR(__xludf.DUMMYFUNCTION("""COMPUTED_VALUE"""),"stupid-silly-cat-runes")</f>
        <v>stupid-silly-cat-runes</v>
      </c>
      <c r="B12336" s="2" t="str">
        <f ca="1">IFERROR(__xludf.DUMMYFUNCTION("""COMPUTED_VALUE"""),"silly")</f>
        <v>silly</v>
      </c>
      <c r="C12336" s="2" t="str">
        <f ca="1">IFERROR(__xludf.DUMMYFUNCTION("""COMPUTED_VALUE"""),"STUPID•SILLY•CAT (Runes)")</f>
        <v>STUPID•SILLY•CAT (Runes)</v>
      </c>
    </row>
    <row r="12337" spans="1:3" x14ac:dyDescent="0.25">
      <c r="A12337" s="2" t="str">
        <f ca="1">IFERROR(__xludf.DUMMYFUNCTION("""COMPUTED_VALUE"""),"sturdy")</f>
        <v>sturdy</v>
      </c>
      <c r="B12337" s="2" t="str">
        <f ca="1">IFERROR(__xludf.DUMMYFUNCTION("""COMPUTED_VALUE"""),"strdy")</f>
        <v>strdy</v>
      </c>
      <c r="C12337" s="2" t="str">
        <f ca="1">IFERROR(__xludf.DUMMYFUNCTION("""COMPUTED_VALUE"""),"Sturdy")</f>
        <v>Sturdy</v>
      </c>
    </row>
    <row r="12338" spans="1:3" x14ac:dyDescent="0.25">
      <c r="A12338" s="2" t="str">
        <f ca="1">IFERROR(__xludf.DUMMYFUNCTION("""COMPUTED_VALUE"""),"style")</f>
        <v>style</v>
      </c>
      <c r="B12338" s="2" t="str">
        <f ca="1">IFERROR(__xludf.DUMMYFUNCTION("""COMPUTED_VALUE"""),"style")</f>
        <v>style</v>
      </c>
      <c r="C12338" s="2" t="str">
        <f ca="1">IFERROR(__xludf.DUMMYFUNCTION("""COMPUTED_VALUE"""),"Style")</f>
        <v>Style</v>
      </c>
    </row>
    <row r="12339" spans="1:3" x14ac:dyDescent="0.25">
      <c r="A12339" s="2" t="str">
        <f ca="1">IFERROR(__xludf.DUMMYFUNCTION("""COMPUTED_VALUE"""),"style-protocol-2")</f>
        <v>style-protocol-2</v>
      </c>
      <c r="B12339" s="2" t="str">
        <f ca="1">IFERROR(__xludf.DUMMYFUNCTION("""COMPUTED_VALUE"""),"style")</f>
        <v>style</v>
      </c>
      <c r="C12339" s="2" t="str">
        <f ca="1">IFERROR(__xludf.DUMMYFUNCTION("""COMPUTED_VALUE"""),"STYLE Protocol")</f>
        <v>STYLE Protocol</v>
      </c>
    </row>
    <row r="12340" spans="1:3" x14ac:dyDescent="0.25">
      <c r="A12340" s="2" t="str">
        <f ca="1">IFERROR(__xludf.DUMMYFUNCTION("""COMPUTED_VALUE"""),"stzil")</f>
        <v>stzil</v>
      </c>
      <c r="B12340" s="2" t="str">
        <f ca="1">IFERROR(__xludf.DUMMYFUNCTION("""COMPUTED_VALUE"""),"stzil")</f>
        <v>stzil</v>
      </c>
      <c r="C12340" s="2" t="str">
        <f ca="1">IFERROR(__xludf.DUMMYFUNCTION("""COMPUTED_VALUE"""),"stZIL")</f>
        <v>stZIL</v>
      </c>
    </row>
    <row r="12341" spans="1:3" x14ac:dyDescent="0.25">
      <c r="A12341" s="2" t="str">
        <f ca="1">IFERROR(__xludf.DUMMYFUNCTION("""COMPUTED_VALUE"""),"subava-token")</f>
        <v>subava-token</v>
      </c>
      <c r="B12341" s="2" t="str">
        <f ca="1">IFERROR(__xludf.DUMMYFUNCTION("""COMPUTED_VALUE"""),"subava")</f>
        <v>subava</v>
      </c>
      <c r="C12341" s="2" t="str">
        <f ca="1">IFERROR(__xludf.DUMMYFUNCTION("""COMPUTED_VALUE"""),"Subava Token")</f>
        <v>Subava Token</v>
      </c>
    </row>
    <row r="12342" spans="1:3" x14ac:dyDescent="0.25">
      <c r="A12342" s="2" t="str">
        <f ca="1">IFERROR(__xludf.DUMMYFUNCTION("""COMPUTED_VALUE"""),"subdao")</f>
        <v>subdao</v>
      </c>
      <c r="B12342" s="2" t="str">
        <f ca="1">IFERROR(__xludf.DUMMYFUNCTION("""COMPUTED_VALUE"""),"gov")</f>
        <v>gov</v>
      </c>
      <c r="C12342" s="2" t="str">
        <f ca="1">IFERROR(__xludf.DUMMYFUNCTION("""COMPUTED_VALUE"""),"SubDAO")</f>
        <v>SubDAO</v>
      </c>
    </row>
    <row r="12343" spans="1:3" x14ac:dyDescent="0.25">
      <c r="A12343" s="2" t="str">
        <f ca="1">IFERROR(__xludf.DUMMYFUNCTION("""COMPUTED_VALUE"""),"subquery-network")</f>
        <v>subquery-network</v>
      </c>
      <c r="B12343" s="2" t="str">
        <f ca="1">IFERROR(__xludf.DUMMYFUNCTION("""COMPUTED_VALUE"""),"sqt")</f>
        <v>sqt</v>
      </c>
      <c r="C12343" s="2" t="str">
        <f ca="1">IFERROR(__xludf.DUMMYFUNCTION("""COMPUTED_VALUE"""),"SubQuery Network")</f>
        <v>SubQuery Network</v>
      </c>
    </row>
    <row r="12344" spans="1:3" x14ac:dyDescent="0.25">
      <c r="A12344" s="2" t="str">
        <f ca="1">IFERROR(__xludf.DUMMYFUNCTION("""COMPUTED_VALUE"""),"subsocial")</f>
        <v>subsocial</v>
      </c>
      <c r="B12344" s="2" t="str">
        <f ca="1">IFERROR(__xludf.DUMMYFUNCTION("""COMPUTED_VALUE"""),"sub")</f>
        <v>sub</v>
      </c>
      <c r="C12344" s="2" t="str">
        <f ca="1">IFERROR(__xludf.DUMMYFUNCTION("""COMPUTED_VALUE"""),"Subsocial")</f>
        <v>Subsocial</v>
      </c>
    </row>
    <row r="12345" spans="1:3" x14ac:dyDescent="0.25">
      <c r="A12345" s="2" t="str">
        <f ca="1">IFERROR(__xludf.DUMMYFUNCTION("""COMPUTED_VALUE"""),"subsquid")</f>
        <v>subsquid</v>
      </c>
      <c r="B12345" s="2" t="str">
        <f ca="1">IFERROR(__xludf.DUMMYFUNCTION("""COMPUTED_VALUE"""),"sqd")</f>
        <v>sqd</v>
      </c>
      <c r="C12345" s="2" t="str">
        <f ca="1">IFERROR(__xludf.DUMMYFUNCTION("""COMPUTED_VALUE"""),"SQD")</f>
        <v>SQD</v>
      </c>
    </row>
    <row r="12346" spans="1:3" x14ac:dyDescent="0.25">
      <c r="A12346" s="2" t="str">
        <f ca="1">IFERROR(__xludf.DUMMYFUNCTION("""COMPUTED_VALUE"""),"substratum")</f>
        <v>substratum</v>
      </c>
      <c r="B12346" s="2" t="str">
        <f ca="1">IFERROR(__xludf.DUMMYFUNCTION("""COMPUTED_VALUE"""),"sub")</f>
        <v>sub</v>
      </c>
      <c r="C12346" s="2" t="str">
        <f ca="1">IFERROR(__xludf.DUMMYFUNCTION("""COMPUTED_VALUE"""),"Substratum")</f>
        <v>Substratum</v>
      </c>
    </row>
    <row r="12347" spans="1:3" x14ac:dyDescent="0.25">
      <c r="A12347" s="2" t="str">
        <f ca="1">IFERROR(__xludf.DUMMYFUNCTION("""COMPUTED_VALUE"""),"succession")</f>
        <v>succession</v>
      </c>
      <c r="B12347" s="2" t="str">
        <f ca="1">IFERROR(__xludf.DUMMYFUNCTION("""COMPUTED_VALUE"""),"sccn")</f>
        <v>sccn</v>
      </c>
      <c r="C12347" s="2" t="str">
        <f ca="1">IFERROR(__xludf.DUMMYFUNCTION("""COMPUTED_VALUE"""),"Succession")</f>
        <v>Succession</v>
      </c>
    </row>
    <row r="12348" spans="1:3" x14ac:dyDescent="0.25">
      <c r="A12348" s="2" t="str">
        <f ca="1">IFERROR(__xludf.DUMMYFUNCTION("""COMPUTED_VALUE"""),"success-kid")</f>
        <v>success-kid</v>
      </c>
      <c r="B12348" s="2" t="str">
        <f ca="1">IFERROR(__xludf.DUMMYFUNCTION("""COMPUTED_VALUE"""),"skid")</f>
        <v>skid</v>
      </c>
      <c r="C12348" s="2" t="str">
        <f ca="1">IFERROR(__xludf.DUMMYFUNCTION("""COMPUTED_VALUE"""),"Success Kid")</f>
        <v>Success Kid</v>
      </c>
    </row>
    <row r="12349" spans="1:3" x14ac:dyDescent="0.25">
      <c r="A12349" s="2" t="str">
        <f ca="1">IFERROR(__xludf.DUMMYFUNCTION("""COMPUTED_VALUE"""),"sudeng")</f>
        <v>sudeng</v>
      </c>
      <c r="B12349" s="2" t="str">
        <f ca="1">IFERROR(__xludf.DUMMYFUNCTION("""COMPUTED_VALUE"""),"hippo")</f>
        <v>hippo</v>
      </c>
      <c r="C12349" s="2" t="str">
        <f ca="1">IFERROR(__xludf.DUMMYFUNCTION("""COMPUTED_VALUE"""),"sudeng")</f>
        <v>sudeng</v>
      </c>
    </row>
    <row r="12350" spans="1:3" x14ac:dyDescent="0.25">
      <c r="A12350" s="2" t="str">
        <f ca="1">IFERROR(__xludf.DUMMYFUNCTION("""COMPUTED_VALUE"""),"sudoswap")</f>
        <v>sudoswap</v>
      </c>
      <c r="B12350" s="2" t="str">
        <f ca="1">IFERROR(__xludf.DUMMYFUNCTION("""COMPUTED_VALUE"""),"sudo")</f>
        <v>sudo</v>
      </c>
      <c r="C12350" s="2" t="str">
        <f ca="1">IFERROR(__xludf.DUMMYFUNCTION("""COMPUTED_VALUE"""),"sudoswap")</f>
        <v>sudoswap</v>
      </c>
    </row>
    <row r="12351" spans="1:3" x14ac:dyDescent="0.25">
      <c r="A12351" s="2" t="str">
        <f ca="1">IFERROR(__xludf.DUMMYFUNCTION("""COMPUTED_VALUE"""),"sugarbounce")</f>
        <v>sugarbounce</v>
      </c>
      <c r="B12351" s="2" t="str">
        <f ca="1">IFERROR(__xludf.DUMMYFUNCTION("""COMPUTED_VALUE"""),"tip")</f>
        <v>tip</v>
      </c>
      <c r="C12351" s="2" t="str">
        <f ca="1">IFERROR(__xludf.DUMMYFUNCTION("""COMPUTED_VALUE"""),"SugarBounce")</f>
        <v>SugarBounce</v>
      </c>
    </row>
    <row r="12352" spans="1:3" x14ac:dyDescent="0.25">
      <c r="A12352" s="2" t="str">
        <f ca="1">IFERROR(__xludf.DUMMYFUNCTION("""COMPUTED_VALUE"""),"sugarchain")</f>
        <v>sugarchain</v>
      </c>
      <c r="B12352" s="2" t="str">
        <f ca="1">IFERROR(__xludf.DUMMYFUNCTION("""COMPUTED_VALUE"""),"sugar")</f>
        <v>sugar</v>
      </c>
      <c r="C12352" s="2" t="str">
        <f ca="1">IFERROR(__xludf.DUMMYFUNCTION("""COMPUTED_VALUE"""),"Sugarchain")</f>
        <v>Sugarchain</v>
      </c>
    </row>
    <row r="12353" spans="1:3" x14ac:dyDescent="0.25">
      <c r="A12353" s="2" t="str">
        <f ca="1">IFERROR(__xludf.DUMMYFUNCTION("""COMPUTED_VALUE"""),"sugar-kingdom-odyssey")</f>
        <v>sugar-kingdom-odyssey</v>
      </c>
      <c r="B12353" s="2" t="str">
        <f ca="1">IFERROR(__xludf.DUMMYFUNCTION("""COMPUTED_VALUE"""),"sko")</f>
        <v>sko</v>
      </c>
      <c r="C12353" s="2" t="str">
        <f ca="1">IFERROR(__xludf.DUMMYFUNCTION("""COMPUTED_VALUE"""),"Sugar Kingdom Odyssey")</f>
        <v>Sugar Kingdom Odyssey</v>
      </c>
    </row>
    <row r="12354" spans="1:3" x14ac:dyDescent="0.25">
      <c r="A12354" s="2" t="str">
        <f ca="1">IFERROR(__xludf.DUMMYFUNCTION("""COMPUTED_VALUE"""),"sugaryield")</f>
        <v>sugaryield</v>
      </c>
      <c r="B12354" s="2" t="str">
        <f ca="1">IFERROR(__xludf.DUMMYFUNCTION("""COMPUTED_VALUE"""),"sugar")</f>
        <v>sugar</v>
      </c>
      <c r="C12354" s="2" t="str">
        <f ca="1">IFERROR(__xludf.DUMMYFUNCTION("""COMPUTED_VALUE"""),"SugarYield")</f>
        <v>SugarYield</v>
      </c>
    </row>
    <row r="12355" spans="1:3" x14ac:dyDescent="0.25">
      <c r="A12355" s="2" t="str">
        <f ca="1">IFERROR(__xludf.DUMMYFUNCTION("""COMPUTED_VALUE"""),"sui")</f>
        <v>sui</v>
      </c>
      <c r="B12355" s="2" t="str">
        <f ca="1">IFERROR(__xludf.DUMMYFUNCTION("""COMPUTED_VALUE"""),"sui")</f>
        <v>sui</v>
      </c>
      <c r="C12355" s="2" t="str">
        <f ca="1">IFERROR(__xludf.DUMMYFUNCTION("""COMPUTED_VALUE"""),"Sui")</f>
        <v>Sui</v>
      </c>
    </row>
    <row r="12356" spans="1:3" x14ac:dyDescent="0.25">
      <c r="A12356" s="2" t="str">
        <f ca="1">IFERROR(__xludf.DUMMYFUNCTION("""COMPUTED_VALUE"""),"suia")</f>
        <v>suia</v>
      </c>
      <c r="B12356" s="2" t="str">
        <f ca="1">IFERROR(__xludf.DUMMYFUNCTION("""COMPUTED_VALUE"""),"suia")</f>
        <v>suia</v>
      </c>
      <c r="C12356" s="2" t="str">
        <f ca="1">IFERROR(__xludf.DUMMYFUNCTION("""COMPUTED_VALUE"""),"SUIA")</f>
        <v>SUIA</v>
      </c>
    </row>
    <row r="12357" spans="1:3" x14ac:dyDescent="0.25">
      <c r="A12357" s="2" t="str">
        <f ca="1">IFERROR(__xludf.DUMMYFUNCTION("""COMPUTED_VALUE"""),"suiba-inu")</f>
        <v>suiba-inu</v>
      </c>
      <c r="B12357" s="2" t="str">
        <f ca="1">IFERROR(__xludf.DUMMYFUNCTION("""COMPUTED_VALUE"""),"suib")</f>
        <v>suib</v>
      </c>
      <c r="C12357" s="2" t="str">
        <f ca="1">IFERROR(__xludf.DUMMYFUNCTION("""COMPUTED_VALUE"""),"Suiba Inu")</f>
        <v>Suiba Inu</v>
      </c>
    </row>
    <row r="12358" spans="1:3" x14ac:dyDescent="0.25">
      <c r="A12358" s="2" t="str">
        <f ca="1">IFERROR(__xludf.DUMMYFUNCTION("""COMPUTED_VALUE"""),"suiboxer")</f>
        <v>suiboxer</v>
      </c>
      <c r="B12358" s="2" t="str">
        <f ca="1">IFERROR(__xludf.DUMMYFUNCTION("""COMPUTED_VALUE"""),"sbox")</f>
        <v>sbox</v>
      </c>
      <c r="C12358" s="2" t="str">
        <f ca="1">IFERROR(__xludf.DUMMYFUNCTION("""COMPUTED_VALUE"""),"SUIBoxer")</f>
        <v>SUIBoxer</v>
      </c>
    </row>
    <row r="12359" spans="1:3" x14ac:dyDescent="0.25">
      <c r="A12359" s="2" t="str">
        <f ca="1">IFERROR(__xludf.DUMMYFUNCTION("""COMPUTED_VALUE"""),"sui-bull")</f>
        <v>sui-bull</v>
      </c>
      <c r="B12359" s="2" t="str">
        <f ca="1">IFERROR(__xludf.DUMMYFUNCTION("""COMPUTED_VALUE"""),"bull")</f>
        <v>bull</v>
      </c>
      <c r="C12359" s="2" t="str">
        <f ca="1">IFERROR(__xludf.DUMMYFUNCTION("""COMPUTED_VALUE"""),"Sui Bull")</f>
        <v>Sui Bull</v>
      </c>
    </row>
    <row r="12360" spans="1:3" x14ac:dyDescent="0.25">
      <c r="A12360" s="2" t="str">
        <f ca="1">IFERROR(__xludf.DUMMYFUNCTION("""COMPUTED_VALUE"""),"sui-cat")</f>
        <v>sui-cat</v>
      </c>
      <c r="B12360" s="2" t="str">
        <f ca="1">IFERROR(__xludf.DUMMYFUNCTION("""COMPUTED_VALUE"""),"suicat")</f>
        <v>suicat</v>
      </c>
      <c r="C12360" s="2" t="str">
        <f ca="1">IFERROR(__xludf.DUMMYFUNCTION("""COMPUTED_VALUE"""),"SUI CAT")</f>
        <v>SUI CAT</v>
      </c>
    </row>
    <row r="12361" spans="1:3" x14ac:dyDescent="0.25">
      <c r="A12361" s="2" t="str">
        <f ca="1">IFERROR(__xludf.DUMMYFUNCTION("""COMPUTED_VALUE"""),"suicidal-pepe")</f>
        <v>suicidal-pepe</v>
      </c>
      <c r="B12361" s="2" t="str">
        <f ca="1">IFERROR(__xludf.DUMMYFUNCTION("""COMPUTED_VALUE"""),"spepe")</f>
        <v>spepe</v>
      </c>
      <c r="C12361" s="2" t="str">
        <f ca="1">IFERROR(__xludf.DUMMYFUNCTION("""COMPUTED_VALUE"""),"Suicidal Pepe")</f>
        <v>Suicidal Pepe</v>
      </c>
    </row>
    <row r="12362" spans="1:3" x14ac:dyDescent="0.25">
      <c r="A12362" s="2" t="str">
        <f ca="1">IFERROR(__xludf.DUMMYFUNCTION("""COMPUTED_VALUE"""),"suicune-on-sui")</f>
        <v>suicune-on-sui</v>
      </c>
      <c r="B12362" s="2" t="str">
        <f ca="1">IFERROR(__xludf.DUMMYFUNCTION("""COMPUTED_VALUE"""),"hsui")</f>
        <v>hsui</v>
      </c>
      <c r="C12362" s="2" t="str">
        <f ca="1">IFERROR(__xludf.DUMMYFUNCTION("""COMPUTED_VALUE"""),"Suicune")</f>
        <v>Suicune</v>
      </c>
    </row>
    <row r="12363" spans="1:3" x14ac:dyDescent="0.25">
      <c r="A12363" s="2" t="str">
        <f ca="1">IFERROR(__xludf.DUMMYFUNCTION("""COMPUTED_VALUE"""),"sui-dawg")</f>
        <v>sui-dawg</v>
      </c>
      <c r="B12363" s="2" t="str">
        <f ca="1">IFERROR(__xludf.DUMMYFUNCTION("""COMPUTED_VALUE"""),"dawg")</f>
        <v>dawg</v>
      </c>
      <c r="C12363" s="2" t="str">
        <f ca="1">IFERROR(__xludf.DUMMYFUNCTION("""COMPUTED_VALUE"""),"SUI DAWG")</f>
        <v>SUI DAWG</v>
      </c>
    </row>
    <row r="12364" spans="1:3" x14ac:dyDescent="0.25">
      <c r="A12364" s="2" t="str">
        <f ca="1">IFERROR(__xludf.DUMMYFUNCTION("""COMPUTED_VALUE"""),"sui-dog")</f>
        <v>sui-dog</v>
      </c>
      <c r="B12364" s="2" t="str">
        <f ca="1">IFERROR(__xludf.DUMMYFUNCTION("""COMPUTED_VALUE"""),"suidog")</f>
        <v>suidog</v>
      </c>
      <c r="C12364" s="2" t="str">
        <f ca="1">IFERROR(__xludf.DUMMYFUNCTION("""COMPUTED_VALUE"""),"SUI Dog")</f>
        <v>SUI Dog</v>
      </c>
    </row>
    <row r="12365" spans="1:3" x14ac:dyDescent="0.25">
      <c r="A12365" s="2" t="str">
        <f ca="1">IFERROR(__xludf.DUMMYFUNCTION("""COMPUTED_VALUE"""),"suieet")</f>
        <v>suieet</v>
      </c>
      <c r="B12365" s="2" t="str">
        <f ca="1">IFERROR(__xludf.DUMMYFUNCTION("""COMPUTED_VALUE"""),"suieet")</f>
        <v>suieet</v>
      </c>
      <c r="C12365" s="2" t="str">
        <f ca="1">IFERROR(__xludf.DUMMYFUNCTION("""COMPUTED_VALUE"""),"SUIEET")</f>
        <v>SUIEET</v>
      </c>
    </row>
    <row r="12366" spans="1:3" x14ac:dyDescent="0.25">
      <c r="A12366" s="2" t="str">
        <f ca="1">IFERROR(__xludf.DUMMYFUNCTION("""COMPUTED_VALUE"""),"suijak")</f>
        <v>suijak</v>
      </c>
      <c r="B12366" s="2" t="str">
        <f ca="1">IFERROR(__xludf.DUMMYFUNCTION("""COMPUTED_VALUE"""),"suijak")</f>
        <v>suijak</v>
      </c>
      <c r="C12366" s="2" t="str">
        <f ca="1">IFERROR(__xludf.DUMMYFUNCTION("""COMPUTED_VALUE"""),"Suijak")</f>
        <v>Suijak</v>
      </c>
    </row>
    <row r="12367" spans="1:3" x14ac:dyDescent="0.25">
      <c r="A12367" s="2" t="str">
        <f ca="1">IFERROR(__xludf.DUMMYFUNCTION("""COMPUTED_VALUE"""),"sui-launch-token")</f>
        <v>sui-launch-token</v>
      </c>
      <c r="B12367" s="2" t="str">
        <f ca="1">IFERROR(__xludf.DUMMYFUNCTION("""COMPUTED_VALUE"""),"slt")</f>
        <v>slt</v>
      </c>
      <c r="C12367" s="2" t="str">
        <f ca="1">IFERROR(__xludf.DUMMYFUNCTION("""COMPUTED_VALUE"""),"Sui Launch Token")</f>
        <v>Sui Launch Token</v>
      </c>
    </row>
    <row r="12368" spans="1:3" x14ac:dyDescent="0.25">
      <c r="A12368" s="2" t="str">
        <f ca="1">IFERROR(__xludf.DUMMYFUNCTION("""COMPUTED_VALUE"""),"suiman")</f>
        <v>suiman</v>
      </c>
      <c r="B12368" s="2" t="str">
        <f ca="1">IFERROR(__xludf.DUMMYFUNCTION("""COMPUTED_VALUE"""),"suiman")</f>
        <v>suiman</v>
      </c>
      <c r="C12368" s="2" t="str">
        <f ca="1">IFERROR(__xludf.DUMMYFUNCTION("""COMPUTED_VALUE"""),"Suiman")</f>
        <v>Suiman</v>
      </c>
    </row>
    <row r="12369" spans="1:3" x14ac:dyDescent="0.25">
      <c r="A12369" s="2" t="str">
        <f ca="1">IFERROR(__xludf.DUMMYFUNCTION("""COMPUTED_VALUE"""),"suinami")</f>
        <v>suinami</v>
      </c>
      <c r="B12369" s="2" t="str">
        <f ca="1">IFERROR(__xludf.DUMMYFUNCTION("""COMPUTED_VALUE"""),"nami")</f>
        <v>nami</v>
      </c>
      <c r="C12369" s="2" t="str">
        <f ca="1">IFERROR(__xludf.DUMMYFUNCTION("""COMPUTED_VALUE"""),"SUINAMI")</f>
        <v>SUINAMI</v>
      </c>
    </row>
    <row r="12370" spans="1:3" x14ac:dyDescent="0.25">
      <c r="A12370" s="2" t="str">
        <f ca="1">IFERROR(__xludf.DUMMYFUNCTION("""COMPUTED_VALUE"""),"suins-token")</f>
        <v>suins-token</v>
      </c>
      <c r="B12370" s="2" t="str">
        <f ca="1">IFERROR(__xludf.DUMMYFUNCTION("""COMPUTED_VALUE"""),"ns")</f>
        <v>ns</v>
      </c>
      <c r="C12370" s="2" t="str">
        <f ca="1">IFERROR(__xludf.DUMMYFUNCTION("""COMPUTED_VALUE"""),"SuiNS Token")</f>
        <v>SuiNS Token</v>
      </c>
    </row>
    <row r="12371" spans="1:3" x14ac:dyDescent="0.25">
      <c r="A12371" s="2" t="str">
        <f ca="1">IFERROR(__xludf.DUMMYFUNCTION("""COMPUTED_VALUE"""),"suipad")</f>
        <v>suipad</v>
      </c>
      <c r="B12371" s="2" t="str">
        <f ca="1">IFERROR(__xludf.DUMMYFUNCTION("""COMPUTED_VALUE"""),"suip")</f>
        <v>suip</v>
      </c>
      <c r="C12371" s="2" t="str">
        <f ca="1">IFERROR(__xludf.DUMMYFUNCTION("""COMPUTED_VALUE"""),"SuiPad")</f>
        <v>SuiPad</v>
      </c>
    </row>
    <row r="12372" spans="1:3" x14ac:dyDescent="0.25">
      <c r="A12372" s="2" t="str">
        <f ca="1">IFERROR(__xludf.DUMMYFUNCTION("""COMPUTED_VALUE"""),"suipepe")</f>
        <v>suipepe</v>
      </c>
      <c r="B12372" s="2" t="str">
        <f ca="1">IFERROR(__xludf.DUMMYFUNCTION("""COMPUTED_VALUE"""),"spepe")</f>
        <v>spepe</v>
      </c>
      <c r="C12372" s="2" t="str">
        <f ca="1">IFERROR(__xludf.DUMMYFUNCTION("""COMPUTED_VALUE"""),"SuiPepe")</f>
        <v>SuiPepe</v>
      </c>
    </row>
    <row r="12373" spans="1:3" x14ac:dyDescent="0.25">
      <c r="A12373" s="2" t="str">
        <f ca="1">IFERROR(__xludf.DUMMYFUNCTION("""COMPUTED_VALUE"""),"sui-plop")</f>
        <v>sui-plop</v>
      </c>
      <c r="B12373" s="2" t="str">
        <f ca="1">IFERROR(__xludf.DUMMYFUNCTION("""COMPUTED_VALUE"""),"plop")</f>
        <v>plop</v>
      </c>
      <c r="C12373" s="2" t="str">
        <f ca="1">IFERROR(__xludf.DUMMYFUNCTION("""COMPUTED_VALUE"""),"SUI Plop")</f>
        <v>SUI Plop</v>
      </c>
    </row>
    <row r="12374" spans="1:3" x14ac:dyDescent="0.25">
      <c r="A12374" s="2" t="str">
        <f ca="1">IFERROR(__xludf.DUMMYFUNCTION("""COMPUTED_VALUE"""),"suishicat")</f>
        <v>suishicat</v>
      </c>
      <c r="B12374" s="2" t="str">
        <f ca="1">IFERROR(__xludf.DUMMYFUNCTION("""COMPUTED_VALUE"""),"suishi")</f>
        <v>suishi</v>
      </c>
      <c r="C12374" s="2" t="str">
        <f ca="1">IFERROR(__xludf.DUMMYFUNCTION("""COMPUTED_VALUE"""),"Suishicat")</f>
        <v>Suishicat</v>
      </c>
    </row>
    <row r="12375" spans="1:3" x14ac:dyDescent="0.25">
      <c r="A12375" s="2" t="str">
        <f ca="1">IFERROR(__xludf.DUMMYFUNCTION("""COMPUTED_VALUE"""),"suiswap")</f>
        <v>suiswap</v>
      </c>
      <c r="B12375" s="2" t="str">
        <f ca="1">IFERROR(__xludf.DUMMYFUNCTION("""COMPUTED_VALUE"""),"sswp")</f>
        <v>sswp</v>
      </c>
      <c r="C12375" s="2" t="str">
        <f ca="1">IFERROR(__xludf.DUMMYFUNCTION("""COMPUTED_VALUE"""),"Suiswap")</f>
        <v>Suiswap</v>
      </c>
    </row>
    <row r="12376" spans="1:3" x14ac:dyDescent="0.25">
      <c r="A12376" s="2" t="str">
        <f ca="1">IFERROR(__xludf.DUMMYFUNCTION("""COMPUTED_VALUE"""),"suitard")</f>
        <v>suitard</v>
      </c>
      <c r="B12376" s="2" t="str">
        <f ca="1">IFERROR(__xludf.DUMMYFUNCTION("""COMPUTED_VALUE"""),"std")</f>
        <v>std</v>
      </c>
      <c r="C12376" s="2" t="str">
        <f ca="1">IFERROR(__xludf.DUMMYFUNCTION("""COMPUTED_VALUE"""),"suitard")</f>
        <v>suitard</v>
      </c>
    </row>
    <row r="12377" spans="1:3" x14ac:dyDescent="0.25">
      <c r="A12377" s="2" t="str">
        <f ca="1">IFERROR(__xludf.DUMMYFUNCTION("""COMPUTED_VALUE"""),"suite-2")</f>
        <v>suite-2</v>
      </c>
      <c r="B12377" s="2" t="str">
        <f ca="1">IFERROR(__xludf.DUMMYFUNCTION("""COMPUTED_VALUE"""),"suite")</f>
        <v>suite</v>
      </c>
      <c r="C12377" s="2" t="str">
        <f ca="1">IFERROR(__xludf.DUMMYFUNCTION("""COMPUTED_VALUE"""),"Suite")</f>
        <v>Suite</v>
      </c>
    </row>
    <row r="12378" spans="1:3" x14ac:dyDescent="0.25">
      <c r="A12378" s="2" t="str">
        <f ca="1">IFERROR(__xludf.DUMMYFUNCTION("""COMPUTED_VALUE"""),"suizuki")</f>
        <v>suizuki</v>
      </c>
      <c r="B12378" s="2" t="str">
        <f ca="1">IFERROR(__xludf.DUMMYFUNCTION("""COMPUTED_VALUE"""),"zuki")</f>
        <v>zuki</v>
      </c>
      <c r="C12378" s="2" t="str">
        <f ca="1">IFERROR(__xludf.DUMMYFUNCTION("""COMPUTED_VALUE"""),"Suizuki")</f>
        <v>Suizuki</v>
      </c>
    </row>
    <row r="12379" spans="1:3" x14ac:dyDescent="0.25">
      <c r="A12379" s="2" t="str">
        <f ca="1">IFERROR(__xludf.DUMMYFUNCTION("""COMPUTED_VALUE"""),"sukhavati-network")</f>
        <v>sukhavati-network</v>
      </c>
      <c r="B12379" s="2" t="str">
        <f ca="1">IFERROR(__xludf.DUMMYFUNCTION("""COMPUTED_VALUE"""),"skt")</f>
        <v>skt</v>
      </c>
      <c r="C12379" s="2" t="str">
        <f ca="1">IFERROR(__xludf.DUMMYFUNCTION("""COMPUTED_VALUE"""),"Sukhavati Network")</f>
        <v>Sukhavati Network</v>
      </c>
    </row>
    <row r="12380" spans="1:3" x14ac:dyDescent="0.25">
      <c r="A12380" s="2" t="str">
        <f ca="1">IFERROR(__xludf.DUMMYFUNCTION("""COMPUTED_VALUE"""),"suki")</f>
        <v>suki</v>
      </c>
      <c r="B12380" s="2" t="str">
        <f ca="1">IFERROR(__xludf.DUMMYFUNCTION("""COMPUTED_VALUE"""),"suki")</f>
        <v>suki</v>
      </c>
      <c r="C12380" s="2" t="str">
        <f ca="1">IFERROR(__xludf.DUMMYFUNCTION("""COMPUTED_VALUE"""),"SUKI")</f>
        <v>SUKI</v>
      </c>
    </row>
    <row r="12381" spans="1:3" x14ac:dyDescent="0.25">
      <c r="A12381" s="2" t="str">
        <f ca="1">IFERROR(__xludf.DUMMYFUNCTION("""COMPUTED_VALUE"""),"suku")</f>
        <v>suku</v>
      </c>
      <c r="B12381" s="2" t="str">
        <f ca="1">IFERROR(__xludf.DUMMYFUNCTION("""COMPUTED_VALUE"""),"suku")</f>
        <v>suku</v>
      </c>
      <c r="C12381" s="2" t="str">
        <f ca="1">IFERROR(__xludf.DUMMYFUNCTION("""COMPUTED_VALUE"""),"SUKU")</f>
        <v>SUKU</v>
      </c>
    </row>
    <row r="12382" spans="1:3" x14ac:dyDescent="0.25">
      <c r="A12382" s="2" t="str">
        <f ca="1">IFERROR(__xludf.DUMMYFUNCTION("""COMPUTED_VALUE"""),"sully-the-shrimp")</f>
        <v>sully-the-shrimp</v>
      </c>
      <c r="B12382" s="2" t="str">
        <f ca="1">IFERROR(__xludf.DUMMYFUNCTION("""COMPUTED_VALUE"""),"sully")</f>
        <v>sully</v>
      </c>
      <c r="C12382" s="2" t="str">
        <f ca="1">IFERROR(__xludf.DUMMYFUNCTION("""COMPUTED_VALUE"""),"Sully the shrimp")</f>
        <v>Sully the shrimp</v>
      </c>
    </row>
    <row r="12383" spans="1:3" x14ac:dyDescent="0.25">
      <c r="A12383" s="2" t="str">
        <f ca="1">IFERROR(__xludf.DUMMYFUNCTION("""COMPUTED_VALUE"""),"sumer-money-subtc")</f>
        <v>sumer-money-subtc</v>
      </c>
      <c r="B12383" s="2" t="str">
        <f ca="1">IFERROR(__xludf.DUMMYFUNCTION("""COMPUTED_VALUE"""),"subtc")</f>
        <v>subtc</v>
      </c>
      <c r="C12383" s="2" t="str">
        <f ca="1">IFERROR(__xludf.DUMMYFUNCTION("""COMPUTED_VALUE"""),"Sumer.Money suBTC")</f>
        <v>Sumer.Money suBTC</v>
      </c>
    </row>
    <row r="12384" spans="1:3" x14ac:dyDescent="0.25">
      <c r="A12384" s="2" t="str">
        <f ca="1">IFERROR(__xludf.DUMMYFUNCTION("""COMPUTED_VALUE"""),"sumer-money-sueth")</f>
        <v>sumer-money-sueth</v>
      </c>
      <c r="B12384" s="2" t="str">
        <f ca="1">IFERROR(__xludf.DUMMYFUNCTION("""COMPUTED_VALUE"""),"sueth")</f>
        <v>sueth</v>
      </c>
      <c r="C12384" s="2" t="str">
        <f ca="1">IFERROR(__xludf.DUMMYFUNCTION("""COMPUTED_VALUE"""),"Sumer.Money suETH")</f>
        <v>Sumer.Money suETH</v>
      </c>
    </row>
    <row r="12385" spans="1:3" x14ac:dyDescent="0.25">
      <c r="A12385" s="2" t="str">
        <f ca="1">IFERROR(__xludf.DUMMYFUNCTION("""COMPUTED_VALUE"""),"sumer-money-suusd")</f>
        <v>sumer-money-suusd</v>
      </c>
      <c r="B12385" s="2" t="str">
        <f ca="1">IFERROR(__xludf.DUMMYFUNCTION("""COMPUTED_VALUE"""),"suusd")</f>
        <v>suusd</v>
      </c>
      <c r="C12385" s="2" t="str">
        <f ca="1">IFERROR(__xludf.DUMMYFUNCTION("""COMPUTED_VALUE"""),"Sumer.Money suUSD")</f>
        <v>Sumer.Money suUSD</v>
      </c>
    </row>
    <row r="12386" spans="1:3" x14ac:dyDescent="0.25">
      <c r="A12386" s="2" t="str">
        <f ca="1">IFERROR(__xludf.DUMMYFUNCTION("""COMPUTED_VALUE"""),"summer")</f>
        <v>summer</v>
      </c>
      <c r="B12386" s="2" t="str">
        <f ca="1">IFERROR(__xludf.DUMMYFUNCTION("""COMPUTED_VALUE"""),"summer")</f>
        <v>summer</v>
      </c>
      <c r="C12386" s="2" t="str">
        <f ca="1">IFERROR(__xludf.DUMMYFUNCTION("""COMPUTED_VALUE"""),"Summer")</f>
        <v>Summer</v>
      </c>
    </row>
    <row r="12387" spans="1:3" x14ac:dyDescent="0.25">
      <c r="A12387" s="2" t="str">
        <f ca="1">IFERROR(__xludf.DUMMYFUNCTION("""COMPUTED_VALUE"""),"summoners-league")</f>
        <v>summoners-league</v>
      </c>
      <c r="B12387" s="2" t="str">
        <f ca="1">IFERROR(__xludf.DUMMYFUNCTION("""COMPUTED_VALUE"""),"summon")</f>
        <v>summon</v>
      </c>
      <c r="C12387" s="2" t="str">
        <f ca="1">IFERROR(__xludf.DUMMYFUNCTION("""COMPUTED_VALUE"""),"Summoners League")</f>
        <v>Summoners League</v>
      </c>
    </row>
    <row r="12388" spans="1:3" x14ac:dyDescent="0.25">
      <c r="A12388" s="2" t="str">
        <f ca="1">IFERROR(__xludf.DUMMYFUNCTION("""COMPUTED_VALUE"""),"sumo-kitty")</f>
        <v>sumo-kitty</v>
      </c>
      <c r="B12388" s="2" t="str">
        <f ca="1">IFERROR(__xludf.DUMMYFUNCTION("""COMPUTED_VALUE"""),"suki")</f>
        <v>suki</v>
      </c>
      <c r="C12388" s="2" t="str">
        <f ca="1">IFERROR(__xludf.DUMMYFUNCTION("""COMPUTED_VALUE"""),"SUMO KITTY")</f>
        <v>SUMO KITTY</v>
      </c>
    </row>
    <row r="12389" spans="1:3" x14ac:dyDescent="0.25">
      <c r="A12389" s="2" t="str">
        <f ca="1">IFERROR(__xludf.DUMMYFUNCTION("""COMPUTED_VALUE"""),"sumokoin")</f>
        <v>sumokoin</v>
      </c>
      <c r="B12389" s="2" t="str">
        <f ca="1">IFERROR(__xludf.DUMMYFUNCTION("""COMPUTED_VALUE"""),"sumo")</f>
        <v>sumo</v>
      </c>
      <c r="C12389" s="2" t="str">
        <f ca="1">IFERROR(__xludf.DUMMYFUNCTION("""COMPUTED_VALUE"""),"Sumokoin")</f>
        <v>Sumokoin</v>
      </c>
    </row>
    <row r="12390" spans="1:3" x14ac:dyDescent="0.25">
      <c r="A12390" s="2" t="str">
        <f ca="1">IFERROR(__xludf.DUMMYFUNCTION("""COMPUTED_VALUE"""),"sunala")</f>
        <v>sunala</v>
      </c>
      <c r="B12390" s="2" t="str">
        <f ca="1">IFERROR(__xludf.DUMMYFUNCTION("""COMPUTED_VALUE"""),"sun")</f>
        <v>sun</v>
      </c>
      <c r="C12390" s="2" t="str">
        <f ca="1">IFERROR(__xludf.DUMMYFUNCTION("""COMPUTED_VALUE"""),"Sunala")</f>
        <v>Sunala</v>
      </c>
    </row>
    <row r="12391" spans="1:3" x14ac:dyDescent="0.25">
      <c r="A12391" s="2" t="str">
        <f ca="1">IFERROR(__xludf.DUMMYFUNCTION("""COMPUTED_VALUE"""),"suncat")</f>
        <v>suncat</v>
      </c>
      <c r="B12391" s="2" t="str">
        <f ca="1">IFERROR(__xludf.DUMMYFUNCTION("""COMPUTED_VALUE"""),"suncat")</f>
        <v>suncat</v>
      </c>
      <c r="C12391" s="2" t="str">
        <f ca="1">IFERROR(__xludf.DUMMYFUNCTION("""COMPUTED_VALUE"""),"Suncat")</f>
        <v>Suncat</v>
      </c>
    </row>
    <row r="12392" spans="1:3" x14ac:dyDescent="0.25">
      <c r="A12392" s="2" t="str">
        <f ca="1">IFERROR(__xludf.DUMMYFUNCTION("""COMPUTED_VALUE"""),"suncontract")</f>
        <v>suncontract</v>
      </c>
      <c r="B12392" s="2" t="str">
        <f ca="1">IFERROR(__xludf.DUMMYFUNCTION("""COMPUTED_VALUE"""),"snc")</f>
        <v>snc</v>
      </c>
      <c r="C12392" s="2" t="str">
        <f ca="1">IFERROR(__xludf.DUMMYFUNCTION("""COMPUTED_VALUE"""),"SunContract")</f>
        <v>SunContract</v>
      </c>
    </row>
    <row r="12393" spans="1:3" x14ac:dyDescent="0.25">
      <c r="A12393" s="2" t="str">
        <f ca="1">IFERROR(__xludf.DUMMYFUNCTION("""COMPUTED_VALUE"""),"sundaeswap")</f>
        <v>sundaeswap</v>
      </c>
      <c r="B12393" s="2" t="str">
        <f ca="1">IFERROR(__xludf.DUMMYFUNCTION("""COMPUTED_VALUE"""),"sundae")</f>
        <v>sundae</v>
      </c>
      <c r="C12393" s="2" t="str">
        <f ca="1">IFERROR(__xludf.DUMMYFUNCTION("""COMPUTED_VALUE"""),"SundaeSwap")</f>
        <v>SundaeSwap</v>
      </c>
    </row>
    <row r="12394" spans="1:3" x14ac:dyDescent="0.25">
      <c r="A12394" s="2" t="str">
        <f ca="1">IFERROR(__xludf.DUMMYFUNCTION("""COMPUTED_VALUE"""),"sundae-the-dog")</f>
        <v>sundae-the-dog</v>
      </c>
      <c r="B12394" s="2" t="str">
        <f ca="1">IFERROR(__xludf.DUMMYFUNCTION("""COMPUTED_VALUE"""),"sundae")</f>
        <v>sundae</v>
      </c>
      <c r="C12394" s="2" t="str">
        <f ca="1">IFERROR(__xludf.DUMMYFUNCTION("""COMPUTED_VALUE"""),"Sundae the Dog")</f>
        <v>Sundae the Dog</v>
      </c>
    </row>
    <row r="12395" spans="1:3" x14ac:dyDescent="0.25">
      <c r="A12395" s="2" t="str">
        <f ca="1">IFERROR(__xludf.DUMMYFUNCTION("""COMPUTED_VALUE"""),"sundog")</f>
        <v>sundog</v>
      </c>
      <c r="B12395" s="2" t="str">
        <f ca="1">IFERROR(__xludf.DUMMYFUNCTION("""COMPUTED_VALUE"""),"sundog")</f>
        <v>sundog</v>
      </c>
      <c r="C12395" s="2" t="str">
        <f ca="1">IFERROR(__xludf.DUMMYFUNCTION("""COMPUTED_VALUE"""),"Sundog")</f>
        <v>Sundog</v>
      </c>
    </row>
    <row r="12396" spans="1:3" x14ac:dyDescent="0.25">
      <c r="A12396" s="2" t="str">
        <f ca="1">IFERROR(__xludf.DUMMYFUNCTION("""COMPUTED_VALUE"""),"sunflower-land")</f>
        <v>sunflower-land</v>
      </c>
      <c r="B12396" s="2" t="str">
        <f ca="1">IFERROR(__xludf.DUMMYFUNCTION("""COMPUTED_VALUE"""),"sfl")</f>
        <v>sfl</v>
      </c>
      <c r="C12396" s="2" t="str">
        <f ca="1">IFERROR(__xludf.DUMMYFUNCTION("""COMPUTED_VALUE"""),"Sunflower Land")</f>
        <v>Sunflower Land</v>
      </c>
    </row>
    <row r="12397" spans="1:3" x14ac:dyDescent="0.25">
      <c r="A12397" s="2" t="str">
        <f ca="1">IFERROR(__xludf.DUMMYFUNCTION("""COMPUTED_VALUE"""),"sunlion")</f>
        <v>sunlion</v>
      </c>
      <c r="B12397" s="2" t="str">
        <f ca="1">IFERROR(__xludf.DUMMYFUNCTION("""COMPUTED_VALUE"""),"sunlion")</f>
        <v>sunlion</v>
      </c>
      <c r="C12397" s="2" t="str">
        <f ca="1">IFERROR(__xludf.DUMMYFUNCTION("""COMPUTED_VALUE"""),"sunlion")</f>
        <v>sunlion</v>
      </c>
    </row>
    <row r="12398" spans="1:3" x14ac:dyDescent="0.25">
      <c r="A12398" s="2" t="str">
        <f ca="1">IFERROR(__xludf.DUMMYFUNCTION("""COMPUTED_VALUE"""),"sun-minimeal")</f>
        <v>sun-minimeal</v>
      </c>
      <c r="B12398" s="2" t="str">
        <f ca="1">IFERROR(__xludf.DUMMYFUNCTION("""COMPUTED_VALUE"""),"soil")</f>
        <v>soil</v>
      </c>
      <c r="C12398" s="2" t="str">
        <f ca="1">IFERROR(__xludf.DUMMYFUNCTION("""COMPUTED_VALUE"""),"SUN Minimeal")</f>
        <v>SUN Minimeal</v>
      </c>
    </row>
    <row r="12399" spans="1:3" x14ac:dyDescent="0.25">
      <c r="A12399" s="2" t="str">
        <f ca="1">IFERROR(__xludf.DUMMYFUNCTION("""COMPUTED_VALUE"""),"sunned")</f>
        <v>sunned</v>
      </c>
      <c r="B12399" s="2" t="str">
        <f ca="1">IFERROR(__xludf.DUMMYFUNCTION("""COMPUTED_VALUE"""),"sunned")</f>
        <v>sunned</v>
      </c>
      <c r="C12399" s="2" t="str">
        <f ca="1">IFERROR(__xludf.DUMMYFUNCTION("""COMPUTED_VALUE"""),"SUNNED")</f>
        <v>SUNNED</v>
      </c>
    </row>
    <row r="12400" spans="1:3" x14ac:dyDescent="0.25">
      <c r="A12400" s="2" t="str">
        <f ca="1">IFERROR(__xludf.DUMMYFUNCTION("""COMPUTED_VALUE"""),"sunneiro")</f>
        <v>sunneiro</v>
      </c>
      <c r="B12400" s="2" t="str">
        <f ca="1">IFERROR(__xludf.DUMMYFUNCTION("""COMPUTED_VALUE"""),"sunneiro")</f>
        <v>sunneiro</v>
      </c>
      <c r="C12400" s="2" t="str">
        <f ca="1">IFERROR(__xludf.DUMMYFUNCTION("""COMPUTED_VALUE"""),"SunNeiro")</f>
        <v>SunNeiro</v>
      </c>
    </row>
    <row r="12401" spans="1:3" x14ac:dyDescent="0.25">
      <c r="A12401" s="2" t="str">
        <f ca="1">IFERROR(__xludf.DUMMYFUNCTION("""COMPUTED_VALUE"""),"sunny-aggregator")</f>
        <v>sunny-aggregator</v>
      </c>
      <c r="B12401" s="2" t="str">
        <f ca="1">IFERROR(__xludf.DUMMYFUNCTION("""COMPUTED_VALUE"""),"sunny")</f>
        <v>sunny</v>
      </c>
      <c r="C12401" s="2" t="str">
        <f ca="1">IFERROR(__xludf.DUMMYFUNCTION("""COMPUTED_VALUE"""),"Sunny Aggregator")</f>
        <v>Sunny Aggregator</v>
      </c>
    </row>
    <row r="12402" spans="1:3" x14ac:dyDescent="0.25">
      <c r="A12402" s="2" t="str">
        <f ca="1">IFERROR(__xludf.DUMMYFUNCTION("""COMPUTED_VALUE"""),"sunny-on-tron")</f>
        <v>sunny-on-tron</v>
      </c>
      <c r="B12402" s="2" t="str">
        <f ca="1">IFERROR(__xludf.DUMMYFUNCTION("""COMPUTED_VALUE"""),"sunny")</f>
        <v>sunny</v>
      </c>
      <c r="C12402" s="2" t="str">
        <f ca="1">IFERROR(__xludf.DUMMYFUNCTION("""COMPUTED_VALUE"""),"Sunny on Tron")</f>
        <v>Sunny on Tron</v>
      </c>
    </row>
    <row r="12403" spans="1:3" x14ac:dyDescent="0.25">
      <c r="A12403" s="2" t="str">
        <f ca="1">IFERROR(__xludf.DUMMYFUNCTION("""COMPUTED_VALUE"""),"sunnysideup")</f>
        <v>sunnysideup</v>
      </c>
      <c r="B12403" s="2" t="str">
        <f ca="1">IFERROR(__xludf.DUMMYFUNCTION("""COMPUTED_VALUE"""),"ssu")</f>
        <v>ssu</v>
      </c>
      <c r="C12403" s="2" t="str">
        <f ca="1">IFERROR(__xludf.DUMMYFUNCTION("""COMPUTED_VALUE"""),"SunnySideUp")</f>
        <v>SunnySideUp</v>
      </c>
    </row>
    <row r="12404" spans="1:3" x14ac:dyDescent="0.25">
      <c r="A12404" s="2" t="str">
        <f ca="1">IFERROR(__xludf.DUMMYFUNCTION("""COMPUTED_VALUE"""),"sunpepe")</f>
        <v>sunpepe</v>
      </c>
      <c r="B12404" s="2" t="str">
        <f ca="1">IFERROR(__xludf.DUMMYFUNCTION("""COMPUTED_VALUE"""),"sunpepe")</f>
        <v>sunpepe</v>
      </c>
      <c r="C12404" s="2" t="str">
        <f ca="1">IFERROR(__xludf.DUMMYFUNCTION("""COMPUTED_VALUE"""),"sunpepe")</f>
        <v>sunpepe</v>
      </c>
    </row>
    <row r="12405" spans="1:3" x14ac:dyDescent="0.25">
      <c r="A12405" s="2" t="str">
        <f ca="1">IFERROR(__xludf.DUMMYFUNCTION("""COMPUTED_VALUE"""),"sunpig")</f>
        <v>sunpig</v>
      </c>
      <c r="B12405" s="2" t="str">
        <f ca="1">IFERROR(__xludf.DUMMYFUNCTION("""COMPUTED_VALUE"""),"sunpig")</f>
        <v>sunpig</v>
      </c>
      <c r="C12405" s="2" t="str">
        <f ca="1">IFERROR(__xludf.DUMMYFUNCTION("""COMPUTED_VALUE"""),"SUNPIG")</f>
        <v>SUNPIG</v>
      </c>
    </row>
    <row r="12406" spans="1:3" x14ac:dyDescent="0.25">
      <c r="A12406" s="2" t="str">
        <f ca="1">IFERROR(__xludf.DUMMYFUNCTION("""COMPUTED_VALUE"""),"sunpumptrading")</f>
        <v>sunpumptrading</v>
      </c>
      <c r="B12406" s="2" t="str">
        <f ca="1">IFERROR(__xludf.DUMMYFUNCTION("""COMPUTED_VALUE"""),"spt")</f>
        <v>spt</v>
      </c>
      <c r="C12406" s="2" t="str">
        <f ca="1">IFERROR(__xludf.DUMMYFUNCTION("""COMPUTED_VALUE"""),"SunPumpTrading")</f>
        <v>SunPumpTrading</v>
      </c>
    </row>
    <row r="12407" spans="1:3" x14ac:dyDescent="0.25">
      <c r="A12407" s="2" t="str">
        <f ca="1">IFERROR(__xludf.DUMMYFUNCTION("""COMPUTED_VALUE"""),"sunrise")</f>
        <v>sunrise</v>
      </c>
      <c r="B12407" s="2" t="str">
        <f ca="1">IFERROR(__xludf.DUMMYFUNCTION("""COMPUTED_VALUE"""),"sunc")</f>
        <v>sunc</v>
      </c>
      <c r="C12407" s="2" t="str">
        <f ca="1">IFERROR(__xludf.DUMMYFUNCTION("""COMPUTED_VALUE"""),"Sunrise")</f>
        <v>Sunrise</v>
      </c>
    </row>
    <row r="12408" spans="1:3" x14ac:dyDescent="0.25">
      <c r="A12408" s="2" t="str">
        <f ca="1">IFERROR(__xludf.DUMMYFUNCTION("""COMPUTED_VALUE"""),"sun-token")</f>
        <v>sun-token</v>
      </c>
      <c r="B12408" s="2" t="str">
        <f ca="1">IFERROR(__xludf.DUMMYFUNCTION("""COMPUTED_VALUE"""),"sun")</f>
        <v>sun</v>
      </c>
      <c r="C12408" s="2" t="str">
        <f ca="1">IFERROR(__xludf.DUMMYFUNCTION("""COMPUTED_VALUE"""),"Sun Token")</f>
        <v>Sun Token</v>
      </c>
    </row>
    <row r="12409" spans="1:3" x14ac:dyDescent="0.25">
      <c r="A12409" s="2" t="str">
        <f ca="1">IFERROR(__xludf.DUMMYFUNCTION("""COMPUTED_VALUE"""),"sun-tzu")</f>
        <v>sun-tzu</v>
      </c>
      <c r="B12409" s="2" t="str">
        <f ca="1">IFERROR(__xludf.DUMMYFUNCTION("""COMPUTED_VALUE"""),"tzu")</f>
        <v>tzu</v>
      </c>
      <c r="C12409" s="2" t="str">
        <f ca="1">IFERROR(__xludf.DUMMYFUNCTION("""COMPUTED_VALUE"""),"Sun Tzu")</f>
        <v>Sun Tzu</v>
      </c>
    </row>
    <row r="12410" spans="1:3" x14ac:dyDescent="0.25">
      <c r="A12410" s="2" t="str">
        <f ca="1">IFERROR(__xludf.DUMMYFUNCTION("""COMPUTED_VALUE"""),"sun-tzu-2")</f>
        <v>sun-tzu-2</v>
      </c>
      <c r="B12410" s="2" t="str">
        <f ca="1">IFERROR(__xludf.DUMMYFUNCTION("""COMPUTED_VALUE"""),"tsu")</f>
        <v>tsu</v>
      </c>
      <c r="C12410" s="2" t="str">
        <f ca="1">IFERROR(__xludf.DUMMYFUNCTION("""COMPUTED_VALUE"""),"Sun Tzu")</f>
        <v>Sun Tzu</v>
      </c>
    </row>
    <row r="12411" spans="1:3" x14ac:dyDescent="0.25">
      <c r="A12411" s="2" t="str">
        <f ca="1">IFERROR(__xludf.DUMMYFUNCTION("""COMPUTED_VALUE"""),"sunwukong")</f>
        <v>sunwukong</v>
      </c>
      <c r="B12411" s="2" t="str">
        <f ca="1">IFERROR(__xludf.DUMMYFUNCTION("""COMPUTED_VALUE"""),"sunwukong")</f>
        <v>sunwukong</v>
      </c>
      <c r="C12411" s="2" t="str">
        <f ca="1">IFERROR(__xludf.DUMMYFUNCTION("""COMPUTED_VALUE"""),"SunWukong")</f>
        <v>SunWukong</v>
      </c>
    </row>
    <row r="12412" spans="1:3" x14ac:dyDescent="0.25">
      <c r="A12412" s="2" t="str">
        <f ca="1">IFERROR(__xludf.DUMMYFUNCTION("""COMPUTED_VALUE"""),"sunyang")</f>
        <v>sunyang</v>
      </c>
      <c r="B12412" s="2" t="str">
        <f ca="1">IFERROR(__xludf.DUMMYFUNCTION("""COMPUTED_VALUE"""),"suya")</f>
        <v>suya</v>
      </c>
      <c r="C12412" s="2" t="str">
        <f ca="1">IFERROR(__xludf.DUMMYFUNCTION("""COMPUTED_VALUE"""),"SunYang")</f>
        <v>SunYang</v>
      </c>
    </row>
    <row r="12413" spans="1:3" x14ac:dyDescent="0.25">
      <c r="A12413" s="2" t="str">
        <f ca="1">IFERROR(__xludf.DUMMYFUNCTION("""COMPUTED_VALUE"""),"supe-infinity")</f>
        <v>supe-infinity</v>
      </c>
      <c r="B12413" s="2" t="str">
        <f ca="1">IFERROR(__xludf.DUMMYFUNCTION("""COMPUTED_VALUE"""),"supe")</f>
        <v>supe</v>
      </c>
      <c r="C12413" s="2" t="str">
        <f ca="1">IFERROR(__xludf.DUMMYFUNCTION("""COMPUTED_VALUE"""),"Supe Infinity")</f>
        <v>Supe Infinity</v>
      </c>
    </row>
    <row r="12414" spans="1:3" x14ac:dyDescent="0.25">
      <c r="A12414" s="2" t="str">
        <f ca="1">IFERROR(__xludf.DUMMYFUNCTION("""COMPUTED_VALUE"""),"superalgorithmicmoney")</f>
        <v>superalgorithmicmoney</v>
      </c>
      <c r="B12414" s="2" t="str">
        <f ca="1">IFERROR(__xludf.DUMMYFUNCTION("""COMPUTED_VALUE"""),"sam")</f>
        <v>sam</v>
      </c>
      <c r="C12414" s="2" t="str">
        <f ca="1">IFERROR(__xludf.DUMMYFUNCTION("""COMPUTED_VALUE"""),"SuperAlgorithmicMoney")</f>
        <v>SuperAlgorithmicMoney</v>
      </c>
    </row>
    <row r="12415" spans="1:3" x14ac:dyDescent="0.25">
      <c r="A12415" s="2" t="str">
        <f ca="1">IFERROR(__xludf.DUMMYFUNCTION("""COMPUTED_VALUE"""),"super-athletes-token")</f>
        <v>super-athletes-token</v>
      </c>
      <c r="B12415" s="2" t="str">
        <f ca="1">IFERROR(__xludf.DUMMYFUNCTION("""COMPUTED_VALUE"""),"sat")</f>
        <v>sat</v>
      </c>
      <c r="C12415" s="2" t="str">
        <f ca="1">IFERROR(__xludf.DUMMYFUNCTION("""COMPUTED_VALUE"""),"Super Athletes Token")</f>
        <v>Super Athletes Token</v>
      </c>
    </row>
    <row r="12416" spans="1:3" x14ac:dyDescent="0.25">
      <c r="A12416" s="2" t="str">
        <f ca="1">IFERROR(__xludf.DUMMYFUNCTION("""COMPUTED_VALUE"""),"super-best-friends")</f>
        <v>super-best-friends</v>
      </c>
      <c r="B12416" s="2" t="str">
        <f ca="1">IFERROR(__xludf.DUMMYFUNCTION("""COMPUTED_VALUE"""),"subf")</f>
        <v>subf</v>
      </c>
      <c r="C12416" s="2" t="str">
        <f ca="1">IFERROR(__xludf.DUMMYFUNCTION("""COMPUTED_VALUE"""),"Super Best Friends")</f>
        <v>Super Best Friends</v>
      </c>
    </row>
    <row r="12417" spans="1:3" x14ac:dyDescent="0.25">
      <c r="A12417" s="2" t="str">
        <f ca="1">IFERROR(__xludf.DUMMYFUNCTION("""COMPUTED_VALUE"""),"superbid")</f>
        <v>superbid</v>
      </c>
      <c r="B12417" s="2" t="str">
        <f ca="1">IFERROR(__xludf.DUMMYFUNCTION("""COMPUTED_VALUE"""),"superbid")</f>
        <v>superbid</v>
      </c>
      <c r="C12417" s="2" t="str">
        <f ca="1">IFERROR(__xludf.DUMMYFUNCTION("""COMPUTED_VALUE"""),"SuperBid")</f>
        <v>SuperBid</v>
      </c>
    </row>
    <row r="12418" spans="1:3" x14ac:dyDescent="0.25">
      <c r="A12418" s="2" t="str">
        <f ca="1">IFERROR(__xludf.DUMMYFUNCTION("""COMPUTED_VALUE"""),"supercells")</f>
        <v>supercells</v>
      </c>
      <c r="B12418" s="2" t="str">
        <f ca="1">IFERROR(__xludf.DUMMYFUNCTION("""COMPUTED_VALUE"""),"sct")</f>
        <v>sct</v>
      </c>
      <c r="C12418" s="2" t="str">
        <f ca="1">IFERROR(__xludf.DUMMYFUNCTION("""COMPUTED_VALUE"""),"SuperCells")</f>
        <v>SuperCells</v>
      </c>
    </row>
    <row r="12419" spans="1:3" x14ac:dyDescent="0.25">
      <c r="A12419" s="2" t="str">
        <f ca="1">IFERROR(__xludf.DUMMYFUNCTION("""COMPUTED_VALUE"""),"supercells-2")</f>
        <v>supercells-2</v>
      </c>
      <c r="B12419" s="2" t="str">
        <f ca="1">IFERROR(__xludf.DUMMYFUNCTION("""COMPUTED_VALUE"""),"sct")</f>
        <v>sct</v>
      </c>
      <c r="C12419" s="2" t="str">
        <f ca="1">IFERROR(__xludf.DUMMYFUNCTION("""COMPUTED_VALUE"""),"SuperCells")</f>
        <v>SuperCells</v>
      </c>
    </row>
    <row r="12420" spans="1:3" x14ac:dyDescent="0.25">
      <c r="A12420" s="2" t="str">
        <f ca="1">IFERROR(__xludf.DUMMYFUNCTION("""COMPUTED_VALUE"""),"superciety")</f>
        <v>superciety</v>
      </c>
      <c r="B12420" s="2" t="str">
        <f ca="1">IFERROR(__xludf.DUMMYFUNCTION("""COMPUTED_VALUE"""),"super")</f>
        <v>super</v>
      </c>
      <c r="C12420" s="2" t="str">
        <f ca="1">IFERROR(__xludf.DUMMYFUNCTION("""COMPUTED_VALUE"""),"PeerMe SUPER")</f>
        <v>PeerMe SUPER</v>
      </c>
    </row>
    <row r="12421" spans="1:3" x14ac:dyDescent="0.25">
      <c r="A12421" s="2" t="str">
        <f ca="1">IFERROR(__xludf.DUMMYFUNCTION("""COMPUTED_VALUE"""),"super-closed-source")</f>
        <v>super-closed-source</v>
      </c>
      <c r="B12421" s="2" t="str">
        <f ca="1">IFERROR(__xludf.DUMMYFUNCTION("""COMPUTED_VALUE"""),"closedai")</f>
        <v>closedai</v>
      </c>
      <c r="C12421" s="2" t="str">
        <f ca="1">IFERROR(__xludf.DUMMYFUNCTION("""COMPUTED_VALUE"""),"Super Closed Source")</f>
        <v>Super Closed Source</v>
      </c>
    </row>
    <row r="12422" spans="1:3" x14ac:dyDescent="0.25">
      <c r="A12422" s="2" t="str">
        <f ca="1">IFERROR(__xludf.DUMMYFUNCTION("""COMPUTED_VALUE"""),"superdapp")</f>
        <v>superdapp</v>
      </c>
      <c r="B12422" s="2" t="str">
        <f ca="1">IFERROR(__xludf.DUMMYFUNCTION("""COMPUTED_VALUE"""),"supr")</f>
        <v>supr</v>
      </c>
      <c r="C12422" s="2" t="str">
        <f ca="1">IFERROR(__xludf.DUMMYFUNCTION("""COMPUTED_VALUE"""),"SuperDapp")</f>
        <v>SuperDapp</v>
      </c>
    </row>
    <row r="12423" spans="1:3" x14ac:dyDescent="0.25">
      <c r="A12423" s="2" t="str">
        <f ca="1">IFERROR(__xludf.DUMMYFUNCTION("""COMPUTED_VALUE"""),"superfans-tech")</f>
        <v>superfans-tech</v>
      </c>
      <c r="B12423" s="2" t="str">
        <f ca="1">IFERROR(__xludf.DUMMYFUNCTION("""COMPUTED_VALUE"""),"fan")</f>
        <v>fan</v>
      </c>
      <c r="C12423" s="2" t="str">
        <f ca="1">IFERROR(__xludf.DUMMYFUNCTION("""COMPUTED_VALUE"""),"SuperFans.Tech")</f>
        <v>SuperFans.Tech</v>
      </c>
    </row>
    <row r="12424" spans="1:3" x14ac:dyDescent="0.25">
      <c r="A12424" s="2" t="str">
        <f ca="1">IFERROR(__xludf.DUMMYFUNCTION("""COMPUTED_VALUE"""),"superfarm")</f>
        <v>superfarm</v>
      </c>
      <c r="B12424" s="2" t="str">
        <f ca="1">IFERROR(__xludf.DUMMYFUNCTION("""COMPUTED_VALUE"""),"super")</f>
        <v>super</v>
      </c>
      <c r="C12424" s="2" t="str">
        <f ca="1">IFERROR(__xludf.DUMMYFUNCTION("""COMPUTED_VALUE"""),"SuperVerse")</f>
        <v>SuperVerse</v>
      </c>
    </row>
    <row r="12425" spans="1:3" x14ac:dyDescent="0.25">
      <c r="A12425" s="2" t="str">
        <f ca="1">IFERROR(__xludf.DUMMYFUNCTION("""COMPUTED_VALUE"""),"superfast-staked-sol")</f>
        <v>superfast-staked-sol</v>
      </c>
      <c r="B12425" s="2" t="str">
        <f ca="1">IFERROR(__xludf.DUMMYFUNCTION("""COMPUTED_VALUE"""),"supersol")</f>
        <v>supersol</v>
      </c>
      <c r="C12425" s="2" t="str">
        <f ca="1">IFERROR(__xludf.DUMMYFUNCTION("""COMPUTED_VALUE"""),"Superfast Staked SOL")</f>
        <v>Superfast Staked SOL</v>
      </c>
    </row>
    <row r="12426" spans="1:3" x14ac:dyDescent="0.25">
      <c r="A12426" s="2" t="str">
        <f ca="1">IFERROR(__xludf.DUMMYFUNCTION("""COMPUTED_VALUE"""),"superflare")</f>
        <v>superflare</v>
      </c>
      <c r="B12426" s="2" t="str">
        <f ca="1">IFERROR(__xludf.DUMMYFUNCTION("""COMPUTED_VALUE"""),"superflr")</f>
        <v>superflr</v>
      </c>
      <c r="C12426" s="2" t="str">
        <f ca="1">IFERROR(__xludf.DUMMYFUNCTION("""COMPUTED_VALUE"""),"SuperFlare")</f>
        <v>SuperFlare</v>
      </c>
    </row>
    <row r="12427" spans="1:3" x14ac:dyDescent="0.25">
      <c r="A12427" s="2" t="str">
        <f ca="1">IFERROR(__xludf.DUMMYFUNCTION("""COMPUTED_VALUE"""),"superfrank")</f>
        <v>superfrank</v>
      </c>
      <c r="B12427" s="2" t="str">
        <f ca="1">IFERROR(__xludf.DUMMYFUNCTION("""COMPUTED_VALUE"""),"chfp")</f>
        <v>chfp</v>
      </c>
      <c r="C12427" s="2" t="str">
        <f ca="1">IFERROR(__xludf.DUMMYFUNCTION("""COMPUTED_VALUE"""),"SuperFrank")</f>
        <v>SuperFrank</v>
      </c>
    </row>
    <row r="12428" spans="1:3" x14ac:dyDescent="0.25">
      <c r="A12428" s="2" t="str">
        <f ca="1">IFERROR(__xludf.DUMMYFUNCTION("""COMPUTED_VALUE"""),"superlauncher-dao")</f>
        <v>superlauncher-dao</v>
      </c>
      <c r="B12428" s="2" t="str">
        <f ca="1">IFERROR(__xludf.DUMMYFUNCTION("""COMPUTED_VALUE"""),"launch")</f>
        <v>launch</v>
      </c>
      <c r="C12428" s="2" t="str">
        <f ca="1">IFERROR(__xludf.DUMMYFUNCTION("""COMPUTED_VALUE"""),"Superlauncher")</f>
        <v>Superlauncher</v>
      </c>
    </row>
    <row r="12429" spans="1:3" x14ac:dyDescent="0.25">
      <c r="A12429" s="2" t="str">
        <f ca="1">IFERROR(__xludf.DUMMYFUNCTION("""COMPUTED_VALUE"""),"supermarioporsche911inu")</f>
        <v>supermarioporsche911inu</v>
      </c>
      <c r="B12429" s="2" t="str">
        <f ca="1">IFERROR(__xludf.DUMMYFUNCTION("""COMPUTED_VALUE"""),"silkroad")</f>
        <v>silkroad</v>
      </c>
      <c r="C12429" s="2" t="str">
        <f ca="1">IFERROR(__xludf.DUMMYFUNCTION("""COMPUTED_VALUE"""),"SuperMarioPorsche911Inu")</f>
        <v>SuperMarioPorsche911Inu</v>
      </c>
    </row>
    <row r="12430" spans="1:3" x14ac:dyDescent="0.25">
      <c r="A12430" s="2" t="str">
        <f ca="1">IFERROR(__xludf.DUMMYFUNCTION("""COMPUTED_VALUE"""),"super-oeth")</f>
        <v>super-oeth</v>
      </c>
      <c r="B12430" s="2" t="str">
        <f ca="1">IFERROR(__xludf.DUMMYFUNCTION("""COMPUTED_VALUE"""),"superoethb")</f>
        <v>superoethb</v>
      </c>
      <c r="C12430" s="2" t="str">
        <f ca="1">IFERROR(__xludf.DUMMYFUNCTION("""COMPUTED_VALUE"""),"Super OETH")</f>
        <v>Super OETH</v>
      </c>
    </row>
    <row r="12431" spans="1:3" x14ac:dyDescent="0.25">
      <c r="A12431" s="2" t="str">
        <f ca="1">IFERROR(__xludf.DUMMYFUNCTION("""COMPUTED_VALUE"""),"superrare")</f>
        <v>superrare</v>
      </c>
      <c r="B12431" s="2" t="str">
        <f ca="1">IFERROR(__xludf.DUMMYFUNCTION("""COMPUTED_VALUE"""),"rare")</f>
        <v>rare</v>
      </c>
      <c r="C12431" s="2" t="str">
        <f ca="1">IFERROR(__xludf.DUMMYFUNCTION("""COMPUTED_VALUE"""),"SuperRare")</f>
        <v>SuperRare</v>
      </c>
    </row>
    <row r="12432" spans="1:3" x14ac:dyDescent="0.25">
      <c r="A12432" s="2" t="str">
        <f ca="1">IFERROR(__xludf.DUMMYFUNCTION("""COMPUTED_VALUE"""),"super-rare-ball-shares")</f>
        <v>super-rare-ball-shares</v>
      </c>
      <c r="B12432" s="2" t="str">
        <f ca="1">IFERROR(__xludf.DUMMYFUNCTION("""COMPUTED_VALUE"""),"srbp")</f>
        <v>srbp</v>
      </c>
      <c r="C12432" s="2" t="str">
        <f ca="1">IFERROR(__xludf.DUMMYFUNCTION("""COMPUTED_VALUE"""),"Super Rare Ball Potion")</f>
        <v>Super Rare Ball Potion</v>
      </c>
    </row>
    <row r="12433" spans="1:3" x14ac:dyDescent="0.25">
      <c r="A12433" s="2" t="str">
        <f ca="1">IFERROR(__xludf.DUMMYFUNCTION("""COMPUTED_VALUE"""),"superrarebears-hype")</f>
        <v>superrarebears-hype</v>
      </c>
      <c r="B12433" s="2" t="str">
        <f ca="1">IFERROR(__xludf.DUMMYFUNCTION("""COMPUTED_VALUE"""),"hype")</f>
        <v>hype</v>
      </c>
      <c r="C12433" s="2" t="str">
        <f ca="1">IFERROR(__xludf.DUMMYFUNCTION("""COMPUTED_VALUE"""),"SuperRareBears HYPE")</f>
        <v>SuperRareBears HYPE</v>
      </c>
    </row>
    <row r="12434" spans="1:3" x14ac:dyDescent="0.25">
      <c r="A12434" s="2" t="str">
        <f ca="1">IFERROR(__xludf.DUMMYFUNCTION("""COMPUTED_VALUE"""),"superrarebears-rare")</f>
        <v>superrarebears-rare</v>
      </c>
      <c r="B12434" s="2" t="str">
        <f ca="1">IFERROR(__xludf.DUMMYFUNCTION("""COMPUTED_VALUE"""),"rare")</f>
        <v>rare</v>
      </c>
      <c r="C12434" s="2" t="str">
        <f ca="1">IFERROR(__xludf.DUMMYFUNCTION("""COMPUTED_VALUE"""),"SuperRareBears RARE")</f>
        <v>SuperRareBears RARE</v>
      </c>
    </row>
    <row r="12435" spans="1:3" x14ac:dyDescent="0.25">
      <c r="A12435" s="2" t="str">
        <f ca="1">IFERROR(__xludf.DUMMYFUNCTION("""COMPUTED_VALUE"""),"super-seyian-eth")</f>
        <v>super-seyian-eth</v>
      </c>
      <c r="B12435" s="2" t="str">
        <f ca="1">IFERROR(__xludf.DUMMYFUNCTION("""COMPUTED_VALUE"""),"sseth")</f>
        <v>sseth</v>
      </c>
      <c r="C12435" s="2" t="str">
        <f ca="1">IFERROR(__xludf.DUMMYFUNCTION("""COMPUTED_VALUE"""),"Super Seyian ETH")</f>
        <v>Super Seyian ETH</v>
      </c>
    </row>
    <row r="12436" spans="1:3" x14ac:dyDescent="0.25">
      <c r="A12436" s="2" t="str">
        <f ca="1">IFERROR(__xludf.DUMMYFUNCTION("""COMPUTED_VALUE"""),"superstate-short-duration-us-government-securities-fund-ustb")</f>
        <v>superstate-short-duration-us-government-securities-fund-ustb</v>
      </c>
      <c r="B12436" s="2" t="str">
        <f ca="1">IFERROR(__xludf.DUMMYFUNCTION("""COMPUTED_VALUE"""),"ustb")</f>
        <v>ustb</v>
      </c>
      <c r="C12436" s="2" t="str">
        <f ca="1">IFERROR(__xludf.DUMMYFUNCTION("""COMPUTED_VALUE"""),"Superstate Short Duration U.S. Government Securities Fund (USTB)")</f>
        <v>Superstate Short Duration U.S. Government Securities Fund (USTB)</v>
      </c>
    </row>
    <row r="12437" spans="1:3" x14ac:dyDescent="0.25">
      <c r="A12437" s="2" t="str">
        <f ca="1">IFERROR(__xludf.DUMMYFUNCTION("""COMPUTED_VALUE"""),"superstate-uscc")</f>
        <v>superstate-uscc</v>
      </c>
      <c r="B12437" s="2" t="str">
        <f ca="1">IFERROR(__xludf.DUMMYFUNCTION("""COMPUTED_VALUE"""),"uscc")</f>
        <v>uscc</v>
      </c>
      <c r="C12437" s="2" t="str">
        <f ca="1">IFERROR(__xludf.DUMMYFUNCTION("""COMPUTED_VALUE"""),"Superstate USCC")</f>
        <v>Superstate USCC</v>
      </c>
    </row>
    <row r="12438" spans="1:3" x14ac:dyDescent="0.25">
      <c r="A12438" s="2" t="str">
        <f ca="1">IFERROR(__xludf.DUMMYFUNCTION("""COMPUTED_VALUE"""),"super-sushi-samurai")</f>
        <v>super-sushi-samurai</v>
      </c>
      <c r="B12438" s="2" t="str">
        <f ca="1">IFERROR(__xludf.DUMMYFUNCTION("""COMPUTED_VALUE"""),"sss")</f>
        <v>sss</v>
      </c>
      <c r="C12438" s="2" t="str">
        <f ca="1">IFERROR(__xludf.DUMMYFUNCTION("""COMPUTED_VALUE"""),"Super Sushi Samurai")</f>
        <v>Super Sushi Samurai</v>
      </c>
    </row>
    <row r="12439" spans="1:3" x14ac:dyDescent="0.25">
      <c r="A12439" s="2" t="str">
        <f ca="1">IFERROR(__xludf.DUMMYFUNCTION("""COMPUTED_VALUE"""),"super-trump")</f>
        <v>super-trump</v>
      </c>
      <c r="B12439" s="2" t="str">
        <f ca="1">IFERROR(__xludf.DUMMYFUNCTION("""COMPUTED_VALUE"""),"strump")</f>
        <v>strump</v>
      </c>
      <c r="C12439" s="2" t="str">
        <f ca="1">IFERROR(__xludf.DUMMYFUNCTION("""COMPUTED_VALUE"""),"Super Trump")</f>
        <v>Super Trump</v>
      </c>
    </row>
    <row r="12440" spans="1:3" x14ac:dyDescent="0.25">
      <c r="A12440" s="2" t="str">
        <f ca="1">IFERROR(__xludf.DUMMYFUNCTION("""COMPUTED_VALUE"""),"super-useless-token")</f>
        <v>super-useless-token</v>
      </c>
      <c r="B12440" s="2" t="str">
        <f ca="1">IFERROR(__xludf.DUMMYFUNCTION("""COMPUTED_VALUE"""),"sut")</f>
        <v>sut</v>
      </c>
      <c r="C12440" s="2" t="str">
        <f ca="1">IFERROR(__xludf.DUMMYFUNCTION("""COMPUTED_VALUE"""),"Super Useless Token")</f>
        <v>Super Useless Token</v>
      </c>
    </row>
    <row r="12441" spans="1:3" x14ac:dyDescent="0.25">
      <c r="A12441" s="2" t="str">
        <f ca="1">IFERROR(__xludf.DUMMYFUNCTION("""COMPUTED_VALUE"""),"super-vet")</f>
        <v>super-vet</v>
      </c>
      <c r="B12441" s="2" t="str">
        <f ca="1">IFERROR(__xludf.DUMMYFUNCTION("""COMPUTED_VALUE"""),"svet")</f>
        <v>svet</v>
      </c>
      <c r="C12441" s="2" t="str">
        <f ca="1">IFERROR(__xludf.DUMMYFUNCTION("""COMPUTED_VALUE"""),"Super Vet")</f>
        <v>Super Vet</v>
      </c>
    </row>
    <row r="12442" spans="1:3" x14ac:dyDescent="0.25">
      <c r="A12442" s="2" t="str">
        <f ca="1">IFERROR(__xludf.DUMMYFUNCTION("""COMPUTED_VALUE"""),"superwalk")</f>
        <v>superwalk</v>
      </c>
      <c r="B12442" s="2" t="str">
        <f ca="1">IFERROR(__xludf.DUMMYFUNCTION("""COMPUTED_VALUE"""),"grnd")</f>
        <v>grnd</v>
      </c>
      <c r="C12442" s="2" t="str">
        <f ca="1">IFERROR(__xludf.DUMMYFUNCTION("""COMPUTED_VALUE"""),"SuperWalk GRND")</f>
        <v>SuperWalk GRND</v>
      </c>
    </row>
    <row r="12443" spans="1:3" x14ac:dyDescent="0.25">
      <c r="A12443" s="2" t="str">
        <f ca="1">IFERROR(__xludf.DUMMYFUNCTION("""COMPUTED_VALUE"""),"superwalk-walk")</f>
        <v>superwalk-walk</v>
      </c>
      <c r="B12443" s="2" t="str">
        <f ca="1">IFERROR(__xludf.DUMMYFUNCTION("""COMPUTED_VALUE"""),"walk")</f>
        <v>walk</v>
      </c>
      <c r="C12443" s="2" t="str">
        <f ca="1">IFERROR(__xludf.DUMMYFUNCTION("""COMPUTED_VALUE"""),"SuperWalk WALK")</f>
        <v>SuperWalk WALK</v>
      </c>
    </row>
    <row r="12444" spans="1:3" x14ac:dyDescent="0.25">
      <c r="A12444" s="2" t="str">
        <f ca="1">IFERROR(__xludf.DUMMYFUNCTION("""COMPUTED_VALUE"""),"super-zero")</f>
        <v>super-zero</v>
      </c>
      <c r="B12444" s="2" t="str">
        <f ca="1">IFERROR(__xludf.DUMMYFUNCTION("""COMPUTED_VALUE"""),"sero")</f>
        <v>sero</v>
      </c>
      <c r="C12444" s="2" t="str">
        <f ca="1">IFERROR(__xludf.DUMMYFUNCTION("""COMPUTED_VALUE"""),"SERO")</f>
        <v>SERO</v>
      </c>
    </row>
    <row r="12445" spans="1:3" x14ac:dyDescent="0.25">
      <c r="A12445" s="2" t="str">
        <f ca="1">IFERROR(__xludf.DUMMYFUNCTION("""COMPUTED_VALUE"""),"supra")</f>
        <v>supra</v>
      </c>
      <c r="B12445" s="2" t="str">
        <f ca="1">IFERROR(__xludf.DUMMYFUNCTION("""COMPUTED_VALUE"""),"supra")</f>
        <v>supra</v>
      </c>
      <c r="C12445" s="2" t="str">
        <f ca="1">IFERROR(__xludf.DUMMYFUNCTION("""COMPUTED_VALUE"""),"Supra")</f>
        <v>Supra</v>
      </c>
    </row>
    <row r="12446" spans="1:3" x14ac:dyDescent="0.25">
      <c r="A12446" s="2" t="str">
        <f ca="1">IFERROR(__xludf.DUMMYFUNCTION("""COMPUTED_VALUE"""),"suprenft")</f>
        <v>suprenft</v>
      </c>
      <c r="B12446" s="2" t="str">
        <f ca="1">IFERROR(__xludf.DUMMYFUNCTION("""COMPUTED_VALUE"""),"snft")</f>
        <v>snft</v>
      </c>
      <c r="C12446" s="2" t="str">
        <f ca="1">IFERROR(__xludf.DUMMYFUNCTION("""COMPUTED_VALUE"""),"SupreNFT")</f>
        <v>SupreNFT</v>
      </c>
    </row>
    <row r="12447" spans="1:3" x14ac:dyDescent="0.25">
      <c r="A12447" s="2" t="str">
        <f ca="1">IFERROR(__xludf.DUMMYFUNCTION("""COMPUTED_VALUE"""),"sureremit")</f>
        <v>sureremit</v>
      </c>
      <c r="B12447" s="2" t="str">
        <f ca="1">IFERROR(__xludf.DUMMYFUNCTION("""COMPUTED_VALUE"""),"rmt")</f>
        <v>rmt</v>
      </c>
      <c r="C12447" s="2" t="str">
        <f ca="1">IFERROR(__xludf.DUMMYFUNCTION("""COMPUTED_VALUE"""),"SureRemit")</f>
        <v>SureRemit</v>
      </c>
    </row>
    <row r="12448" spans="1:3" x14ac:dyDescent="0.25">
      <c r="A12448" s="2" t="str">
        <f ca="1">IFERROR(__xludf.DUMMYFUNCTION("""COMPUTED_VALUE"""),"surfboard")</f>
        <v>surfboard</v>
      </c>
      <c r="B12448" s="2" t="str">
        <f ca="1">IFERROR(__xludf.DUMMYFUNCTION("""COMPUTED_VALUE"""),"board")</f>
        <v>board</v>
      </c>
      <c r="C12448" s="2" t="str">
        <f ca="1">IFERROR(__xludf.DUMMYFUNCTION("""COMPUTED_VALUE"""),"SURFBOARD")</f>
        <v>SURFBOARD</v>
      </c>
    </row>
    <row r="12449" spans="1:3" x14ac:dyDescent="0.25">
      <c r="A12449" s="2" t="str">
        <f ca="1">IFERROR(__xludf.DUMMYFUNCTION("""COMPUTED_VALUE"""),"surrealverse")</f>
        <v>surrealverse</v>
      </c>
      <c r="B12449" s="2" t="str">
        <f ca="1">IFERROR(__xludf.DUMMYFUNCTION("""COMPUTED_VALUE"""),"azee")</f>
        <v>azee</v>
      </c>
      <c r="C12449" s="2" t="str">
        <f ca="1">IFERROR(__xludf.DUMMYFUNCTION("""COMPUTED_VALUE"""),"SurrealVerse")</f>
        <v>SurrealVerse</v>
      </c>
    </row>
    <row r="12450" spans="1:3" x14ac:dyDescent="0.25">
      <c r="A12450" s="2" t="str">
        <f ca="1">IFERROR(__xludf.DUMMYFUNCTION("""COMPUTED_VALUE"""),"surveyor-dao")</f>
        <v>surveyor-dao</v>
      </c>
      <c r="B12450" s="2" t="str">
        <f ca="1">IFERROR(__xludf.DUMMYFUNCTION("""COMPUTED_VALUE"""),"surv")</f>
        <v>surv</v>
      </c>
      <c r="C12450" s="2" t="str">
        <f ca="1">IFERROR(__xludf.DUMMYFUNCTION("""COMPUTED_VALUE"""),"Surveyor DAO")</f>
        <v>Surveyor DAO</v>
      </c>
    </row>
    <row r="12451" spans="1:3" x14ac:dyDescent="0.25">
      <c r="A12451" s="2" t="str">
        <f ca="1">IFERROR(__xludf.DUMMYFUNCTION("""COMPUTED_VALUE"""),"susd-optimism")</f>
        <v>susd-optimism</v>
      </c>
      <c r="B12451" s="2" t="str">
        <f ca="1">IFERROR(__xludf.DUMMYFUNCTION("""COMPUTED_VALUE"""),"susd")</f>
        <v>susd</v>
      </c>
      <c r="C12451" s="2" t="str">
        <f ca="1">IFERROR(__xludf.DUMMYFUNCTION("""COMPUTED_VALUE"""),"sUSD (Optimism)")</f>
        <v>sUSD (Optimism)</v>
      </c>
    </row>
    <row r="12452" spans="1:3" x14ac:dyDescent="0.25">
      <c r="A12452" s="2" t="str">
        <f ca="1">IFERROR(__xludf.DUMMYFUNCTION("""COMPUTED_VALUE"""),"susd-yvault")</f>
        <v>susd-yvault</v>
      </c>
      <c r="B12452" s="2" t="str">
        <f ca="1">IFERROR(__xludf.DUMMYFUNCTION("""COMPUTED_VALUE"""),"yvsusd")</f>
        <v>yvsusd</v>
      </c>
      <c r="C12452" s="2" t="str">
        <f ca="1">IFERROR(__xludf.DUMMYFUNCTION("""COMPUTED_VALUE"""),"sUSD yVault")</f>
        <v>sUSD yVault</v>
      </c>
    </row>
    <row r="12453" spans="1:3" x14ac:dyDescent="0.25">
      <c r="A12453" s="2" t="str">
        <f ca="1">IFERROR(__xludf.DUMMYFUNCTION("""COMPUTED_VALUE"""),"sushi")</f>
        <v>sushi</v>
      </c>
      <c r="B12453" s="2" t="str">
        <f ca="1">IFERROR(__xludf.DUMMYFUNCTION("""COMPUTED_VALUE"""),"sushi")</f>
        <v>sushi</v>
      </c>
      <c r="C12453" s="2" t="str">
        <f ca="1">IFERROR(__xludf.DUMMYFUNCTION("""COMPUTED_VALUE"""),"Sushi")</f>
        <v>Sushi</v>
      </c>
    </row>
    <row r="12454" spans="1:3" x14ac:dyDescent="0.25">
      <c r="A12454" s="2" t="str">
        <f ca="1">IFERROR(__xludf.DUMMYFUNCTION("""COMPUTED_VALUE"""),"sushi-fighter")</f>
        <v>sushi-fighter</v>
      </c>
      <c r="B12454" s="2" t="str">
        <f ca="1">IFERROR(__xludf.DUMMYFUNCTION("""COMPUTED_VALUE"""),"$sushi")</f>
        <v>$sushi</v>
      </c>
      <c r="C12454" s="2" t="str">
        <f ca="1">IFERROR(__xludf.DUMMYFUNCTION("""COMPUTED_VALUE"""),"Sushi Fighter")</f>
        <v>Sushi Fighter</v>
      </c>
    </row>
    <row r="12455" spans="1:3" x14ac:dyDescent="0.25">
      <c r="A12455" s="2" t="str">
        <f ca="1">IFERROR(__xludf.DUMMYFUNCTION("""COMPUTED_VALUE"""),"sushi-yvault")</f>
        <v>sushi-yvault</v>
      </c>
      <c r="B12455" s="2" t="str">
        <f ca="1">IFERROR(__xludf.DUMMYFUNCTION("""COMPUTED_VALUE"""),"yvsushi")</f>
        <v>yvsushi</v>
      </c>
      <c r="C12455" s="2" t="str">
        <f ca="1">IFERROR(__xludf.DUMMYFUNCTION("""COMPUTED_VALUE"""),"SUSHI yVault")</f>
        <v>SUSHI yVault</v>
      </c>
    </row>
    <row r="12456" spans="1:3" x14ac:dyDescent="0.25">
      <c r="A12456" s="2" t="str">
        <f ca="1">IFERROR(__xludf.DUMMYFUNCTION("""COMPUTED_VALUE"""),"sustainable-energy-token")</f>
        <v>sustainable-energy-token</v>
      </c>
      <c r="B12456" s="2" t="str">
        <f ca="1">IFERROR(__xludf.DUMMYFUNCTION("""COMPUTED_VALUE"""),"set")</f>
        <v>set</v>
      </c>
      <c r="C12456" s="2" t="str">
        <f ca="1">IFERROR(__xludf.DUMMYFUNCTION("""COMPUTED_VALUE"""),"Sustainable Energy")</f>
        <v>Sustainable Energy</v>
      </c>
    </row>
    <row r="12457" spans="1:3" x14ac:dyDescent="0.25">
      <c r="A12457" s="2" t="str">
        <f ca="1">IFERROR(__xludf.DUMMYFUNCTION("""COMPUTED_VALUE"""),"suterusu")</f>
        <v>suterusu</v>
      </c>
      <c r="B12457" s="2" t="str">
        <f ca="1">IFERROR(__xludf.DUMMYFUNCTION("""COMPUTED_VALUE"""),"suter")</f>
        <v>suter</v>
      </c>
      <c r="C12457" s="2" t="str">
        <f ca="1">IFERROR(__xludf.DUMMYFUNCTION("""COMPUTED_VALUE"""),"Suterusu")</f>
        <v>Suterusu</v>
      </c>
    </row>
    <row r="12458" spans="1:3" x14ac:dyDescent="0.25">
      <c r="A12458" s="2" t="str">
        <f ca="1">IFERROR(__xludf.DUMMYFUNCTION("""COMPUTED_VALUE"""),"suvereno")</f>
        <v>suvereno</v>
      </c>
      <c r="B12458" s="2" t="str">
        <f ca="1">IFERROR(__xludf.DUMMYFUNCTION("""COMPUTED_VALUE"""),"suv")</f>
        <v>suv</v>
      </c>
      <c r="C12458" s="2" t="str">
        <f ca="1">IFERROR(__xludf.DUMMYFUNCTION("""COMPUTED_VALUE"""),"Suvereno")</f>
        <v>Suvereno</v>
      </c>
    </row>
    <row r="12459" spans="1:3" x14ac:dyDescent="0.25">
      <c r="A12459" s="2" t="str">
        <f ca="1">IFERROR(__xludf.DUMMYFUNCTION("""COMPUTED_VALUE"""),"suzuverse")</f>
        <v>suzuverse</v>
      </c>
      <c r="B12459" s="2" t="str">
        <f ca="1">IFERROR(__xludf.DUMMYFUNCTION("""COMPUTED_VALUE"""),"sgt")</f>
        <v>sgt</v>
      </c>
      <c r="C12459" s="2" t="str">
        <f ca="1">IFERROR(__xludf.DUMMYFUNCTION("""COMPUTED_VALUE"""),"Suzuverse")</f>
        <v>Suzuverse</v>
      </c>
    </row>
    <row r="12460" spans="1:3" x14ac:dyDescent="0.25">
      <c r="A12460" s="2" t="str">
        <f ca="1">IFERROR(__xludf.DUMMYFUNCTION("""COMPUTED_VALUE"""),"swag")</f>
        <v>swag</v>
      </c>
      <c r="B12460" s="2" t="str">
        <f ca="1">IFERROR(__xludf.DUMMYFUNCTION("""COMPUTED_VALUE"""),"$swag")</f>
        <v>$swag</v>
      </c>
      <c r="C12460" s="2" t="str">
        <f ca="1">IFERROR(__xludf.DUMMYFUNCTION("""COMPUTED_VALUE"""),"Swag")</f>
        <v>Swag</v>
      </c>
    </row>
    <row r="12461" spans="1:3" x14ac:dyDescent="0.25">
      <c r="A12461" s="2" t="str">
        <f ca="1">IFERROR(__xludf.DUMMYFUNCTION("""COMPUTED_VALUE"""),"swag-coin")</f>
        <v>swag-coin</v>
      </c>
      <c r="B12461" s="2" t="str">
        <f ca="1">IFERROR(__xludf.DUMMYFUNCTION("""COMPUTED_VALUE"""),"swag")</f>
        <v>swag</v>
      </c>
      <c r="C12461" s="2" t="str">
        <f ca="1">IFERROR(__xludf.DUMMYFUNCTION("""COMPUTED_VALUE"""),"swag coin")</f>
        <v>swag coin</v>
      </c>
    </row>
    <row r="12462" spans="1:3" x14ac:dyDescent="0.25">
      <c r="A12462" s="2" t="str">
        <f ca="1">IFERROR(__xludf.DUMMYFUNCTION("""COMPUTED_VALUE"""),"swamp-coin")</f>
        <v>swamp-coin</v>
      </c>
      <c r="B12462" s="2" t="str">
        <f ca="1">IFERROR(__xludf.DUMMYFUNCTION("""COMPUTED_VALUE"""),"swamp")</f>
        <v>swamp</v>
      </c>
      <c r="C12462" s="2" t="str">
        <f ca="1">IFERROR(__xludf.DUMMYFUNCTION("""COMPUTED_VALUE"""),"Swamp Coin")</f>
        <v>Swamp Coin</v>
      </c>
    </row>
    <row r="12463" spans="1:3" x14ac:dyDescent="0.25">
      <c r="A12463" s="2" t="str">
        <f ca="1">IFERROR(__xludf.DUMMYFUNCTION("""COMPUTED_VALUE"""),"swana-solana")</f>
        <v>swana-solana</v>
      </c>
      <c r="B12463" s="2" t="str">
        <f ca="1">IFERROR(__xludf.DUMMYFUNCTION("""COMPUTED_VALUE"""),"swana")</f>
        <v>swana</v>
      </c>
      <c r="C12463" s="2" t="str">
        <f ca="1">IFERROR(__xludf.DUMMYFUNCTION("""COMPUTED_VALUE"""),"Swana Solana")</f>
        <v>Swana Solana</v>
      </c>
    </row>
    <row r="12464" spans="1:3" x14ac:dyDescent="0.25">
      <c r="A12464" s="2" t="str">
        <f ca="1">IFERROR(__xludf.DUMMYFUNCTION("""COMPUTED_VALUE"""),"swap")</f>
        <v>swap</v>
      </c>
      <c r="B12464" s="2" t="str">
        <f ca="1">IFERROR(__xludf.DUMMYFUNCTION("""COMPUTED_VALUE"""),"xwp")</f>
        <v>xwp</v>
      </c>
      <c r="C12464" s="2" t="str">
        <f ca="1">IFERROR(__xludf.DUMMYFUNCTION("""COMPUTED_VALUE"""),"Swap")</f>
        <v>Swap</v>
      </c>
    </row>
    <row r="12465" spans="1:3" x14ac:dyDescent="0.25">
      <c r="A12465" s="2" t="str">
        <f ca="1">IFERROR(__xludf.DUMMYFUNCTION("""COMPUTED_VALUE"""),"swap315")</f>
        <v>swap315</v>
      </c>
      <c r="B12465" s="2" t="str">
        <f ca="1">IFERROR(__xludf.DUMMYFUNCTION("""COMPUTED_VALUE"""),"s315")</f>
        <v>s315</v>
      </c>
      <c r="C12465" s="2" t="str">
        <f ca="1">IFERROR(__xludf.DUMMYFUNCTION("""COMPUTED_VALUE"""),"SWAP315")</f>
        <v>SWAP315</v>
      </c>
    </row>
    <row r="12466" spans="1:3" x14ac:dyDescent="0.25">
      <c r="A12466" s="2" t="str">
        <f ca="1">IFERROR(__xludf.DUMMYFUNCTION("""COMPUTED_VALUE"""),"swapbased-coin")</f>
        <v>swapbased-coin</v>
      </c>
      <c r="B12466" s="2" t="str">
        <f ca="1">IFERROR(__xludf.DUMMYFUNCTION("""COMPUTED_VALUE"""),"coin")</f>
        <v>coin</v>
      </c>
      <c r="C12466" s="2" t="str">
        <f ca="1">IFERROR(__xludf.DUMMYFUNCTION("""COMPUTED_VALUE"""),"SwapBased COIN")</f>
        <v>SwapBased COIN</v>
      </c>
    </row>
    <row r="12467" spans="1:3" x14ac:dyDescent="0.25">
      <c r="A12467" s="2" t="str">
        <f ca="1">IFERROR(__xludf.DUMMYFUNCTION("""COMPUTED_VALUE"""),"swapblast-finance-token")</f>
        <v>swapblast-finance-token</v>
      </c>
      <c r="B12467" s="2" t="str">
        <f ca="1">IFERROR(__xludf.DUMMYFUNCTION("""COMPUTED_VALUE"""),"sbf")</f>
        <v>sbf</v>
      </c>
      <c r="C12467" s="2" t="str">
        <f ca="1">IFERROR(__xludf.DUMMYFUNCTION("""COMPUTED_VALUE"""),"SwapBlast Finance Token")</f>
        <v>SwapBlast Finance Token</v>
      </c>
    </row>
    <row r="12468" spans="1:3" x14ac:dyDescent="0.25">
      <c r="A12468" s="2" t="str">
        <f ca="1">IFERROR(__xludf.DUMMYFUNCTION("""COMPUTED_VALUE"""),"swapmode")</f>
        <v>swapmode</v>
      </c>
      <c r="B12468" s="2" t="str">
        <f ca="1">IFERROR(__xludf.DUMMYFUNCTION("""COMPUTED_VALUE"""),"smd")</f>
        <v>smd</v>
      </c>
      <c r="C12468" s="2" t="str">
        <f ca="1">IFERROR(__xludf.DUMMYFUNCTION("""COMPUTED_VALUE"""),"SwapMode")</f>
        <v>SwapMode</v>
      </c>
    </row>
    <row r="12469" spans="1:3" x14ac:dyDescent="0.25">
      <c r="A12469" s="2" t="str">
        <f ca="1">IFERROR(__xludf.DUMMYFUNCTION("""COMPUTED_VALUE"""),"swapped-finance")</f>
        <v>swapped-finance</v>
      </c>
      <c r="B12469" s="2" t="str">
        <f ca="1">IFERROR(__xludf.DUMMYFUNCTION("""COMPUTED_VALUE"""),"swpd")</f>
        <v>swpd</v>
      </c>
      <c r="C12469" s="2" t="str">
        <f ca="1">IFERROR(__xludf.DUMMYFUNCTION("""COMPUTED_VALUE"""),"Swapped Finance")</f>
        <v>Swapped Finance</v>
      </c>
    </row>
    <row r="12470" spans="1:3" x14ac:dyDescent="0.25">
      <c r="A12470" s="2" t="str">
        <f ca="1">IFERROR(__xludf.DUMMYFUNCTION("""COMPUTED_VALUE"""),"swappi")</f>
        <v>swappi</v>
      </c>
      <c r="B12470" s="2" t="str">
        <f ca="1">IFERROR(__xludf.DUMMYFUNCTION("""COMPUTED_VALUE"""),"ppi")</f>
        <v>ppi</v>
      </c>
      <c r="C12470" s="2" t="str">
        <f ca="1">IFERROR(__xludf.DUMMYFUNCTION("""COMPUTED_VALUE"""),"Swappi")</f>
        <v>Swappi</v>
      </c>
    </row>
    <row r="12471" spans="1:3" x14ac:dyDescent="0.25">
      <c r="A12471" s="2" t="str">
        <f ca="1">IFERROR(__xludf.DUMMYFUNCTION("""COMPUTED_VALUE"""),"swapr")</f>
        <v>swapr</v>
      </c>
      <c r="B12471" s="2" t="str">
        <f ca="1">IFERROR(__xludf.DUMMYFUNCTION("""COMPUTED_VALUE"""),"swpr")</f>
        <v>swpr</v>
      </c>
      <c r="C12471" s="2" t="str">
        <f ca="1">IFERROR(__xludf.DUMMYFUNCTION("""COMPUTED_VALUE"""),"Swapr")</f>
        <v>Swapr</v>
      </c>
    </row>
    <row r="12472" spans="1:3" x14ac:dyDescent="0.25">
      <c r="A12472" s="2" t="str">
        <f ca="1">IFERROR(__xludf.DUMMYFUNCTION("""COMPUTED_VALUE"""),"swaprum")</f>
        <v>swaprum</v>
      </c>
      <c r="B12472" s="2" t="str">
        <f ca="1">IFERROR(__xludf.DUMMYFUNCTION("""COMPUTED_VALUE"""),"sapr")</f>
        <v>sapr</v>
      </c>
      <c r="C12472" s="2" t="str">
        <f ca="1">IFERROR(__xludf.DUMMYFUNCTION("""COMPUTED_VALUE"""),"Swaprum")</f>
        <v>Swaprum</v>
      </c>
    </row>
    <row r="12473" spans="1:3" x14ac:dyDescent="0.25">
      <c r="A12473" s="2" t="str">
        <f ca="1">IFERROR(__xludf.DUMMYFUNCTION("""COMPUTED_VALUE"""),"swaptracker")</f>
        <v>swaptracker</v>
      </c>
      <c r="B12473" s="2" t="str">
        <f ca="1">IFERROR(__xludf.DUMMYFUNCTION("""COMPUTED_VALUE"""),"swpt")</f>
        <v>swpt</v>
      </c>
      <c r="C12473" s="2" t="str">
        <f ca="1">IFERROR(__xludf.DUMMYFUNCTION("""COMPUTED_VALUE"""),"SwapTracker")</f>
        <v>SwapTracker</v>
      </c>
    </row>
    <row r="12474" spans="1:3" x14ac:dyDescent="0.25">
      <c r="A12474" s="2" t="str">
        <f ca="1">IFERROR(__xludf.DUMMYFUNCTION("""COMPUTED_VALUE"""),"swapz-app")</f>
        <v>swapz-app</v>
      </c>
      <c r="B12474" s="2" t="str">
        <f ca="1">IFERROR(__xludf.DUMMYFUNCTION("""COMPUTED_VALUE"""),"swapz")</f>
        <v>swapz</v>
      </c>
      <c r="C12474" s="2" t="str">
        <f ca="1">IFERROR(__xludf.DUMMYFUNCTION("""COMPUTED_VALUE"""),"SWAPZ.app")</f>
        <v>SWAPZ.app</v>
      </c>
    </row>
    <row r="12475" spans="1:3" x14ac:dyDescent="0.25">
      <c r="A12475" s="2" t="str">
        <f ca="1">IFERROR(__xludf.DUMMYFUNCTION("""COMPUTED_VALUE"""),"swarm")</f>
        <v>swarm</v>
      </c>
      <c r="B12475" s="2" t="str">
        <f ca="1">IFERROR(__xludf.DUMMYFUNCTION("""COMPUTED_VALUE"""),"swm")</f>
        <v>swm</v>
      </c>
      <c r="C12475" s="2" t="str">
        <f ca="1">IFERROR(__xludf.DUMMYFUNCTION("""COMPUTED_VALUE"""),"Swarm Network")</f>
        <v>Swarm Network</v>
      </c>
    </row>
    <row r="12476" spans="1:3" x14ac:dyDescent="0.25">
      <c r="A12476" s="2" t="str">
        <f ca="1">IFERROR(__xludf.DUMMYFUNCTION("""COMPUTED_VALUE"""),"swarm-bzz")</f>
        <v>swarm-bzz</v>
      </c>
      <c r="B12476" s="2" t="str">
        <f ca="1">IFERROR(__xludf.DUMMYFUNCTION("""COMPUTED_VALUE"""),"bzz")</f>
        <v>bzz</v>
      </c>
      <c r="C12476" s="2" t="str">
        <f ca="1">IFERROR(__xludf.DUMMYFUNCTION("""COMPUTED_VALUE"""),"Swarm")</f>
        <v>Swarm</v>
      </c>
    </row>
    <row r="12477" spans="1:3" x14ac:dyDescent="0.25">
      <c r="A12477" s="2" t="str">
        <f ca="1">IFERROR(__xludf.DUMMYFUNCTION("""COMPUTED_VALUE"""),"swarm-markets")</f>
        <v>swarm-markets</v>
      </c>
      <c r="B12477" s="2" t="str">
        <f ca="1">IFERROR(__xludf.DUMMYFUNCTION("""COMPUTED_VALUE"""),"smt")</f>
        <v>smt</v>
      </c>
      <c r="C12477" s="2" t="str">
        <f ca="1">IFERROR(__xludf.DUMMYFUNCTION("""COMPUTED_VALUE"""),"Swarm Markets")</f>
        <v>Swarm Markets</v>
      </c>
    </row>
    <row r="12478" spans="1:3" x14ac:dyDescent="0.25">
      <c r="A12478" s="2" t="str">
        <f ca="1">IFERROR(__xludf.DUMMYFUNCTION("""COMPUTED_VALUE"""),"swash")</f>
        <v>swash</v>
      </c>
      <c r="B12478" s="2" t="str">
        <f ca="1">IFERROR(__xludf.DUMMYFUNCTION("""COMPUTED_VALUE"""),"swash")</f>
        <v>swash</v>
      </c>
      <c r="C12478" s="2" t="str">
        <f ca="1">IFERROR(__xludf.DUMMYFUNCTION("""COMPUTED_VALUE"""),"Swash")</f>
        <v>Swash</v>
      </c>
    </row>
    <row r="12479" spans="1:3" x14ac:dyDescent="0.25">
      <c r="A12479" s="2" t="str">
        <f ca="1">IFERROR(__xludf.DUMMYFUNCTION("""COMPUTED_VALUE"""),"sway-social")</f>
        <v>sway-social</v>
      </c>
      <c r="B12479" s="2" t="str">
        <f ca="1">IFERROR(__xludf.DUMMYFUNCTION("""COMPUTED_VALUE"""),"sway")</f>
        <v>sway</v>
      </c>
      <c r="C12479" s="2" t="str">
        <f ca="1">IFERROR(__xludf.DUMMYFUNCTION("""COMPUTED_VALUE"""),"Sway Social")</f>
        <v>Sway Social</v>
      </c>
    </row>
    <row r="12480" spans="1:3" x14ac:dyDescent="0.25">
      <c r="A12480" s="2" t="str">
        <f ca="1">IFERROR(__xludf.DUMMYFUNCTION("""COMPUTED_VALUE"""),"sweatcoin")</f>
        <v>sweatcoin</v>
      </c>
      <c r="B12480" s="2" t="str">
        <f ca="1">IFERROR(__xludf.DUMMYFUNCTION("""COMPUTED_VALUE"""),"sweat")</f>
        <v>sweat</v>
      </c>
      <c r="C12480" s="2" t="str">
        <f ca="1">IFERROR(__xludf.DUMMYFUNCTION("""COMPUTED_VALUE"""),"Sweat Economy")</f>
        <v>Sweat Economy</v>
      </c>
    </row>
    <row r="12481" spans="1:3" x14ac:dyDescent="0.25">
      <c r="A12481" s="2" t="str">
        <f ca="1">IFERROR(__xludf.DUMMYFUNCTION("""COMPUTED_VALUE"""),"sweeper")</f>
        <v>sweeper</v>
      </c>
      <c r="B12481" s="2" t="str">
        <f ca="1">IFERROR(__xludf.DUMMYFUNCTION("""COMPUTED_VALUE"""),"sweep")</f>
        <v>sweep</v>
      </c>
      <c r="C12481" s="2" t="str">
        <f ca="1">IFERROR(__xludf.DUMMYFUNCTION("""COMPUTED_VALUE"""),"Sweeper")</f>
        <v>Sweeper</v>
      </c>
    </row>
    <row r="12482" spans="1:3" x14ac:dyDescent="0.25">
      <c r="A12482" s="2" t="str">
        <f ca="1">IFERROR(__xludf.DUMMYFUNCTION("""COMPUTED_VALUE"""),"sweepr")</f>
        <v>sweepr</v>
      </c>
      <c r="B12482" s="2" t="str">
        <f ca="1">IFERROR(__xludf.DUMMYFUNCTION("""COMPUTED_VALUE"""),"sweepr")</f>
        <v>sweepr</v>
      </c>
      <c r="C12482" s="2" t="str">
        <f ca="1">IFERROR(__xludf.DUMMYFUNCTION("""COMPUTED_VALUE"""),"Sweepr")</f>
        <v>Sweepr</v>
      </c>
    </row>
    <row r="12483" spans="1:3" x14ac:dyDescent="0.25">
      <c r="A12483" s="2" t="str">
        <f ca="1">IFERROR(__xludf.DUMMYFUNCTION("""COMPUTED_VALUE"""),"sweep-token")</f>
        <v>sweep-token</v>
      </c>
      <c r="B12483" s="2" t="str">
        <f ca="1">IFERROR(__xludf.DUMMYFUNCTION("""COMPUTED_VALUE"""),"sweep")</f>
        <v>sweep</v>
      </c>
      <c r="C12483" s="2" t="str">
        <f ca="1">IFERROR(__xludf.DUMMYFUNCTION("""COMPUTED_VALUE"""),"Sweep Token")</f>
        <v>Sweep Token</v>
      </c>
    </row>
    <row r="12484" spans="1:3" x14ac:dyDescent="0.25">
      <c r="A12484" s="2" t="str">
        <f ca="1">IFERROR(__xludf.DUMMYFUNCTION("""COMPUTED_VALUE"""),"sweet")</f>
        <v>sweet</v>
      </c>
      <c r="B12484" s="2" t="str">
        <f ca="1">IFERROR(__xludf.DUMMYFUNCTION("""COMPUTED_VALUE"""),"sweet")</f>
        <v>sweet</v>
      </c>
      <c r="C12484" s="2" t="str">
        <f ca="1">IFERROR(__xludf.DUMMYFUNCTION("""COMPUTED_VALUE"""),"Sweet")</f>
        <v>Sweet</v>
      </c>
    </row>
    <row r="12485" spans="1:3" x14ac:dyDescent="0.25">
      <c r="A12485" s="2" t="str">
        <f ca="1">IFERROR(__xludf.DUMMYFUNCTION("""COMPUTED_VALUE"""),"sweets")</f>
        <v>sweets</v>
      </c>
      <c r="B12485" s="2" t="str">
        <f ca="1">IFERROR(__xludf.DUMMYFUNCTION("""COMPUTED_VALUE"""),"$swts")</f>
        <v>$swts</v>
      </c>
      <c r="C12485" s="2" t="str">
        <f ca="1">IFERROR(__xludf.DUMMYFUNCTION("""COMPUTED_VALUE"""),"SWEETS")</f>
        <v>SWEETS</v>
      </c>
    </row>
    <row r="12486" spans="1:3" x14ac:dyDescent="0.25">
      <c r="A12486" s="2" t="str">
        <f ca="1">IFERROR(__xludf.DUMMYFUNCTION("""COMPUTED_VALUE"""),"swell-network")</f>
        <v>swell-network</v>
      </c>
      <c r="B12486" s="2" t="str">
        <f ca="1">IFERROR(__xludf.DUMMYFUNCTION("""COMPUTED_VALUE"""),"swell")</f>
        <v>swell</v>
      </c>
      <c r="C12486" s="2" t="str">
        <f ca="1">IFERROR(__xludf.DUMMYFUNCTION("""COMPUTED_VALUE"""),"Swell")</f>
        <v>Swell</v>
      </c>
    </row>
    <row r="12487" spans="1:3" x14ac:dyDescent="0.25">
      <c r="A12487" s="2" t="str">
        <f ca="1">IFERROR(__xludf.DUMMYFUNCTION("""COMPUTED_VALUE"""),"swell-restaked-btc")</f>
        <v>swell-restaked-btc</v>
      </c>
      <c r="B12487" s="2" t="str">
        <f ca="1">IFERROR(__xludf.DUMMYFUNCTION("""COMPUTED_VALUE"""),"swbtc")</f>
        <v>swbtc</v>
      </c>
      <c r="C12487" s="2" t="str">
        <f ca="1">IFERROR(__xludf.DUMMYFUNCTION("""COMPUTED_VALUE"""),"Swell Restaked BTC")</f>
        <v>Swell Restaked BTC</v>
      </c>
    </row>
    <row r="12488" spans="1:3" x14ac:dyDescent="0.25">
      <c r="A12488" s="2" t="str">
        <f ca="1">IFERROR(__xludf.DUMMYFUNCTION("""COMPUTED_VALUE"""),"sweply")</f>
        <v>sweply</v>
      </c>
      <c r="B12488" s="2" t="str">
        <f ca="1">IFERROR(__xludf.DUMMYFUNCTION("""COMPUTED_VALUE"""),"swply")</f>
        <v>swply</v>
      </c>
      <c r="C12488" s="2" t="str">
        <f ca="1">IFERROR(__xludf.DUMMYFUNCTION("""COMPUTED_VALUE"""),"Sweply")</f>
        <v>Sweply</v>
      </c>
    </row>
    <row r="12489" spans="1:3" x14ac:dyDescent="0.25">
      <c r="A12489" s="2" t="str">
        <f ca="1">IFERROR(__xludf.DUMMYFUNCTION("""COMPUTED_VALUE"""),"swerve-dao")</f>
        <v>swerve-dao</v>
      </c>
      <c r="B12489" s="2" t="str">
        <f ca="1">IFERROR(__xludf.DUMMYFUNCTION("""COMPUTED_VALUE"""),"swrv")</f>
        <v>swrv</v>
      </c>
      <c r="C12489" s="2" t="str">
        <f ca="1">IFERROR(__xludf.DUMMYFUNCTION("""COMPUTED_VALUE"""),"Swerve")</f>
        <v>Swerve</v>
      </c>
    </row>
    <row r="12490" spans="1:3" x14ac:dyDescent="0.25">
      <c r="A12490" s="2" t="str">
        <f ca="1">IFERROR(__xludf.DUMMYFUNCTION("""COMPUTED_VALUE"""),"sweth")</f>
        <v>sweth</v>
      </c>
      <c r="B12490" s="2" t="str">
        <f ca="1">IFERROR(__xludf.DUMMYFUNCTION("""COMPUTED_VALUE"""),"sweth")</f>
        <v>sweth</v>
      </c>
      <c r="C12490" s="2" t="str">
        <f ca="1">IFERROR(__xludf.DUMMYFUNCTION("""COMPUTED_VALUE"""),"Swell Ethereum")</f>
        <v>Swell Ethereum</v>
      </c>
    </row>
    <row r="12491" spans="1:3" x14ac:dyDescent="0.25">
      <c r="A12491" s="2" t="str">
        <f ca="1">IFERROR(__xludf.DUMMYFUNCTION("""COMPUTED_VALUE"""),"swftcoin")</f>
        <v>swftcoin</v>
      </c>
      <c r="B12491" s="2" t="str">
        <f ca="1">IFERROR(__xludf.DUMMYFUNCTION("""COMPUTED_VALUE"""),"swftc")</f>
        <v>swftc</v>
      </c>
      <c r="C12491" s="2" t="str">
        <f ca="1">IFERROR(__xludf.DUMMYFUNCTION("""COMPUTED_VALUE"""),"SWFTCOIN")</f>
        <v>SWFTCOIN</v>
      </c>
    </row>
    <row r="12492" spans="1:3" x14ac:dyDescent="0.25">
      <c r="A12492" s="2" t="str">
        <f ca="1">IFERROR(__xludf.DUMMYFUNCTION("""COMPUTED_VALUE"""),"swiftcash")</f>
        <v>swiftcash</v>
      </c>
      <c r="B12492" s="2" t="str">
        <f ca="1">IFERROR(__xludf.DUMMYFUNCTION("""COMPUTED_VALUE"""),"swift")</f>
        <v>swift</v>
      </c>
      <c r="C12492" s="2" t="str">
        <f ca="1">IFERROR(__xludf.DUMMYFUNCTION("""COMPUTED_VALUE"""),"SwiftCash")</f>
        <v>SwiftCash</v>
      </c>
    </row>
    <row r="12493" spans="1:3" x14ac:dyDescent="0.25">
      <c r="A12493" s="2" t="str">
        <f ca="1">IFERROR(__xludf.DUMMYFUNCTION("""COMPUTED_VALUE"""),"swiftpad")</f>
        <v>swiftpad</v>
      </c>
      <c r="B12493" s="2" t="str">
        <f ca="1">IFERROR(__xludf.DUMMYFUNCTION("""COMPUTED_VALUE"""),"swift")</f>
        <v>swift</v>
      </c>
      <c r="C12493" s="2" t="str">
        <f ca="1">IFERROR(__xludf.DUMMYFUNCTION("""COMPUTED_VALUE"""),"SwiftPad")</f>
        <v>SwiftPad</v>
      </c>
    </row>
    <row r="12494" spans="1:3" x14ac:dyDescent="0.25">
      <c r="A12494" s="2" t="str">
        <f ca="1">IFERROR(__xludf.DUMMYFUNCTION("""COMPUTED_VALUE"""),"swinca-2")</f>
        <v>swinca-2</v>
      </c>
      <c r="B12494" s="2" t="str">
        <f ca="1">IFERROR(__xludf.DUMMYFUNCTION("""COMPUTED_VALUE"""),"swi")</f>
        <v>swi</v>
      </c>
      <c r="C12494" s="2" t="str">
        <f ca="1">IFERROR(__xludf.DUMMYFUNCTION("""COMPUTED_VALUE"""),"Swinca")</f>
        <v>Swinca</v>
      </c>
    </row>
    <row r="12495" spans="1:3" x14ac:dyDescent="0.25">
      <c r="A12495" s="2" t="str">
        <f ca="1">IFERROR(__xludf.DUMMYFUNCTION("""COMPUTED_VALUE"""),"swingby")</f>
        <v>swingby</v>
      </c>
      <c r="B12495" s="2" t="str">
        <f ca="1">IFERROR(__xludf.DUMMYFUNCTION("""COMPUTED_VALUE"""),"swingby")</f>
        <v>swingby</v>
      </c>
      <c r="C12495" s="2" t="str">
        <f ca="1">IFERROR(__xludf.DUMMYFUNCTION("""COMPUTED_VALUE"""),"Swingby")</f>
        <v>Swingby</v>
      </c>
    </row>
    <row r="12496" spans="1:3" x14ac:dyDescent="0.25">
      <c r="A12496" s="2" t="str">
        <f ca="1">IFERROR(__xludf.DUMMYFUNCTION("""COMPUTED_VALUE"""),"swing-xyz")</f>
        <v>swing-xyz</v>
      </c>
      <c r="B12496" s="2" t="str">
        <f ca="1">IFERROR(__xludf.DUMMYFUNCTION("""COMPUTED_VALUE"""),"$swing")</f>
        <v>$swing</v>
      </c>
      <c r="C12496" s="3" t="str">
        <f ca="1">IFERROR(__xludf.DUMMYFUNCTION("""COMPUTED_VALUE"""),"Swing.xyz")</f>
        <v>Swing.xyz</v>
      </c>
    </row>
    <row r="12497" spans="1:3" x14ac:dyDescent="0.25">
      <c r="A12497" s="2" t="str">
        <f ca="1">IFERROR(__xludf.DUMMYFUNCTION("""COMPUTED_VALUE"""),"swipe")</f>
        <v>swipe</v>
      </c>
      <c r="B12497" s="2" t="str">
        <f ca="1">IFERROR(__xludf.DUMMYFUNCTION("""COMPUTED_VALUE"""),"sxp")</f>
        <v>sxp</v>
      </c>
      <c r="C12497" s="2" t="str">
        <f ca="1">IFERROR(__xludf.DUMMYFUNCTION("""COMPUTED_VALUE"""),"Solar")</f>
        <v>Solar</v>
      </c>
    </row>
    <row r="12498" spans="1:3" x14ac:dyDescent="0.25">
      <c r="A12498" s="2" t="str">
        <f ca="1">IFERROR(__xludf.DUMMYFUNCTION("""COMPUTED_VALUE"""),"swissborg")</f>
        <v>swissborg</v>
      </c>
      <c r="B12498" s="2" t="str">
        <f ca="1">IFERROR(__xludf.DUMMYFUNCTION("""COMPUTED_VALUE"""),"borg")</f>
        <v>borg</v>
      </c>
      <c r="C12498" s="2" t="str">
        <f ca="1">IFERROR(__xludf.DUMMYFUNCTION("""COMPUTED_VALUE"""),"SwissBorg")</f>
        <v>SwissBorg</v>
      </c>
    </row>
    <row r="12499" spans="1:3" x14ac:dyDescent="0.25">
      <c r="A12499" s="2" t="str">
        <f ca="1">IFERROR(__xludf.DUMMYFUNCTION("""COMPUTED_VALUE"""),"swiss-cash-coin")</f>
        <v>swiss-cash-coin</v>
      </c>
      <c r="B12499" s="2" t="str">
        <f ca="1">IFERROR(__xludf.DUMMYFUNCTION("""COMPUTED_VALUE"""),"swc")</f>
        <v>swc</v>
      </c>
      <c r="C12499" s="2" t="str">
        <f ca="1">IFERROR(__xludf.DUMMYFUNCTION("""COMPUTED_VALUE"""),"Swiss Cash Coin")</f>
        <v>Swiss Cash Coin</v>
      </c>
    </row>
    <row r="12500" spans="1:3" x14ac:dyDescent="0.25">
      <c r="A12500" s="2" t="str">
        <f ca="1">IFERROR(__xludf.DUMMYFUNCTION("""COMPUTED_VALUE"""),"swisscheese")</f>
        <v>swisscheese</v>
      </c>
      <c r="B12500" s="2" t="str">
        <f ca="1">IFERROR(__xludf.DUMMYFUNCTION("""COMPUTED_VALUE"""),"swch")</f>
        <v>swch</v>
      </c>
      <c r="C12500" s="2" t="str">
        <f ca="1">IFERROR(__xludf.DUMMYFUNCTION("""COMPUTED_VALUE"""),"SwissCheese")</f>
        <v>SwissCheese</v>
      </c>
    </row>
    <row r="12501" spans="1:3" x14ac:dyDescent="0.25">
      <c r="A12501" s="2" t="str">
        <f ca="1">IFERROR(__xludf.DUMMYFUNCTION("""COMPUTED_VALUE"""),"swisstronik")</f>
        <v>swisstronik</v>
      </c>
      <c r="B12501" s="2" t="str">
        <f ca="1">IFERROR(__xludf.DUMMYFUNCTION("""COMPUTED_VALUE"""),"swtr")</f>
        <v>swtr</v>
      </c>
      <c r="C12501" s="2" t="str">
        <f ca="1">IFERROR(__xludf.DUMMYFUNCTION("""COMPUTED_VALUE"""),"Swisstronik")</f>
        <v>Swisstronik</v>
      </c>
    </row>
    <row r="12502" spans="1:3" x14ac:dyDescent="0.25">
      <c r="A12502" s="2" t="str">
        <f ca="1">IFERROR(__xludf.DUMMYFUNCTION("""COMPUTED_VALUE"""),"switcheo")</f>
        <v>switcheo</v>
      </c>
      <c r="B12502" s="2" t="str">
        <f ca="1">IFERROR(__xludf.DUMMYFUNCTION("""COMPUTED_VALUE"""),"swth")</f>
        <v>swth</v>
      </c>
      <c r="C12502" s="2" t="str">
        <f ca="1">IFERROR(__xludf.DUMMYFUNCTION("""COMPUTED_VALUE"""),"Carbon Protocol")</f>
        <v>Carbon Protocol</v>
      </c>
    </row>
    <row r="12503" spans="1:3" x14ac:dyDescent="0.25">
      <c r="A12503" s="2" t="str">
        <f ca="1">IFERROR(__xludf.DUMMYFUNCTION("""COMPUTED_VALUE"""),"switch-token")</f>
        <v>switch-token</v>
      </c>
      <c r="B12503" s="2" t="str">
        <f ca="1">IFERROR(__xludf.DUMMYFUNCTION("""COMPUTED_VALUE"""),"switch")</f>
        <v>switch</v>
      </c>
      <c r="C12503" s="2" t="str">
        <f ca="1">IFERROR(__xludf.DUMMYFUNCTION("""COMPUTED_VALUE"""),"Switch Token")</f>
        <v>Switch Token</v>
      </c>
    </row>
    <row r="12504" spans="1:3" x14ac:dyDescent="0.25">
      <c r="A12504" s="2" t="str">
        <f ca="1">IFERROR(__xludf.DUMMYFUNCTION("""COMPUTED_VALUE"""),"swop")</f>
        <v>swop</v>
      </c>
      <c r="B12504" s="2" t="str">
        <f ca="1">IFERROR(__xludf.DUMMYFUNCTION("""COMPUTED_VALUE"""),"swop")</f>
        <v>swop</v>
      </c>
      <c r="C12504" s="2" t="str">
        <f ca="1">IFERROR(__xludf.DUMMYFUNCTION("""COMPUTED_VALUE"""),"Swop")</f>
        <v>Swop</v>
      </c>
    </row>
    <row r="12505" spans="1:3" x14ac:dyDescent="0.25">
      <c r="A12505" s="2" t="str">
        <f ca="1">IFERROR(__xludf.DUMMYFUNCTION("""COMPUTED_VALUE"""),"sword")</f>
        <v>sword</v>
      </c>
      <c r="B12505" s="2" t="str">
        <f ca="1">IFERROR(__xludf.DUMMYFUNCTION("""COMPUTED_VALUE"""),"sword")</f>
        <v>sword</v>
      </c>
      <c r="C12505" s="2" t="str">
        <f ca="1">IFERROR(__xludf.DUMMYFUNCTION("""COMPUTED_VALUE"""),"SWORD [OLD]")</f>
        <v>SWORD [OLD]</v>
      </c>
    </row>
    <row r="12506" spans="1:3" x14ac:dyDescent="0.25">
      <c r="A12506" s="2" t="str">
        <f ca="1">IFERROR(__xludf.DUMMYFUNCTION("""COMPUTED_VALUE"""),"sword-2")</f>
        <v>sword-2</v>
      </c>
      <c r="B12506" s="2" t="str">
        <f ca="1">IFERROR(__xludf.DUMMYFUNCTION("""COMPUTED_VALUE"""),"sword")</f>
        <v>sword</v>
      </c>
      <c r="C12506" s="2" t="str">
        <f ca="1">IFERROR(__xludf.DUMMYFUNCTION("""COMPUTED_VALUE"""),"SWORD")</f>
        <v>SWORD</v>
      </c>
    </row>
    <row r="12507" spans="1:3" x14ac:dyDescent="0.25">
      <c r="A12507" s="2" t="str">
        <f ca="1">IFERROR(__xludf.DUMMYFUNCTION("""COMPUTED_VALUE"""),"sword-and-magic-world")</f>
        <v>sword-and-magic-world</v>
      </c>
      <c r="B12507" s="2" t="str">
        <f ca="1">IFERROR(__xludf.DUMMYFUNCTION("""COMPUTED_VALUE"""),"swo")</f>
        <v>swo</v>
      </c>
      <c r="C12507" s="2" t="str">
        <f ca="1">IFERROR(__xludf.DUMMYFUNCTION("""COMPUTED_VALUE"""),"Sword and Magic World")</f>
        <v>Sword and Magic World</v>
      </c>
    </row>
    <row r="12508" spans="1:3" x14ac:dyDescent="0.25">
      <c r="A12508" s="2" t="str">
        <f ca="1">IFERROR(__xludf.DUMMYFUNCTION("""COMPUTED_VALUE"""),"swords-and-dungeons-gold")</f>
        <v>swords-and-dungeons-gold</v>
      </c>
      <c r="B12508" s="2" t="str">
        <f ca="1">IFERROR(__xludf.DUMMYFUNCTION("""COMPUTED_VALUE"""),"gold")</f>
        <v>gold</v>
      </c>
      <c r="C12508" s="2" t="str">
        <f ca="1">IFERROR(__xludf.DUMMYFUNCTION("""COMPUTED_VALUE"""),"Swords &amp; Dungeons GOLD")</f>
        <v>Swords &amp; Dungeons GOLD</v>
      </c>
    </row>
    <row r="12509" spans="1:3" x14ac:dyDescent="0.25">
      <c r="A12509" s="2" t="str">
        <f ca="1">IFERROR(__xludf.DUMMYFUNCTION("""COMPUTED_VALUE"""),"swot-ai")</f>
        <v>swot-ai</v>
      </c>
      <c r="B12509" s="2" t="str">
        <f ca="1">IFERROR(__xludf.DUMMYFUNCTION("""COMPUTED_VALUE"""),"swot")</f>
        <v>swot</v>
      </c>
      <c r="C12509" s="2" t="str">
        <f ca="1">IFERROR(__xludf.DUMMYFUNCTION("""COMPUTED_VALUE"""),"Swot AI")</f>
        <v>Swot AI</v>
      </c>
    </row>
    <row r="12510" spans="1:3" x14ac:dyDescent="0.25">
      <c r="A12510" s="2" t="str">
        <f ca="1">IFERROR(__xludf.DUMMYFUNCTION("""COMPUTED_VALUE"""),"swtcoin")</f>
        <v>swtcoin</v>
      </c>
      <c r="B12510" s="2" t="str">
        <f ca="1">IFERROR(__xludf.DUMMYFUNCTION("""COMPUTED_VALUE"""),"swat")</f>
        <v>swat</v>
      </c>
      <c r="C12510" s="2" t="str">
        <f ca="1">IFERROR(__xludf.DUMMYFUNCTION("""COMPUTED_VALUE"""),"SWTCoin")</f>
        <v>SWTCoin</v>
      </c>
    </row>
    <row r="12511" spans="1:3" x14ac:dyDescent="0.25">
      <c r="A12511" s="2" t="str">
        <f ca="1">IFERROR(__xludf.DUMMYFUNCTION("""COMPUTED_VALUE"""),"swusd")</f>
        <v>swusd</v>
      </c>
      <c r="B12511" s="2" t="str">
        <f ca="1">IFERROR(__xludf.DUMMYFUNCTION("""COMPUTED_VALUE"""),"swusd")</f>
        <v>swusd</v>
      </c>
      <c r="C12511" s="2" t="str">
        <f ca="1">IFERROR(__xludf.DUMMYFUNCTION("""COMPUTED_VALUE"""),"Swerve.fi USD")</f>
        <v>Swerve.fi USD</v>
      </c>
    </row>
    <row r="12512" spans="1:3" x14ac:dyDescent="0.25">
      <c r="A12512" s="2" t="str">
        <f ca="1">IFERROR(__xludf.DUMMYFUNCTION("""COMPUTED_VALUE"""),"swych")</f>
        <v>swych</v>
      </c>
      <c r="B12512" s="2" t="str">
        <f ca="1">IFERROR(__xludf.DUMMYFUNCTION("""COMPUTED_VALUE"""),"swych")</f>
        <v>swych</v>
      </c>
      <c r="C12512" s="2" t="str">
        <f ca="1">IFERROR(__xludf.DUMMYFUNCTION("""COMPUTED_VALUE"""),"Swych")</f>
        <v>Swych</v>
      </c>
    </row>
    <row r="12513" spans="1:3" x14ac:dyDescent="0.25">
      <c r="A12513" s="2" t="str">
        <f ca="1">IFERROR(__xludf.DUMMYFUNCTION("""COMPUTED_VALUE"""),"swyp-foundation")</f>
        <v>swyp-foundation</v>
      </c>
      <c r="B12513" s="2" t="str">
        <f ca="1">IFERROR(__xludf.DUMMYFUNCTION("""COMPUTED_VALUE"""),"swyp")</f>
        <v>swyp</v>
      </c>
      <c r="C12513" s="2" t="str">
        <f ca="1">IFERROR(__xludf.DUMMYFUNCTION("""COMPUTED_VALUE"""),"SWYP Foundation")</f>
        <v>SWYP Foundation</v>
      </c>
    </row>
    <row r="12514" spans="1:3" x14ac:dyDescent="0.25">
      <c r="A12514" s="2" t="str">
        <f ca="1">IFERROR(__xludf.DUMMYFUNCTION("""COMPUTED_VALUE"""),"sx-network")</f>
        <v>sx-network</v>
      </c>
      <c r="B12514" s="2" t="str">
        <f ca="1">IFERROR(__xludf.DUMMYFUNCTION("""COMPUTED_VALUE"""),"sx")</f>
        <v>sx</v>
      </c>
      <c r="C12514" s="2" t="str">
        <f ca="1">IFERROR(__xludf.DUMMYFUNCTION("""COMPUTED_VALUE"""),"SX Network (OLD)")</f>
        <v>SX Network (OLD)</v>
      </c>
    </row>
    <row r="12515" spans="1:3" x14ac:dyDescent="0.25">
      <c r="A12515" s="2" t="str">
        <f ca="1">IFERROR(__xludf.DUMMYFUNCTION("""COMPUTED_VALUE"""),"sx-network-2")</f>
        <v>sx-network-2</v>
      </c>
      <c r="B12515" s="2" t="str">
        <f ca="1">IFERROR(__xludf.DUMMYFUNCTION("""COMPUTED_VALUE"""),"sx")</f>
        <v>sx</v>
      </c>
      <c r="C12515" s="2" t="str">
        <f ca="1">IFERROR(__xludf.DUMMYFUNCTION("""COMPUTED_VALUE"""),"SX Network")</f>
        <v>SX Network</v>
      </c>
    </row>
    <row r="12516" spans="1:3" x14ac:dyDescent="0.25">
      <c r="A12516" s="2" t="str">
        <f ca="1">IFERROR(__xludf.DUMMYFUNCTION("""COMPUTED_VALUE"""),"sx-network-bridged-weth-sx-network")</f>
        <v>sx-network-bridged-weth-sx-network</v>
      </c>
      <c r="B12516" s="2" t="str">
        <f ca="1">IFERROR(__xludf.DUMMYFUNCTION("""COMPUTED_VALUE"""),"weth")</f>
        <v>weth</v>
      </c>
      <c r="C12516" s="2" t="str">
        <f ca="1">IFERROR(__xludf.DUMMYFUNCTION("""COMPUTED_VALUE"""),"SX Network Bridged WETH (SX Network)")</f>
        <v>SX Network Bridged WETH (SX Network)</v>
      </c>
    </row>
    <row r="12517" spans="1:3" x14ac:dyDescent="0.25">
      <c r="A12517" s="2" t="str">
        <f ca="1">IFERROR(__xludf.DUMMYFUNCTION("""COMPUTED_VALUE"""),"sybarite")</f>
        <v>sybarite</v>
      </c>
      <c r="B12517" s="2" t="str">
        <f ca="1">IFERROR(__xludf.DUMMYFUNCTION("""COMPUTED_VALUE"""),"sybt")</f>
        <v>sybt</v>
      </c>
      <c r="C12517" s="2" t="str">
        <f ca="1">IFERROR(__xludf.DUMMYFUNCTION("""COMPUTED_VALUE"""),"SYBARITE")</f>
        <v>SYBARITE</v>
      </c>
    </row>
    <row r="12518" spans="1:3" x14ac:dyDescent="0.25">
      <c r="A12518" s="2" t="str">
        <f ca="1">IFERROR(__xludf.DUMMYFUNCTION("""COMPUTED_VALUE"""),"sybulls")</f>
        <v>sybulls</v>
      </c>
      <c r="B12518" s="2" t="str">
        <f ca="1">IFERROR(__xludf.DUMMYFUNCTION("""COMPUTED_VALUE"""),"sybl")</f>
        <v>sybl</v>
      </c>
      <c r="C12518" s="2" t="str">
        <f ca="1">IFERROR(__xludf.DUMMYFUNCTION("""COMPUTED_VALUE"""),"Sybulls")</f>
        <v>Sybulls</v>
      </c>
    </row>
    <row r="12519" spans="1:3" x14ac:dyDescent="0.25">
      <c r="A12519" s="2" t="str">
        <f ca="1">IFERROR(__xludf.DUMMYFUNCTION("""COMPUTED_VALUE"""),"sylcm")</f>
        <v>sylcm</v>
      </c>
      <c r="B12519" s="2" t="str">
        <f ca="1">IFERROR(__xludf.DUMMYFUNCTION("""COMPUTED_VALUE"""),"sylcm")</f>
        <v>sylcm</v>
      </c>
      <c r="C12519" s="2" t="str">
        <f ca="1">IFERROR(__xludf.DUMMYFUNCTION("""COMPUTED_VALUE"""),"SYLCM")</f>
        <v>SYLCM</v>
      </c>
    </row>
    <row r="12520" spans="1:3" x14ac:dyDescent="0.25">
      <c r="A12520" s="2" t="str">
        <f ca="1">IFERROR(__xludf.DUMMYFUNCTION("""COMPUTED_VALUE"""),"sylo")</f>
        <v>sylo</v>
      </c>
      <c r="B12520" s="2" t="str">
        <f ca="1">IFERROR(__xludf.DUMMYFUNCTION("""COMPUTED_VALUE"""),"sylo")</f>
        <v>sylo</v>
      </c>
      <c r="C12520" s="2" t="str">
        <f ca="1">IFERROR(__xludf.DUMMYFUNCTION("""COMPUTED_VALUE"""),"Sylo")</f>
        <v>Sylo</v>
      </c>
    </row>
    <row r="12521" spans="1:3" x14ac:dyDescent="0.25">
      <c r="A12521" s="2" t="str">
        <f ca="1">IFERROR(__xludf.DUMMYFUNCTION("""COMPUTED_VALUE"""),"symbiosis-bridged-btc-zksync")</f>
        <v>symbiosis-bridged-btc-zksync</v>
      </c>
      <c r="B12521" s="2" t="str">
        <f ca="1">IFERROR(__xludf.DUMMYFUNCTION("""COMPUTED_VALUE"""),"sybtc")</f>
        <v>sybtc</v>
      </c>
      <c r="C12521" s="2" t="str">
        <f ca="1">IFERROR(__xludf.DUMMYFUNCTION("""COMPUTED_VALUE"""),"Symbiosis Bridged BTC (zkSync)")</f>
        <v>Symbiosis Bridged BTC (zkSync)</v>
      </c>
    </row>
    <row r="12522" spans="1:3" x14ac:dyDescent="0.25">
      <c r="A12522" s="2" t="str">
        <f ca="1">IFERROR(__xludf.DUMMYFUNCTION("""COMPUTED_VALUE"""),"symbiosis-bridged-usdc-bahamut")</f>
        <v>symbiosis-bridged-usdc-bahamut</v>
      </c>
      <c r="B12522" s="2" t="str">
        <f ca="1">IFERROR(__xludf.DUMMYFUNCTION("""COMPUTED_VALUE"""),"usdc")</f>
        <v>usdc</v>
      </c>
      <c r="C12522" s="2" t="str">
        <f ca="1">IFERROR(__xludf.DUMMYFUNCTION("""COMPUTED_VALUE"""),"Symbiosis Bridged USDC (Bahamut)")</f>
        <v>Symbiosis Bridged USDC (Bahamut)</v>
      </c>
    </row>
    <row r="12523" spans="1:3" x14ac:dyDescent="0.25">
      <c r="A12523" s="2" t="str">
        <f ca="1">IFERROR(__xludf.DUMMYFUNCTION("""COMPUTED_VALUE"""),"symbiosis-bridged-usdt-bahamut")</f>
        <v>symbiosis-bridged-usdt-bahamut</v>
      </c>
      <c r="B12523" s="2" t="str">
        <f ca="1">IFERROR(__xludf.DUMMYFUNCTION("""COMPUTED_VALUE"""),"usdt")</f>
        <v>usdt</v>
      </c>
      <c r="C12523" s="2" t="str">
        <f ca="1">IFERROR(__xludf.DUMMYFUNCTION("""COMPUTED_VALUE"""),"Symbiosis Bridged USDT (Bahamut)")</f>
        <v>Symbiosis Bridged USDT (Bahamut)</v>
      </c>
    </row>
    <row r="12524" spans="1:3" x14ac:dyDescent="0.25">
      <c r="A12524" s="2" t="str">
        <f ca="1">IFERROR(__xludf.DUMMYFUNCTION("""COMPUTED_VALUE"""),"symbiosis-finance")</f>
        <v>symbiosis-finance</v>
      </c>
      <c r="B12524" s="2" t="str">
        <f ca="1">IFERROR(__xludf.DUMMYFUNCTION("""COMPUTED_VALUE"""),"sis")</f>
        <v>sis</v>
      </c>
      <c r="C12524" s="2" t="str">
        <f ca="1">IFERROR(__xludf.DUMMYFUNCTION("""COMPUTED_VALUE"""),"Symbiosis")</f>
        <v>Symbiosis</v>
      </c>
    </row>
    <row r="12525" spans="1:3" x14ac:dyDescent="0.25">
      <c r="A12525" s="2" t="str">
        <f ca="1">IFERROR(__xludf.DUMMYFUNCTION("""COMPUTED_VALUE"""),"symbol")</f>
        <v>symbol</v>
      </c>
      <c r="B12525" s="2" t="str">
        <f ca="1">IFERROR(__xludf.DUMMYFUNCTION("""COMPUTED_VALUE"""),"xym")</f>
        <v>xym</v>
      </c>
      <c r="C12525" s="2" t="str">
        <f ca="1">IFERROR(__xludf.DUMMYFUNCTION("""COMPUTED_VALUE"""),"Symbol")</f>
        <v>Symbol</v>
      </c>
    </row>
    <row r="12526" spans="1:3" x14ac:dyDescent="0.25">
      <c r="A12526" s="2" t="str">
        <f ca="1">IFERROR(__xludf.DUMMYFUNCTION("""COMPUTED_VALUE"""),"symverse")</f>
        <v>symverse</v>
      </c>
      <c r="B12526" s="2" t="str">
        <f ca="1">IFERROR(__xludf.DUMMYFUNCTION("""COMPUTED_VALUE"""),"sym")</f>
        <v>sym</v>
      </c>
      <c r="C12526" s="2" t="str">
        <f ca="1">IFERROR(__xludf.DUMMYFUNCTION("""COMPUTED_VALUE"""),"SymVerse")</f>
        <v>SymVerse</v>
      </c>
    </row>
    <row r="12527" spans="1:3" x14ac:dyDescent="0.25">
      <c r="A12527" s="2" t="str">
        <f ca="1">IFERROR(__xludf.DUMMYFUNCTION("""COMPUTED_VALUE"""),"synapse-2")</f>
        <v>synapse-2</v>
      </c>
      <c r="B12527" s="2" t="str">
        <f ca="1">IFERROR(__xludf.DUMMYFUNCTION("""COMPUTED_VALUE"""),"syn")</f>
        <v>syn</v>
      </c>
      <c r="C12527" s="2" t="str">
        <f ca="1">IFERROR(__xludf.DUMMYFUNCTION("""COMPUTED_VALUE"""),"Synapse")</f>
        <v>Synapse</v>
      </c>
    </row>
    <row r="12528" spans="1:3" x14ac:dyDescent="0.25">
      <c r="A12528" s="2" t="str">
        <f ca="1">IFERROR(__xludf.DUMMYFUNCTION("""COMPUTED_VALUE"""),"synapse-bridged-usdc-canto")</f>
        <v>synapse-bridged-usdc-canto</v>
      </c>
      <c r="B12528" s="2" t="str">
        <f ca="1">IFERROR(__xludf.DUMMYFUNCTION("""COMPUTED_VALUE"""),"usdc")</f>
        <v>usdc</v>
      </c>
      <c r="C12528" s="2" t="str">
        <f ca="1">IFERROR(__xludf.DUMMYFUNCTION("""COMPUTED_VALUE"""),"Synapse Bridged USDC (Canto)")</f>
        <v>Synapse Bridged USDC (Canto)</v>
      </c>
    </row>
    <row r="12529" spans="1:3" x14ac:dyDescent="0.25">
      <c r="A12529" s="2" t="str">
        <f ca="1">IFERROR(__xludf.DUMMYFUNCTION("""COMPUTED_VALUE"""),"synapse-bridged-usdc-elastos")</f>
        <v>synapse-bridged-usdc-elastos</v>
      </c>
      <c r="B12529" s="2" t="str">
        <f ca="1">IFERROR(__xludf.DUMMYFUNCTION("""COMPUTED_VALUE"""),"usdc")</f>
        <v>usdc</v>
      </c>
      <c r="C12529" s="2" t="str">
        <f ca="1">IFERROR(__xludf.DUMMYFUNCTION("""COMPUTED_VALUE"""),"Synapse Bridged USDC (Elastos)")</f>
        <v>Synapse Bridged USDC (Elastos)</v>
      </c>
    </row>
    <row r="12530" spans="1:3" x14ac:dyDescent="0.25">
      <c r="A12530" s="2" t="str">
        <f ca="1">IFERROR(__xludf.DUMMYFUNCTION("""COMPUTED_VALUE"""),"synapse-bridged-weth-klaytn")</f>
        <v>synapse-bridged-weth-klaytn</v>
      </c>
      <c r="B12530" s="2" t="str">
        <f ca="1">IFERROR(__xludf.DUMMYFUNCTION("""COMPUTED_VALUE"""),"weth")</f>
        <v>weth</v>
      </c>
      <c r="C12530" s="2" t="str">
        <f ca="1">IFERROR(__xludf.DUMMYFUNCTION("""COMPUTED_VALUE"""),"Synapse Bridged WETH (Klaytn)")</f>
        <v>Synapse Bridged WETH (Klaytn)</v>
      </c>
    </row>
    <row r="12531" spans="1:3" x14ac:dyDescent="0.25">
      <c r="A12531" s="2" t="str">
        <f ca="1">IFERROR(__xludf.DUMMYFUNCTION("""COMPUTED_VALUE"""),"synapse-network-2")</f>
        <v>synapse-network-2</v>
      </c>
      <c r="B12531" s="2" t="str">
        <f ca="1">IFERROR(__xludf.DUMMYFUNCTION("""COMPUTED_VALUE"""),"zksnp")</f>
        <v>zksnp</v>
      </c>
      <c r="C12531" s="2" t="str">
        <f ca="1">IFERROR(__xludf.DUMMYFUNCTION("""COMPUTED_VALUE"""),"Synapse Network")</f>
        <v>Synapse Network</v>
      </c>
    </row>
    <row r="12532" spans="1:3" x14ac:dyDescent="0.25">
      <c r="A12532" s="2" t="str">
        <f ca="1">IFERROR(__xludf.DUMMYFUNCTION("""COMPUTED_VALUE"""),"synaptic-ai")</f>
        <v>synaptic-ai</v>
      </c>
      <c r="B12532" s="2" t="str">
        <f ca="1">IFERROR(__xludf.DUMMYFUNCTION("""COMPUTED_VALUE"""),"synapticai")</f>
        <v>synapticai</v>
      </c>
      <c r="C12532" s="2" t="str">
        <f ca="1">IFERROR(__xludf.DUMMYFUNCTION("""COMPUTED_VALUE"""),"Synaptic AI")</f>
        <v>Synaptic AI</v>
      </c>
    </row>
    <row r="12533" spans="1:3" x14ac:dyDescent="0.25">
      <c r="A12533" s="2" t="str">
        <f ca="1">IFERROR(__xludf.DUMMYFUNCTION("""COMPUTED_VALUE"""),"synatra-staked-sol")</f>
        <v>synatra-staked-sol</v>
      </c>
      <c r="B12533" s="2" t="str">
        <f ca="1">IFERROR(__xludf.DUMMYFUNCTION("""COMPUTED_VALUE"""),"ysol")</f>
        <v>ysol</v>
      </c>
      <c r="C12533" s="2" t="str">
        <f ca="1">IFERROR(__xludf.DUMMYFUNCTION("""COMPUTED_VALUE"""),"Synatra Staked SOL")</f>
        <v>Synatra Staked SOL</v>
      </c>
    </row>
    <row r="12534" spans="1:3" x14ac:dyDescent="0.25">
      <c r="A12534" s="2" t="str">
        <f ca="1">IFERROR(__xludf.DUMMYFUNCTION("""COMPUTED_VALUE"""),"synatra-staked-usdc")</f>
        <v>synatra-staked-usdc</v>
      </c>
      <c r="B12534" s="2" t="str">
        <f ca="1">IFERROR(__xludf.DUMMYFUNCTION("""COMPUTED_VALUE"""),"yusd")</f>
        <v>yusd</v>
      </c>
      <c r="C12534" s="2" t="str">
        <f ca="1">IFERROR(__xludf.DUMMYFUNCTION("""COMPUTED_VALUE"""),"Synatra Staked USDC")</f>
        <v>Synatra Staked USDC</v>
      </c>
    </row>
    <row r="12535" spans="1:3" x14ac:dyDescent="0.25">
      <c r="A12535" s="2" t="str">
        <f ca="1">IFERROR(__xludf.DUMMYFUNCTION("""COMPUTED_VALUE"""),"syncdex")</f>
        <v>syncdex</v>
      </c>
      <c r="B12535" s="2" t="str">
        <f ca="1">IFERROR(__xludf.DUMMYFUNCTION("""COMPUTED_VALUE"""),"sydx")</f>
        <v>sydx</v>
      </c>
      <c r="C12535" s="2" t="str">
        <f ca="1">IFERROR(__xludf.DUMMYFUNCTION("""COMPUTED_VALUE"""),"SyncDex")</f>
        <v>SyncDex</v>
      </c>
    </row>
    <row r="12536" spans="1:3" x14ac:dyDescent="0.25">
      <c r="A12536" s="2" t="str">
        <f ca="1">IFERROR(__xludf.DUMMYFUNCTION("""COMPUTED_VALUE"""),"synchrony")</f>
        <v>synchrony</v>
      </c>
      <c r="B12536" s="2" t="str">
        <f ca="1">IFERROR(__xludf.DUMMYFUNCTION("""COMPUTED_VALUE"""),"scy")</f>
        <v>scy</v>
      </c>
      <c r="C12536" s="2" t="str">
        <f ca="1">IFERROR(__xludf.DUMMYFUNCTION("""COMPUTED_VALUE"""),"Synchrony")</f>
        <v>Synchrony</v>
      </c>
    </row>
    <row r="12537" spans="1:3" x14ac:dyDescent="0.25">
      <c r="A12537" s="2" t="str">
        <f ca="1">IFERROR(__xludf.DUMMYFUNCTION("""COMPUTED_VALUE"""),"synchub")</f>
        <v>synchub</v>
      </c>
      <c r="B12537" s="2" t="str">
        <f ca="1">IFERROR(__xludf.DUMMYFUNCTION("""COMPUTED_VALUE"""),"synh")</f>
        <v>synh</v>
      </c>
      <c r="C12537" s="2" t="str">
        <f ca="1">IFERROR(__xludf.DUMMYFUNCTION("""COMPUTED_VALUE"""),"SyncHub")</f>
        <v>SyncHub</v>
      </c>
    </row>
    <row r="12538" spans="1:3" x14ac:dyDescent="0.25">
      <c r="A12538" s="2" t="str">
        <f ca="1">IFERROR(__xludf.DUMMYFUNCTION("""COMPUTED_VALUE"""),"synclub-staked-bnb")</f>
        <v>synclub-staked-bnb</v>
      </c>
      <c r="B12538" s="2" t="str">
        <f ca="1">IFERROR(__xludf.DUMMYFUNCTION("""COMPUTED_VALUE"""),"slisbnb")</f>
        <v>slisbnb</v>
      </c>
      <c r="C12538" s="2" t="str">
        <f ca="1">IFERROR(__xludf.DUMMYFUNCTION("""COMPUTED_VALUE"""),"Lista Staked BNB")</f>
        <v>Lista Staked BNB</v>
      </c>
    </row>
    <row r="12539" spans="1:3" x14ac:dyDescent="0.25">
      <c r="A12539" s="2" t="str">
        <f ca="1">IFERROR(__xludf.DUMMYFUNCTION("""COMPUTED_VALUE"""),"sync-network")</f>
        <v>sync-network</v>
      </c>
      <c r="B12539" s="2" t="str">
        <f ca="1">IFERROR(__xludf.DUMMYFUNCTION("""COMPUTED_VALUE"""),"sync")</f>
        <v>sync</v>
      </c>
      <c r="C12539" s="2" t="str">
        <f ca="1">IFERROR(__xludf.DUMMYFUNCTION("""COMPUTED_VALUE"""),"Sync Network")</f>
        <v>Sync Network</v>
      </c>
    </row>
    <row r="12540" spans="1:3" x14ac:dyDescent="0.25">
      <c r="A12540" s="2" t="str">
        <f ca="1">IFERROR(__xludf.DUMMYFUNCTION("""COMPUTED_VALUE"""),"syncus")</f>
        <v>syncus</v>
      </c>
      <c r="B12540" s="2" t="str">
        <f ca="1">IFERROR(__xludf.DUMMYFUNCTION("""COMPUTED_VALUE"""),"sync")</f>
        <v>sync</v>
      </c>
      <c r="C12540" s="2" t="str">
        <f ca="1">IFERROR(__xludf.DUMMYFUNCTION("""COMPUTED_VALUE"""),"Syncus")</f>
        <v>Syncus</v>
      </c>
    </row>
    <row r="12541" spans="1:3" x14ac:dyDescent="0.25">
      <c r="A12541" s="2" t="str">
        <f ca="1">IFERROR(__xludf.DUMMYFUNCTION("""COMPUTED_VALUE"""),"syncvault")</f>
        <v>syncvault</v>
      </c>
      <c r="B12541" s="2" t="str">
        <f ca="1">IFERROR(__xludf.DUMMYFUNCTION("""COMPUTED_VALUE"""),"svts")</f>
        <v>svts</v>
      </c>
      <c r="C12541" s="2" t="str">
        <f ca="1">IFERROR(__xludf.DUMMYFUNCTION("""COMPUTED_VALUE"""),"SyncVault")</f>
        <v>SyncVault</v>
      </c>
    </row>
    <row r="12542" spans="1:3" x14ac:dyDescent="0.25">
      <c r="A12542" s="2" t="str">
        <f ca="1">IFERROR(__xludf.DUMMYFUNCTION("""COMPUTED_VALUE"""),"syndicate-2")</f>
        <v>syndicate-2</v>
      </c>
      <c r="B12542" s="2" t="str">
        <f ca="1">IFERROR(__xludf.DUMMYFUNCTION("""COMPUTED_VALUE"""),"synr")</f>
        <v>synr</v>
      </c>
      <c r="C12542" s="2" t="str">
        <f ca="1">IFERROR(__xludf.DUMMYFUNCTION("""COMPUTED_VALUE"""),"MOBLAND")</f>
        <v>MOBLAND</v>
      </c>
    </row>
    <row r="12543" spans="1:3" x14ac:dyDescent="0.25">
      <c r="A12543" s="2" t="str">
        <f ca="1">IFERROR(__xludf.DUMMYFUNCTION("""COMPUTED_VALUE"""),"syn-dog")</f>
        <v>syn-dog</v>
      </c>
      <c r="B12543" s="2" t="str">
        <f ca="1">IFERROR(__xludf.DUMMYFUNCTION("""COMPUTED_VALUE"""),"syn")</f>
        <v>syn</v>
      </c>
      <c r="C12543" s="2" t="str">
        <f ca="1">IFERROR(__xludf.DUMMYFUNCTION("""COMPUTED_VALUE"""),"Syn Dog")</f>
        <v>Syn Dog</v>
      </c>
    </row>
    <row r="12544" spans="1:3" x14ac:dyDescent="0.25">
      <c r="A12544" s="2" t="str">
        <f ca="1">IFERROR(__xludf.DUMMYFUNCTION("""COMPUTED_VALUE"""),"synergy-land-token")</f>
        <v>synergy-land-token</v>
      </c>
      <c r="B12544" s="2" t="str">
        <f ca="1">IFERROR(__xludf.DUMMYFUNCTION("""COMPUTED_VALUE"""),"sng")</f>
        <v>sng</v>
      </c>
      <c r="C12544" s="2" t="str">
        <f ca="1">IFERROR(__xludf.DUMMYFUNCTION("""COMPUTED_VALUE"""),"Synergy Land Token")</f>
        <v>Synergy Land Token</v>
      </c>
    </row>
    <row r="12545" spans="1:3" x14ac:dyDescent="0.25">
      <c r="A12545" s="2" t="str">
        <f ca="1">IFERROR(__xludf.DUMMYFUNCTION("""COMPUTED_VALUE"""),"synesis-one")</f>
        <v>synesis-one</v>
      </c>
      <c r="B12545" s="2" t="str">
        <f ca="1">IFERROR(__xludf.DUMMYFUNCTION("""COMPUTED_VALUE"""),"sns")</f>
        <v>sns</v>
      </c>
      <c r="C12545" s="2" t="str">
        <f ca="1">IFERROR(__xludf.DUMMYFUNCTION("""COMPUTED_VALUE"""),"Synesis One")</f>
        <v>Synesis One</v>
      </c>
    </row>
    <row r="12546" spans="1:3" x14ac:dyDescent="0.25">
      <c r="A12546" s="2" t="str">
        <f ca="1">IFERROR(__xludf.DUMMYFUNCTION("""COMPUTED_VALUE"""),"synk")</f>
        <v>synk</v>
      </c>
      <c r="B12546" s="2" t="str">
        <f ca="1">IFERROR(__xludf.DUMMYFUNCTION("""COMPUTED_VALUE"""),"synk")</f>
        <v>synk</v>
      </c>
      <c r="C12546" s="2" t="str">
        <f ca="1">IFERROR(__xludf.DUMMYFUNCTION("""COMPUTED_VALUE"""),"Synk")</f>
        <v>Synk</v>
      </c>
    </row>
    <row r="12547" spans="1:3" x14ac:dyDescent="0.25">
      <c r="A12547" s="2" t="str">
        <f ca="1">IFERROR(__xludf.DUMMYFUNCTION("""COMPUTED_VALUE"""),"synonym-finance")</f>
        <v>synonym-finance</v>
      </c>
      <c r="B12547" s="2" t="str">
        <f ca="1">IFERROR(__xludf.DUMMYFUNCTION("""COMPUTED_VALUE"""),"syno")</f>
        <v>syno</v>
      </c>
      <c r="C12547" s="2" t="str">
        <f ca="1">IFERROR(__xludf.DUMMYFUNCTION("""COMPUTED_VALUE"""),"Synonym Finance")</f>
        <v>Synonym Finance</v>
      </c>
    </row>
    <row r="12548" spans="1:3" x14ac:dyDescent="0.25">
      <c r="A12548" s="2" t="str">
        <f ca="1">IFERROR(__xludf.DUMMYFUNCTION("""COMPUTED_VALUE"""),"syntax-ai")</f>
        <v>syntax-ai</v>
      </c>
      <c r="B12548" s="2" t="str">
        <f ca="1">IFERROR(__xludf.DUMMYFUNCTION("""COMPUTED_VALUE"""),"syntx")</f>
        <v>syntx</v>
      </c>
      <c r="C12548" s="2" t="str">
        <f ca="1">IFERROR(__xludf.DUMMYFUNCTION("""COMPUTED_VALUE"""),"Syntax AI")</f>
        <v>Syntax AI</v>
      </c>
    </row>
    <row r="12549" spans="1:3" x14ac:dyDescent="0.25">
      <c r="A12549" s="2" t="str">
        <f ca="1">IFERROR(__xludf.DUMMYFUNCTION("""COMPUTED_VALUE"""),"synternet-synt")</f>
        <v>synternet-synt</v>
      </c>
      <c r="B12549" s="2" t="str">
        <f ca="1">IFERROR(__xludf.DUMMYFUNCTION("""COMPUTED_VALUE"""),"synt")</f>
        <v>synt</v>
      </c>
      <c r="C12549" s="2" t="str">
        <f ca="1">IFERROR(__xludf.DUMMYFUNCTION("""COMPUTED_VALUE"""),"Synternet")</f>
        <v>Synternet</v>
      </c>
    </row>
    <row r="12550" spans="1:3" x14ac:dyDescent="0.25">
      <c r="A12550" s="2" t="str">
        <f ca="1">IFERROR(__xludf.DUMMYFUNCTION("""COMPUTED_VALUE"""),"synth-ai")</f>
        <v>synth-ai</v>
      </c>
      <c r="B12550" s="2" t="str">
        <f ca="1">IFERROR(__xludf.DUMMYFUNCTION("""COMPUTED_VALUE"""),"syai")</f>
        <v>syai</v>
      </c>
      <c r="C12550" s="2" t="str">
        <f ca="1">IFERROR(__xludf.DUMMYFUNCTION("""COMPUTED_VALUE"""),"Synth Ai")</f>
        <v>Synth Ai</v>
      </c>
    </row>
    <row r="12551" spans="1:3" x14ac:dyDescent="0.25">
      <c r="A12551" s="2" t="str">
        <f ca="1">IFERROR(__xludf.DUMMYFUNCTION("""COMPUTED_VALUE"""),"synthetify-token")</f>
        <v>synthetify-token</v>
      </c>
      <c r="B12551" s="2" t="str">
        <f ca="1">IFERROR(__xludf.DUMMYFUNCTION("""COMPUTED_VALUE"""),"sny")</f>
        <v>sny</v>
      </c>
      <c r="C12551" s="2" t="str">
        <f ca="1">IFERROR(__xludf.DUMMYFUNCTION("""COMPUTED_VALUE"""),"Synthetify")</f>
        <v>Synthetify</v>
      </c>
    </row>
    <row r="12552" spans="1:3" x14ac:dyDescent="0.25">
      <c r="A12552" s="2" t="str">
        <f ca="1">IFERROR(__xludf.DUMMYFUNCTION("""COMPUTED_VALUE"""),"synthswap")</f>
        <v>synthswap</v>
      </c>
      <c r="B12552" s="2" t="str">
        <f ca="1">IFERROR(__xludf.DUMMYFUNCTION("""COMPUTED_VALUE"""),"synth")</f>
        <v>synth</v>
      </c>
      <c r="C12552" s="2" t="str">
        <f ca="1">IFERROR(__xludf.DUMMYFUNCTION("""COMPUTED_VALUE"""),"Synthswap")</f>
        <v>Synthswap</v>
      </c>
    </row>
    <row r="12553" spans="1:3" x14ac:dyDescent="0.25">
      <c r="A12553" s="2" t="str">
        <f ca="1">IFERROR(__xludf.DUMMYFUNCTION("""COMPUTED_VALUE"""),"sypool")</f>
        <v>sypool</v>
      </c>
      <c r="B12553" s="2" t="str">
        <f ca="1">IFERROR(__xludf.DUMMYFUNCTION("""COMPUTED_VALUE"""),"syp")</f>
        <v>syp</v>
      </c>
      <c r="C12553" s="2" t="str">
        <f ca="1">IFERROR(__xludf.DUMMYFUNCTION("""COMPUTED_VALUE"""),"Sypool")</f>
        <v>Sypool</v>
      </c>
    </row>
    <row r="12554" spans="1:3" x14ac:dyDescent="0.25">
      <c r="A12554" s="2" t="str">
        <f ca="1">IFERROR(__xludf.DUMMYFUNCTION("""COMPUTED_VALUE"""),"syscoin")</f>
        <v>syscoin</v>
      </c>
      <c r="B12554" s="2" t="str">
        <f ca="1">IFERROR(__xludf.DUMMYFUNCTION("""COMPUTED_VALUE"""),"sys")</f>
        <v>sys</v>
      </c>
      <c r="C12554" s="2" t="str">
        <f ca="1">IFERROR(__xludf.DUMMYFUNCTION("""COMPUTED_VALUE"""),"Syscoin")</f>
        <v>Syscoin</v>
      </c>
    </row>
    <row r="12555" spans="1:3" x14ac:dyDescent="0.25">
      <c r="A12555" s="2" t="str">
        <f ca="1">IFERROR(__xludf.DUMMYFUNCTION("""COMPUTED_VALUE"""),"syusd")</f>
        <v>syusd</v>
      </c>
      <c r="B12555" s="2" t="str">
        <f ca="1">IFERROR(__xludf.DUMMYFUNCTION("""COMPUTED_VALUE"""),"syusd")</f>
        <v>syusd</v>
      </c>
      <c r="C12555" s="2" t="str">
        <f ca="1">IFERROR(__xludf.DUMMYFUNCTION("""COMPUTED_VALUE"""),"syUSD")</f>
        <v>syUSD</v>
      </c>
    </row>
    <row r="12556" spans="1:3" x14ac:dyDescent="0.25">
      <c r="A12556" s="2" t="str">
        <f ca="1">IFERROR(__xludf.DUMMYFUNCTION("""COMPUTED_VALUE"""),"t23")</f>
        <v>t23</v>
      </c>
      <c r="B12556" s="2" t="str">
        <f ca="1">IFERROR(__xludf.DUMMYFUNCTION("""COMPUTED_VALUE"""),"t23")</f>
        <v>t23</v>
      </c>
      <c r="C12556" s="2" t="str">
        <f ca="1">IFERROR(__xludf.DUMMYFUNCTION("""COMPUTED_VALUE"""),"T23")</f>
        <v>T23</v>
      </c>
    </row>
    <row r="12557" spans="1:3" x14ac:dyDescent="0.25">
      <c r="A12557" s="2" t="str">
        <f ca="1">IFERROR(__xludf.DUMMYFUNCTION("""COMPUTED_VALUE"""),"t2t2")</f>
        <v>t2t2</v>
      </c>
      <c r="B12557" s="2" t="str">
        <f ca="1">IFERROR(__xludf.DUMMYFUNCTION("""COMPUTED_VALUE"""),"t2t2")</f>
        <v>t2t2</v>
      </c>
      <c r="C12557" s="2" t="str">
        <f ca="1">IFERROR(__xludf.DUMMYFUNCTION("""COMPUTED_VALUE"""),"T2T2")</f>
        <v>T2T2</v>
      </c>
    </row>
    <row r="12558" spans="1:3" x14ac:dyDescent="0.25">
      <c r="A12558" s="2" t="str">
        <f ca="1">IFERROR(__xludf.DUMMYFUNCTION("""COMPUTED_VALUE"""),"t2-tkn")</f>
        <v>t2-tkn</v>
      </c>
      <c r="B12558" s="2" t="str">
        <f ca="1">IFERROR(__xludf.DUMMYFUNCTION("""COMPUTED_VALUE"""),"t2tkn")</f>
        <v>t2tkn</v>
      </c>
      <c r="C12558" s="2" t="str">
        <f ca="1">IFERROR(__xludf.DUMMYFUNCTION("""COMPUTED_VALUE"""),"T2 TKN")</f>
        <v>T2 TKN</v>
      </c>
    </row>
    <row r="12559" spans="1:3" x14ac:dyDescent="0.25">
      <c r="A12559" s="2" t="str">
        <f ca="1">IFERROR(__xludf.DUMMYFUNCTION("""COMPUTED_VALUE"""),"t3rn")</f>
        <v>t3rn</v>
      </c>
      <c r="B12559" s="2" t="str">
        <f ca="1">IFERROR(__xludf.DUMMYFUNCTION("""COMPUTED_VALUE"""),"trn")</f>
        <v>trn</v>
      </c>
      <c r="C12559" s="2" t="str">
        <f ca="1">IFERROR(__xludf.DUMMYFUNCTION("""COMPUTED_VALUE"""),"t3rn")</f>
        <v>t3rn</v>
      </c>
    </row>
    <row r="12560" spans="1:3" x14ac:dyDescent="0.25">
      <c r="A12560" s="2" t="str">
        <f ca="1">IFERROR(__xludf.DUMMYFUNCTION("""COMPUTED_VALUE"""),"tabbypos")</f>
        <v>tabbypos</v>
      </c>
      <c r="B12560" s="2" t="str">
        <f ca="1">IFERROR(__xludf.DUMMYFUNCTION("""COMPUTED_VALUE"""),"epos")</f>
        <v>epos</v>
      </c>
      <c r="C12560" s="2" t="str">
        <f ca="1">IFERROR(__xludf.DUMMYFUNCTION("""COMPUTED_VALUE"""),"TabbyPOS")</f>
        <v>TabbyPOS</v>
      </c>
    </row>
    <row r="12561" spans="1:3" x14ac:dyDescent="0.25">
      <c r="A12561" s="2" t="str">
        <f ca="1">IFERROR(__xludf.DUMMYFUNCTION("""COMPUTED_VALUE"""),"tabo")</f>
        <v>tabo</v>
      </c>
      <c r="B12561" s="2" t="str">
        <f ca="1">IFERROR(__xludf.DUMMYFUNCTION("""COMPUTED_VALUE"""),"tabo")</f>
        <v>tabo</v>
      </c>
      <c r="C12561" s="2" t="str">
        <f ca="1">IFERROR(__xludf.DUMMYFUNCTION("""COMPUTED_VALUE"""),"TABO")</f>
        <v>TABO</v>
      </c>
    </row>
    <row r="12562" spans="1:3" x14ac:dyDescent="0.25">
      <c r="A12562" s="2" t="str">
        <f ca="1">IFERROR(__xludf.DUMMYFUNCTION("""COMPUTED_VALUE"""),"taboo-token")</f>
        <v>taboo-token</v>
      </c>
      <c r="B12562" s="2" t="str">
        <f ca="1">IFERROR(__xludf.DUMMYFUNCTION("""COMPUTED_VALUE"""),"taboo")</f>
        <v>taboo</v>
      </c>
      <c r="C12562" s="2" t="str">
        <f ca="1">IFERROR(__xludf.DUMMYFUNCTION("""COMPUTED_VALUE"""),"Taboo")</f>
        <v>Taboo</v>
      </c>
    </row>
    <row r="12563" spans="1:3" x14ac:dyDescent="0.25">
      <c r="A12563" s="2" t="str">
        <f ca="1">IFERROR(__xludf.DUMMYFUNCTION("""COMPUTED_VALUE"""),"tabtrader")</f>
        <v>tabtrader</v>
      </c>
      <c r="B12563" s="2" t="str">
        <f ca="1">IFERROR(__xludf.DUMMYFUNCTION("""COMPUTED_VALUE"""),"ttt")</f>
        <v>ttt</v>
      </c>
      <c r="C12563" s="2" t="str">
        <f ca="1">IFERROR(__xludf.DUMMYFUNCTION("""COMPUTED_VALUE"""),"TabTrader")</f>
        <v>TabTrader</v>
      </c>
    </row>
    <row r="12564" spans="1:3" x14ac:dyDescent="0.25">
      <c r="A12564" s="2" t="str">
        <f ca="1">IFERROR(__xludf.DUMMYFUNCTION("""COMPUTED_VALUE"""),"tacocat")</f>
        <v>tacocat</v>
      </c>
      <c r="B12564" s="2" t="str">
        <f ca="1">IFERROR(__xludf.DUMMYFUNCTION("""COMPUTED_VALUE"""),"tacocat")</f>
        <v>tacocat</v>
      </c>
      <c r="C12564" s="2" t="str">
        <f ca="1">IFERROR(__xludf.DUMMYFUNCTION("""COMPUTED_VALUE"""),"TACOCAT")</f>
        <v>TACOCAT</v>
      </c>
    </row>
    <row r="12565" spans="1:3" x14ac:dyDescent="0.25">
      <c r="A12565" s="2" t="str">
        <f ca="1">IFERROR(__xludf.DUMMYFUNCTION("""COMPUTED_VALUE"""),"ta-da")</f>
        <v>ta-da</v>
      </c>
      <c r="B12565" s="2" t="str">
        <f ca="1">IFERROR(__xludf.DUMMYFUNCTION("""COMPUTED_VALUE"""),"tada")</f>
        <v>tada</v>
      </c>
      <c r="C12565" s="2" t="str">
        <f ca="1">IFERROR(__xludf.DUMMYFUNCTION("""COMPUTED_VALUE"""),"Ta-da")</f>
        <v>Ta-da</v>
      </c>
    </row>
    <row r="12566" spans="1:3" x14ac:dyDescent="0.25">
      <c r="A12566" s="2" t="str">
        <f ca="1">IFERROR(__xludf.DUMMYFUNCTION("""COMPUTED_VALUE"""),"tadpole")</f>
        <v>tadpole</v>
      </c>
      <c r="B12566" s="2" t="str">
        <f ca="1">IFERROR(__xludf.DUMMYFUNCTION("""COMPUTED_VALUE"""),"tad")</f>
        <v>tad</v>
      </c>
      <c r="C12566" s="2" t="str">
        <f ca="1">IFERROR(__xludf.DUMMYFUNCTION("""COMPUTED_VALUE"""),"Tadpole")</f>
        <v>Tadpole</v>
      </c>
    </row>
    <row r="12567" spans="1:3" x14ac:dyDescent="0.25">
      <c r="A12567" s="2" t="str">
        <f ca="1">IFERROR(__xludf.DUMMYFUNCTION("""COMPUTED_VALUE"""),"taggr")</f>
        <v>taggr</v>
      </c>
      <c r="B12567" s="2" t="str">
        <f ca="1">IFERROR(__xludf.DUMMYFUNCTION("""COMPUTED_VALUE"""),"taggr")</f>
        <v>taggr</v>
      </c>
      <c r="C12567" s="2" t="str">
        <f ca="1">IFERROR(__xludf.DUMMYFUNCTION("""COMPUTED_VALUE"""),"TAGGR")</f>
        <v>TAGGR</v>
      </c>
    </row>
    <row r="12568" spans="1:3" x14ac:dyDescent="0.25">
      <c r="A12568" s="2" t="str">
        <f ca="1">IFERROR(__xludf.DUMMYFUNCTION("""COMPUTED_VALUE"""),"taho")</f>
        <v>taho</v>
      </c>
      <c r="B12568" s="2" t="str">
        <f ca="1">IFERROR(__xludf.DUMMYFUNCTION("""COMPUTED_VALUE"""),"taho")</f>
        <v>taho</v>
      </c>
      <c r="C12568" s="2" t="str">
        <f ca="1">IFERROR(__xludf.DUMMYFUNCTION("""COMPUTED_VALUE"""),"Taho")</f>
        <v>Taho</v>
      </c>
    </row>
    <row r="12569" spans="1:3" x14ac:dyDescent="0.25">
      <c r="A12569" s="2" t="str">
        <f ca="1">IFERROR(__xludf.DUMMYFUNCTION("""COMPUTED_VALUE"""),"taikai")</f>
        <v>taikai</v>
      </c>
      <c r="B12569" s="2" t="str">
        <f ca="1">IFERROR(__xludf.DUMMYFUNCTION("""COMPUTED_VALUE"""),"tkai")</f>
        <v>tkai</v>
      </c>
      <c r="C12569" s="2" t="str">
        <f ca="1">IFERROR(__xludf.DUMMYFUNCTION("""COMPUTED_VALUE"""),"TAIKAI")</f>
        <v>TAIKAI</v>
      </c>
    </row>
    <row r="12570" spans="1:3" x14ac:dyDescent="0.25">
      <c r="A12570" s="2" t="str">
        <f ca="1">IFERROR(__xludf.DUMMYFUNCTION("""COMPUTED_VALUE"""),"taiko")</f>
        <v>taiko</v>
      </c>
      <c r="B12570" s="2" t="str">
        <f ca="1">IFERROR(__xludf.DUMMYFUNCTION("""COMPUTED_VALUE"""),"taiko")</f>
        <v>taiko</v>
      </c>
      <c r="C12570" s="2" t="str">
        <f ca="1">IFERROR(__xludf.DUMMYFUNCTION("""COMPUTED_VALUE"""),"Taiko")</f>
        <v>Taiko</v>
      </c>
    </row>
    <row r="12571" spans="1:3" x14ac:dyDescent="0.25">
      <c r="A12571" s="2" t="str">
        <f ca="1">IFERROR(__xludf.DUMMYFUNCTION("""COMPUTED_VALUE"""),"taiko-bridged-usdc-taiko")</f>
        <v>taiko-bridged-usdc-taiko</v>
      </c>
      <c r="B12571" s="2" t="str">
        <f ca="1">IFERROR(__xludf.DUMMYFUNCTION("""COMPUTED_VALUE"""),"usdc")</f>
        <v>usdc</v>
      </c>
      <c r="C12571" s="2" t="str">
        <f ca="1">IFERROR(__xludf.DUMMYFUNCTION("""COMPUTED_VALUE"""),"Taiko Bridged USDC (Taiko)")</f>
        <v>Taiko Bridged USDC (Taiko)</v>
      </c>
    </row>
    <row r="12572" spans="1:3" x14ac:dyDescent="0.25">
      <c r="A12572" s="2" t="str">
        <f ca="1">IFERROR(__xludf.DUMMYFUNCTION("""COMPUTED_VALUE"""),"taikoswap")</f>
        <v>taikoswap</v>
      </c>
      <c r="B12572" s="2" t="str">
        <f ca="1">IFERROR(__xludf.DUMMYFUNCTION("""COMPUTED_VALUE"""),"tkoswap")</f>
        <v>tkoswap</v>
      </c>
      <c r="C12572" s="2" t="str">
        <f ca="1">IFERROR(__xludf.DUMMYFUNCTION("""COMPUTED_VALUE"""),"TaikoSwap")</f>
        <v>TaikoSwap</v>
      </c>
    </row>
    <row r="12573" spans="1:3" x14ac:dyDescent="0.25">
      <c r="A12573" s="2" t="str">
        <f ca="1">IFERROR(__xludf.DUMMYFUNCTION("""COMPUTED_VALUE"""),"tail")</f>
        <v>tail</v>
      </c>
      <c r="B12573" s="2" t="str">
        <f ca="1">IFERROR(__xludf.DUMMYFUNCTION("""COMPUTED_VALUE"""),"tail")</f>
        <v>tail</v>
      </c>
      <c r="C12573" s="2" t="str">
        <f ca="1">IFERROR(__xludf.DUMMYFUNCTION("""COMPUTED_VALUE"""),"Tail")</f>
        <v>Tail</v>
      </c>
    </row>
    <row r="12574" spans="1:3" x14ac:dyDescent="0.25">
      <c r="A12574" s="2" t="str">
        <f ca="1">IFERROR(__xludf.DUMMYFUNCTION("""COMPUTED_VALUE"""),"tajcoin")</f>
        <v>tajcoin</v>
      </c>
      <c r="B12574" s="2" t="str">
        <f ca="1">IFERROR(__xludf.DUMMYFUNCTION("""COMPUTED_VALUE"""),"taj")</f>
        <v>taj</v>
      </c>
      <c r="C12574" s="2" t="str">
        <f ca="1">IFERROR(__xludf.DUMMYFUNCTION("""COMPUTED_VALUE"""),"TajCoin")</f>
        <v>TajCoin</v>
      </c>
    </row>
    <row r="12575" spans="1:3" x14ac:dyDescent="0.25">
      <c r="A12575" s="2" t="str">
        <f ca="1">IFERROR(__xludf.DUMMYFUNCTION("""COMPUTED_VALUE"""),"takamaka-green-coin")</f>
        <v>takamaka-green-coin</v>
      </c>
      <c r="B12575" s="2" t="str">
        <f ca="1">IFERROR(__xludf.DUMMYFUNCTION("""COMPUTED_VALUE"""),"tkg")</f>
        <v>tkg</v>
      </c>
      <c r="C12575" s="2" t="str">
        <f ca="1">IFERROR(__xludf.DUMMYFUNCTION("""COMPUTED_VALUE"""),"Takamaka")</f>
        <v>Takamaka</v>
      </c>
    </row>
    <row r="12576" spans="1:3" x14ac:dyDescent="0.25">
      <c r="A12576" s="2" t="str">
        <f ca="1">IFERROR(__xludf.DUMMYFUNCTION("""COMPUTED_VALUE"""),"taki")</f>
        <v>taki</v>
      </c>
      <c r="B12576" s="2" t="str">
        <f ca="1">IFERROR(__xludf.DUMMYFUNCTION("""COMPUTED_VALUE"""),"taki")</f>
        <v>taki</v>
      </c>
      <c r="C12576" s="2" t="str">
        <f ca="1">IFERROR(__xludf.DUMMYFUNCTION("""COMPUTED_VALUE"""),"Taki Games")</f>
        <v>Taki Games</v>
      </c>
    </row>
    <row r="12577" spans="1:3" x14ac:dyDescent="0.25">
      <c r="A12577" s="2" t="str">
        <f ca="1">IFERROR(__xludf.DUMMYFUNCTION("""COMPUTED_VALUE"""),"talahon")</f>
        <v>talahon</v>
      </c>
      <c r="B12577" s="2" t="str">
        <f ca="1">IFERROR(__xludf.DUMMYFUNCTION("""COMPUTED_VALUE"""),"$talahon")</f>
        <v>$talahon</v>
      </c>
      <c r="C12577" s="2" t="str">
        <f ca="1">IFERROR(__xludf.DUMMYFUNCTION("""COMPUTED_VALUE"""),"Talahon")</f>
        <v>Talahon</v>
      </c>
    </row>
    <row r="12578" spans="1:3" x14ac:dyDescent="0.25">
      <c r="A12578" s="2" t="str">
        <f ca="1">IFERROR(__xludf.DUMMYFUNCTION("""COMPUTED_VALUE"""),"talaxeum")</f>
        <v>talaxeum</v>
      </c>
      <c r="B12578" s="2" t="str">
        <f ca="1">IFERROR(__xludf.DUMMYFUNCTION("""COMPUTED_VALUE"""),"talax")</f>
        <v>talax</v>
      </c>
      <c r="C12578" s="2" t="str">
        <f ca="1">IFERROR(__xludf.DUMMYFUNCTION("""COMPUTED_VALUE"""),"Talaxeum")</f>
        <v>Talaxeum</v>
      </c>
    </row>
    <row r="12579" spans="1:3" x14ac:dyDescent="0.25">
      <c r="A12579" s="2" t="str">
        <f ca="1">IFERROR(__xludf.DUMMYFUNCTION("""COMPUTED_VALUE"""),"talecraft")</f>
        <v>talecraft</v>
      </c>
      <c r="B12579" s="2" t="str">
        <f ca="1">IFERROR(__xludf.DUMMYFUNCTION("""COMPUTED_VALUE"""),"craft")</f>
        <v>craft</v>
      </c>
      <c r="C12579" s="2" t="str">
        <f ca="1">IFERROR(__xludf.DUMMYFUNCTION("""COMPUTED_VALUE"""),"TaleCraft")</f>
        <v>TaleCraft</v>
      </c>
    </row>
    <row r="12580" spans="1:3" x14ac:dyDescent="0.25">
      <c r="A12580" s="2" t="str">
        <f ca="1">IFERROR(__xludf.DUMMYFUNCTION("""COMPUTED_VALUE"""),"talentido")</f>
        <v>talentido</v>
      </c>
      <c r="B12580" s="2" t="str">
        <f ca="1">IFERROR(__xludf.DUMMYFUNCTION("""COMPUTED_VALUE"""),"tal")</f>
        <v>tal</v>
      </c>
      <c r="C12580" s="2" t="str">
        <f ca="1">IFERROR(__xludf.DUMMYFUNCTION("""COMPUTED_VALUE"""),"TalentIDO")</f>
        <v>TalentIDO</v>
      </c>
    </row>
    <row r="12581" spans="1:3" x14ac:dyDescent="0.25">
      <c r="A12581" s="2" t="str">
        <f ca="1">IFERROR(__xludf.DUMMYFUNCTION("""COMPUTED_VALUE"""),"taler")</f>
        <v>taler</v>
      </c>
      <c r="B12581" s="2" t="str">
        <f ca="1">IFERROR(__xludf.DUMMYFUNCTION("""COMPUTED_VALUE"""),"tlr")</f>
        <v>tlr</v>
      </c>
      <c r="C12581" s="2" t="str">
        <f ca="1">IFERROR(__xludf.DUMMYFUNCTION("""COMPUTED_VALUE"""),"Taler")</f>
        <v>Taler</v>
      </c>
    </row>
    <row r="12582" spans="1:3" x14ac:dyDescent="0.25">
      <c r="A12582" s="2" t="str">
        <f ca="1">IFERROR(__xludf.DUMMYFUNCTION("""COMPUTED_VALUE"""),"tales-of-meme")</f>
        <v>tales-of-meme</v>
      </c>
      <c r="B12582" s="2" t="str">
        <f ca="1">IFERROR(__xludf.DUMMYFUNCTION("""COMPUTED_VALUE"""),"tome")</f>
        <v>tome</v>
      </c>
      <c r="C12582" s="2" t="str">
        <f ca="1">IFERROR(__xludf.DUMMYFUNCTION("""COMPUTED_VALUE"""),"Tales of meme")</f>
        <v>Tales of meme</v>
      </c>
    </row>
    <row r="12583" spans="1:3" x14ac:dyDescent="0.25">
      <c r="A12583" s="2" t="str">
        <f ca="1">IFERROR(__xludf.DUMMYFUNCTION("""COMPUTED_VALUE"""),"tales-of-pepe")</f>
        <v>tales-of-pepe</v>
      </c>
      <c r="B12583" s="2" t="str">
        <f ca="1">IFERROR(__xludf.DUMMYFUNCTION("""COMPUTED_VALUE"""),"tales")</f>
        <v>tales</v>
      </c>
      <c r="C12583" s="2" t="str">
        <f ca="1">IFERROR(__xludf.DUMMYFUNCTION("""COMPUTED_VALUE"""),"Tales of Pepe")</f>
        <v>Tales of Pepe</v>
      </c>
    </row>
    <row r="12584" spans="1:3" x14ac:dyDescent="0.25">
      <c r="A12584" s="2" t="str">
        <f ca="1">IFERROR(__xludf.DUMMYFUNCTION("""COMPUTED_VALUE"""),"talis-protocol")</f>
        <v>talis-protocol</v>
      </c>
      <c r="B12584" s="2" t="str">
        <f ca="1">IFERROR(__xludf.DUMMYFUNCTION("""COMPUTED_VALUE"""),"talis")</f>
        <v>talis</v>
      </c>
      <c r="C12584" s="2" t="str">
        <f ca="1">IFERROR(__xludf.DUMMYFUNCTION("""COMPUTED_VALUE"""),"Talis Protocol")</f>
        <v>Talis Protocol</v>
      </c>
    </row>
    <row r="12585" spans="1:3" x14ac:dyDescent="0.25">
      <c r="A12585" s="2" t="str">
        <f ca="1">IFERROR(__xludf.DUMMYFUNCTION("""COMPUTED_VALUE"""),"talkado")</f>
        <v>talkado</v>
      </c>
      <c r="B12585" s="2" t="str">
        <f ca="1">IFERROR(__xludf.DUMMYFUNCTION("""COMPUTED_VALUE"""),"talk")</f>
        <v>talk</v>
      </c>
      <c r="C12585" s="2" t="str">
        <f ca="1">IFERROR(__xludf.DUMMYFUNCTION("""COMPUTED_VALUE"""),"Talkado")</f>
        <v>Talkado</v>
      </c>
    </row>
    <row r="12586" spans="1:3" x14ac:dyDescent="0.25">
      <c r="A12586" s="2" t="str">
        <f ca="1">IFERROR(__xludf.DUMMYFUNCTION("""COMPUTED_VALUE"""),"talken")</f>
        <v>talken</v>
      </c>
      <c r="B12586" s="2" t="str">
        <f ca="1">IFERROR(__xludf.DUMMYFUNCTION("""COMPUTED_VALUE"""),"talk")</f>
        <v>talk</v>
      </c>
      <c r="C12586" s="2" t="str">
        <f ca="1">IFERROR(__xludf.DUMMYFUNCTION("""COMPUTED_VALUE"""),"Talken")</f>
        <v>Talken</v>
      </c>
    </row>
    <row r="12587" spans="1:3" x14ac:dyDescent="0.25">
      <c r="A12587" s="2" t="str">
        <f ca="1">IFERROR(__xludf.DUMMYFUNCTION("""COMPUTED_VALUE"""),"talys")</f>
        <v>talys</v>
      </c>
      <c r="B12587" s="2" t="str">
        <f ca="1">IFERROR(__xludf.DUMMYFUNCTION("""COMPUTED_VALUE"""),"talys")</f>
        <v>talys</v>
      </c>
      <c r="C12587" s="2" t="str">
        <f ca="1">IFERROR(__xludf.DUMMYFUNCTION("""COMPUTED_VALUE"""),"TALYS")</f>
        <v>TALYS</v>
      </c>
    </row>
    <row r="12588" spans="1:3" x14ac:dyDescent="0.25">
      <c r="A12588" s="2" t="str">
        <f ca="1">IFERROR(__xludf.DUMMYFUNCTION("""COMPUTED_VALUE"""),"tamadoge")</f>
        <v>tamadoge</v>
      </c>
      <c r="B12588" s="2" t="str">
        <f ca="1">IFERROR(__xludf.DUMMYFUNCTION("""COMPUTED_VALUE"""),"tama")</f>
        <v>tama</v>
      </c>
      <c r="C12588" s="2" t="str">
        <f ca="1">IFERROR(__xludf.DUMMYFUNCTION("""COMPUTED_VALUE"""),"Tamadoge")</f>
        <v>Tamadoge</v>
      </c>
    </row>
    <row r="12589" spans="1:3" x14ac:dyDescent="0.25">
      <c r="A12589" s="2" t="str">
        <f ca="1">IFERROR(__xludf.DUMMYFUNCTION("""COMPUTED_VALUE"""),"tamagotchi")</f>
        <v>tamagotchi</v>
      </c>
      <c r="B12589" s="2" t="str">
        <f ca="1">IFERROR(__xludf.DUMMYFUNCTION("""COMPUTED_VALUE"""),"gotchi")</f>
        <v>gotchi</v>
      </c>
      <c r="C12589" s="2" t="str">
        <f ca="1">IFERROR(__xludf.DUMMYFUNCTION("""COMPUTED_VALUE"""),"Tamagotchi")</f>
        <v>Tamagotchi</v>
      </c>
    </row>
    <row r="12590" spans="1:3" x14ac:dyDescent="0.25">
      <c r="A12590" s="2" t="str">
        <f ca="1">IFERROR(__xludf.DUMMYFUNCTION("""COMPUTED_VALUE"""),"tamkin")</f>
        <v>tamkin</v>
      </c>
      <c r="B12590" s="2" t="str">
        <f ca="1">IFERROR(__xludf.DUMMYFUNCTION("""COMPUTED_VALUE"""),"tslt")</f>
        <v>tslt</v>
      </c>
      <c r="C12590" s="2" t="str">
        <f ca="1">IFERROR(__xludf.DUMMYFUNCTION("""COMPUTED_VALUE"""),"Tamkin")</f>
        <v>Tamkin</v>
      </c>
    </row>
    <row r="12591" spans="1:3" x14ac:dyDescent="0.25">
      <c r="A12591" s="2" t="str">
        <f ca="1">IFERROR(__xludf.DUMMYFUNCTION("""COMPUTED_VALUE"""),"tangent")</f>
        <v>tangent</v>
      </c>
      <c r="B12591" s="2" t="str">
        <f ca="1">IFERROR(__xludf.DUMMYFUNCTION("""COMPUTED_VALUE"""),"tang")</f>
        <v>tang</v>
      </c>
      <c r="C12591" s="2" t="str">
        <f ca="1">IFERROR(__xludf.DUMMYFUNCTION("""COMPUTED_VALUE"""),"Tangent")</f>
        <v>Tangent</v>
      </c>
    </row>
    <row r="12592" spans="1:3" x14ac:dyDescent="0.25">
      <c r="A12592" s="2" t="str">
        <f ca="1">IFERROR(__xludf.DUMMYFUNCTION("""COMPUTED_VALUE"""),"tangible")</f>
        <v>tangible</v>
      </c>
      <c r="B12592" s="2" t="str">
        <f ca="1">IFERROR(__xludf.DUMMYFUNCTION("""COMPUTED_VALUE"""),"tngbl")</f>
        <v>tngbl</v>
      </c>
      <c r="C12592" s="2" t="str">
        <f ca="1">IFERROR(__xludf.DUMMYFUNCTION("""COMPUTED_VALUE"""),"Tangible")</f>
        <v>Tangible</v>
      </c>
    </row>
    <row r="12593" spans="1:3" x14ac:dyDescent="0.25">
      <c r="A12593" s="2" t="str">
        <f ca="1">IFERROR(__xludf.DUMMYFUNCTION("""COMPUTED_VALUE"""),"tangle-network")</f>
        <v>tangle-network</v>
      </c>
      <c r="B12593" s="2" t="str">
        <f ca="1">IFERROR(__xludf.DUMMYFUNCTION("""COMPUTED_VALUE"""),"tnt")</f>
        <v>tnt</v>
      </c>
      <c r="C12593" s="2" t="str">
        <f ca="1">IFERROR(__xludf.DUMMYFUNCTION("""COMPUTED_VALUE"""),"Tangle Network")</f>
        <v>Tangle Network</v>
      </c>
    </row>
    <row r="12594" spans="1:3" x14ac:dyDescent="0.25">
      <c r="A12594" s="2" t="str">
        <f ca="1">IFERROR(__xludf.DUMMYFUNCTION("""COMPUTED_VALUE"""),"tangle-network-2")</f>
        <v>tangle-network-2</v>
      </c>
      <c r="B12594" s="2" t="str">
        <f ca="1">IFERROR(__xludf.DUMMYFUNCTION("""COMPUTED_VALUE"""),"tnet")</f>
        <v>tnet</v>
      </c>
      <c r="C12594" s="2" t="str">
        <f ca="1">IFERROR(__xludf.DUMMYFUNCTION("""COMPUTED_VALUE"""),"Tangle Network")</f>
        <v>Tangle Network</v>
      </c>
    </row>
    <row r="12595" spans="1:3" x14ac:dyDescent="0.25">
      <c r="A12595" s="2" t="str">
        <f ca="1">IFERROR(__xludf.DUMMYFUNCTION("""COMPUTED_VALUE"""),"tangleswap-void")</f>
        <v>tangleswap-void</v>
      </c>
      <c r="B12595" s="2" t="str">
        <f ca="1">IFERROR(__xludf.DUMMYFUNCTION("""COMPUTED_VALUE"""),"void")</f>
        <v>void</v>
      </c>
      <c r="C12595" s="2" t="str">
        <f ca="1">IFERROR(__xludf.DUMMYFUNCTION("""COMPUTED_VALUE"""),"TangleSwap VOID")</f>
        <v>TangleSwap VOID</v>
      </c>
    </row>
    <row r="12596" spans="1:3" x14ac:dyDescent="0.25">
      <c r="A12596" s="2" t="str">
        <f ca="1">IFERROR(__xludf.DUMMYFUNCTION("""COMPUTED_VALUE"""),"tango")</f>
        <v>tango</v>
      </c>
      <c r="B12596" s="2" t="str">
        <f ca="1">IFERROR(__xludf.DUMMYFUNCTION("""COMPUTED_VALUE"""),"tango")</f>
        <v>tango</v>
      </c>
      <c r="C12596" s="2" t="str">
        <f ca="1">IFERROR(__xludf.DUMMYFUNCTION("""COMPUTED_VALUE"""),"TANGO")</f>
        <v>TANGO</v>
      </c>
    </row>
    <row r="12597" spans="1:3" x14ac:dyDescent="0.25">
      <c r="A12597" s="2" t="str">
        <f ca="1">IFERROR(__xludf.DUMMYFUNCTION("""COMPUTED_VALUE"""),"tangoswap")</f>
        <v>tangoswap</v>
      </c>
      <c r="B12597" s="2" t="str">
        <f ca="1">IFERROR(__xludf.DUMMYFUNCTION("""COMPUTED_VALUE"""),"tango")</f>
        <v>tango</v>
      </c>
      <c r="C12597" s="2" t="str">
        <f ca="1">IFERROR(__xludf.DUMMYFUNCTION("""COMPUTED_VALUE"""),"TangoSwap")</f>
        <v>TangoSwap</v>
      </c>
    </row>
    <row r="12598" spans="1:3" x14ac:dyDescent="0.25">
      <c r="A12598" s="2" t="str">
        <f ca="1">IFERROR(__xludf.DUMMYFUNCTION("""COMPUTED_VALUE"""),"tang-ping-cat")</f>
        <v>tang-ping-cat</v>
      </c>
      <c r="B12598" s="2" t="str">
        <f ca="1">IFERROR(__xludf.DUMMYFUNCTION("""COMPUTED_VALUE"""),"tpcat")</f>
        <v>tpcat</v>
      </c>
      <c r="C12598" s="2" t="str">
        <f ca="1">IFERROR(__xludf.DUMMYFUNCTION("""COMPUTED_VALUE"""),"Tang Ping Cat")</f>
        <v>Tang Ping Cat</v>
      </c>
    </row>
    <row r="12599" spans="1:3" x14ac:dyDescent="0.25">
      <c r="A12599" s="2" t="str">
        <f ca="1">IFERROR(__xludf.DUMMYFUNCTION("""COMPUTED_VALUE"""),"tangyuan")</f>
        <v>tangyuan</v>
      </c>
      <c r="B12599" s="2" t="str">
        <f ca="1">IFERROR(__xludf.DUMMYFUNCTION("""COMPUTED_VALUE"""),"tangyuan")</f>
        <v>tangyuan</v>
      </c>
      <c r="C12599" s="2" t="str">
        <f ca="1">IFERROR(__xludf.DUMMYFUNCTION("""COMPUTED_VALUE"""),"TangYuan")</f>
        <v>TangYuan</v>
      </c>
    </row>
    <row r="12600" spans="1:3" x14ac:dyDescent="0.25">
      <c r="A12600" s="2" t="str">
        <f ca="1">IFERROR(__xludf.DUMMYFUNCTION("""COMPUTED_VALUE"""),"tanpin")</f>
        <v>tanpin</v>
      </c>
      <c r="B12600" s="2" t="str">
        <f ca="1">IFERROR(__xludf.DUMMYFUNCTION("""COMPUTED_VALUE"""),"tanpin")</f>
        <v>tanpin</v>
      </c>
      <c r="C12600" s="2" t="str">
        <f ca="1">IFERROR(__xludf.DUMMYFUNCTION("""COMPUTED_VALUE"""),"TanPin")</f>
        <v>TanPin</v>
      </c>
    </row>
    <row r="12601" spans="1:3" x14ac:dyDescent="0.25">
      <c r="A12601" s="2" t="str">
        <f ca="1">IFERROR(__xludf.DUMMYFUNCTION("""COMPUTED_VALUE"""),"tanuki-coin")</f>
        <v>tanuki-coin</v>
      </c>
      <c r="B12601" s="2" t="str">
        <f ca="1">IFERROR(__xludf.DUMMYFUNCTION("""COMPUTED_VALUE"""),"tanuki")</f>
        <v>tanuki</v>
      </c>
      <c r="C12601" s="2" t="str">
        <f ca="1">IFERROR(__xludf.DUMMYFUNCTION("""COMPUTED_VALUE"""),"Tanuki Coin")</f>
        <v>Tanuki Coin</v>
      </c>
    </row>
    <row r="12602" spans="1:3" x14ac:dyDescent="0.25">
      <c r="A12602" s="2" t="str">
        <f ca="1">IFERROR(__xludf.DUMMYFUNCTION("""COMPUTED_VALUE"""),"tanuki-launchpad")</f>
        <v>tanuki-launchpad</v>
      </c>
      <c r="B12602" s="2" t="str">
        <f ca="1">IFERROR(__xludf.DUMMYFUNCTION("""COMPUTED_VALUE"""),"tanupad")</f>
        <v>tanupad</v>
      </c>
      <c r="C12602" s="2" t="str">
        <f ca="1">IFERROR(__xludf.DUMMYFUNCTION("""COMPUTED_VALUE"""),"Tanuki Launchpad")</f>
        <v>Tanuki Launchpad</v>
      </c>
    </row>
    <row r="12603" spans="1:3" x14ac:dyDescent="0.25">
      <c r="A12603" s="2" t="str">
        <f ca="1">IFERROR(__xludf.DUMMYFUNCTION("""COMPUTED_VALUE"""),"tao-accounting-system")</f>
        <v>tao-accounting-system</v>
      </c>
      <c r="B12603" s="2" t="str">
        <f ca="1">IFERROR(__xludf.DUMMYFUNCTION("""COMPUTED_VALUE"""),"tas")</f>
        <v>tas</v>
      </c>
      <c r="C12603" s="2" t="str">
        <f ca="1">IFERROR(__xludf.DUMMYFUNCTION("""COMPUTED_VALUE"""),"Tao Accounting System")</f>
        <v>Tao Accounting System</v>
      </c>
    </row>
    <row r="12604" spans="1:3" x14ac:dyDescent="0.25">
      <c r="A12604" s="2" t="str">
        <f ca="1">IFERROR(__xludf.DUMMYFUNCTION("""COMPUTED_VALUE"""),"taobank")</f>
        <v>taobank</v>
      </c>
      <c r="B12604" s="2" t="str">
        <f ca="1">IFERROR(__xludf.DUMMYFUNCTION("""COMPUTED_VALUE"""),"tbank")</f>
        <v>tbank</v>
      </c>
      <c r="C12604" s="2" t="str">
        <f ca="1">IFERROR(__xludf.DUMMYFUNCTION("""COMPUTED_VALUE"""),"TaoBank")</f>
        <v>TaoBank</v>
      </c>
    </row>
    <row r="12605" spans="1:3" x14ac:dyDescent="0.25">
      <c r="A12605" s="2" t="str">
        <f ca="1">IFERROR(__xludf.DUMMYFUNCTION("""COMPUTED_VALUE"""),"tao-bot")</f>
        <v>tao-bot</v>
      </c>
      <c r="B12605" s="2" t="str">
        <f ca="1">IFERROR(__xludf.DUMMYFUNCTION("""COMPUTED_VALUE"""),"taobot")</f>
        <v>taobot</v>
      </c>
      <c r="C12605" s="2" t="str">
        <f ca="1">IFERROR(__xludf.DUMMYFUNCTION("""COMPUTED_VALUE"""),"tao.bot")</f>
        <v>tao.bot</v>
      </c>
    </row>
    <row r="12606" spans="1:3" x14ac:dyDescent="0.25">
      <c r="A12606" s="2" t="str">
        <f ca="1">IFERROR(__xludf.DUMMYFUNCTION("""COMPUTED_VALUE"""),"tao-ceti")</f>
        <v>tao-ceti</v>
      </c>
      <c r="B12606" s="2" t="str">
        <f ca="1">IFERROR(__xludf.DUMMYFUNCTION("""COMPUTED_VALUE"""),"ceti")</f>
        <v>ceti</v>
      </c>
      <c r="C12606" s="2" t="str">
        <f ca="1">IFERROR(__xludf.DUMMYFUNCTION("""COMPUTED_VALUE"""),"Tao Ceτi")</f>
        <v>Tao Ceτi</v>
      </c>
    </row>
    <row r="12607" spans="1:3" x14ac:dyDescent="0.25">
      <c r="A12607" s="2" t="str">
        <f ca="1">IFERROR(__xludf.DUMMYFUNCTION("""COMPUTED_VALUE"""),"taoharvest")</f>
        <v>taoharvest</v>
      </c>
      <c r="B12607" s="2" t="str">
        <f ca="1">IFERROR(__xludf.DUMMYFUNCTION("""COMPUTED_VALUE"""),"tah")</f>
        <v>tah</v>
      </c>
      <c r="C12607" s="2" t="str">
        <f ca="1">IFERROR(__xludf.DUMMYFUNCTION("""COMPUTED_VALUE"""),"TaoHarvest")</f>
        <v>TaoHarvest</v>
      </c>
    </row>
    <row r="12608" spans="1:3" x14ac:dyDescent="0.25">
      <c r="A12608" s="2" t="str">
        <f ca="1">IFERROR(__xludf.DUMMYFUNCTION("""COMPUTED_VALUE"""),"tao-inu")</f>
        <v>tao-inu</v>
      </c>
      <c r="B12608" s="2" t="str">
        <f ca="1">IFERROR(__xludf.DUMMYFUNCTION("""COMPUTED_VALUE"""),"taonu")</f>
        <v>taonu</v>
      </c>
      <c r="C12608" s="2" t="str">
        <f ca="1">IFERROR(__xludf.DUMMYFUNCTION("""COMPUTED_VALUE"""),"TAO INU")</f>
        <v>TAO INU</v>
      </c>
    </row>
    <row r="12609" spans="1:3" x14ac:dyDescent="0.25">
      <c r="A12609" s="2" t="str">
        <f ca="1">IFERROR(__xludf.DUMMYFUNCTION("""COMPUTED_VALUE"""),"taolie-coin")</f>
        <v>taolie-coin</v>
      </c>
      <c r="B12609" s="2" t="str">
        <f ca="1">IFERROR(__xludf.DUMMYFUNCTION("""COMPUTED_VALUE"""),"taolie")</f>
        <v>taolie</v>
      </c>
      <c r="C12609" s="2" t="str">
        <f ca="1">IFERROR(__xludf.DUMMYFUNCTION("""COMPUTED_VALUE"""),"TAOlie Coin")</f>
        <v>TAOlie Coin</v>
      </c>
    </row>
    <row r="12610" spans="1:3" x14ac:dyDescent="0.25">
      <c r="A12610" s="2" t="str">
        <f ca="1">IFERROR(__xludf.DUMMYFUNCTION("""COMPUTED_VALUE"""),"tao-meme")</f>
        <v>tao-meme</v>
      </c>
      <c r="B12610" s="2" t="str">
        <f ca="1">IFERROR(__xludf.DUMMYFUNCTION("""COMPUTED_VALUE"""),"tao")</f>
        <v>tao</v>
      </c>
      <c r="C12610" s="2" t="str">
        <f ca="1">IFERROR(__xludf.DUMMYFUNCTION("""COMPUTED_VALUE"""),"Tao Meme")</f>
        <v>Tao Meme</v>
      </c>
    </row>
    <row r="12611" spans="1:3" x14ac:dyDescent="0.25">
      <c r="A12611" s="2" t="str">
        <f ca="1">IFERROR(__xludf.DUMMYFUNCTION("""COMPUTED_VALUE"""),"taopad")</f>
        <v>taopad</v>
      </c>
      <c r="B12611" s="2" t="str">
        <f ca="1">IFERROR(__xludf.DUMMYFUNCTION("""COMPUTED_VALUE"""),"tpad")</f>
        <v>tpad</v>
      </c>
      <c r="C12611" s="2" t="str">
        <f ca="1">IFERROR(__xludf.DUMMYFUNCTION("""COMPUTED_VALUE"""),"TaoPad")</f>
        <v>TaoPad</v>
      </c>
    </row>
    <row r="12612" spans="1:3" x14ac:dyDescent="0.25">
      <c r="A12612" s="2" t="str">
        <f ca="1">IFERROR(__xludf.DUMMYFUNCTION("""COMPUTED_VALUE"""),"taoplay")</f>
        <v>taoplay</v>
      </c>
      <c r="B12612" s="2" t="str">
        <f ca="1">IFERROR(__xludf.DUMMYFUNCTION("""COMPUTED_VALUE"""),"taop")</f>
        <v>taop</v>
      </c>
      <c r="C12612" s="2" t="str">
        <f ca="1">IFERROR(__xludf.DUMMYFUNCTION("""COMPUTED_VALUE"""),"TAOPlay")</f>
        <v>TAOPlay</v>
      </c>
    </row>
    <row r="12613" spans="1:3" x14ac:dyDescent="0.25">
      <c r="A12613" s="2" t="str">
        <f ca="1">IFERROR(__xludf.DUMMYFUNCTION("""COMPUTED_VALUE"""),"taoshi")</f>
        <v>taoshi</v>
      </c>
      <c r="B12613" s="2" t="str">
        <f ca="1">IFERROR(__xludf.DUMMYFUNCTION("""COMPUTED_VALUE"""),"taoshi")</f>
        <v>taoshi</v>
      </c>
      <c r="C12613" s="2" t="str">
        <f ca="1">IFERROR(__xludf.DUMMYFUNCTION("""COMPUTED_VALUE"""),"TAOSHI")</f>
        <v>TAOSHI</v>
      </c>
    </row>
    <row r="12614" spans="1:3" x14ac:dyDescent="0.25">
      <c r="A12614" s="2" t="str">
        <f ca="1">IFERROR(__xludf.DUMMYFUNCTION("""COMPUTED_VALUE"""),"taostack")</f>
        <v>taostack</v>
      </c>
      <c r="B12614" s="2" t="str">
        <f ca="1">IFERROR(__xludf.DUMMYFUNCTION("""COMPUTED_VALUE"""),"tst")</f>
        <v>tst</v>
      </c>
      <c r="C12614" s="2" t="str">
        <f ca="1">IFERROR(__xludf.DUMMYFUNCTION("""COMPUTED_VALUE"""),"TaoStack")</f>
        <v>TaoStack</v>
      </c>
    </row>
    <row r="12615" spans="1:3" x14ac:dyDescent="0.25">
      <c r="A12615" s="2" t="str">
        <f ca="1">IFERROR(__xludf.DUMMYFUNCTION("""COMPUTED_VALUE"""),"tao-subnet-sharding")</f>
        <v>tao-subnet-sharding</v>
      </c>
      <c r="B12615" s="2" t="str">
        <f ca="1">IFERROR(__xludf.DUMMYFUNCTION("""COMPUTED_VALUE"""),"taoshard")</f>
        <v>taoshard</v>
      </c>
      <c r="C12615" s="2" t="str">
        <f ca="1">IFERROR(__xludf.DUMMYFUNCTION("""COMPUTED_VALUE"""),"TAO Subnet Sharding")</f>
        <v>TAO Subnet Sharding</v>
      </c>
    </row>
    <row r="12616" spans="1:3" x14ac:dyDescent="0.25">
      <c r="A12616" s="2" t="str">
        <f ca="1">IFERROR(__xludf.DUMMYFUNCTION("""COMPUTED_VALUE"""),"taounity")</f>
        <v>taounity</v>
      </c>
      <c r="B12616" s="2" t="str">
        <f ca="1">IFERROR(__xludf.DUMMYFUNCTION("""COMPUTED_VALUE"""),"utao")</f>
        <v>utao</v>
      </c>
      <c r="C12616" s="2" t="str">
        <f ca="1">IFERROR(__xludf.DUMMYFUNCTION("""COMPUTED_VALUE"""),"TAOUnity")</f>
        <v>TAOUnity</v>
      </c>
    </row>
    <row r="12617" spans="1:3" x14ac:dyDescent="0.25">
      <c r="A12617" s="2" t="str">
        <f ca="1">IFERROR(__xludf.DUMMYFUNCTION("""COMPUTED_VALUE"""),"taovm")</f>
        <v>taovm</v>
      </c>
      <c r="B12617" s="2" t="str">
        <f ca="1">IFERROR(__xludf.DUMMYFUNCTION("""COMPUTED_VALUE"""),"taovm")</f>
        <v>taovm</v>
      </c>
      <c r="C12617" s="2" t="str">
        <f ca="1">IFERROR(__xludf.DUMMYFUNCTION("""COMPUTED_VALUE"""),"TAOVM")</f>
        <v>TAOVM</v>
      </c>
    </row>
    <row r="12618" spans="1:3" x14ac:dyDescent="0.25">
      <c r="A12618" s="2" t="str">
        <f ca="1">IFERROR(__xludf.DUMMYFUNCTION("""COMPUTED_VALUE"""),"taox")</f>
        <v>taox</v>
      </c>
      <c r="B12618" s="2" t="str">
        <f ca="1">IFERROR(__xludf.DUMMYFUNCTION("""COMPUTED_VALUE"""),"taox")</f>
        <v>taox</v>
      </c>
      <c r="C12618" s="2" t="str">
        <f ca="1">IFERROR(__xludf.DUMMYFUNCTION("""COMPUTED_VALUE"""),"TAOx")</f>
        <v>TAOx</v>
      </c>
    </row>
    <row r="12619" spans="1:3" x14ac:dyDescent="0.25">
      <c r="A12619" s="2" t="str">
        <f ca="1">IFERROR(__xludf.DUMMYFUNCTION("""COMPUTED_VALUE"""),"tap")</f>
        <v>tap</v>
      </c>
      <c r="B12619" s="2" t="str">
        <f ca="1">IFERROR(__xludf.DUMMYFUNCTION("""COMPUTED_VALUE"""),"xtp")</f>
        <v>xtp</v>
      </c>
      <c r="C12619" s="2" t="str">
        <f ca="1">IFERROR(__xludf.DUMMYFUNCTION("""COMPUTED_VALUE"""),"Tap")</f>
        <v>Tap</v>
      </c>
    </row>
    <row r="12620" spans="1:3" x14ac:dyDescent="0.25">
      <c r="A12620" s="2" t="str">
        <f ca="1">IFERROR(__xludf.DUMMYFUNCTION("""COMPUTED_VALUE"""),"tapcaster")</f>
        <v>tapcaster</v>
      </c>
      <c r="B12620" s="2" t="str">
        <f ca="1">IFERROR(__xludf.DUMMYFUNCTION("""COMPUTED_VALUE"""),"tap")</f>
        <v>tap</v>
      </c>
      <c r="C12620" s="2" t="str">
        <f ca="1">IFERROR(__xludf.DUMMYFUNCTION("""COMPUTED_VALUE"""),"Tapcaster")</f>
        <v>Tapcaster</v>
      </c>
    </row>
    <row r="12621" spans="1:3" x14ac:dyDescent="0.25">
      <c r="A12621" s="2" t="str">
        <f ca="1">IFERROR(__xludf.DUMMYFUNCTION("""COMPUTED_VALUE"""),"tap-fantasy")</f>
        <v>tap-fantasy</v>
      </c>
      <c r="B12621" s="2" t="str">
        <f ca="1">IFERROR(__xludf.DUMMYFUNCTION("""COMPUTED_VALUE"""),"tap")</f>
        <v>tap</v>
      </c>
      <c r="C12621" s="2" t="str">
        <f ca="1">IFERROR(__xludf.DUMMYFUNCTION("""COMPUTED_VALUE"""),"Tap Fantasy")</f>
        <v>Tap Fantasy</v>
      </c>
    </row>
    <row r="12622" spans="1:3" x14ac:dyDescent="0.25">
      <c r="A12622" s="2" t="str">
        <f ca="1">IFERROR(__xludf.DUMMYFUNCTION("""COMPUTED_VALUE"""),"tapioca-dao-token")</f>
        <v>tapioca-dao-token</v>
      </c>
      <c r="B12622" s="2" t="str">
        <f ca="1">IFERROR(__xludf.DUMMYFUNCTION("""COMPUTED_VALUE"""),"tap")</f>
        <v>tap</v>
      </c>
      <c r="C12622" s="2" t="str">
        <f ca="1">IFERROR(__xludf.DUMMYFUNCTION("""COMPUTED_VALUE"""),"Tapioca DAO Token")</f>
        <v>Tapioca DAO Token</v>
      </c>
    </row>
    <row r="12623" spans="1:3" x14ac:dyDescent="0.25">
      <c r="A12623" s="2" t="str">
        <f ca="1">IFERROR(__xludf.DUMMYFUNCTION("""COMPUTED_VALUE"""),"tap-protocol-ordinals")</f>
        <v>tap-protocol-ordinals</v>
      </c>
      <c r="B12623" s="2" t="str">
        <f ca="1">IFERROR(__xludf.DUMMYFUNCTION("""COMPUTED_VALUE"""),"tap")</f>
        <v>tap</v>
      </c>
      <c r="C12623" s="2" t="str">
        <f ca="1">IFERROR(__xludf.DUMMYFUNCTION("""COMPUTED_VALUE"""),"Tap Protocol (Ordinals)")</f>
        <v>Tap Protocol (Ordinals)</v>
      </c>
    </row>
    <row r="12624" spans="1:3" x14ac:dyDescent="0.25">
      <c r="A12624" s="2" t="str">
        <f ca="1">IFERROR(__xludf.DUMMYFUNCTION("""COMPUTED_VALUE"""),"taproot")</f>
        <v>taproot</v>
      </c>
      <c r="B12624" s="2" t="str">
        <f ca="1">IFERROR(__xludf.DUMMYFUNCTION("""COMPUTED_VALUE"""),"taproot")</f>
        <v>taproot</v>
      </c>
      <c r="C12624" s="2" t="str">
        <f ca="1">IFERROR(__xludf.DUMMYFUNCTION("""COMPUTED_VALUE"""),"Taproot")</f>
        <v>Taproot</v>
      </c>
    </row>
    <row r="12625" spans="1:3" x14ac:dyDescent="0.25">
      <c r="A12625" s="2" t="str">
        <f ca="1">IFERROR(__xludf.DUMMYFUNCTION("""COMPUTED_VALUE"""),"tara-coin")</f>
        <v>tara-coin</v>
      </c>
      <c r="B12625" s="2" t="str">
        <f ca="1">IFERROR(__xludf.DUMMYFUNCTION("""COMPUTED_VALUE"""),"tara")</f>
        <v>tara</v>
      </c>
      <c r="C12625" s="2" t="str">
        <f ca="1">IFERROR(__xludf.DUMMYFUNCTION("""COMPUTED_VALUE"""),"Tara Coin")</f>
        <v>Tara Coin</v>
      </c>
    </row>
    <row r="12626" spans="1:3" x14ac:dyDescent="0.25">
      <c r="A12626" s="2" t="str">
        <f ca="1">IFERROR(__xludf.DUMMYFUNCTION("""COMPUTED_VALUE"""),"tara-token")</f>
        <v>tara-token</v>
      </c>
      <c r="B12626" s="2" t="str">
        <f ca="1">IFERROR(__xludf.DUMMYFUNCTION("""COMPUTED_VALUE"""),"tara")</f>
        <v>tara</v>
      </c>
      <c r="C12626" s="2" t="str">
        <f ca="1">IFERROR(__xludf.DUMMYFUNCTION("""COMPUTED_VALUE"""),"TARA TOKEN")</f>
        <v>TARA TOKEN</v>
      </c>
    </row>
    <row r="12627" spans="1:3" x14ac:dyDescent="0.25">
      <c r="A12627" s="2" t="str">
        <f ca="1">IFERROR(__xludf.DUMMYFUNCTION("""COMPUTED_VALUE"""),"taraxa")</f>
        <v>taraxa</v>
      </c>
      <c r="B12627" s="2" t="str">
        <f ca="1">IFERROR(__xludf.DUMMYFUNCTION("""COMPUTED_VALUE"""),"tara")</f>
        <v>tara</v>
      </c>
      <c r="C12627" s="2" t="str">
        <f ca="1">IFERROR(__xludf.DUMMYFUNCTION("""COMPUTED_VALUE"""),"Taraxa")</f>
        <v>Taraxa</v>
      </c>
    </row>
    <row r="12628" spans="1:3" x14ac:dyDescent="0.25">
      <c r="A12628" s="2" t="str">
        <f ca="1">IFERROR(__xludf.DUMMYFUNCTION("""COMPUTED_VALUE"""),"tard")</f>
        <v>tard</v>
      </c>
      <c r="B12628" s="2" t="str">
        <f ca="1">IFERROR(__xludf.DUMMYFUNCTION("""COMPUTED_VALUE"""),"tard")</f>
        <v>tard</v>
      </c>
      <c r="C12628" s="2" t="str">
        <f ca="1">IFERROR(__xludf.DUMMYFUNCTION("""COMPUTED_VALUE"""),"Tard")</f>
        <v>Tard</v>
      </c>
    </row>
    <row r="12629" spans="1:3" x14ac:dyDescent="0.25">
      <c r="A12629" s="2" t="str">
        <f ca="1">IFERROR(__xludf.DUMMYFUNCTION("""COMPUTED_VALUE"""),"tardigrades-finance")</f>
        <v>tardigrades-finance</v>
      </c>
      <c r="B12629" s="2" t="str">
        <f ca="1">IFERROR(__xludf.DUMMYFUNCTION("""COMPUTED_VALUE"""),"trdg")</f>
        <v>trdg</v>
      </c>
      <c r="C12629" s="2" t="str">
        <f ca="1">IFERROR(__xludf.DUMMYFUNCTION("""COMPUTED_VALUE"""),"TRDGtoken")</f>
        <v>TRDGtoken</v>
      </c>
    </row>
    <row r="12630" spans="1:3" x14ac:dyDescent="0.25">
      <c r="A12630" s="2" t="str">
        <f ca="1">IFERROR(__xludf.DUMMYFUNCTION("""COMPUTED_VALUE"""),"target-protocol")</f>
        <v>target-protocol</v>
      </c>
      <c r="B12630" s="2" t="str">
        <f ca="1">IFERROR(__xludf.DUMMYFUNCTION("""COMPUTED_VALUE"""),"target")</f>
        <v>target</v>
      </c>
      <c r="C12630" s="2" t="str">
        <f ca="1">IFERROR(__xludf.DUMMYFUNCTION("""COMPUTED_VALUE"""),"Target Protocol")</f>
        <v>Target Protocol</v>
      </c>
    </row>
    <row r="12631" spans="1:3" x14ac:dyDescent="0.25">
      <c r="A12631" s="2" t="str">
        <f ca="1">IFERROR(__xludf.DUMMYFUNCTION("""COMPUTED_VALUE"""),"targetwatch-bot")</f>
        <v>targetwatch-bot</v>
      </c>
      <c r="B12631" s="2" t="str">
        <f ca="1">IFERROR(__xludf.DUMMYFUNCTION("""COMPUTED_VALUE"""),"twb")</f>
        <v>twb</v>
      </c>
      <c r="C12631" s="2" t="str">
        <f ca="1">IFERROR(__xludf.DUMMYFUNCTION("""COMPUTED_VALUE"""),"TargetWatch Bot")</f>
        <v>TargetWatch Bot</v>
      </c>
    </row>
    <row r="12632" spans="1:3" x14ac:dyDescent="0.25">
      <c r="A12632" s="2" t="str">
        <f ca="1">IFERROR(__xludf.DUMMYFUNCTION("""COMPUTED_VALUE"""),"tari-world")</f>
        <v>tari-world</v>
      </c>
      <c r="B12632" s="2" t="str">
        <f ca="1">IFERROR(__xludf.DUMMYFUNCTION("""COMPUTED_VALUE"""),"tari")</f>
        <v>tari</v>
      </c>
      <c r="C12632" s="2" t="str">
        <f ca="1">IFERROR(__xludf.DUMMYFUNCTION("""COMPUTED_VALUE"""),"Tari World")</f>
        <v>Tari World</v>
      </c>
    </row>
    <row r="12633" spans="1:3" x14ac:dyDescent="0.25">
      <c r="A12633" s="2" t="str">
        <f ca="1">IFERROR(__xludf.DUMMYFUNCTION("""COMPUTED_VALUE"""),"tarot")</f>
        <v>tarot</v>
      </c>
      <c r="B12633" s="2" t="str">
        <f ca="1">IFERROR(__xludf.DUMMYFUNCTION("""COMPUTED_VALUE"""),"tarot")</f>
        <v>tarot</v>
      </c>
      <c r="C12633" s="2" t="str">
        <f ca="1">IFERROR(__xludf.DUMMYFUNCTION("""COMPUTED_VALUE"""),"Tarot V1")</f>
        <v>Tarot V1</v>
      </c>
    </row>
    <row r="12634" spans="1:3" x14ac:dyDescent="0.25">
      <c r="A12634" s="2" t="str">
        <f ca="1">IFERROR(__xludf.DUMMYFUNCTION("""COMPUTED_VALUE"""),"tarot-2")</f>
        <v>tarot-2</v>
      </c>
      <c r="B12634" s="2" t="str">
        <f ca="1">IFERROR(__xludf.DUMMYFUNCTION("""COMPUTED_VALUE"""),"tarot")</f>
        <v>tarot</v>
      </c>
      <c r="C12634" s="2" t="str">
        <f ca="1">IFERROR(__xludf.DUMMYFUNCTION("""COMPUTED_VALUE"""),"Tarot")</f>
        <v>Tarot</v>
      </c>
    </row>
    <row r="12635" spans="1:3" x14ac:dyDescent="0.25">
      <c r="A12635" s="2" t="str">
        <f ca="1">IFERROR(__xludf.DUMMYFUNCTION("""COMPUTED_VALUE"""),"tars-protocol")</f>
        <v>tars-protocol</v>
      </c>
      <c r="B12635" s="2" t="str">
        <f ca="1">IFERROR(__xludf.DUMMYFUNCTION("""COMPUTED_VALUE"""),"tai")</f>
        <v>tai</v>
      </c>
      <c r="C12635" s="2" t="str">
        <f ca="1">IFERROR(__xludf.DUMMYFUNCTION("""COMPUTED_VALUE"""),"TARS AI")</f>
        <v>TARS AI</v>
      </c>
    </row>
    <row r="12636" spans="1:3" x14ac:dyDescent="0.25">
      <c r="A12636" s="2" t="str">
        <f ca="1">IFERROR(__xludf.DUMMYFUNCTION("""COMPUTED_VALUE"""),"tashi")</f>
        <v>tashi</v>
      </c>
      <c r="B12636" s="2" t="str">
        <f ca="1">IFERROR(__xludf.DUMMYFUNCTION("""COMPUTED_VALUE"""),"tashi")</f>
        <v>tashi</v>
      </c>
      <c r="C12636" s="2" t="str">
        <f ca="1">IFERROR(__xludf.DUMMYFUNCTION("""COMPUTED_VALUE"""),"Tashi")</f>
        <v>Tashi</v>
      </c>
    </row>
    <row r="12637" spans="1:3" x14ac:dyDescent="0.25">
      <c r="A12637" s="2" t="str">
        <f ca="1">IFERROR(__xludf.DUMMYFUNCTION("""COMPUTED_VALUE"""),"tastenft")</f>
        <v>tastenft</v>
      </c>
      <c r="B12637" s="2" t="str">
        <f ca="1">IFERROR(__xludf.DUMMYFUNCTION("""COMPUTED_VALUE"""),"taste")</f>
        <v>taste</v>
      </c>
      <c r="C12637" s="2" t="str">
        <f ca="1">IFERROR(__xludf.DUMMYFUNCTION("""COMPUTED_VALUE"""),"TasteNFT")</f>
        <v>TasteNFT</v>
      </c>
    </row>
    <row r="12638" spans="1:3" x14ac:dyDescent="0.25">
      <c r="A12638" s="2" t="str">
        <f ca="1">IFERROR(__xludf.DUMMYFUNCTION("""COMPUTED_VALUE"""),"tate")</f>
        <v>tate</v>
      </c>
      <c r="B12638" s="2" t="str">
        <f ca="1">IFERROR(__xludf.DUMMYFUNCTION("""COMPUTED_VALUE"""),"tate")</f>
        <v>tate</v>
      </c>
      <c r="C12638" s="2" t="str">
        <f ca="1">IFERROR(__xludf.DUMMYFUNCTION("""COMPUTED_VALUE"""),"TATE")</f>
        <v>TATE</v>
      </c>
    </row>
    <row r="12639" spans="1:3" x14ac:dyDescent="0.25">
      <c r="A12639" s="2" t="str">
        <f ca="1">IFERROR(__xludf.DUMMYFUNCTION("""COMPUTED_VALUE"""),"tate-stop")</f>
        <v>tate-stop</v>
      </c>
      <c r="B12639" s="2" t="str">
        <f ca="1">IFERROR(__xludf.DUMMYFUNCTION("""COMPUTED_VALUE"""),"tme")</f>
        <v>tme</v>
      </c>
      <c r="C12639" s="2" t="str">
        <f ca="1">IFERROR(__xludf.DUMMYFUNCTION("""COMPUTED_VALUE"""),"Tate Stop")</f>
        <v>Tate Stop</v>
      </c>
    </row>
    <row r="12640" spans="1:3" x14ac:dyDescent="0.25">
      <c r="A12640" s="2" t="str">
        <f ca="1">IFERROR(__xludf.DUMMYFUNCTION("""COMPUTED_VALUE"""),"tatsu")</f>
        <v>tatsu</v>
      </c>
      <c r="B12640" s="2" t="str">
        <f ca="1">IFERROR(__xludf.DUMMYFUNCTION("""COMPUTED_VALUE"""),"tatsu")</f>
        <v>tatsu</v>
      </c>
      <c r="C12640" s="2" t="str">
        <f ca="1">IFERROR(__xludf.DUMMYFUNCTION("""COMPUTED_VALUE"""),"Tatsu")</f>
        <v>Tatsu</v>
      </c>
    </row>
    <row r="12641" spans="1:3" x14ac:dyDescent="0.25">
      <c r="A12641" s="2" t="str">
        <f ca="1">IFERROR(__xludf.DUMMYFUNCTION("""COMPUTED_VALUE"""),"taxa-token")</f>
        <v>taxa-token</v>
      </c>
      <c r="B12641" s="2" t="str">
        <f ca="1">IFERROR(__xludf.DUMMYFUNCTION("""COMPUTED_VALUE"""),"txt")</f>
        <v>txt</v>
      </c>
      <c r="C12641" s="2" t="str">
        <f ca="1">IFERROR(__xludf.DUMMYFUNCTION("""COMPUTED_VALUE"""),"Taxa Network")</f>
        <v>Taxa Network</v>
      </c>
    </row>
    <row r="12642" spans="1:3" x14ac:dyDescent="0.25">
      <c r="A12642" s="2" t="str">
        <f ca="1">IFERROR(__xludf.DUMMYFUNCTION("""COMPUTED_VALUE"""),"taxfarm-ing")</f>
        <v>taxfarm-ing</v>
      </c>
      <c r="B12642" s="2" t="str">
        <f ca="1">IFERROR(__xludf.DUMMYFUNCTION("""COMPUTED_VALUE"""),"farm")</f>
        <v>farm</v>
      </c>
      <c r="C12642" s="2" t="str">
        <f ca="1">IFERROR(__xludf.DUMMYFUNCTION("""COMPUTED_VALUE"""),"TaxFarm.ing")</f>
        <v>TaxFarm.ing</v>
      </c>
    </row>
    <row r="12643" spans="1:3" x14ac:dyDescent="0.25">
      <c r="A12643" s="2" t="str">
        <f ca="1">IFERROR(__xludf.DUMMYFUNCTION("""COMPUTED_VALUE"""),"taylor-swift-s-cat")</f>
        <v>taylor-swift-s-cat</v>
      </c>
      <c r="B12643" s="2" t="str">
        <f ca="1">IFERROR(__xludf.DUMMYFUNCTION("""COMPUTED_VALUE"""),"benji")</f>
        <v>benji</v>
      </c>
      <c r="C12643" s="2" t="str">
        <f ca="1">IFERROR(__xludf.DUMMYFUNCTION("""COMPUTED_VALUE"""),"Taylor Swift's Cat Benji")</f>
        <v>Taylor Swift's Cat Benji</v>
      </c>
    </row>
    <row r="12644" spans="1:3" x14ac:dyDescent="0.25">
      <c r="A12644" s="2" t="str">
        <f ca="1">IFERROR(__xludf.DUMMYFUNCTION("""COMPUTED_VALUE"""),"tbcc")</f>
        <v>tbcc</v>
      </c>
      <c r="B12644" s="2" t="str">
        <f ca="1">IFERROR(__xludf.DUMMYFUNCTION("""COMPUTED_VALUE"""),"tbcc")</f>
        <v>tbcc</v>
      </c>
      <c r="C12644" s="2" t="str">
        <f ca="1">IFERROR(__xludf.DUMMYFUNCTION("""COMPUTED_VALUE"""),"TBCC")</f>
        <v>TBCC</v>
      </c>
    </row>
    <row r="12645" spans="1:3" x14ac:dyDescent="0.25">
      <c r="A12645" s="2" t="str">
        <f ca="1">IFERROR(__xludf.DUMMYFUNCTION("""COMPUTED_VALUE"""),"tbtc")</f>
        <v>tbtc</v>
      </c>
      <c r="B12645" s="2" t="str">
        <f ca="1">IFERROR(__xludf.DUMMYFUNCTION("""COMPUTED_VALUE"""),"tbtc")</f>
        <v>tbtc</v>
      </c>
      <c r="C12645" s="2" t="str">
        <f ca="1">IFERROR(__xludf.DUMMYFUNCTION("""COMPUTED_VALUE"""),"tBTC")</f>
        <v>tBTC</v>
      </c>
    </row>
    <row r="12646" spans="1:3" x14ac:dyDescent="0.25">
      <c r="A12646" s="2" t="str">
        <f ca="1">IFERROR(__xludf.DUMMYFUNCTION("""COMPUTED_VALUE"""),"tcg-verse")</f>
        <v>tcg-verse</v>
      </c>
      <c r="B12646" s="2" t="str">
        <f ca="1">IFERROR(__xludf.DUMMYFUNCTION("""COMPUTED_VALUE"""),"tcgc")</f>
        <v>tcgc</v>
      </c>
      <c r="C12646" s="2" t="str">
        <f ca="1">IFERROR(__xludf.DUMMYFUNCTION("""COMPUTED_VALUE"""),"TCG Verse")</f>
        <v>TCG Verse</v>
      </c>
    </row>
    <row r="12647" spans="1:3" x14ac:dyDescent="0.25">
      <c r="A12647" s="2" t="str">
        <f ca="1">IFERROR(__xludf.DUMMYFUNCTION("""COMPUTED_VALUE"""),"tdoge")</f>
        <v>tdoge</v>
      </c>
      <c r="B12647" s="2" t="str">
        <f ca="1">IFERROR(__xludf.DUMMYFUNCTION("""COMPUTED_VALUE"""),"tdoge")</f>
        <v>tdoge</v>
      </c>
      <c r="C12647" s="2" t="str">
        <f ca="1">IFERROR(__xludf.DUMMYFUNCTION("""COMPUTED_VALUE"""),"τDoge")</f>
        <v>τDoge</v>
      </c>
    </row>
    <row r="12648" spans="1:3" x14ac:dyDescent="0.25">
      <c r="A12648" s="2" t="str">
        <f ca="1">IFERROR(__xludf.DUMMYFUNCTION("""COMPUTED_VALUE"""),"tea-meme-coin")</f>
        <v>tea-meme-coin</v>
      </c>
      <c r="B12648" s="2" t="str">
        <f ca="1">IFERROR(__xludf.DUMMYFUNCTION("""COMPUTED_VALUE"""),"tea")</f>
        <v>tea</v>
      </c>
      <c r="C12648" s="2" t="str">
        <f ca="1">IFERROR(__xludf.DUMMYFUNCTION("""COMPUTED_VALUE"""),"Tea Meme Coin")</f>
        <v>Tea Meme Coin</v>
      </c>
    </row>
    <row r="12649" spans="1:3" x14ac:dyDescent="0.25">
      <c r="A12649" s="2" t="str">
        <f ca="1">IFERROR(__xludf.DUMMYFUNCTION("""COMPUTED_VALUE"""),"team-heretics-fan-token")</f>
        <v>team-heretics-fan-token</v>
      </c>
      <c r="B12649" s="2" t="str">
        <f ca="1">IFERROR(__xludf.DUMMYFUNCTION("""COMPUTED_VALUE"""),"th")</f>
        <v>th</v>
      </c>
      <c r="C12649" s="2" t="str">
        <f ca="1">IFERROR(__xludf.DUMMYFUNCTION("""COMPUTED_VALUE"""),"Team Heretics Fan Token")</f>
        <v>Team Heretics Fan Token</v>
      </c>
    </row>
    <row r="12650" spans="1:3" x14ac:dyDescent="0.25">
      <c r="A12650" s="2" t="str">
        <f ca="1">IFERROR(__xludf.DUMMYFUNCTION("""COMPUTED_VALUE"""),"team-vitality-fan-token")</f>
        <v>team-vitality-fan-token</v>
      </c>
      <c r="B12650" s="2" t="str">
        <f ca="1">IFERROR(__xludf.DUMMYFUNCTION("""COMPUTED_VALUE"""),"vit")</f>
        <v>vit</v>
      </c>
      <c r="C12650" s="2" t="str">
        <f ca="1">IFERROR(__xludf.DUMMYFUNCTION("""COMPUTED_VALUE"""),"Team Vitality Fan Token")</f>
        <v>Team Vitality Fan Token</v>
      </c>
    </row>
    <row r="12651" spans="1:3" x14ac:dyDescent="0.25">
      <c r="A12651" s="2" t="str">
        <f ca="1">IFERROR(__xludf.DUMMYFUNCTION("""COMPUTED_VALUE"""),"tear")</f>
        <v>tear</v>
      </c>
      <c r="B12651" s="2" t="str">
        <f ca="1">IFERROR(__xludf.DUMMYFUNCTION("""COMPUTED_VALUE"""),"tear")</f>
        <v>tear</v>
      </c>
      <c r="C12651" s="2" t="str">
        <f ca="1">IFERROR(__xludf.DUMMYFUNCTION("""COMPUTED_VALUE"""),"TEAR")</f>
        <v>TEAR</v>
      </c>
    </row>
    <row r="12652" spans="1:3" x14ac:dyDescent="0.25">
      <c r="A12652" s="2" t="str">
        <f ca="1">IFERROR(__xludf.DUMMYFUNCTION("""COMPUTED_VALUE"""),"tear-2")</f>
        <v>tear-2</v>
      </c>
      <c r="B12652" s="2" t="str">
        <f ca="1">IFERROR(__xludf.DUMMYFUNCTION("""COMPUTED_VALUE"""),"tear")</f>
        <v>tear</v>
      </c>
      <c r="C12652" s="2" t="str">
        <f ca="1">IFERROR(__xludf.DUMMYFUNCTION("""COMPUTED_VALUE"""),"TEAR")</f>
        <v>TEAR</v>
      </c>
    </row>
    <row r="12653" spans="1:3" x14ac:dyDescent="0.25">
      <c r="A12653" s="2" t="str">
        <f ca="1">IFERROR(__xludf.DUMMYFUNCTION("""COMPUTED_VALUE"""),"tech")</f>
        <v>tech</v>
      </c>
      <c r="B12653" s="2" t="str">
        <f ca="1">IFERROR(__xludf.DUMMYFUNCTION("""COMPUTED_VALUE"""),"tech")</f>
        <v>tech</v>
      </c>
      <c r="C12653" s="2" t="str">
        <f ca="1">IFERROR(__xludf.DUMMYFUNCTION("""COMPUTED_VALUE"""),"NumberGoUpTech")</f>
        <v>NumberGoUpTech</v>
      </c>
    </row>
    <row r="12654" spans="1:3" x14ac:dyDescent="0.25">
      <c r="A12654" s="2" t="str">
        <f ca="1">IFERROR(__xludf.DUMMYFUNCTION("""COMPUTED_VALUE"""),"techcat")</f>
        <v>techcat</v>
      </c>
      <c r="B12654" s="2" t="str">
        <f ca="1">IFERROR(__xludf.DUMMYFUNCTION("""COMPUTED_VALUE"""),"stc")</f>
        <v>stc</v>
      </c>
      <c r="C12654" s="2" t="str">
        <f ca="1">IFERROR(__xludf.DUMMYFUNCTION("""COMPUTED_VALUE"""),"TechCat")</f>
        <v>TechCat</v>
      </c>
    </row>
    <row r="12655" spans="1:3" x14ac:dyDescent="0.25">
      <c r="A12655" s="2" t="str">
        <f ca="1">IFERROR(__xludf.DUMMYFUNCTION("""COMPUTED_VALUE"""),"tech-deck-turtle")</f>
        <v>tech-deck-turtle</v>
      </c>
      <c r="B12655" s="2" t="str">
        <f ca="1">IFERROR(__xludf.DUMMYFUNCTION("""COMPUTED_VALUE"""),"tdt")</f>
        <v>tdt</v>
      </c>
      <c r="C12655" s="2" t="str">
        <f ca="1">IFERROR(__xludf.DUMMYFUNCTION("""COMPUTED_VALUE"""),"Tech Deck Turtle")</f>
        <v>Tech Deck Turtle</v>
      </c>
    </row>
    <row r="12656" spans="1:3" x14ac:dyDescent="0.25">
      <c r="A12656" s="2" t="str">
        <f ca="1">IFERROR(__xludf.DUMMYFUNCTION("""COMPUTED_VALUE"""),"technology-metal-network-global")</f>
        <v>technology-metal-network-global</v>
      </c>
      <c r="B12656" s="2" t="str">
        <f ca="1">IFERROR(__xludf.DUMMYFUNCTION("""COMPUTED_VALUE"""),"tmng")</f>
        <v>tmng</v>
      </c>
      <c r="C12656" s="2" t="str">
        <f ca="1">IFERROR(__xludf.DUMMYFUNCTION("""COMPUTED_VALUE"""),"Technology Metal Network Global")</f>
        <v>Technology Metal Network Global</v>
      </c>
    </row>
    <row r="12657" spans="1:3" x14ac:dyDescent="0.25">
      <c r="A12657" s="2" t="str">
        <f ca="1">IFERROR(__xludf.DUMMYFUNCTION("""COMPUTED_VALUE"""),"tectonic")</f>
        <v>tectonic</v>
      </c>
      <c r="B12657" s="2" t="str">
        <f ca="1">IFERROR(__xludf.DUMMYFUNCTION("""COMPUTED_VALUE"""),"tonic")</f>
        <v>tonic</v>
      </c>
      <c r="C12657" s="2" t="str">
        <f ca="1">IFERROR(__xludf.DUMMYFUNCTION("""COMPUTED_VALUE"""),"Tectonic")</f>
        <v>Tectonic</v>
      </c>
    </row>
    <row r="12658" spans="1:3" x14ac:dyDescent="0.25">
      <c r="A12658" s="2" t="str">
        <f ca="1">IFERROR(__xludf.DUMMYFUNCTION("""COMPUTED_VALUE"""),"tectum")</f>
        <v>tectum</v>
      </c>
      <c r="B12658" s="2" t="str">
        <f ca="1">IFERROR(__xludf.DUMMYFUNCTION("""COMPUTED_VALUE"""),"tet")</f>
        <v>tet</v>
      </c>
      <c r="C12658" s="2" t="str">
        <f ca="1">IFERROR(__xludf.DUMMYFUNCTION("""COMPUTED_VALUE"""),"Tectum")</f>
        <v>Tectum</v>
      </c>
    </row>
    <row r="12659" spans="1:3" x14ac:dyDescent="0.25">
      <c r="A12659" s="2" t="str">
        <f ca="1">IFERROR(__xludf.DUMMYFUNCTION("""COMPUTED_VALUE"""),"teddy-bear")</f>
        <v>teddy-bear</v>
      </c>
      <c r="B12659" s="2" t="str">
        <f ca="1">IFERROR(__xludf.DUMMYFUNCTION("""COMPUTED_VALUE"""),"bear")</f>
        <v>bear</v>
      </c>
      <c r="C12659" s="2" t="str">
        <f ca="1">IFERROR(__xludf.DUMMYFUNCTION("""COMPUTED_VALUE"""),"TEDDY BEAR")</f>
        <v>TEDDY BEAR</v>
      </c>
    </row>
    <row r="12660" spans="1:3" x14ac:dyDescent="0.25">
      <c r="A12660" s="2" t="str">
        <f ca="1">IFERROR(__xludf.DUMMYFUNCTION("""COMPUTED_VALUE"""),"teddy-dollar")</f>
        <v>teddy-dollar</v>
      </c>
      <c r="B12660" s="2" t="str">
        <f ca="1">IFERROR(__xludf.DUMMYFUNCTION("""COMPUTED_VALUE"""),"tsd")</f>
        <v>tsd</v>
      </c>
      <c r="C12660" s="2" t="str">
        <f ca="1">IFERROR(__xludf.DUMMYFUNCTION("""COMPUTED_VALUE"""),"Teddy Dollar")</f>
        <v>Teddy Dollar</v>
      </c>
    </row>
    <row r="12661" spans="1:3" x14ac:dyDescent="0.25">
      <c r="A12661" s="2" t="str">
        <f ca="1">IFERROR(__xludf.DUMMYFUNCTION("""COMPUTED_VALUE"""),"te-food")</f>
        <v>te-food</v>
      </c>
      <c r="B12661" s="2" t="str">
        <f ca="1">IFERROR(__xludf.DUMMYFUNCTION("""COMPUTED_VALUE"""),"tone")</f>
        <v>tone</v>
      </c>
      <c r="C12661" s="2" t="str">
        <f ca="1">IFERROR(__xludf.DUMMYFUNCTION("""COMPUTED_VALUE"""),"TE-FOOD")</f>
        <v>TE-FOOD</v>
      </c>
    </row>
    <row r="12662" spans="1:3" x14ac:dyDescent="0.25">
      <c r="A12662" s="2" t="str">
        <f ca="1">IFERROR(__xludf.DUMMYFUNCTION("""COMPUTED_VALUE"""),"tegisto")</f>
        <v>tegisto</v>
      </c>
      <c r="B12662" s="2" t="str">
        <f ca="1">IFERROR(__xludf.DUMMYFUNCTION("""COMPUTED_VALUE"""),"tgs")</f>
        <v>tgs</v>
      </c>
      <c r="C12662" s="2" t="str">
        <f ca="1">IFERROR(__xludf.DUMMYFUNCTION("""COMPUTED_VALUE"""),"Tegisto")</f>
        <v>Tegisto</v>
      </c>
    </row>
    <row r="12663" spans="1:3" x14ac:dyDescent="0.25">
      <c r="A12663" s="2" t="str">
        <f ca="1">IFERROR(__xludf.DUMMYFUNCTION("""COMPUTED_VALUE"""),"tegro")</f>
        <v>tegro</v>
      </c>
      <c r="B12663" s="2" t="str">
        <f ca="1">IFERROR(__xludf.DUMMYFUNCTION("""COMPUTED_VALUE"""),"tgr")</f>
        <v>tgr</v>
      </c>
      <c r="C12663" s="2" t="str">
        <f ca="1">IFERROR(__xludf.DUMMYFUNCTION("""COMPUTED_VALUE"""),"Tegro")</f>
        <v>Tegro</v>
      </c>
    </row>
    <row r="12664" spans="1:3" x14ac:dyDescent="0.25">
      <c r="A12664" s="2" t="str">
        <f ca="1">IFERROR(__xludf.DUMMYFUNCTION("""COMPUTED_VALUE"""),"tehbag")</f>
        <v>tehbag</v>
      </c>
      <c r="B12664" s="2" t="str">
        <f ca="1">IFERROR(__xludf.DUMMYFUNCTION("""COMPUTED_VALUE"""),"bag")</f>
        <v>bag</v>
      </c>
      <c r="C12664" s="2" t="str">
        <f ca="1">IFERROR(__xludf.DUMMYFUNCTION("""COMPUTED_VALUE"""),"tehBag")</f>
        <v>tehBag</v>
      </c>
    </row>
    <row r="12665" spans="1:3" x14ac:dyDescent="0.25">
      <c r="A12665" s="2" t="str">
        <f ca="1">IFERROR(__xludf.DUMMYFUNCTION("""COMPUTED_VALUE"""),"teh-epik-duck")</f>
        <v>teh-epik-duck</v>
      </c>
      <c r="B12665" s="2" t="str">
        <f ca="1">IFERROR(__xludf.DUMMYFUNCTION("""COMPUTED_VALUE"""),"epik")</f>
        <v>epik</v>
      </c>
      <c r="C12665" s="2" t="str">
        <f ca="1">IFERROR(__xludf.DUMMYFUNCTION("""COMPUTED_VALUE"""),"TEH EPIK DUCK")</f>
        <v>TEH EPIK DUCK</v>
      </c>
    </row>
    <row r="12666" spans="1:3" x14ac:dyDescent="0.25">
      <c r="A12666" s="2" t="str">
        <f ca="1">IFERROR(__xludf.DUMMYFUNCTION("""COMPUTED_VALUE"""),"teh-fund")</f>
        <v>teh-fund</v>
      </c>
      <c r="B12666" s="2" t="str">
        <f ca="1">IFERROR(__xludf.DUMMYFUNCTION("""COMPUTED_VALUE"""),"fund")</f>
        <v>fund</v>
      </c>
      <c r="C12666" s="2" t="str">
        <f ca="1">IFERROR(__xludf.DUMMYFUNCTION("""COMPUTED_VALUE"""),"Teh Fund")</f>
        <v>Teh Fund</v>
      </c>
    </row>
    <row r="12667" spans="1:3" x14ac:dyDescent="0.25">
      <c r="A12667" s="2" t="str">
        <f ca="1">IFERROR(__xludf.DUMMYFUNCTION("""COMPUTED_VALUE"""),"teh-upen-netwerg")</f>
        <v>teh-upen-netwerg</v>
      </c>
      <c r="B12667" s="2" t="str">
        <f ca="1">IFERROR(__xludf.DUMMYFUNCTION("""COMPUTED_VALUE"""),"tun")</f>
        <v>tun</v>
      </c>
      <c r="C12667" s="2" t="str">
        <f ca="1">IFERROR(__xludf.DUMMYFUNCTION("""COMPUTED_VALUE"""),"Teh Upen Netwerg")</f>
        <v>Teh Upen Netwerg</v>
      </c>
    </row>
    <row r="12668" spans="1:3" x14ac:dyDescent="0.25">
      <c r="A12668" s="2" t="str">
        <f ca="1">IFERROR(__xludf.DUMMYFUNCTION("""COMPUTED_VALUE"""),"teia-dao")</f>
        <v>teia-dao</v>
      </c>
      <c r="B12668" s="2" t="str">
        <f ca="1">IFERROR(__xludf.DUMMYFUNCTION("""COMPUTED_VALUE"""),"teia")</f>
        <v>teia</v>
      </c>
      <c r="C12668" s="2" t="str">
        <f ca="1">IFERROR(__xludf.DUMMYFUNCTION("""COMPUTED_VALUE"""),"Teia DAO")</f>
        <v>Teia DAO</v>
      </c>
    </row>
    <row r="12669" spans="1:3" x14ac:dyDescent="0.25">
      <c r="A12669" s="2" t="str">
        <f ca="1">IFERROR(__xludf.DUMMYFUNCTION("""COMPUTED_VALUE"""),"telcoin")</f>
        <v>telcoin</v>
      </c>
      <c r="B12669" s="2" t="str">
        <f ca="1">IFERROR(__xludf.DUMMYFUNCTION("""COMPUTED_VALUE"""),"tel")</f>
        <v>tel</v>
      </c>
      <c r="C12669" s="2" t="str">
        <f ca="1">IFERROR(__xludf.DUMMYFUNCTION("""COMPUTED_VALUE"""),"Telcoin")</f>
        <v>Telcoin</v>
      </c>
    </row>
    <row r="12670" spans="1:3" x14ac:dyDescent="0.25">
      <c r="A12670" s="2" t="str">
        <f ca="1">IFERROR(__xludf.DUMMYFUNCTION("""COMPUTED_VALUE"""),"telecard")</f>
        <v>telecard</v>
      </c>
      <c r="B12670" s="2" t="str">
        <f ca="1">IFERROR(__xludf.DUMMYFUNCTION("""COMPUTED_VALUE"""),"tcard")</f>
        <v>tcard</v>
      </c>
      <c r="C12670" s="2" t="str">
        <f ca="1">IFERROR(__xludf.DUMMYFUNCTION("""COMPUTED_VALUE"""),"TeleCard")</f>
        <v>TeleCard</v>
      </c>
    </row>
    <row r="12671" spans="1:3" x14ac:dyDescent="0.25">
      <c r="A12671" s="2" t="str">
        <f ca="1">IFERROR(__xludf.DUMMYFUNCTION("""COMPUTED_VALUE"""),"telefy")</f>
        <v>telefy</v>
      </c>
      <c r="B12671" s="2" t="str">
        <f ca="1">IFERROR(__xludf.DUMMYFUNCTION("""COMPUTED_VALUE"""),"tele")</f>
        <v>tele</v>
      </c>
      <c r="C12671" s="2" t="str">
        <f ca="1">IFERROR(__xludf.DUMMYFUNCTION("""COMPUTED_VALUE"""),"Telefy")</f>
        <v>Telefy</v>
      </c>
    </row>
    <row r="12672" spans="1:3" x14ac:dyDescent="0.25">
      <c r="A12672" s="2" t="str">
        <f ca="1">IFERROR(__xludf.DUMMYFUNCTION("""COMPUTED_VALUE"""),"telenode")</f>
        <v>telenode</v>
      </c>
      <c r="B12672" s="2" t="str">
        <f ca="1">IFERROR(__xludf.DUMMYFUNCTION("""COMPUTED_VALUE"""),"tnode")</f>
        <v>tnode</v>
      </c>
      <c r="C12672" s="2" t="str">
        <f ca="1">IFERROR(__xludf.DUMMYFUNCTION("""COMPUTED_VALUE"""),"Telenode")</f>
        <v>Telenode</v>
      </c>
    </row>
    <row r="12673" spans="1:3" x14ac:dyDescent="0.25">
      <c r="A12673" s="2" t="str">
        <f ca="1">IFERROR(__xludf.DUMMYFUNCTION("""COMPUTED_VALUE"""),"teleport-system-token")</f>
        <v>teleport-system-token</v>
      </c>
      <c r="B12673" s="2" t="str">
        <f ca="1">IFERROR(__xludf.DUMMYFUNCTION("""COMPUTED_VALUE"""),"tst")</f>
        <v>tst</v>
      </c>
      <c r="C12673" s="2" t="str">
        <f ca="1">IFERROR(__xludf.DUMMYFUNCTION("""COMPUTED_VALUE"""),"Teleport System Token")</f>
        <v>Teleport System Token</v>
      </c>
    </row>
    <row r="12674" spans="1:3" x14ac:dyDescent="0.25">
      <c r="A12674" s="2" t="str">
        <f ca="1">IFERROR(__xludf.DUMMYFUNCTION("""COMPUTED_VALUE"""),"tellor")</f>
        <v>tellor</v>
      </c>
      <c r="B12674" s="2" t="str">
        <f ca="1">IFERROR(__xludf.DUMMYFUNCTION("""COMPUTED_VALUE"""),"trb")</f>
        <v>trb</v>
      </c>
      <c r="C12674" s="2" t="str">
        <f ca="1">IFERROR(__xludf.DUMMYFUNCTION("""COMPUTED_VALUE"""),"Tellor Tributes")</f>
        <v>Tellor Tributes</v>
      </c>
    </row>
    <row r="12675" spans="1:3" x14ac:dyDescent="0.25">
      <c r="A12675" s="2" t="str">
        <f ca="1">IFERROR(__xludf.DUMMYFUNCTION("""COMPUTED_VALUE"""),"telos")</f>
        <v>telos</v>
      </c>
      <c r="B12675" s="2" t="str">
        <f ca="1">IFERROR(__xludf.DUMMYFUNCTION("""COMPUTED_VALUE"""),"tlos")</f>
        <v>tlos</v>
      </c>
      <c r="C12675" s="2" t="str">
        <f ca="1">IFERROR(__xludf.DUMMYFUNCTION("""COMPUTED_VALUE"""),"Telos")</f>
        <v>Telos</v>
      </c>
    </row>
    <row r="12676" spans="1:3" x14ac:dyDescent="0.25">
      <c r="A12676" s="2" t="str">
        <f ca="1">IFERROR(__xludf.DUMMYFUNCTION("""COMPUTED_VALUE"""),"telos-velocore")</f>
        <v>telos-velocore</v>
      </c>
      <c r="B12676" s="2" t="str">
        <f ca="1">IFERROR(__xludf.DUMMYFUNCTION("""COMPUTED_VALUE"""),"tvc")</f>
        <v>tvc</v>
      </c>
      <c r="C12676" s="2" t="str">
        <f ca="1">IFERROR(__xludf.DUMMYFUNCTION("""COMPUTED_VALUE"""),"Telos Velocore")</f>
        <v>Telos Velocore</v>
      </c>
    </row>
    <row r="12677" spans="1:3" x14ac:dyDescent="0.25">
      <c r="A12677" s="2" t="str">
        <f ca="1">IFERROR(__xludf.DUMMYFUNCTION("""COMPUTED_VALUE"""),"temco")</f>
        <v>temco</v>
      </c>
      <c r="B12677" s="2" t="str">
        <f ca="1">IFERROR(__xludf.DUMMYFUNCTION("""COMPUTED_VALUE"""),"temco")</f>
        <v>temco</v>
      </c>
      <c r="C12677" s="2" t="str">
        <f ca="1">IFERROR(__xludf.DUMMYFUNCTION("""COMPUTED_VALUE"""),"TEMCO")</f>
        <v>TEMCO</v>
      </c>
    </row>
    <row r="12678" spans="1:3" x14ac:dyDescent="0.25">
      <c r="A12678" s="2" t="str">
        <f ca="1">IFERROR(__xludf.DUMMYFUNCTION("""COMPUTED_VALUE"""),"templardao")</f>
        <v>templardao</v>
      </c>
      <c r="B12678" s="2" t="str">
        <f ca="1">IFERROR(__xludf.DUMMYFUNCTION("""COMPUTED_VALUE"""),"tem")</f>
        <v>tem</v>
      </c>
      <c r="C12678" s="2" t="str">
        <f ca="1">IFERROR(__xludf.DUMMYFUNCTION("""COMPUTED_VALUE"""),"Templar DAO")</f>
        <v>Templar DAO</v>
      </c>
    </row>
    <row r="12679" spans="1:3" x14ac:dyDescent="0.25">
      <c r="A12679" s="2" t="str">
        <f ca="1">IFERROR(__xludf.DUMMYFUNCTION("""COMPUTED_VALUE"""),"temple")</f>
        <v>temple</v>
      </c>
      <c r="B12679" s="2" t="str">
        <f ca="1">IFERROR(__xludf.DUMMYFUNCTION("""COMPUTED_VALUE"""),"temple")</f>
        <v>temple</v>
      </c>
      <c r="C12679" s="2" t="str">
        <f ca="1">IFERROR(__xludf.DUMMYFUNCTION("""COMPUTED_VALUE"""),"TempleDAO")</f>
        <v>TempleDAO</v>
      </c>
    </row>
    <row r="12680" spans="1:3" x14ac:dyDescent="0.25">
      <c r="A12680" s="2" t="str">
        <f ca="1">IFERROR(__xludf.DUMMYFUNCTION("""COMPUTED_VALUE"""),"temtem")</f>
        <v>temtem</v>
      </c>
      <c r="B12680" s="2" t="str">
        <f ca="1">IFERROR(__xludf.DUMMYFUNCTION("""COMPUTED_VALUE"""),"tem")</f>
        <v>tem</v>
      </c>
      <c r="C12680" s="2" t="str">
        <f ca="1">IFERROR(__xludf.DUMMYFUNCTION("""COMPUTED_VALUE"""),"Temtum")</f>
        <v>Temtum</v>
      </c>
    </row>
    <row r="12681" spans="1:3" x14ac:dyDescent="0.25">
      <c r="A12681" s="2" t="str">
        <f ca="1">IFERROR(__xludf.DUMMYFUNCTION("""COMPUTED_VALUE"""),"ten")</f>
        <v>ten</v>
      </c>
      <c r="B12681" s="2" t="str">
        <f ca="1">IFERROR(__xludf.DUMMYFUNCTION("""COMPUTED_VALUE"""),"tenfi")</f>
        <v>tenfi</v>
      </c>
      <c r="C12681" s="2" t="str">
        <f ca="1">IFERROR(__xludf.DUMMYFUNCTION("""COMPUTED_VALUE"""),"TEN")</f>
        <v>TEN</v>
      </c>
    </row>
    <row r="12682" spans="1:3" x14ac:dyDescent="0.25">
      <c r="A12682" s="2" t="str">
        <f ca="1">IFERROR(__xludf.DUMMYFUNCTION("""COMPUTED_VALUE"""),"tenant-messo")</f>
        <v>tenant-messo</v>
      </c>
      <c r="B12682" s="2" t="str">
        <f ca="1">IFERROR(__xludf.DUMMYFUNCTION("""COMPUTED_VALUE"""),"tnnt")</f>
        <v>tnnt</v>
      </c>
      <c r="C12682" s="2" t="str">
        <f ca="1">IFERROR(__xludf.DUMMYFUNCTION("""COMPUTED_VALUE"""),"Tenant Messo")</f>
        <v>Tenant Messo</v>
      </c>
    </row>
    <row r="12683" spans="1:3" x14ac:dyDescent="0.25">
      <c r="A12683" s="2" t="str">
        <f ca="1">IFERROR(__xludf.DUMMYFUNCTION("""COMPUTED_VALUE"""),"ten-best-coins")</f>
        <v>ten-best-coins</v>
      </c>
      <c r="B12683" s="2" t="str">
        <f ca="1">IFERROR(__xludf.DUMMYFUNCTION("""COMPUTED_VALUE"""),"tbc")</f>
        <v>tbc</v>
      </c>
      <c r="C12683" s="2" t="str">
        <f ca="1">IFERROR(__xludf.DUMMYFUNCTION("""COMPUTED_VALUE"""),"Ten Best Coins")</f>
        <v>Ten Best Coins</v>
      </c>
    </row>
    <row r="12684" spans="1:3" x14ac:dyDescent="0.25">
      <c r="A12684" s="2" t="str">
        <f ca="1">IFERROR(__xludf.DUMMYFUNCTION("""COMPUTED_VALUE"""),"tendies-icp")</f>
        <v>tendies-icp</v>
      </c>
      <c r="B12684" s="2" t="str">
        <f ca="1">IFERROR(__xludf.DUMMYFUNCTION("""COMPUTED_VALUE"""),"tendy")</f>
        <v>tendy</v>
      </c>
      <c r="C12684" s="2" t="str">
        <f ca="1">IFERROR(__xludf.DUMMYFUNCTION("""COMPUTED_VALUE"""),"Tendies (ICP)")</f>
        <v>Tendies (ICP)</v>
      </c>
    </row>
    <row r="12685" spans="1:3" x14ac:dyDescent="0.25">
      <c r="A12685" s="2" t="str">
        <f ca="1">IFERROR(__xludf.DUMMYFUNCTION("""COMPUTED_VALUE"""),"teneo-protocol")</f>
        <v>teneo-protocol</v>
      </c>
      <c r="B12685" s="2" t="str">
        <f ca="1">IFERROR(__xludf.DUMMYFUNCTION("""COMPUTED_VALUE"""),"teneo")</f>
        <v>teneo</v>
      </c>
      <c r="C12685" s="2" t="str">
        <f ca="1">IFERROR(__xludf.DUMMYFUNCTION("""COMPUTED_VALUE"""),"Teneo")</f>
        <v>Teneo</v>
      </c>
    </row>
    <row r="12686" spans="1:3" x14ac:dyDescent="0.25">
      <c r="A12686" s="2" t="str">
        <f ca="1">IFERROR(__xludf.DUMMYFUNCTION("""COMPUTED_VALUE"""),"tenet-1b000f7b-59cb-4e06-89ce-d62b32d362b9")</f>
        <v>tenet-1b000f7b-59cb-4e06-89ce-d62b32d362b9</v>
      </c>
      <c r="B12686" s="2" t="str">
        <f ca="1">IFERROR(__xludf.DUMMYFUNCTION("""COMPUTED_VALUE"""),"tenet")</f>
        <v>tenet</v>
      </c>
      <c r="C12686" s="2" t="str">
        <f ca="1">IFERROR(__xludf.DUMMYFUNCTION("""COMPUTED_VALUE"""),"TENET")</f>
        <v>TENET</v>
      </c>
    </row>
    <row r="12687" spans="1:3" x14ac:dyDescent="0.25">
      <c r="A12687" s="2" t="str">
        <f ca="1">IFERROR(__xludf.DUMMYFUNCTION("""COMPUTED_VALUE"""),"tenset")</f>
        <v>tenset</v>
      </c>
      <c r="B12687" s="2" t="str">
        <f ca="1">IFERROR(__xludf.DUMMYFUNCTION("""COMPUTED_VALUE"""),"10set")</f>
        <v>10set</v>
      </c>
      <c r="C12687" s="2" t="str">
        <f ca="1">IFERROR(__xludf.DUMMYFUNCTION("""COMPUTED_VALUE"""),"Tenset")</f>
        <v>Tenset</v>
      </c>
    </row>
    <row r="12688" spans="1:3" x14ac:dyDescent="0.25">
      <c r="A12688" s="2" t="str">
        <f ca="1">IFERROR(__xludf.DUMMYFUNCTION("""COMPUTED_VALUE"""),"tenshi")</f>
        <v>tenshi</v>
      </c>
      <c r="B12688" s="2" t="str">
        <f ca="1">IFERROR(__xludf.DUMMYFUNCTION("""COMPUTED_VALUE"""),"tenshi")</f>
        <v>tenshi</v>
      </c>
      <c r="C12688" s="2" t="str">
        <f ca="1">IFERROR(__xludf.DUMMYFUNCTION("""COMPUTED_VALUE"""),"Tenshi")</f>
        <v>Tenshi</v>
      </c>
    </row>
    <row r="12689" spans="1:3" x14ac:dyDescent="0.25">
      <c r="A12689" s="2" t="str">
        <f ca="1">IFERROR(__xludf.DUMMYFUNCTION("""COMPUTED_VALUE"""),"tensor")</f>
        <v>tensor</v>
      </c>
      <c r="B12689" s="2" t="str">
        <f ca="1">IFERROR(__xludf.DUMMYFUNCTION("""COMPUTED_VALUE"""),"tnsr")</f>
        <v>tnsr</v>
      </c>
      <c r="C12689" s="2" t="str">
        <f ca="1">IFERROR(__xludf.DUMMYFUNCTION("""COMPUTED_VALUE"""),"Tensor")</f>
        <v>Tensor</v>
      </c>
    </row>
    <row r="12690" spans="1:3" x14ac:dyDescent="0.25">
      <c r="A12690" s="2" t="str">
        <f ca="1">IFERROR(__xludf.DUMMYFUNCTION("""COMPUTED_VALUE"""),"tensorhub")</f>
        <v>tensorhub</v>
      </c>
      <c r="B12690" s="2" t="str">
        <f ca="1">IFERROR(__xludf.DUMMYFUNCTION("""COMPUTED_VALUE"""),"thub")</f>
        <v>thub</v>
      </c>
      <c r="C12690" s="2" t="str">
        <f ca="1">IFERROR(__xludf.DUMMYFUNCTION("""COMPUTED_VALUE"""),"TensorHub")</f>
        <v>TensorHub</v>
      </c>
    </row>
    <row r="12691" spans="1:3" x14ac:dyDescent="0.25">
      <c r="A12691" s="2" t="str">
        <f ca="1">IFERROR(__xludf.DUMMYFUNCTION("""COMPUTED_VALUE"""),"tensorplex-staked-tao")</f>
        <v>tensorplex-staked-tao</v>
      </c>
      <c r="B12691" s="2" t="str">
        <f ca="1">IFERROR(__xludf.DUMMYFUNCTION("""COMPUTED_VALUE"""),"sttao")</f>
        <v>sttao</v>
      </c>
      <c r="C12691" s="2" t="str">
        <f ca="1">IFERROR(__xludf.DUMMYFUNCTION("""COMPUTED_VALUE"""),"Tensorplex Staked TAO")</f>
        <v>Tensorplex Staked TAO</v>
      </c>
    </row>
    <row r="12692" spans="1:3" x14ac:dyDescent="0.25">
      <c r="A12692" s="2" t="str">
        <f ca="1">IFERROR(__xludf.DUMMYFUNCTION("""COMPUTED_VALUE"""),"tensorscan-ai")</f>
        <v>tensorscan-ai</v>
      </c>
      <c r="B12692" s="2" t="str">
        <f ca="1">IFERROR(__xludf.DUMMYFUNCTION("""COMPUTED_VALUE"""),"tsa")</f>
        <v>tsa</v>
      </c>
      <c r="C12692" s="2" t="str">
        <f ca="1">IFERROR(__xludf.DUMMYFUNCTION("""COMPUTED_VALUE"""),"TensorScan AI")</f>
        <v>TensorScan AI</v>
      </c>
    </row>
    <row r="12693" spans="1:3" x14ac:dyDescent="0.25">
      <c r="A12693" s="2" t="str">
        <f ca="1">IFERROR(__xludf.DUMMYFUNCTION("""COMPUTED_VALUE"""),"tensorspace")</f>
        <v>tensorspace</v>
      </c>
      <c r="B12693" s="2" t="str">
        <f ca="1">IFERROR(__xludf.DUMMYFUNCTION("""COMPUTED_VALUE"""),"tpu")</f>
        <v>tpu</v>
      </c>
      <c r="C12693" s="2" t="str">
        <f ca="1">IFERROR(__xludf.DUMMYFUNCTION("""COMPUTED_VALUE"""),"TensorSpace")</f>
        <v>TensorSpace</v>
      </c>
    </row>
    <row r="12694" spans="1:3" x14ac:dyDescent="0.25">
      <c r="A12694" s="2" t="str">
        <f ca="1">IFERROR(__xludf.DUMMYFUNCTION("""COMPUTED_VALUE"""),"tenup")</f>
        <v>tenup</v>
      </c>
      <c r="B12694" s="2" t="str">
        <f ca="1">IFERROR(__xludf.DUMMYFUNCTION("""COMPUTED_VALUE"""),"tup")</f>
        <v>tup</v>
      </c>
      <c r="C12694" s="2" t="str">
        <f ca="1">IFERROR(__xludf.DUMMYFUNCTION("""COMPUTED_VALUE"""),"Tenup")</f>
        <v>Tenup</v>
      </c>
    </row>
    <row r="12695" spans="1:3" x14ac:dyDescent="0.25">
      <c r="A12695" s="2" t="str">
        <f ca="1">IFERROR(__xludf.DUMMYFUNCTION("""COMPUTED_VALUE"""),"tenx")</f>
        <v>tenx</v>
      </c>
      <c r="B12695" s="2" t="str">
        <f ca="1">IFERROR(__xludf.DUMMYFUNCTION("""COMPUTED_VALUE"""),"pay")</f>
        <v>pay</v>
      </c>
      <c r="C12695" s="2" t="str">
        <f ca="1">IFERROR(__xludf.DUMMYFUNCTION("""COMPUTED_VALUE"""),"TenX")</f>
        <v>TenX</v>
      </c>
    </row>
    <row r="12696" spans="1:3" x14ac:dyDescent="0.25">
      <c r="A12696" s="2" t="str">
        <f ca="1">IFERROR(__xludf.DUMMYFUNCTION("""COMPUTED_VALUE"""),"tenx-2")</f>
        <v>tenx-2</v>
      </c>
      <c r="B12696" s="2" t="str">
        <f ca="1">IFERROR(__xludf.DUMMYFUNCTION("""COMPUTED_VALUE"""),"tenx")</f>
        <v>tenx</v>
      </c>
      <c r="C12696" s="2" t="str">
        <f ca="1">IFERROR(__xludf.DUMMYFUNCTION("""COMPUTED_VALUE"""),"TenX")</f>
        <v>TenX</v>
      </c>
    </row>
    <row r="12697" spans="1:3" x14ac:dyDescent="0.25">
      <c r="A12697" s="2" t="str">
        <f ca="1">IFERROR(__xludf.DUMMYFUNCTION("""COMPUTED_VALUE"""),"tepe")</f>
        <v>tepe</v>
      </c>
      <c r="B12697" s="2" t="str">
        <f ca="1">IFERROR(__xludf.DUMMYFUNCTION("""COMPUTED_VALUE"""),"tepe")</f>
        <v>tepe</v>
      </c>
      <c r="C12697" s="2" t="str">
        <f ca="1">IFERROR(__xludf.DUMMYFUNCTION("""COMPUTED_VALUE"""),"Tepe")</f>
        <v>Tepe</v>
      </c>
    </row>
    <row r="12698" spans="1:3" x14ac:dyDescent="0.25">
      <c r="A12698" s="2" t="str">
        <f ca="1">IFERROR(__xludf.DUMMYFUNCTION("""COMPUTED_VALUE"""),"tepeport")</f>
        <v>tepeport</v>
      </c>
      <c r="B12698" s="2" t="str">
        <f ca="1">IFERROR(__xludf.DUMMYFUNCTION("""COMPUTED_VALUE"""),"tp")</f>
        <v>tp</v>
      </c>
      <c r="C12698" s="2" t="str">
        <f ca="1">IFERROR(__xludf.DUMMYFUNCTION("""COMPUTED_VALUE"""),"Tepeport")</f>
        <v>Tepeport</v>
      </c>
    </row>
    <row r="12699" spans="1:3" x14ac:dyDescent="0.25">
      <c r="A12699" s="2" t="str">
        <f ca="1">IFERROR(__xludf.DUMMYFUNCTION("""COMPUTED_VALUE"""),"teq-network")</f>
        <v>teq-network</v>
      </c>
      <c r="B12699" s="2" t="str">
        <f ca="1">IFERROR(__xludf.DUMMYFUNCTION("""COMPUTED_VALUE"""),"teq")</f>
        <v>teq</v>
      </c>
      <c r="C12699" s="2" t="str">
        <f ca="1">IFERROR(__xludf.DUMMYFUNCTION("""COMPUTED_VALUE"""),"Teq Network")</f>
        <v>Teq Network</v>
      </c>
    </row>
    <row r="12700" spans="1:3" x14ac:dyDescent="0.25">
      <c r="A12700" s="2" t="str">
        <f ca="1">IFERROR(__xludf.DUMMYFUNCTION("""COMPUTED_VALUE"""),"terahertz-capital")</f>
        <v>terahertz-capital</v>
      </c>
      <c r="B12700" s="2" t="str">
        <f ca="1">IFERROR(__xludf.DUMMYFUNCTION("""COMPUTED_VALUE"""),"thz")</f>
        <v>thz</v>
      </c>
      <c r="C12700" s="2" t="str">
        <f ca="1">IFERROR(__xludf.DUMMYFUNCTION("""COMPUTED_VALUE"""),"TeraHertz Capital")</f>
        <v>TeraHertz Capital</v>
      </c>
    </row>
    <row r="12701" spans="1:3" x14ac:dyDescent="0.25">
      <c r="A12701" s="2" t="str">
        <f ca="1">IFERROR(__xludf.DUMMYFUNCTION("""COMPUTED_VALUE"""),"terareum")</f>
        <v>terareum</v>
      </c>
      <c r="B12701" s="2" t="str">
        <f ca="1">IFERROR(__xludf.DUMMYFUNCTION("""COMPUTED_VALUE"""),"tera")</f>
        <v>tera</v>
      </c>
      <c r="C12701" s="2" t="str">
        <f ca="1">IFERROR(__xludf.DUMMYFUNCTION("""COMPUTED_VALUE"""),"Terareum [OLD]")</f>
        <v>Terareum [OLD]</v>
      </c>
    </row>
    <row r="12702" spans="1:3" x14ac:dyDescent="0.25">
      <c r="A12702" s="2" t="str">
        <f ca="1">IFERROR(__xludf.DUMMYFUNCTION("""COMPUTED_VALUE"""),"tera-smart-money")</f>
        <v>tera-smart-money</v>
      </c>
      <c r="B12702" s="2" t="str">
        <f ca="1">IFERROR(__xludf.DUMMYFUNCTION("""COMPUTED_VALUE"""),"tera")</f>
        <v>tera</v>
      </c>
      <c r="C12702" s="2" t="str">
        <f ca="1">IFERROR(__xludf.DUMMYFUNCTION("""COMPUTED_VALUE"""),"TERA")</f>
        <v>TERA</v>
      </c>
    </row>
    <row r="12703" spans="1:3" x14ac:dyDescent="0.25">
      <c r="A12703" s="2" t="str">
        <f ca="1">IFERROR(__xludf.DUMMYFUNCTION("""COMPUTED_VALUE"""),"teratto")</f>
        <v>teratto</v>
      </c>
      <c r="B12703" s="2" t="str">
        <f ca="1">IFERROR(__xludf.DUMMYFUNCTION("""COMPUTED_VALUE"""),"trcon")</f>
        <v>trcon</v>
      </c>
      <c r="C12703" s="2" t="str">
        <f ca="1">IFERROR(__xludf.DUMMYFUNCTION("""COMPUTED_VALUE"""),"TERATTO")</f>
        <v>TERATTO</v>
      </c>
    </row>
    <row r="12704" spans="1:3" x14ac:dyDescent="0.25">
      <c r="A12704" s="2" t="str">
        <f ca="1">IFERROR(__xludf.DUMMYFUNCTION("""COMPUTED_VALUE"""),"teritori")</f>
        <v>teritori</v>
      </c>
      <c r="B12704" s="2" t="str">
        <f ca="1">IFERROR(__xludf.DUMMYFUNCTION("""COMPUTED_VALUE"""),"tori")</f>
        <v>tori</v>
      </c>
      <c r="C12704" s="2" t="str">
        <f ca="1">IFERROR(__xludf.DUMMYFUNCTION("""COMPUTED_VALUE"""),"Teritori")</f>
        <v>Teritori</v>
      </c>
    </row>
    <row r="12705" spans="1:3" x14ac:dyDescent="0.25">
      <c r="A12705" s="2" t="str">
        <f ca="1">IFERROR(__xludf.DUMMYFUNCTION("""COMPUTED_VALUE"""),"term-finance")</f>
        <v>term-finance</v>
      </c>
      <c r="B12705" s="2" t="str">
        <f ca="1">IFERROR(__xludf.DUMMYFUNCTION("""COMPUTED_VALUE"""),"term")</f>
        <v>term</v>
      </c>
      <c r="C12705" s="2" t="str">
        <f ca="1">IFERROR(__xludf.DUMMYFUNCTION("""COMPUTED_VALUE"""),"Term Finance")</f>
        <v>Term Finance</v>
      </c>
    </row>
    <row r="12706" spans="1:3" x14ac:dyDescent="0.25">
      <c r="A12706" s="2" t="str">
        <f ca="1">IFERROR(__xludf.DUMMYFUNCTION("""COMPUTED_VALUE"""),"terminus")</f>
        <v>terminus</v>
      </c>
      <c r="B12706" s="2" t="str">
        <f ca="1">IFERROR(__xludf.DUMMYFUNCTION("""COMPUTED_VALUE"""),"tmns")</f>
        <v>tmns</v>
      </c>
      <c r="C12706" s="2" t="str">
        <f ca="1">IFERROR(__xludf.DUMMYFUNCTION("""COMPUTED_VALUE"""),"Terminus")</f>
        <v>Terminus</v>
      </c>
    </row>
    <row r="12707" spans="1:3" x14ac:dyDescent="0.25">
      <c r="A12707" s="2" t="str">
        <f ca="1">IFERROR(__xludf.DUMMYFUNCTION("""COMPUTED_VALUE"""),"terminus-2")</f>
        <v>terminus-2</v>
      </c>
      <c r="B12707" s="2" t="str">
        <f ca="1">IFERROR(__xludf.DUMMYFUNCTION("""COMPUTED_VALUE"""),"terminus")</f>
        <v>terminus</v>
      </c>
      <c r="C12707" s="2" t="str">
        <f ca="1">IFERROR(__xludf.DUMMYFUNCTION("""COMPUTED_VALUE"""),"Terminus")</f>
        <v>Terminus</v>
      </c>
    </row>
    <row r="12708" spans="1:3" x14ac:dyDescent="0.25">
      <c r="A12708" s="2" t="str">
        <f ca="1">IFERROR(__xludf.DUMMYFUNCTION("""COMPUTED_VALUE"""),"terminus-3")</f>
        <v>terminus-3</v>
      </c>
      <c r="B12708" s="2" t="str">
        <f ca="1">IFERROR(__xludf.DUMMYFUNCTION("""COMPUTED_VALUE"""),"terminus")</f>
        <v>terminus</v>
      </c>
      <c r="C12708" s="2" t="str">
        <f ca="1">IFERROR(__xludf.DUMMYFUNCTION("""COMPUTED_VALUE"""),"Terminus")</f>
        <v>Terminus</v>
      </c>
    </row>
    <row r="12709" spans="1:3" x14ac:dyDescent="0.25">
      <c r="A12709" s="2" t="str">
        <f ca="1">IFERROR(__xludf.DUMMYFUNCTION("""COMPUTED_VALUE"""),"term-structure")</f>
        <v>term-structure</v>
      </c>
      <c r="B12709" s="2" t="str">
        <f ca="1">IFERROR(__xludf.DUMMYFUNCTION("""COMPUTED_VALUE"""),"term")</f>
        <v>term</v>
      </c>
      <c r="C12709" s="2" t="str">
        <f ca="1">IFERROR(__xludf.DUMMYFUNCTION("""COMPUTED_VALUE"""),"Term Structure")</f>
        <v>Term Structure</v>
      </c>
    </row>
    <row r="12710" spans="1:3" x14ac:dyDescent="0.25">
      <c r="A12710" s="2" t="str">
        <f ca="1">IFERROR(__xludf.DUMMYFUNCTION("""COMPUTED_VALUE"""),"ternio")</f>
        <v>ternio</v>
      </c>
      <c r="B12710" s="2" t="str">
        <f ca="1">IFERROR(__xludf.DUMMYFUNCTION("""COMPUTED_VALUE"""),"tern")</f>
        <v>tern</v>
      </c>
      <c r="C12710" s="2" t="str">
        <f ca="1">IFERROR(__xludf.DUMMYFUNCTION("""COMPUTED_VALUE"""),"Ternio")</f>
        <v>Ternio</v>
      </c>
    </row>
    <row r="12711" spans="1:3" x14ac:dyDescent="0.25">
      <c r="A12711" s="2" t="str">
        <f ca="1">IFERROR(__xludf.DUMMYFUNCTION("""COMPUTED_VALUE"""),"terracoin")</f>
        <v>terracoin</v>
      </c>
      <c r="B12711" s="2" t="str">
        <f ca="1">IFERROR(__xludf.DUMMYFUNCTION("""COMPUTED_VALUE"""),"trc")</f>
        <v>trc</v>
      </c>
      <c r="C12711" s="2" t="str">
        <f ca="1">IFERROR(__xludf.DUMMYFUNCTION("""COMPUTED_VALUE"""),"Terracoin")</f>
        <v>Terracoin</v>
      </c>
    </row>
    <row r="12712" spans="1:3" x14ac:dyDescent="0.25">
      <c r="A12712" s="2" t="str">
        <f ca="1">IFERROR(__xludf.DUMMYFUNCTION("""COMPUTED_VALUE"""),"terra-luna")</f>
        <v>terra-luna</v>
      </c>
      <c r="B12712" s="2" t="str">
        <f ca="1">IFERROR(__xludf.DUMMYFUNCTION("""COMPUTED_VALUE"""),"lunc")</f>
        <v>lunc</v>
      </c>
      <c r="C12712" s="2" t="str">
        <f ca="1">IFERROR(__xludf.DUMMYFUNCTION("""COMPUTED_VALUE"""),"Terra Luna Classic")</f>
        <v>Terra Luna Classic</v>
      </c>
    </row>
    <row r="12713" spans="1:3" x14ac:dyDescent="0.25">
      <c r="A12713" s="2" t="str">
        <f ca="1">IFERROR(__xludf.DUMMYFUNCTION("""COMPUTED_VALUE"""),"terra-luna-2")</f>
        <v>terra-luna-2</v>
      </c>
      <c r="B12713" s="2" t="str">
        <f ca="1">IFERROR(__xludf.DUMMYFUNCTION("""COMPUTED_VALUE"""),"luna")</f>
        <v>luna</v>
      </c>
      <c r="C12713" s="2" t="str">
        <f ca="1">IFERROR(__xludf.DUMMYFUNCTION("""COMPUTED_VALUE"""),"Terra")</f>
        <v>Terra</v>
      </c>
    </row>
    <row r="12714" spans="1:3" x14ac:dyDescent="0.25">
      <c r="A12714" s="2" t="str">
        <f ca="1">IFERROR(__xludf.DUMMYFUNCTION("""COMPUTED_VALUE"""),"terran-coin")</f>
        <v>terran-coin</v>
      </c>
      <c r="B12714" s="2" t="str">
        <f ca="1">IFERROR(__xludf.DUMMYFUNCTION("""COMPUTED_VALUE"""),"trr")</f>
        <v>trr</v>
      </c>
      <c r="C12714" s="2" t="str">
        <f ca="1">IFERROR(__xludf.DUMMYFUNCTION("""COMPUTED_VALUE"""),"Terran Coin")</f>
        <v>Terran Coin</v>
      </c>
    </row>
    <row r="12715" spans="1:3" x14ac:dyDescent="0.25">
      <c r="A12715" s="2" t="str">
        <f ca="1">IFERROR(__xludf.DUMMYFUNCTION("""COMPUTED_VALUE"""),"terraport")</f>
        <v>terraport</v>
      </c>
      <c r="B12715" s="2" t="str">
        <f ca="1">IFERROR(__xludf.DUMMYFUNCTION("""COMPUTED_VALUE"""),"terra")</f>
        <v>terra</v>
      </c>
      <c r="C12715" s="2" t="str">
        <f ca="1">IFERROR(__xludf.DUMMYFUNCTION("""COMPUTED_VALUE"""),"Terraport")</f>
        <v>Terraport</v>
      </c>
    </row>
    <row r="12716" spans="1:3" x14ac:dyDescent="0.25">
      <c r="A12716" s="2" t="str">
        <f ca="1">IFERROR(__xludf.DUMMYFUNCTION("""COMPUTED_VALUE"""),"terrausd")</f>
        <v>terrausd</v>
      </c>
      <c r="B12716" s="2" t="str">
        <f ca="1">IFERROR(__xludf.DUMMYFUNCTION("""COMPUTED_VALUE"""),"ustc")</f>
        <v>ustc</v>
      </c>
      <c r="C12716" s="2" t="str">
        <f ca="1">IFERROR(__xludf.DUMMYFUNCTION("""COMPUTED_VALUE"""),"TerraClassicUSD")</f>
        <v>TerraClassicUSD</v>
      </c>
    </row>
    <row r="12717" spans="1:3" x14ac:dyDescent="0.25">
      <c r="A12717" s="2" t="str">
        <f ca="1">IFERROR(__xludf.DUMMYFUNCTION("""COMPUTED_VALUE"""),"terrausd-wormhole")</f>
        <v>terrausd-wormhole</v>
      </c>
      <c r="B12717" s="2" t="str">
        <f ca="1">IFERROR(__xludf.DUMMYFUNCTION("""COMPUTED_VALUE"""),"ust")</f>
        <v>ust</v>
      </c>
      <c r="C12717" s="2" t="str">
        <f ca="1">IFERROR(__xludf.DUMMYFUNCTION("""COMPUTED_VALUE"""),"TerraUSD (Wormhole)")</f>
        <v>TerraUSD (Wormhole)</v>
      </c>
    </row>
    <row r="12718" spans="1:3" x14ac:dyDescent="0.25">
      <c r="A12718" s="2" t="str">
        <f ca="1">IFERROR(__xludf.DUMMYFUNCTION("""COMPUTED_VALUE"""),"terrier")</f>
        <v>terrier</v>
      </c>
      <c r="B12718" s="2" t="str">
        <f ca="1">IFERROR(__xludf.DUMMYFUNCTION("""COMPUTED_VALUE"""),"bull")</f>
        <v>bull</v>
      </c>
      <c r="C12718" s="2" t="str">
        <f ca="1">IFERROR(__xludf.DUMMYFUNCTION("""COMPUTED_VALUE"""),"TERRIER")</f>
        <v>TERRIER</v>
      </c>
    </row>
    <row r="12719" spans="1:3" x14ac:dyDescent="0.25">
      <c r="A12719" s="2" t="str">
        <f ca="1">IFERROR(__xludf.DUMMYFUNCTION("""COMPUTED_VALUE"""),"tert")</f>
        <v>tert</v>
      </c>
      <c r="B12719" s="2" t="str">
        <f ca="1">IFERROR(__xludf.DUMMYFUNCTION("""COMPUTED_VALUE"""),"tert")</f>
        <v>tert</v>
      </c>
      <c r="C12719" s="2" t="str">
        <f ca="1">IFERROR(__xludf.DUMMYFUNCTION("""COMPUTED_VALUE"""),"Tert")</f>
        <v>Tert</v>
      </c>
    </row>
    <row r="12720" spans="1:3" x14ac:dyDescent="0.25">
      <c r="A12720" s="2" t="str">
        <f ca="1">IFERROR(__xludf.DUMMYFUNCTION("""COMPUTED_VALUE"""),"teso")</f>
        <v>teso</v>
      </c>
      <c r="B12720" s="2" t="str">
        <f ca="1">IFERROR(__xludf.DUMMYFUNCTION("""COMPUTED_VALUE"""),"teso")</f>
        <v>teso</v>
      </c>
      <c r="C12720" s="2" t="str">
        <f ca="1">IFERROR(__xludf.DUMMYFUNCTION("""COMPUTED_VALUE"""),"TeSo")</f>
        <v>TeSo</v>
      </c>
    </row>
    <row r="12721" spans="1:3" x14ac:dyDescent="0.25">
      <c r="A12721" s="2" t="str">
        <f ca="1">IFERROR(__xludf.DUMMYFUNCTION("""COMPUTED_VALUE"""),"tesseractai")</f>
        <v>tesseractai</v>
      </c>
      <c r="B12721" s="2" t="str">
        <f ca="1">IFERROR(__xludf.DUMMYFUNCTION("""COMPUTED_VALUE"""),"tsai")</f>
        <v>tsai</v>
      </c>
      <c r="C12721" s="2" t="str">
        <f ca="1">IFERROR(__xludf.DUMMYFUNCTION("""COMPUTED_VALUE"""),"TesseractAI")</f>
        <v>TesseractAI</v>
      </c>
    </row>
    <row r="12722" spans="1:3" x14ac:dyDescent="0.25">
      <c r="A12722" s="2" t="str">
        <f ca="1">IFERROR(__xludf.DUMMYFUNCTION("""COMPUTED_VALUE"""),"test-2")</f>
        <v>test-2</v>
      </c>
      <c r="B12722" s="2" t="str">
        <f ca="1">IFERROR(__xludf.DUMMYFUNCTION("""COMPUTED_VALUE"""),"test")</f>
        <v>test</v>
      </c>
      <c r="C12722" s="2" t="str">
        <f ca="1">IFERROR(__xludf.DUMMYFUNCTION("""COMPUTED_VALUE"""),"Test")</f>
        <v>Test</v>
      </c>
    </row>
    <row r="12723" spans="1:3" x14ac:dyDescent="0.25">
      <c r="A12723" s="2" t="str">
        <f ca="1">IFERROR(__xludf.DUMMYFUNCTION("""COMPUTED_VALUE"""),"testo")</f>
        <v>testo</v>
      </c>
      <c r="B12723" s="2" t="str">
        <f ca="1">IFERROR(__xludf.DUMMYFUNCTION("""COMPUTED_VALUE"""),"testo")</f>
        <v>testo</v>
      </c>
      <c r="C12723" s="2" t="str">
        <f ca="1">IFERROR(__xludf.DUMMYFUNCTION("""COMPUTED_VALUE"""),"TESTO")</f>
        <v>TESTO</v>
      </c>
    </row>
    <row r="12724" spans="1:3" x14ac:dyDescent="0.25">
      <c r="A12724" s="2" t="str">
        <f ca="1">IFERROR(__xludf.DUMMYFUNCTION("""COMPUTED_VALUE"""),"test-token-please-ignore")</f>
        <v>test-token-please-ignore</v>
      </c>
      <c r="B12724" s="2" t="str">
        <f ca="1">IFERROR(__xludf.DUMMYFUNCTION("""COMPUTED_VALUE"""),"test")</f>
        <v>test</v>
      </c>
      <c r="C12724" s="2" t="str">
        <f ca="1">IFERROR(__xludf.DUMMYFUNCTION("""COMPUTED_VALUE"""),"test token please ignore")</f>
        <v>test token please ignore</v>
      </c>
    </row>
    <row r="12725" spans="1:3" x14ac:dyDescent="0.25">
      <c r="A12725" s="2" t="str">
        <f ca="1">IFERROR(__xludf.DUMMYFUNCTION("""COMPUTED_VALUE"""),"tether")</f>
        <v>tether</v>
      </c>
      <c r="B12725" s="2" t="str">
        <f ca="1">IFERROR(__xludf.DUMMYFUNCTION("""COMPUTED_VALUE"""),"usdt")</f>
        <v>usdt</v>
      </c>
      <c r="C12725" s="2" t="str">
        <f ca="1">IFERROR(__xludf.DUMMYFUNCTION("""COMPUTED_VALUE"""),"Tether")</f>
        <v>Tether</v>
      </c>
    </row>
    <row r="12726" spans="1:3" x14ac:dyDescent="0.25">
      <c r="A12726" s="2" t="str">
        <f ca="1">IFERROR(__xludf.DUMMYFUNCTION("""COMPUTED_VALUE"""),"tether-6069e553-7ebb-487e-965e-2896cd21d6ac")</f>
        <v>tether-6069e553-7ebb-487e-965e-2896cd21d6ac</v>
      </c>
      <c r="B12726" s="2" t="str">
        <f ca="1">IFERROR(__xludf.DUMMYFUNCTION("""COMPUTED_VALUE"""),"zusdt")</f>
        <v>zusdt</v>
      </c>
      <c r="C12726" s="2" t="str">
        <f ca="1">IFERROR(__xludf.DUMMYFUNCTION("""COMPUTED_VALUE"""),"Bridged Tether (Zilliqa)")</f>
        <v>Bridged Tether (Zilliqa)</v>
      </c>
    </row>
    <row r="12727" spans="1:3" x14ac:dyDescent="0.25">
      <c r="A12727" s="2" t="str">
        <f ca="1">IFERROR(__xludf.DUMMYFUNCTION("""COMPUTED_VALUE"""),"tether-avalanche-bridged-usdt-e")</f>
        <v>tether-avalanche-bridged-usdt-e</v>
      </c>
      <c r="B12727" s="2" t="str">
        <f ca="1">IFERROR(__xludf.DUMMYFUNCTION("""COMPUTED_VALUE"""),"usdte")</f>
        <v>usdte</v>
      </c>
      <c r="C12727" s="2" t="str">
        <f ca="1">IFERROR(__xludf.DUMMYFUNCTION("""COMPUTED_VALUE"""),"Bridged Tether (Avalanche)")</f>
        <v>Bridged Tether (Avalanche)</v>
      </c>
    </row>
    <row r="12728" spans="1:3" x14ac:dyDescent="0.25">
      <c r="A12728" s="2" t="str">
        <f ca="1">IFERROR(__xludf.DUMMYFUNCTION("""COMPUTED_VALUE"""),"tethereum")</f>
        <v>tethereum</v>
      </c>
      <c r="B12728" s="2" t="str">
        <f ca="1">IFERROR(__xludf.DUMMYFUNCTION("""COMPUTED_VALUE"""),"t99")</f>
        <v>t99</v>
      </c>
      <c r="C12728" s="2" t="str">
        <f ca="1">IFERROR(__xludf.DUMMYFUNCTION("""COMPUTED_VALUE"""),"Tethereum [OLD]")</f>
        <v>Tethereum [OLD]</v>
      </c>
    </row>
    <row r="12729" spans="1:3" x14ac:dyDescent="0.25">
      <c r="A12729" s="2" t="str">
        <f ca="1">IFERROR(__xludf.DUMMYFUNCTION("""COMPUTED_VALUE"""),"tethereum-2")</f>
        <v>tethereum-2</v>
      </c>
      <c r="B12729" s="2" t="str">
        <f ca="1">IFERROR(__xludf.DUMMYFUNCTION("""COMPUTED_VALUE"""),"t99")</f>
        <v>t99</v>
      </c>
      <c r="C12729" s="2" t="str">
        <f ca="1">IFERROR(__xludf.DUMMYFUNCTION("""COMPUTED_VALUE"""),"Tethereum")</f>
        <v>Tethereum</v>
      </c>
    </row>
    <row r="12730" spans="1:3" x14ac:dyDescent="0.25">
      <c r="A12730" s="2" t="str">
        <f ca="1">IFERROR(__xludf.DUMMYFUNCTION("""COMPUTED_VALUE"""),"tether-eurt")</f>
        <v>tether-eurt</v>
      </c>
      <c r="B12730" s="2" t="str">
        <f ca="1">IFERROR(__xludf.DUMMYFUNCTION("""COMPUTED_VALUE"""),"eurt")</f>
        <v>eurt</v>
      </c>
      <c r="C12730" s="2" t="str">
        <f ca="1">IFERROR(__xludf.DUMMYFUNCTION("""COMPUTED_VALUE"""),"Euro Tether")</f>
        <v>Euro Tether</v>
      </c>
    </row>
    <row r="12731" spans="1:3" x14ac:dyDescent="0.25">
      <c r="A12731" s="2" t="str">
        <f ca="1">IFERROR(__xludf.DUMMYFUNCTION("""COMPUTED_VALUE"""),"tether-gold")</f>
        <v>tether-gold</v>
      </c>
      <c r="B12731" s="2" t="str">
        <f ca="1">IFERROR(__xludf.DUMMYFUNCTION("""COMPUTED_VALUE"""),"xaut")</f>
        <v>xaut</v>
      </c>
      <c r="C12731" s="2" t="str">
        <f ca="1">IFERROR(__xludf.DUMMYFUNCTION("""COMPUTED_VALUE"""),"Tether Gold")</f>
        <v>Tether Gold</v>
      </c>
    </row>
    <row r="12732" spans="1:3" x14ac:dyDescent="0.25">
      <c r="A12732" s="2" t="str">
        <f ca="1">IFERROR(__xludf.DUMMYFUNCTION("""COMPUTED_VALUE"""),"tether-plenty-bridge")</f>
        <v>tether-plenty-bridge</v>
      </c>
      <c r="B12732" s="2" t="str">
        <f ca="1">IFERROR(__xludf.DUMMYFUNCTION("""COMPUTED_VALUE"""),"usdt.e")</f>
        <v>usdt.e</v>
      </c>
      <c r="C12732" s="2" t="str">
        <f ca="1">IFERROR(__xludf.DUMMYFUNCTION("""COMPUTED_VALUE"""),"Bridged Tether (Plenty Bridge)")</f>
        <v>Bridged Tether (Plenty Bridge)</v>
      </c>
    </row>
    <row r="12733" spans="1:3" x14ac:dyDescent="0.25">
      <c r="A12733" s="2" t="str">
        <f ca="1">IFERROR(__xludf.DUMMYFUNCTION("""COMPUTED_VALUE"""),"tether-pulsechain")</f>
        <v>tether-pulsechain</v>
      </c>
      <c r="B12733" s="2" t="str">
        <f ca="1">IFERROR(__xludf.DUMMYFUNCTION("""COMPUTED_VALUE"""),"usdt")</f>
        <v>usdt</v>
      </c>
      <c r="C12733" s="2" t="str">
        <f ca="1">IFERROR(__xludf.DUMMYFUNCTION("""COMPUTED_VALUE"""),"Bridged Tether (PulseChain)")</f>
        <v>Bridged Tether (PulseChain)</v>
      </c>
    </row>
    <row r="12734" spans="1:3" x14ac:dyDescent="0.25">
      <c r="A12734" s="2" t="str">
        <f ca="1">IFERROR(__xludf.DUMMYFUNCTION("""COMPUTED_VALUE"""),"tether-rainbow-bridge")</f>
        <v>tether-rainbow-bridge</v>
      </c>
      <c r="B12734" s="2" t="str">
        <f ca="1">IFERROR(__xludf.DUMMYFUNCTION("""COMPUTED_VALUE"""),"usdt.e")</f>
        <v>usdt.e</v>
      </c>
      <c r="C12734" s="2" t="str">
        <f ca="1">IFERROR(__xludf.DUMMYFUNCTION("""COMPUTED_VALUE"""),"Bridged Tether (Rainbow Bridge)")</f>
        <v>Bridged Tether (Rainbow Bridge)</v>
      </c>
    </row>
    <row r="12735" spans="1:3" x14ac:dyDescent="0.25">
      <c r="A12735" s="2" t="str">
        <f ca="1">IFERROR(__xludf.DUMMYFUNCTION("""COMPUTED_VALUE"""),"tether-usd-celer")</f>
        <v>tether-usd-celer</v>
      </c>
      <c r="B12735" s="2" t="str">
        <f ca="1">IFERROR(__xludf.DUMMYFUNCTION("""COMPUTED_VALUE"""),"ceusdt")</f>
        <v>ceusdt</v>
      </c>
      <c r="C12735" s="2" t="str">
        <f ca="1">IFERROR(__xludf.DUMMYFUNCTION("""COMPUTED_VALUE"""),"Celer Bridged Tether (Milkomeda)")</f>
        <v>Celer Bridged Tether (Milkomeda)</v>
      </c>
    </row>
    <row r="12736" spans="1:3" x14ac:dyDescent="0.25">
      <c r="A12736" s="2" t="str">
        <f ca="1">IFERROR(__xludf.DUMMYFUNCTION("""COMPUTED_VALUE"""),"tether-usd-pos-wormhole")</f>
        <v>tether-usd-pos-wormhole</v>
      </c>
      <c r="B12736" s="2" t="str">
        <f ca="1">IFERROR(__xludf.DUMMYFUNCTION("""COMPUTED_VALUE"""),"usdtpo")</f>
        <v>usdtpo</v>
      </c>
      <c r="C12736" s="2" t="str">
        <f ca="1">IFERROR(__xludf.DUMMYFUNCTION("""COMPUTED_VALUE"""),"Bridged Tether (Wormhole POS)")</f>
        <v>Bridged Tether (Wormhole POS)</v>
      </c>
    </row>
    <row r="12737" spans="1:3" x14ac:dyDescent="0.25">
      <c r="A12737" s="2" t="str">
        <f ca="1">IFERROR(__xludf.DUMMYFUNCTION("""COMPUTED_VALUE"""),"tether-usd-wormhole")</f>
        <v>tether-usd-wormhole</v>
      </c>
      <c r="B12737" s="2" t="str">
        <f ca="1">IFERROR(__xludf.DUMMYFUNCTION("""COMPUTED_VALUE"""),"usdtso")</f>
        <v>usdtso</v>
      </c>
      <c r="C12737" s="2" t="str">
        <f ca="1">IFERROR(__xludf.DUMMYFUNCTION("""COMPUTED_VALUE"""),"Bridged Tether (Wormhole)")</f>
        <v>Bridged Tether (Wormhole)</v>
      </c>
    </row>
    <row r="12738" spans="1:3" x14ac:dyDescent="0.25">
      <c r="A12738" s="2" t="str">
        <f ca="1">IFERROR(__xludf.DUMMYFUNCTION("""COMPUTED_VALUE"""),"tether-usd-wormhole-from-ethereum")</f>
        <v>tether-usd-wormhole-from-ethereum</v>
      </c>
      <c r="B12738" s="2" t="str">
        <f ca="1">IFERROR(__xludf.DUMMYFUNCTION("""COMPUTED_VALUE"""),"usdtet")</f>
        <v>usdtet</v>
      </c>
      <c r="C12738" s="2" t="str">
        <f ca="1">IFERROR(__xludf.DUMMYFUNCTION("""COMPUTED_VALUE"""),"Bridged Tether (Wormhole Ethereum)")</f>
        <v>Bridged Tether (Wormhole Ethereum)</v>
      </c>
    </row>
    <row r="12739" spans="1:3" x14ac:dyDescent="0.25">
      <c r="A12739" s="2" t="str">
        <f ca="1">IFERROR(__xludf.DUMMYFUNCTION("""COMPUTED_VALUE"""),"tethys-finance")</f>
        <v>tethys-finance</v>
      </c>
      <c r="B12739" s="2" t="str">
        <f ca="1">IFERROR(__xludf.DUMMYFUNCTION("""COMPUTED_VALUE"""),"tethys")</f>
        <v>tethys</v>
      </c>
      <c r="C12739" s="2" t="str">
        <f ca="1">IFERROR(__xludf.DUMMYFUNCTION("""COMPUTED_VALUE"""),"Tethys Finance")</f>
        <v>Tethys Finance</v>
      </c>
    </row>
    <row r="12740" spans="1:3" x14ac:dyDescent="0.25">
      <c r="A12740" s="2" t="str">
        <f ca="1">IFERROR(__xludf.DUMMYFUNCTION("""COMPUTED_VALUE"""),"tetra")</f>
        <v>tetra</v>
      </c>
      <c r="B12740" s="2" t="str">
        <f ca="1">IFERROR(__xludf.DUMMYFUNCTION("""COMPUTED_VALUE"""),"tetrap")</f>
        <v>tetrap</v>
      </c>
      <c r="C12740" s="2" t="str">
        <f ca="1">IFERROR(__xludf.DUMMYFUNCTION("""COMPUTED_VALUE"""),"TETRA")</f>
        <v>TETRA</v>
      </c>
    </row>
    <row r="12741" spans="1:3" x14ac:dyDescent="0.25">
      <c r="A12741" s="2" t="str">
        <f ca="1">IFERROR(__xludf.DUMMYFUNCTION("""COMPUTED_VALUE"""),"tetris-2")</f>
        <v>tetris-2</v>
      </c>
      <c r="B12741" s="2" t="str">
        <f ca="1">IFERROR(__xludf.DUMMYFUNCTION("""COMPUTED_VALUE"""),"tetris")</f>
        <v>tetris</v>
      </c>
      <c r="C12741" s="2" t="str">
        <f ca="1">IFERROR(__xludf.DUMMYFUNCTION("""COMPUTED_VALUE"""),"Tetris")</f>
        <v>Tetris</v>
      </c>
    </row>
    <row r="12742" spans="1:3" x14ac:dyDescent="0.25">
      <c r="A12742" s="2" t="str">
        <f ca="1">IFERROR(__xludf.DUMMYFUNCTION("""COMPUTED_VALUE"""),"tetu")</f>
        <v>tetu</v>
      </c>
      <c r="B12742" s="2" t="str">
        <f ca="1">IFERROR(__xludf.DUMMYFUNCTION("""COMPUTED_VALUE"""),"tetu")</f>
        <v>tetu</v>
      </c>
      <c r="C12742" s="2" t="str">
        <f ca="1">IFERROR(__xludf.DUMMYFUNCTION("""COMPUTED_VALUE"""),"TETU")</f>
        <v>TETU</v>
      </c>
    </row>
    <row r="12743" spans="1:3" x14ac:dyDescent="0.25">
      <c r="A12743" s="2" t="str">
        <f ca="1">IFERROR(__xludf.DUMMYFUNCTION("""COMPUTED_VALUE"""),"texan")</f>
        <v>texan</v>
      </c>
      <c r="B12743" s="2" t="str">
        <f ca="1">IFERROR(__xludf.DUMMYFUNCTION("""COMPUTED_VALUE"""),"texan")</f>
        <v>texan</v>
      </c>
      <c r="C12743" s="2" t="str">
        <f ca="1">IFERROR(__xludf.DUMMYFUNCTION("""COMPUTED_VALUE"""),"Texan")</f>
        <v>Texan</v>
      </c>
    </row>
    <row r="12744" spans="1:3" x14ac:dyDescent="0.25">
      <c r="A12744" s="2" t="str">
        <f ca="1">IFERROR(__xludf.DUMMYFUNCTION("""COMPUTED_VALUE"""),"textopia")</f>
        <v>textopia</v>
      </c>
      <c r="B12744" s="2" t="str">
        <f ca="1">IFERROR(__xludf.DUMMYFUNCTION("""COMPUTED_VALUE"""),"txt")</f>
        <v>txt</v>
      </c>
      <c r="C12744" s="2" t="str">
        <f ca="1">IFERROR(__xludf.DUMMYFUNCTION("""COMPUTED_VALUE"""),"Textopia")</f>
        <v>Textopia</v>
      </c>
    </row>
    <row r="12745" spans="1:3" x14ac:dyDescent="0.25">
      <c r="A12745" s="2" t="str">
        <f ca="1">IFERROR(__xludf.DUMMYFUNCTION("""COMPUTED_VALUE"""),"tezos")</f>
        <v>tezos</v>
      </c>
      <c r="B12745" s="2" t="str">
        <f ca="1">IFERROR(__xludf.DUMMYFUNCTION("""COMPUTED_VALUE"""),"xtz")</f>
        <v>xtz</v>
      </c>
      <c r="C12745" s="2" t="str">
        <f ca="1">IFERROR(__xludf.DUMMYFUNCTION("""COMPUTED_VALUE"""),"Tezos")</f>
        <v>Tezos</v>
      </c>
    </row>
    <row r="12746" spans="1:3" x14ac:dyDescent="0.25">
      <c r="A12746" s="2" t="str">
        <f ca="1">IFERROR(__xludf.DUMMYFUNCTION("""COMPUTED_VALUE"""),"tezos-domains")</f>
        <v>tezos-domains</v>
      </c>
      <c r="B12746" s="2" t="str">
        <f ca="1">IFERROR(__xludf.DUMMYFUNCTION("""COMPUTED_VALUE"""),"ted")</f>
        <v>ted</v>
      </c>
      <c r="C12746" s="2" t="str">
        <f ca="1">IFERROR(__xludf.DUMMYFUNCTION("""COMPUTED_VALUE"""),"Tezos Domains")</f>
        <v>Tezos Domains</v>
      </c>
    </row>
    <row r="12747" spans="1:3" x14ac:dyDescent="0.25">
      <c r="A12747" s="2" t="str">
        <f ca="1">IFERROR(__xludf.DUMMYFUNCTION("""COMPUTED_VALUE"""),"tezos-pepe")</f>
        <v>tezos-pepe</v>
      </c>
      <c r="B12747" s="2" t="str">
        <f ca="1">IFERROR(__xludf.DUMMYFUNCTION("""COMPUTED_VALUE"""),"pepe")</f>
        <v>pepe</v>
      </c>
      <c r="C12747" s="2" t="str">
        <f ca="1">IFERROR(__xludf.DUMMYFUNCTION("""COMPUTED_VALUE"""),"Tezos Pepe")</f>
        <v>Tezos Pepe</v>
      </c>
    </row>
    <row r="12748" spans="1:3" x14ac:dyDescent="0.25">
      <c r="A12748" s="2" t="str">
        <f ca="1">IFERROR(__xludf.DUMMYFUNCTION("""COMPUTED_VALUE"""),"tg20-tgram")</f>
        <v>tg20-tgram</v>
      </c>
      <c r="B12748" s="2" t="str">
        <f ca="1">IFERROR(__xludf.DUMMYFUNCTION("""COMPUTED_VALUE"""),"tgram")</f>
        <v>tgram</v>
      </c>
      <c r="C12748" s="2" t="str">
        <f ca="1">IFERROR(__xludf.DUMMYFUNCTION("""COMPUTED_VALUE"""),"TG20 TGram")</f>
        <v>TG20 TGram</v>
      </c>
    </row>
    <row r="12749" spans="1:3" x14ac:dyDescent="0.25">
      <c r="A12749" s="2" t="str">
        <f ca="1">IFERROR(__xludf.DUMMYFUNCTION("""COMPUTED_VALUE"""),"tg-casino")</f>
        <v>tg-casino</v>
      </c>
      <c r="B12749" s="2" t="str">
        <f ca="1">IFERROR(__xludf.DUMMYFUNCTION("""COMPUTED_VALUE"""),"tgc")</f>
        <v>tgc</v>
      </c>
      <c r="C12749" s="2" t="str">
        <f ca="1">IFERROR(__xludf.DUMMYFUNCTION("""COMPUTED_VALUE"""),"TG.Casino")</f>
        <v>TG.Casino</v>
      </c>
    </row>
    <row r="12750" spans="1:3" x14ac:dyDescent="0.25">
      <c r="A12750" s="2" t="str">
        <f ca="1">IFERROR(__xludf.DUMMYFUNCTION("""COMPUTED_VALUE"""),"tgold")</f>
        <v>tgold</v>
      </c>
      <c r="B12750" s="2" t="str">
        <f ca="1">IFERROR(__xludf.DUMMYFUNCTION("""COMPUTED_VALUE"""),"txau")</f>
        <v>txau</v>
      </c>
      <c r="C12750" s="2" t="str">
        <f ca="1">IFERROR(__xludf.DUMMYFUNCTION("""COMPUTED_VALUE"""),"tGOLD")</f>
        <v>tGOLD</v>
      </c>
    </row>
    <row r="12751" spans="1:3" x14ac:dyDescent="0.25">
      <c r="A12751" s="2" t="str">
        <f ca="1">IFERROR(__xludf.DUMMYFUNCTION("""COMPUTED_VALUE"""),"thala")</f>
        <v>thala</v>
      </c>
      <c r="B12751" s="2" t="str">
        <f ca="1">IFERROR(__xludf.DUMMYFUNCTION("""COMPUTED_VALUE"""),"thl")</f>
        <v>thl</v>
      </c>
      <c r="C12751" s="2" t="str">
        <f ca="1">IFERROR(__xludf.DUMMYFUNCTION("""COMPUTED_VALUE"""),"Thala")</f>
        <v>Thala</v>
      </c>
    </row>
    <row r="12752" spans="1:3" x14ac:dyDescent="0.25">
      <c r="A12752" s="2" t="str">
        <f ca="1">IFERROR(__xludf.DUMMYFUNCTION("""COMPUTED_VALUE"""),"thala-apt")</f>
        <v>thala-apt</v>
      </c>
      <c r="B12752" s="2" t="str">
        <f ca="1">IFERROR(__xludf.DUMMYFUNCTION("""COMPUTED_VALUE"""),"thapt")</f>
        <v>thapt</v>
      </c>
      <c r="C12752" s="2" t="str">
        <f ca="1">IFERROR(__xludf.DUMMYFUNCTION("""COMPUTED_VALUE"""),"Thala APT")</f>
        <v>Thala APT</v>
      </c>
    </row>
    <row r="12753" spans="1:3" x14ac:dyDescent="0.25">
      <c r="A12753" s="2" t="str">
        <f ca="1">IFERROR(__xludf.DUMMYFUNCTION("""COMPUTED_VALUE"""),"thales")</f>
        <v>thales</v>
      </c>
      <c r="B12753" s="2" t="str">
        <f ca="1">IFERROR(__xludf.DUMMYFUNCTION("""COMPUTED_VALUE"""),"thales")</f>
        <v>thales</v>
      </c>
      <c r="C12753" s="2" t="str">
        <f ca="1">IFERROR(__xludf.DUMMYFUNCTION("""COMPUTED_VALUE"""),"Thales")</f>
        <v>Thales</v>
      </c>
    </row>
    <row r="12754" spans="1:3" x14ac:dyDescent="0.25">
      <c r="A12754" s="2" t="str">
        <f ca="1">IFERROR(__xludf.DUMMYFUNCTION("""COMPUTED_VALUE"""),"thanks-for-the-invite")</f>
        <v>thanks-for-the-invite</v>
      </c>
      <c r="B12754" s="2" t="str">
        <f ca="1">IFERROR(__xludf.DUMMYFUNCTION("""COMPUTED_VALUE"""),"tfti")</f>
        <v>tfti</v>
      </c>
      <c r="C12754" s="2" t="str">
        <f ca="1">IFERROR(__xludf.DUMMYFUNCTION("""COMPUTED_VALUE"""),"THANKS FOR THE INVITE")</f>
        <v>THANKS FOR THE INVITE</v>
      </c>
    </row>
    <row r="12755" spans="1:3" x14ac:dyDescent="0.25">
      <c r="A12755" s="2" t="str">
        <f ca="1">IFERROR(__xludf.DUMMYFUNCTION("""COMPUTED_VALUE"""),"the-4th-pillar")</f>
        <v>the-4th-pillar</v>
      </c>
      <c r="B12755" s="2" t="str">
        <f ca="1">IFERROR(__xludf.DUMMYFUNCTION("""COMPUTED_VALUE"""),"four")</f>
        <v>four</v>
      </c>
      <c r="C12755" s="2" t="str">
        <f ca="1">IFERROR(__xludf.DUMMYFUNCTION("""COMPUTED_VALUE"""),"FOUR")</f>
        <v>FOUR</v>
      </c>
    </row>
    <row r="12756" spans="1:3" x14ac:dyDescent="0.25">
      <c r="A12756" s="2" t="str">
        <f ca="1">IFERROR(__xludf.DUMMYFUNCTION("""COMPUTED_VALUE"""),"the-abyss")</f>
        <v>the-abyss</v>
      </c>
      <c r="B12756" s="2" t="str">
        <f ca="1">IFERROR(__xludf.DUMMYFUNCTION("""COMPUTED_VALUE"""),"abyss")</f>
        <v>abyss</v>
      </c>
      <c r="C12756" s="2" t="str">
        <f ca="1">IFERROR(__xludf.DUMMYFUNCTION("""COMPUTED_VALUE"""),"Abyss")</f>
        <v>Abyss</v>
      </c>
    </row>
    <row r="12757" spans="1:3" x14ac:dyDescent="0.25">
      <c r="A12757" s="2" t="str">
        <f ca="1">IFERROR(__xludf.DUMMYFUNCTION("""COMPUTED_VALUE"""),"theada")</f>
        <v>theada</v>
      </c>
      <c r="B12757" s="2" t="str">
        <f ca="1">IFERROR(__xludf.DUMMYFUNCTION("""COMPUTED_VALUE"""),"tada")</f>
        <v>tada</v>
      </c>
      <c r="C12757" s="2" t="str">
        <f ca="1">IFERROR(__xludf.DUMMYFUNCTION("""COMPUTED_VALUE"""),"TheADA")</f>
        <v>TheADA</v>
      </c>
    </row>
    <row r="12758" spans="1:3" x14ac:dyDescent="0.25">
      <c r="A12758" s="2" t="str">
        <f ca="1">IFERROR(__xludf.DUMMYFUNCTION("""COMPUTED_VALUE"""),"the-almighty-loaf")</f>
        <v>the-almighty-loaf</v>
      </c>
      <c r="B12758" s="2" t="str">
        <f ca="1">IFERROR(__xludf.DUMMYFUNCTION("""COMPUTED_VALUE"""),"loaf")</f>
        <v>loaf</v>
      </c>
      <c r="C12758" s="2" t="str">
        <f ca="1">IFERROR(__xludf.DUMMYFUNCTION("""COMPUTED_VALUE"""),"The Almighty Loaf")</f>
        <v>The Almighty Loaf</v>
      </c>
    </row>
    <row r="12759" spans="1:3" x14ac:dyDescent="0.25">
      <c r="A12759" s="2" t="str">
        <f ca="1">IFERROR(__xludf.DUMMYFUNCTION("""COMPUTED_VALUE"""),"the-ape-society")</f>
        <v>the-ape-society</v>
      </c>
      <c r="B12759" s="2" t="str">
        <f ca="1">IFERROR(__xludf.DUMMYFUNCTION("""COMPUTED_VALUE"""),"society")</f>
        <v>society</v>
      </c>
      <c r="C12759" s="2" t="str">
        <f ca="1">IFERROR(__xludf.DUMMYFUNCTION("""COMPUTED_VALUE"""),"The Ape Society")</f>
        <v>The Ape Society</v>
      </c>
    </row>
    <row r="12760" spans="1:3" x14ac:dyDescent="0.25">
      <c r="A12760" s="2" t="str">
        <f ca="1">IFERROR(__xludf.DUMMYFUNCTION("""COMPUTED_VALUE"""),"the-balkan-dwarf")</f>
        <v>the-balkan-dwarf</v>
      </c>
      <c r="B12760" s="2" t="str">
        <f ca="1">IFERROR(__xludf.DUMMYFUNCTION("""COMPUTED_VALUE"""),"$kekec")</f>
        <v>$kekec</v>
      </c>
      <c r="C12760" s="2" t="str">
        <f ca="1">IFERROR(__xludf.DUMMYFUNCTION("""COMPUTED_VALUE"""),"The Balkan Dwarf")</f>
        <v>The Balkan Dwarf</v>
      </c>
    </row>
    <row r="12761" spans="1:3" x14ac:dyDescent="0.25">
      <c r="A12761" s="2" t="str">
        <f ca="1">IFERROR(__xludf.DUMMYFUNCTION("""COMPUTED_VALUE"""),"the-big-debate")</f>
        <v>the-big-debate</v>
      </c>
      <c r="B12761" s="2" t="str">
        <f ca="1">IFERROR(__xludf.DUMMYFUNCTION("""COMPUTED_VALUE"""),"tbd")</f>
        <v>tbd</v>
      </c>
      <c r="C12761" s="2" t="str">
        <f ca="1">IFERROR(__xludf.DUMMYFUNCTION("""COMPUTED_VALUE"""),"The Big Debate")</f>
        <v>The Big Debate</v>
      </c>
    </row>
    <row r="12762" spans="1:3" x14ac:dyDescent="0.25">
      <c r="A12762" s="2" t="str">
        <f ca="1">IFERROR(__xludf.DUMMYFUNCTION("""COMPUTED_VALUE"""),"the-big-five")</f>
        <v>the-big-five</v>
      </c>
      <c r="B12762" s="2" t="str">
        <f ca="1">IFERROR(__xludf.DUMMYFUNCTION("""COMPUTED_VALUE"""),"bft")</f>
        <v>bft</v>
      </c>
      <c r="C12762" s="2" t="str">
        <f ca="1">IFERROR(__xludf.DUMMYFUNCTION("""COMPUTED_VALUE"""),"The Big Five")</f>
        <v>The Big Five</v>
      </c>
    </row>
    <row r="12763" spans="1:3" x14ac:dyDescent="0.25">
      <c r="A12763" s="2" t="str">
        <f ca="1">IFERROR(__xludf.DUMMYFUNCTION("""COMPUTED_VALUE"""),"the-big-grift")</f>
        <v>the-big-grift</v>
      </c>
      <c r="B12763" s="2" t="str">
        <f ca="1">IFERROR(__xludf.DUMMYFUNCTION("""COMPUTED_VALUE"""),"grift")</f>
        <v>grift</v>
      </c>
      <c r="C12763" s="2" t="str">
        <f ca="1">IFERROR(__xludf.DUMMYFUNCTION("""COMPUTED_VALUE"""),"The Big Grift")</f>
        <v>The Big Grift</v>
      </c>
    </row>
    <row r="12764" spans="1:3" x14ac:dyDescent="0.25">
      <c r="A12764" s="2" t="str">
        <f ca="1">IFERROR(__xludf.DUMMYFUNCTION("""COMPUTED_VALUE"""),"the-big-guy")</f>
        <v>the-big-guy</v>
      </c>
      <c r="B12764" s="2" t="str">
        <f ca="1">IFERROR(__xludf.DUMMYFUNCTION("""COMPUTED_VALUE"""),"bguy")</f>
        <v>bguy</v>
      </c>
      <c r="C12764" s="2" t="str">
        <f ca="1">IFERROR(__xludf.DUMMYFUNCTION("""COMPUTED_VALUE"""),"The Big Guy")</f>
        <v>The Big Guy</v>
      </c>
    </row>
    <row r="12765" spans="1:3" x14ac:dyDescent="0.25">
      <c r="A12765" s="2" t="str">
        <f ca="1">IFERROR(__xludf.DUMMYFUNCTION("""COMPUTED_VALUE"""),"the-big-red")</f>
        <v>the-big-red</v>
      </c>
      <c r="B12765" s="2" t="str">
        <f ca="1">IFERROR(__xludf.DUMMYFUNCTION("""COMPUTED_VALUE"""),"$td")</f>
        <v>$td</v>
      </c>
      <c r="C12765" s="2" t="str">
        <f ca="1">IFERROR(__xludf.DUMMYFUNCTION("""COMPUTED_VALUE"""),"The Big Red")</f>
        <v>The Big Red</v>
      </c>
    </row>
    <row r="12766" spans="1:3" x14ac:dyDescent="0.25">
      <c r="A12766" s="2" t="str">
        <f ca="1">IFERROR(__xludf.DUMMYFUNCTION("""COMPUTED_VALUE"""),"the-bitcoin-killa")</f>
        <v>the-bitcoin-killa</v>
      </c>
      <c r="B12766" s="2" t="str">
        <f ca="1">IFERROR(__xludf.DUMMYFUNCTION("""COMPUTED_VALUE"""),"killa")</f>
        <v>killa</v>
      </c>
      <c r="C12766" s="2" t="str">
        <f ca="1">IFERROR(__xludf.DUMMYFUNCTION("""COMPUTED_VALUE"""),"The Bitcoin Killa")</f>
        <v>The Bitcoin Killa</v>
      </c>
    </row>
    <row r="12767" spans="1:3" x14ac:dyDescent="0.25">
      <c r="A12767" s="2" t="str">
        <f ca="1">IFERROR(__xludf.DUMMYFUNCTION("""COMPUTED_VALUE"""),"the-blox-project")</f>
        <v>the-blox-project</v>
      </c>
      <c r="B12767" s="2" t="str">
        <f ca="1">IFERROR(__xludf.DUMMYFUNCTION("""COMPUTED_VALUE"""),"blox")</f>
        <v>blox</v>
      </c>
      <c r="C12767" s="2" t="str">
        <f ca="1">IFERROR(__xludf.DUMMYFUNCTION("""COMPUTED_VALUE"""),"The Blox Project")</f>
        <v>The Blox Project</v>
      </c>
    </row>
    <row r="12768" spans="1:3" x14ac:dyDescent="0.25">
      <c r="A12768" s="2" t="str">
        <f ca="1">IFERROR(__xludf.DUMMYFUNCTION("""COMPUTED_VALUE"""),"the-blu-arctic-water-comp")</f>
        <v>the-blu-arctic-water-comp</v>
      </c>
      <c r="B12768" s="2" t="str">
        <f ca="1">IFERROR(__xludf.DUMMYFUNCTION("""COMPUTED_VALUE"""),"barc")</f>
        <v>barc</v>
      </c>
      <c r="C12768" s="2" t="str">
        <f ca="1">IFERROR(__xludf.DUMMYFUNCTION("""COMPUTED_VALUE"""),"The Blu Arctic Water Comp")</f>
        <v>The Blu Arctic Water Comp</v>
      </c>
    </row>
    <row r="12769" spans="1:3" x14ac:dyDescent="0.25">
      <c r="A12769" s="2" t="str">
        <f ca="1">IFERROR(__xludf.DUMMYFUNCTION("""COMPUTED_VALUE"""),"theca")</f>
        <v>theca</v>
      </c>
      <c r="B12769" s="2" t="str">
        <f ca="1">IFERROR(__xludf.DUMMYFUNCTION("""COMPUTED_VALUE"""),"theca")</f>
        <v>theca</v>
      </c>
      <c r="C12769" s="2" t="str">
        <f ca="1">IFERROR(__xludf.DUMMYFUNCTION("""COMPUTED_VALUE"""),"Theca")</f>
        <v>Theca</v>
      </c>
    </row>
    <row r="12770" spans="1:3" x14ac:dyDescent="0.25">
      <c r="A12770" s="2" t="str">
        <f ca="1">IFERROR(__xludf.DUMMYFUNCTION("""COMPUTED_VALUE"""),"the-cat-is-blue")</f>
        <v>the-cat-is-blue</v>
      </c>
      <c r="B12770" s="2" t="str">
        <f ca="1">IFERROR(__xludf.DUMMYFUNCTION("""COMPUTED_VALUE"""),"blue")</f>
        <v>blue</v>
      </c>
      <c r="C12770" s="2" t="str">
        <f ca="1">IFERROR(__xludf.DUMMYFUNCTION("""COMPUTED_VALUE"""),"The Cat Is Blue")</f>
        <v>The Cat Is Blue</v>
      </c>
    </row>
    <row r="12771" spans="1:3" x14ac:dyDescent="0.25">
      <c r="A12771" s="2" t="str">
        <f ca="1">IFERROR(__xludf.DUMMYFUNCTION("""COMPUTED_VALUE"""),"the-champcoin")</f>
        <v>the-champcoin</v>
      </c>
      <c r="B12771" s="2" t="str">
        <f ca="1">IFERROR(__xludf.DUMMYFUNCTION("""COMPUTED_VALUE"""),"tcc")</f>
        <v>tcc</v>
      </c>
      <c r="C12771" s="2" t="str">
        <f ca="1">IFERROR(__xludf.DUMMYFUNCTION("""COMPUTED_VALUE"""),"The ChampCoin")</f>
        <v>The ChampCoin</v>
      </c>
    </row>
    <row r="12772" spans="1:3" x14ac:dyDescent="0.25">
      <c r="A12772" s="2" t="str">
        <f ca="1">IFERROR(__xludf.DUMMYFUNCTION("""COMPUTED_VALUE"""),"the-citadel")</f>
        <v>the-citadel</v>
      </c>
      <c r="B12772" s="2" t="str">
        <f ca="1">IFERROR(__xludf.DUMMYFUNCTION("""COMPUTED_VALUE"""),"citadel")</f>
        <v>citadel</v>
      </c>
      <c r="C12772" s="2" t="str">
        <f ca="1">IFERROR(__xludf.DUMMYFUNCTION("""COMPUTED_VALUE"""),"The Citadel")</f>
        <v>The Citadel</v>
      </c>
    </row>
    <row r="12773" spans="1:3" x14ac:dyDescent="0.25">
      <c r="A12773" s="2" t="str">
        <f ca="1">IFERROR(__xludf.DUMMYFUNCTION("""COMPUTED_VALUE"""),"the-coq-father-boss")</f>
        <v>the-coq-father-boss</v>
      </c>
      <c r="B12773" s="2" t="str">
        <f ca="1">IFERROR(__xludf.DUMMYFUNCTION("""COMPUTED_VALUE"""),"bosscoq")</f>
        <v>bosscoq</v>
      </c>
      <c r="C12773" s="2" t="str">
        <f ca="1">IFERROR(__xludf.DUMMYFUNCTION("""COMPUTED_VALUE"""),"THE COQ FATHER BOSS")</f>
        <v>THE COQ FATHER BOSS</v>
      </c>
    </row>
    <row r="12774" spans="1:3" x14ac:dyDescent="0.25">
      <c r="A12774" s="2" t="str">
        <f ca="1">IFERROR(__xludf.DUMMYFUNCTION("""COMPUTED_VALUE"""),"the-corgi-of-polkabridge")</f>
        <v>the-corgi-of-polkabridge</v>
      </c>
      <c r="B12774" s="2" t="str">
        <f ca="1">IFERROR(__xludf.DUMMYFUNCTION("""COMPUTED_VALUE"""),"corgib")</f>
        <v>corgib</v>
      </c>
      <c r="C12774" s="2" t="str">
        <f ca="1">IFERROR(__xludf.DUMMYFUNCTION("""COMPUTED_VALUE"""),"The Corgi of PolkaBridge")</f>
        <v>The Corgi of PolkaBridge</v>
      </c>
    </row>
    <row r="12775" spans="1:3" x14ac:dyDescent="0.25">
      <c r="A12775" s="2" t="str">
        <f ca="1">IFERROR(__xludf.DUMMYFUNCTION("""COMPUTED_VALUE"""),"the-crypto-prophecies")</f>
        <v>the-crypto-prophecies</v>
      </c>
      <c r="B12775" s="2" t="str">
        <f ca="1">IFERROR(__xludf.DUMMYFUNCTION("""COMPUTED_VALUE"""),"tcp")</f>
        <v>tcp</v>
      </c>
      <c r="C12775" s="2" t="str">
        <f ca="1">IFERROR(__xludf.DUMMYFUNCTION("""COMPUTED_VALUE"""),"The Crypto Prophecies")</f>
        <v>The Crypto Prophecies</v>
      </c>
    </row>
    <row r="12776" spans="1:3" x14ac:dyDescent="0.25">
      <c r="A12776" s="2" t="str">
        <f ca="1">IFERROR(__xludf.DUMMYFUNCTION("""COMPUTED_VALUE"""),"the-crypto-you")</f>
        <v>the-crypto-you</v>
      </c>
      <c r="B12776" s="2" t="str">
        <f ca="1">IFERROR(__xludf.DUMMYFUNCTION("""COMPUTED_VALUE"""),"milk")</f>
        <v>milk</v>
      </c>
      <c r="C12776" s="2" t="str">
        <f ca="1">IFERROR(__xludf.DUMMYFUNCTION("""COMPUTED_VALUE"""),"The Crypto You")</f>
        <v>The Crypto You</v>
      </c>
    </row>
    <row r="12777" spans="1:3" x14ac:dyDescent="0.25">
      <c r="A12777" s="2" t="str">
        <f ca="1">IFERROR(__xludf.DUMMYFUNCTION("""COMPUTED_VALUE"""),"the-dare")</f>
        <v>the-dare</v>
      </c>
      <c r="B12777" s="2" t="str">
        <f ca="1">IFERROR(__xludf.DUMMYFUNCTION("""COMPUTED_VALUE"""),"dare")</f>
        <v>dare</v>
      </c>
      <c r="C12777" s="2" t="str">
        <f ca="1">IFERROR(__xludf.DUMMYFUNCTION("""COMPUTED_VALUE"""),"The Dare")</f>
        <v>The Dare</v>
      </c>
    </row>
    <row r="12778" spans="1:3" x14ac:dyDescent="0.25">
      <c r="A12778" s="2" t="str">
        <f ca="1">IFERROR(__xludf.DUMMYFUNCTION("""COMPUTED_VALUE"""),"the-debt-box")</f>
        <v>the-debt-box</v>
      </c>
      <c r="B12778" s="2" t="str">
        <f ca="1">IFERROR(__xludf.DUMMYFUNCTION("""COMPUTED_VALUE"""),"debt")</f>
        <v>debt</v>
      </c>
      <c r="C12778" s="2" t="str">
        <f ca="1">IFERROR(__xludf.DUMMYFUNCTION("""COMPUTED_VALUE"""),"The Debt Box")</f>
        <v>The Debt Box</v>
      </c>
    </row>
    <row r="12779" spans="1:3" x14ac:dyDescent="0.25">
      <c r="A12779" s="2" t="str">
        <f ca="1">IFERROR(__xludf.DUMMYFUNCTION("""COMPUTED_VALUE"""),"the-degensons")</f>
        <v>the-degensons</v>
      </c>
      <c r="B12779" s="2" t="str">
        <f ca="1">IFERROR(__xludf.DUMMYFUNCTION("""COMPUTED_VALUE"""),"degens")</f>
        <v>degens</v>
      </c>
      <c r="C12779" s="2" t="str">
        <f ca="1">IFERROR(__xludf.DUMMYFUNCTION("""COMPUTED_VALUE"""),"The Degensons")</f>
        <v>The Degensons</v>
      </c>
    </row>
    <row r="12780" spans="1:3" x14ac:dyDescent="0.25">
      <c r="A12780" s="2" t="str">
        <f ca="1">IFERROR(__xludf.DUMMYFUNCTION("""COMPUTED_VALUE"""),"the-doge-nft")</f>
        <v>the-doge-nft</v>
      </c>
      <c r="B12780" s="2" t="str">
        <f ca="1">IFERROR(__xludf.DUMMYFUNCTION("""COMPUTED_VALUE"""),"dog")</f>
        <v>dog</v>
      </c>
      <c r="C12780" s="2" t="str">
        <f ca="1">IFERROR(__xludf.DUMMYFUNCTION("""COMPUTED_VALUE"""),"The Doge NFT")</f>
        <v>The Doge NFT</v>
      </c>
    </row>
    <row r="12781" spans="1:3" x14ac:dyDescent="0.25">
      <c r="A12781" s="2" t="str">
        <f ca="1">IFERROR(__xludf.DUMMYFUNCTION("""COMPUTED_VALUE"""),"thedonato-token")</f>
        <v>thedonato-token</v>
      </c>
      <c r="B12781" s="2" t="str">
        <f ca="1">IFERROR(__xludf.DUMMYFUNCTION("""COMPUTED_VALUE"""),"don")</f>
        <v>don</v>
      </c>
      <c r="C12781" s="2" t="str">
        <f ca="1">IFERROR(__xludf.DUMMYFUNCTION("""COMPUTED_VALUE"""),"TheDonato Token")</f>
        <v>TheDonato Token</v>
      </c>
    </row>
    <row r="12782" spans="1:3" x14ac:dyDescent="0.25">
      <c r="A12782" s="2" t="str">
        <f ca="1">IFERROR(__xludf.DUMMYFUNCTION("""COMPUTED_VALUE"""),"the-ear-stays-on")</f>
        <v>the-ear-stays-on</v>
      </c>
      <c r="B12782" s="2" t="str">
        <f ca="1">IFERROR(__xludf.DUMMYFUNCTION("""COMPUTED_VALUE"""),"ear")</f>
        <v>ear</v>
      </c>
      <c r="C12782" s="2" t="str">
        <f ca="1">IFERROR(__xludf.DUMMYFUNCTION("""COMPUTED_VALUE"""),"THE EAR STAYS ON")</f>
        <v>THE EAR STAYS ON</v>
      </c>
    </row>
    <row r="12783" spans="1:3" x14ac:dyDescent="0.25">
      <c r="A12783" s="2" t="str">
        <f ca="1">IFERROR(__xludf.DUMMYFUNCTION("""COMPUTED_VALUE"""),"the-emerald-company")</f>
        <v>the-emerald-company</v>
      </c>
      <c r="B12783" s="2" t="str">
        <f ca="1">IFERROR(__xludf.DUMMYFUNCTION("""COMPUTED_VALUE"""),"emrld")</f>
        <v>emrld</v>
      </c>
      <c r="C12783" s="2" t="str">
        <f ca="1">IFERROR(__xludf.DUMMYFUNCTION("""COMPUTED_VALUE"""),"The Emerald Company")</f>
        <v>The Emerald Company</v>
      </c>
    </row>
    <row r="12784" spans="1:3" x14ac:dyDescent="0.25">
      <c r="A12784" s="2" t="str">
        <f ca="1">IFERROR(__xludf.DUMMYFUNCTION("""COMPUTED_VALUE"""),"the-employment-commons-work-token")</f>
        <v>the-employment-commons-work-token</v>
      </c>
      <c r="B12784" s="2" t="str">
        <f ca="1">IFERROR(__xludf.DUMMYFUNCTION("""COMPUTED_VALUE"""),"work")</f>
        <v>work</v>
      </c>
      <c r="C12784" s="2" t="str">
        <f ca="1">IFERROR(__xludf.DUMMYFUNCTION("""COMPUTED_VALUE"""),"The Employment Commons Work")</f>
        <v>The Employment Commons Work</v>
      </c>
    </row>
    <row r="12785" spans="1:3" x14ac:dyDescent="0.25">
      <c r="A12785" s="2" t="str">
        <f ca="1">IFERROR(__xludf.DUMMYFUNCTION("""COMPUTED_VALUE"""),"the-ennead")</f>
        <v>the-ennead</v>
      </c>
      <c r="B12785" s="2" t="str">
        <f ca="1">IFERROR(__xludf.DUMMYFUNCTION("""COMPUTED_VALUE"""),"abcram")</f>
        <v>abcram</v>
      </c>
      <c r="C12785" s="2" t="str">
        <f ca="1">IFERROR(__xludf.DUMMYFUNCTION("""COMPUTED_VALUE"""),"Abacus")</f>
        <v>Abacus</v>
      </c>
    </row>
    <row r="12786" spans="1:3" x14ac:dyDescent="0.25">
      <c r="A12786" s="2" t="str">
        <f ca="1">IFERROR(__xludf.DUMMYFUNCTION("""COMPUTED_VALUE"""),"the-essential-coin")</f>
        <v>the-essential-coin</v>
      </c>
      <c r="B12786" s="2" t="str">
        <f ca="1">IFERROR(__xludf.DUMMYFUNCTION("""COMPUTED_VALUE"""),"esc")</f>
        <v>esc</v>
      </c>
      <c r="C12786" s="2" t="str">
        <f ca="1">IFERROR(__xludf.DUMMYFUNCTION("""COMPUTED_VALUE"""),"The Essential Coin")</f>
        <v>The Essential Coin</v>
      </c>
    </row>
    <row r="12787" spans="1:3" x14ac:dyDescent="0.25">
      <c r="A12787" s="2" t="str">
        <f ca="1">IFERROR(__xludf.DUMMYFUNCTION("""COMPUTED_VALUE"""),"the-everlasting-parachain")</f>
        <v>the-everlasting-parachain</v>
      </c>
      <c r="B12787" s="2" t="str">
        <f ca="1">IFERROR(__xludf.DUMMYFUNCTION("""COMPUTED_VALUE"""),"elp")</f>
        <v>elp</v>
      </c>
      <c r="C12787" s="2" t="str">
        <f ca="1">IFERROR(__xludf.DUMMYFUNCTION("""COMPUTED_VALUE"""),"The Everlasting Parachain")</f>
        <v>The Everlasting Parachain</v>
      </c>
    </row>
    <row r="12788" spans="1:3" x14ac:dyDescent="0.25">
      <c r="A12788" s="2" t="str">
        <f ca="1">IFERROR(__xludf.DUMMYFUNCTION("""COMPUTED_VALUE"""),"the-fooker")</f>
        <v>the-fooker</v>
      </c>
      <c r="B12788" s="2" t="str">
        <f ca="1">IFERROR(__xludf.DUMMYFUNCTION("""COMPUTED_VALUE"""),"fooker")</f>
        <v>fooker</v>
      </c>
      <c r="C12788" s="2" t="str">
        <f ca="1">IFERROR(__xludf.DUMMYFUNCTION("""COMPUTED_VALUE"""),"The Fooker")</f>
        <v>The Fooker</v>
      </c>
    </row>
    <row r="12789" spans="1:3" x14ac:dyDescent="0.25">
      <c r="A12789" s="2" t="str">
        <f ca="1">IFERROR(__xludf.DUMMYFUNCTION("""COMPUTED_VALUE"""),"theforce-trade")</f>
        <v>theforce-trade</v>
      </c>
      <c r="B12789" s="2" t="str">
        <f ca="1">IFERROR(__xludf.DUMMYFUNCTION("""COMPUTED_VALUE"""),"foc")</f>
        <v>foc</v>
      </c>
      <c r="C12789" s="2" t="str">
        <f ca="1">IFERROR(__xludf.DUMMYFUNCTION("""COMPUTED_VALUE"""),"TheForce Trade")</f>
        <v>TheForce Trade</v>
      </c>
    </row>
    <row r="12790" spans="1:3" x14ac:dyDescent="0.25">
      <c r="A12790" s="2" t="str">
        <f ca="1">IFERROR(__xludf.DUMMYFUNCTION("""COMPUTED_VALUE"""),"the-freemoon-token")</f>
        <v>the-freemoon-token</v>
      </c>
      <c r="B12790" s="2" t="str">
        <f ca="1">IFERROR(__xludf.DUMMYFUNCTION("""COMPUTED_VALUE"""),"fmn")</f>
        <v>fmn</v>
      </c>
      <c r="C12790" s="2" t="str">
        <f ca="1">IFERROR(__xludf.DUMMYFUNCTION("""COMPUTED_VALUE"""),"The FREEMOON Token")</f>
        <v>The FREEMOON Token</v>
      </c>
    </row>
    <row r="12791" spans="1:3" x14ac:dyDescent="0.25">
      <c r="A12791" s="2" t="str">
        <f ca="1">IFERROR(__xludf.DUMMYFUNCTION("""COMPUTED_VALUE"""),"the-gamehub")</f>
        <v>the-gamehub</v>
      </c>
      <c r="B12791" s="2" t="str">
        <f ca="1">IFERROR(__xludf.DUMMYFUNCTION("""COMPUTED_VALUE"""),"ghub")</f>
        <v>ghub</v>
      </c>
      <c r="C12791" s="2" t="str">
        <f ca="1">IFERROR(__xludf.DUMMYFUNCTION("""COMPUTED_VALUE"""),"The GameHub")</f>
        <v>The GameHub</v>
      </c>
    </row>
    <row r="12792" spans="1:3" x14ac:dyDescent="0.25">
      <c r="A12792" s="2" t="str">
        <f ca="1">IFERROR(__xludf.DUMMYFUNCTION("""COMPUTED_VALUE"""),"the-goat-cz")</f>
        <v>the-goat-cz</v>
      </c>
      <c r="B12792" s="2" t="str">
        <f ca="1">IFERROR(__xludf.DUMMYFUNCTION("""COMPUTED_VALUE"""),"czgoat")</f>
        <v>czgoat</v>
      </c>
      <c r="C12792" s="2" t="str">
        <f ca="1">IFERROR(__xludf.DUMMYFUNCTION("""COMPUTED_VALUE"""),"CZ THE GOAT")</f>
        <v>CZ THE GOAT</v>
      </c>
    </row>
    <row r="12793" spans="1:3" x14ac:dyDescent="0.25">
      <c r="A12793" s="2" t="str">
        <f ca="1">IFERROR(__xludf.DUMMYFUNCTION("""COMPUTED_VALUE"""),"the-grapes-grape-coin")</f>
        <v>the-grapes-grape-coin</v>
      </c>
      <c r="B12793" s="2" t="str">
        <f ca="1">IFERROR(__xludf.DUMMYFUNCTION("""COMPUTED_VALUE"""),"grape")</f>
        <v>grape</v>
      </c>
      <c r="C12793" s="2" t="str">
        <f ca="1">IFERROR(__xludf.DUMMYFUNCTION("""COMPUTED_VALUE"""),"Grape Coin")</f>
        <v>Grape Coin</v>
      </c>
    </row>
    <row r="12794" spans="1:3" x14ac:dyDescent="0.25">
      <c r="A12794" s="2" t="str">
        <f ca="1">IFERROR(__xludf.DUMMYFUNCTION("""COMPUTED_VALUE"""),"the-graph")</f>
        <v>the-graph</v>
      </c>
      <c r="B12794" s="2" t="str">
        <f ca="1">IFERROR(__xludf.DUMMYFUNCTION("""COMPUTED_VALUE"""),"grt")</f>
        <v>grt</v>
      </c>
      <c r="C12794" s="2" t="str">
        <f ca="1">IFERROR(__xludf.DUMMYFUNCTION("""COMPUTED_VALUE"""),"The Graph")</f>
        <v>The Graph</v>
      </c>
    </row>
    <row r="12795" spans="1:3" x14ac:dyDescent="0.25">
      <c r="A12795" s="2" t="str">
        <f ca="1">IFERROR(__xludf.DUMMYFUNCTION("""COMPUTED_VALUE"""),"the-grays-currency")</f>
        <v>the-grays-currency</v>
      </c>
      <c r="B12795" s="2" t="str">
        <f ca="1">IFERROR(__xludf.DUMMYFUNCTION("""COMPUTED_VALUE"""),"ptgc")</f>
        <v>ptgc</v>
      </c>
      <c r="C12795" s="2" t="str">
        <f ca="1">IFERROR(__xludf.DUMMYFUNCTION("""COMPUTED_VALUE"""),"The Grays Currency")</f>
        <v>The Grays Currency</v>
      </c>
    </row>
    <row r="12796" spans="1:3" x14ac:dyDescent="0.25">
      <c r="A12796" s="2" t="str">
        <f ca="1">IFERROR(__xludf.DUMMYFUNCTION("""COMPUTED_VALUE"""),"the-great-void-token")</f>
        <v>the-great-void-token</v>
      </c>
      <c r="B12796" s="2" t="str">
        <f ca="1">IFERROR(__xludf.DUMMYFUNCTION("""COMPUTED_VALUE"""),"void")</f>
        <v>void</v>
      </c>
      <c r="C12796" s="2" t="str">
        <f ca="1">IFERROR(__xludf.DUMMYFUNCTION("""COMPUTED_VALUE"""),"The Great Void Token")</f>
        <v>The Great Void Token</v>
      </c>
    </row>
    <row r="12797" spans="1:3" x14ac:dyDescent="0.25">
      <c r="A12797" s="2" t="str">
        <f ca="1">IFERROR(__xludf.DUMMYFUNCTION("""COMPUTED_VALUE"""),"the-husl")</f>
        <v>the-husl</v>
      </c>
      <c r="B12797" s="2" t="str">
        <f ca="1">IFERROR(__xludf.DUMMYFUNCTION("""COMPUTED_VALUE"""),"husl")</f>
        <v>husl</v>
      </c>
      <c r="C12797" s="2" t="str">
        <f ca="1">IFERROR(__xludf.DUMMYFUNCTION("""COMPUTED_VALUE"""),"The HUSL")</f>
        <v>The HUSL</v>
      </c>
    </row>
    <row r="12798" spans="1:3" x14ac:dyDescent="0.25">
      <c r="A12798" s="2" t="str">
        <f ca="1">IFERROR(__xludf.DUMMYFUNCTION("""COMPUTED_VALUE"""),"the-infinite-garden")</f>
        <v>the-infinite-garden</v>
      </c>
      <c r="B12798" s="2" t="str">
        <f ca="1">IFERROR(__xludf.DUMMYFUNCTION("""COMPUTED_VALUE"""),"eth")</f>
        <v>eth</v>
      </c>
      <c r="C12798" s="2" t="str">
        <f ca="1">IFERROR(__xludf.DUMMYFUNCTION("""COMPUTED_VALUE"""),"The Infinite Garden")</f>
        <v>The Infinite Garden</v>
      </c>
    </row>
    <row r="12799" spans="1:3" x14ac:dyDescent="0.25">
      <c r="A12799" s="2" t="str">
        <f ca="1">IFERROR(__xludf.DUMMYFUNCTION("""COMPUTED_VALUE"""),"the-joker-coin")</f>
        <v>the-joker-coin</v>
      </c>
      <c r="B12799" s="2" t="str">
        <f ca="1">IFERROR(__xludf.DUMMYFUNCTION("""COMPUTED_VALUE"""),"joker")</f>
        <v>joker</v>
      </c>
      <c r="C12799" s="2" t="str">
        <f ca="1">IFERROR(__xludf.DUMMYFUNCTION("""COMPUTED_VALUE"""),"The Joker Coin")</f>
        <v>The Joker Coin</v>
      </c>
    </row>
    <row r="12800" spans="1:3" x14ac:dyDescent="0.25">
      <c r="A12800" s="2" t="str">
        <f ca="1">IFERROR(__xludf.DUMMYFUNCTION("""COMPUTED_VALUE"""),"the-jupiter-cat")</f>
        <v>the-jupiter-cat</v>
      </c>
      <c r="B12800" s="2" t="str">
        <f ca="1">IFERROR(__xludf.DUMMYFUNCTION("""COMPUTED_VALUE"""),"jupcat")</f>
        <v>jupcat</v>
      </c>
      <c r="C12800" s="2" t="str">
        <f ca="1">IFERROR(__xludf.DUMMYFUNCTION("""COMPUTED_VALUE"""),"The Jupiter Cat")</f>
        <v>The Jupiter Cat</v>
      </c>
    </row>
    <row r="12801" spans="1:3" x14ac:dyDescent="0.25">
      <c r="A12801" s="2" t="str">
        <f ca="1">IFERROR(__xludf.DUMMYFUNCTION("""COMPUTED_VALUE"""),"the-kartel-project")</f>
        <v>the-kartel-project</v>
      </c>
      <c r="B12801" s="2" t="str">
        <f ca="1">IFERROR(__xludf.DUMMYFUNCTION("""COMPUTED_VALUE"""),"kart")</f>
        <v>kart</v>
      </c>
      <c r="C12801" s="2" t="str">
        <f ca="1">IFERROR(__xludf.DUMMYFUNCTION("""COMPUTED_VALUE"""),"The Kartel Project")</f>
        <v>The Kartel Project</v>
      </c>
    </row>
    <row r="12802" spans="1:3" x14ac:dyDescent="0.25">
      <c r="A12802" s="2" t="str">
        <f ca="1">IFERROR(__xludf.DUMMYFUNCTION("""COMPUTED_VALUE"""),"the-killbox-game")</f>
        <v>the-killbox-game</v>
      </c>
      <c r="B12802" s="2" t="str">
        <f ca="1">IFERROR(__xludf.DUMMYFUNCTION("""COMPUTED_VALUE"""),"kbox")</f>
        <v>kbox</v>
      </c>
      <c r="C12802" s="2" t="str">
        <f ca="1">IFERROR(__xludf.DUMMYFUNCTION("""COMPUTED_VALUE"""),"The Killbox Game")</f>
        <v>The Killbox Game</v>
      </c>
    </row>
    <row r="12803" spans="1:3" x14ac:dyDescent="0.25">
      <c r="A12803" s="2" t="str">
        <f ca="1">IFERROR(__xludf.DUMMYFUNCTION("""COMPUTED_VALUE"""),"the-kingdom-coin")</f>
        <v>the-kingdom-coin</v>
      </c>
      <c r="B12803" s="2" t="str">
        <f ca="1">IFERROR(__xludf.DUMMYFUNCTION("""COMPUTED_VALUE"""),"tkc")</f>
        <v>tkc</v>
      </c>
      <c r="C12803" s="2" t="str">
        <f ca="1">IFERROR(__xludf.DUMMYFUNCTION("""COMPUTED_VALUE"""),"The Kingdom Coin")</f>
        <v>The Kingdom Coin</v>
      </c>
    </row>
    <row r="12804" spans="1:3" x14ac:dyDescent="0.25">
      <c r="A12804" s="2" t="str">
        <f ca="1">IFERROR(__xludf.DUMMYFUNCTION("""COMPUTED_VALUE"""),"the-knowers")</f>
        <v>the-knowers</v>
      </c>
      <c r="B12804" s="2" t="str">
        <f ca="1">IFERROR(__xludf.DUMMYFUNCTION("""COMPUTED_VALUE"""),"know")</f>
        <v>know</v>
      </c>
      <c r="C12804" s="2" t="str">
        <f ca="1">IFERROR(__xludf.DUMMYFUNCTION("""COMPUTED_VALUE"""),"The Knowers")</f>
        <v>The Knowers</v>
      </c>
    </row>
    <row r="12805" spans="1:3" x14ac:dyDescent="0.25">
      <c r="A12805" s="2" t="str">
        <f ca="1">IFERROR(__xludf.DUMMYFUNCTION("""COMPUTED_VALUE"""),"the-land-elf-crossing")</f>
        <v>the-land-elf-crossing</v>
      </c>
      <c r="B12805" s="2" t="str">
        <f ca="1">IFERROR(__xludf.DUMMYFUNCTION("""COMPUTED_VALUE"""),"elf")</f>
        <v>elf</v>
      </c>
      <c r="C12805" s="2" t="str">
        <f ca="1">IFERROR(__xludf.DUMMYFUNCTION("""COMPUTED_VALUE"""),"THE LAND ELF Crossing")</f>
        <v>THE LAND ELF Crossing</v>
      </c>
    </row>
    <row r="12806" spans="1:3" x14ac:dyDescent="0.25">
      <c r="A12806" s="2" t="str">
        <f ca="1">IFERROR(__xludf.DUMMYFUNCTION("""COMPUTED_VALUE"""),"the-loonies")</f>
        <v>the-loonies</v>
      </c>
      <c r="B12806" s="2" t="str">
        <f ca="1">IFERROR(__xludf.DUMMYFUNCTION("""COMPUTED_VALUE"""),"loon")</f>
        <v>loon</v>
      </c>
      <c r="C12806" s="2" t="str">
        <f ca="1">IFERROR(__xludf.DUMMYFUNCTION("""COMPUTED_VALUE"""),"The Loonies")</f>
        <v>The Loonies</v>
      </c>
    </row>
    <row r="12807" spans="1:3" x14ac:dyDescent="0.25">
      <c r="A12807" s="2" t="str">
        <f ca="1">IFERROR(__xludf.DUMMYFUNCTION("""COMPUTED_VALUE"""),"the-lux-network")</f>
        <v>the-lux-network</v>
      </c>
      <c r="B12807" s="2" t="str">
        <f ca="1">IFERROR(__xludf.DUMMYFUNCTION("""COMPUTED_VALUE"""),"tln")</f>
        <v>tln</v>
      </c>
      <c r="C12807" s="2" t="str">
        <f ca="1">IFERROR(__xludf.DUMMYFUNCTION("""COMPUTED_VALUE"""),"The Lux Network")</f>
        <v>The Lux Network</v>
      </c>
    </row>
    <row r="12808" spans="1:3" x14ac:dyDescent="0.25">
      <c r="A12808" s="2" t="str">
        <f ca="1">IFERROR(__xludf.DUMMYFUNCTION("""COMPUTED_VALUE"""),"the-mars")</f>
        <v>the-mars</v>
      </c>
      <c r="B12808" s="2" t="str">
        <f ca="1">IFERROR(__xludf.DUMMYFUNCTION("""COMPUTED_VALUE"""),"mrst")</f>
        <v>mrst</v>
      </c>
      <c r="C12808" s="2" t="str">
        <f ca="1">IFERROR(__xludf.DUMMYFUNCTION("""COMPUTED_VALUE"""),"Mars Token")</f>
        <v>Mars Token</v>
      </c>
    </row>
    <row r="12809" spans="1:3" x14ac:dyDescent="0.25">
      <c r="A12809" s="2" t="str">
        <f ca="1">IFERROR(__xludf.DUMMYFUNCTION("""COMPUTED_VALUE"""),"the-martian-dog")</f>
        <v>the-martian-dog</v>
      </c>
      <c r="B12809" s="2" t="str">
        <f ca="1">IFERROR(__xludf.DUMMYFUNCTION("""COMPUTED_VALUE"""),"marvin")</f>
        <v>marvin</v>
      </c>
      <c r="C12809" s="2" t="str">
        <f ca="1">IFERROR(__xludf.DUMMYFUNCTION("""COMPUTED_VALUE"""),"The Martian Dog")</f>
        <v>The Martian Dog</v>
      </c>
    </row>
    <row r="12810" spans="1:3" x14ac:dyDescent="0.25">
      <c r="A12810" s="2" t="str">
        <f ca="1">IFERROR(__xludf.DUMMYFUNCTION("""COMPUTED_VALUE"""),"the-meme-of-the-future")</f>
        <v>the-meme-of-the-future</v>
      </c>
      <c r="B12810" s="2" t="str">
        <f ca="1">IFERROR(__xludf.DUMMYFUNCTION("""COMPUTED_VALUE"""),"robo")</f>
        <v>robo</v>
      </c>
      <c r="C12810" s="2" t="str">
        <f ca="1">IFERROR(__xludf.DUMMYFUNCTION("""COMPUTED_VALUE"""),"the meme of the future")</f>
        <v>the meme of the future</v>
      </c>
    </row>
    <row r="12811" spans="1:3" x14ac:dyDescent="0.25">
      <c r="A12811" s="2" t="str">
        <f ca="1">IFERROR(__xludf.DUMMYFUNCTION("""COMPUTED_VALUE"""),"the-monopolist")</f>
        <v>the-monopolist</v>
      </c>
      <c r="B12811" s="2" t="str">
        <f ca="1">IFERROR(__xludf.DUMMYFUNCTION("""COMPUTED_VALUE"""),"mono")</f>
        <v>mono</v>
      </c>
      <c r="C12811" s="2" t="str">
        <f ca="1">IFERROR(__xludf.DUMMYFUNCTION("""COMPUTED_VALUE"""),"The Monopolist")</f>
        <v>The Monopolist</v>
      </c>
    </row>
    <row r="12812" spans="1:3" x14ac:dyDescent="0.25">
      <c r="A12812" s="2" t="str">
        <f ca="1">IFERROR(__xludf.DUMMYFUNCTION("""COMPUTED_VALUE"""),"thena")</f>
        <v>thena</v>
      </c>
      <c r="B12812" s="2" t="str">
        <f ca="1">IFERROR(__xludf.DUMMYFUNCTION("""COMPUTED_VALUE"""),"the")</f>
        <v>the</v>
      </c>
      <c r="C12812" s="2" t="str">
        <f ca="1">IFERROR(__xludf.DUMMYFUNCTION("""COMPUTED_VALUE"""),"Thena")</f>
        <v>Thena</v>
      </c>
    </row>
    <row r="12813" spans="1:3" x14ac:dyDescent="0.25">
      <c r="A12813" s="2" t="str">
        <f ca="1">IFERROR(__xludf.DUMMYFUNCTION("""COMPUTED_VALUE"""),"the-neko")</f>
        <v>the-neko</v>
      </c>
      <c r="B12813" s="2" t="str">
        <f ca="1">IFERROR(__xludf.DUMMYFUNCTION("""COMPUTED_VALUE"""),"neko")</f>
        <v>neko</v>
      </c>
      <c r="C12813" s="2" t="str">
        <f ca="1">IFERROR(__xludf.DUMMYFUNCTION("""COMPUTED_VALUE"""),"The Neko")</f>
        <v>The Neko</v>
      </c>
    </row>
    <row r="12814" spans="1:3" x14ac:dyDescent="0.25">
      <c r="A12814" s="2" t="str">
        <f ca="1">IFERROR(__xludf.DUMMYFUNCTION("""COMPUTED_VALUE"""),"the-nemesis")</f>
        <v>the-nemesis</v>
      </c>
      <c r="B12814" s="2" t="str">
        <f ca="1">IFERROR(__xludf.DUMMYFUNCTION("""COMPUTED_VALUE"""),"nems")</f>
        <v>nems</v>
      </c>
      <c r="C12814" s="2" t="str">
        <f ca="1">IFERROR(__xludf.DUMMYFUNCTION("""COMPUTED_VALUE"""),"The Nemesis")</f>
        <v>The Nemesis</v>
      </c>
    </row>
    <row r="12815" spans="1:3" x14ac:dyDescent="0.25">
      <c r="A12815" s="2" t="str">
        <f ca="1">IFERROR(__xludf.DUMMYFUNCTION("""COMPUTED_VALUE"""),"the-next-gem-ai")</f>
        <v>the-next-gem-ai</v>
      </c>
      <c r="B12815" s="2" t="str">
        <f ca="1">IFERROR(__xludf.DUMMYFUNCTION("""COMPUTED_VALUE"""),"gemai")</f>
        <v>gemai</v>
      </c>
      <c r="C12815" s="2" t="str">
        <f ca="1">IFERROR(__xludf.DUMMYFUNCTION("""COMPUTED_VALUE"""),"The Next Gem AI")</f>
        <v>The Next Gem AI</v>
      </c>
    </row>
    <row r="12816" spans="1:3" x14ac:dyDescent="0.25">
      <c r="A12816" s="2" t="str">
        <f ca="1">IFERROR(__xludf.DUMMYFUNCTION("""COMPUTED_VALUE"""),"the-night-riders")</f>
        <v>the-night-riders</v>
      </c>
      <c r="B12816" s="2" t="str">
        <f ca="1">IFERROR(__xludf.DUMMYFUNCTION("""COMPUTED_VALUE"""),"tnr")</f>
        <v>tnr</v>
      </c>
      <c r="C12816" s="2" t="str">
        <f ca="1">IFERROR(__xludf.DUMMYFUNCTION("""COMPUTED_VALUE"""),"The Night Riders")</f>
        <v>The Night Riders</v>
      </c>
    </row>
    <row r="12817" spans="1:3" x14ac:dyDescent="0.25">
      <c r="A12817" s="2" t="str">
        <f ca="1">IFERROR(__xludf.DUMMYFUNCTION("""COMPUTED_VALUE"""),"the-node")</f>
        <v>the-node</v>
      </c>
      <c r="B12817" s="2" t="str">
        <f ca="1">IFERROR(__xludf.DUMMYFUNCTION("""COMPUTED_VALUE"""),"the")</f>
        <v>the</v>
      </c>
      <c r="C12817" s="2" t="str">
        <f ca="1">IFERROR(__xludf.DUMMYFUNCTION("""COMPUTED_VALUE"""),"THENODE")</f>
        <v>THENODE</v>
      </c>
    </row>
    <row r="12818" spans="1:3" x14ac:dyDescent="0.25">
      <c r="A12818" s="2" t="str">
        <f ca="1">IFERROR(__xludf.DUMMYFUNCTION("""COMPUTED_VALUE"""),"the-official-bozo")</f>
        <v>the-official-bozo</v>
      </c>
      <c r="B12818" s="2" t="str">
        <f ca="1">IFERROR(__xludf.DUMMYFUNCTION("""COMPUTED_VALUE"""),"bozo")</f>
        <v>bozo</v>
      </c>
      <c r="C12818" s="2" t="str">
        <f ca="1">IFERROR(__xludf.DUMMYFUNCTION("""COMPUTED_VALUE"""),"THE•OFFICIAL•BOZO")</f>
        <v>THE•OFFICIAL•BOZO</v>
      </c>
    </row>
    <row r="12819" spans="1:3" x14ac:dyDescent="0.25">
      <c r="A12819" s="2" t="str">
        <f ca="1">IFERROR(__xludf.DUMMYFUNCTION("""COMPUTED_VALUE"""),"the-og-cheems-inu")</f>
        <v>the-og-cheems-inu</v>
      </c>
      <c r="B12819" s="2" t="str">
        <f ca="1">IFERROR(__xludf.DUMMYFUNCTION("""COMPUTED_VALUE"""),"ogcinu")</f>
        <v>ogcinu</v>
      </c>
      <c r="C12819" s="2" t="str">
        <f ca="1">IFERROR(__xludf.DUMMYFUNCTION("""COMPUTED_VALUE"""),"The OG Cheems Inu")</f>
        <v>The OG Cheems Inu</v>
      </c>
    </row>
    <row r="12820" spans="1:3" x14ac:dyDescent="0.25">
      <c r="A12820" s="2" t="str">
        <f ca="1">IFERROR(__xludf.DUMMYFUNCTION("""COMPUTED_VALUE"""),"the-open-league-meme")</f>
        <v>the-open-league-meme</v>
      </c>
      <c r="B12820" s="2" t="str">
        <f ca="1">IFERROR(__xludf.DUMMYFUNCTION("""COMPUTED_VALUE"""),"tol")</f>
        <v>tol</v>
      </c>
      <c r="C12820" s="2" t="str">
        <f ca="1">IFERROR(__xludf.DUMMYFUNCTION("""COMPUTED_VALUE"""),"The Open League MEME")</f>
        <v>The Open League MEME</v>
      </c>
    </row>
    <row r="12821" spans="1:3" x14ac:dyDescent="0.25">
      <c r="A12821" s="2" t="str">
        <f ca="1">IFERROR(__xludf.DUMMYFUNCTION("""COMPUTED_VALUE"""),"the-open-network")</f>
        <v>the-open-network</v>
      </c>
      <c r="B12821" s="2" t="str">
        <f ca="1">IFERROR(__xludf.DUMMYFUNCTION("""COMPUTED_VALUE"""),"ton")</f>
        <v>ton</v>
      </c>
      <c r="C12821" s="2" t="str">
        <f ca="1">IFERROR(__xludf.DUMMYFUNCTION("""COMPUTED_VALUE"""),"Toncoin")</f>
        <v>Toncoin</v>
      </c>
    </row>
    <row r="12822" spans="1:3" x14ac:dyDescent="0.25">
      <c r="A12822" s="2" t="str">
        <f ca="1">IFERROR(__xludf.DUMMYFUNCTION("""COMPUTED_VALUE"""),"theos")</f>
        <v>theos</v>
      </c>
      <c r="B12822" s="2" t="str">
        <f ca="1">IFERROR(__xludf.DUMMYFUNCTION("""COMPUTED_VALUE"""),"theos")</f>
        <v>theos</v>
      </c>
      <c r="C12822" s="2" t="str">
        <f ca="1">IFERROR(__xludf.DUMMYFUNCTION("""COMPUTED_VALUE"""),"Theos")</f>
        <v>Theos</v>
      </c>
    </row>
    <row r="12823" spans="1:3" x14ac:dyDescent="0.25">
      <c r="A12823" s="2" t="str">
        <f ca="1">IFERROR(__xludf.DUMMYFUNCTION("""COMPUTED_VALUE"""),"the-other-party")</f>
        <v>the-other-party</v>
      </c>
      <c r="B12823" s="2" t="str">
        <f ca="1">IFERROR(__xludf.DUMMYFUNCTION("""COMPUTED_VALUE"""),"pod")</f>
        <v>pod</v>
      </c>
      <c r="C12823" s="2" t="str">
        <f ca="1">IFERROR(__xludf.DUMMYFUNCTION("""COMPUTED_VALUE"""),"The Other Party")</f>
        <v>The Other Party</v>
      </c>
    </row>
    <row r="12824" spans="1:3" x14ac:dyDescent="0.25">
      <c r="A12824" s="2" t="str">
        <f ca="1">IFERROR(__xludf.DUMMYFUNCTION("""COMPUTED_VALUE"""),"the-people-coin")</f>
        <v>the-people-coin</v>
      </c>
      <c r="B12824" s="2" t="str">
        <f ca="1">IFERROR(__xludf.DUMMYFUNCTION("""COMPUTED_VALUE"""),"peep$")</f>
        <v>peep$</v>
      </c>
      <c r="C12824" s="2" t="str">
        <f ca="1">IFERROR(__xludf.DUMMYFUNCTION("""COMPUTED_VALUE"""),"The People’s Coin")</f>
        <v>The People’s Coin</v>
      </c>
    </row>
    <row r="12825" spans="1:3" x14ac:dyDescent="0.25">
      <c r="A12825" s="2" t="str">
        <f ca="1">IFERROR(__xludf.DUMMYFUNCTION("""COMPUTED_VALUE"""),"the-phoenix")</f>
        <v>the-phoenix</v>
      </c>
      <c r="B12825" s="2" t="str">
        <f ca="1">IFERROR(__xludf.DUMMYFUNCTION("""COMPUTED_VALUE"""),"fire")</f>
        <v>fire</v>
      </c>
      <c r="C12825" s="2" t="str">
        <f ca="1">IFERROR(__xludf.DUMMYFUNCTION("""COMPUTED_VALUE"""),"The Phoenix")</f>
        <v>The Phoenix</v>
      </c>
    </row>
    <row r="12826" spans="1:3" x14ac:dyDescent="0.25">
      <c r="A12826" s="2" t="str">
        <f ca="1">IFERROR(__xludf.DUMMYFUNCTION("""COMPUTED_VALUE"""),"the-professor")</f>
        <v>the-professor</v>
      </c>
      <c r="B12826" s="2" t="str">
        <f ca="1">IFERROR(__xludf.DUMMYFUNCTION("""COMPUTED_VALUE"""),"lab")</f>
        <v>lab</v>
      </c>
      <c r="C12826" s="2" t="str">
        <f ca="1">IFERROR(__xludf.DUMMYFUNCTION("""COMPUTED_VALUE"""),"The Professor")</f>
        <v>The Professor</v>
      </c>
    </row>
    <row r="12827" spans="1:3" x14ac:dyDescent="0.25">
      <c r="A12827" s="2" t="str">
        <f ca="1">IFERROR(__xludf.DUMMYFUNCTION("""COMPUTED_VALUE"""),"the-protocol")</f>
        <v>the-protocol</v>
      </c>
      <c r="B12827" s="2" t="str">
        <f ca="1">IFERROR(__xludf.DUMMYFUNCTION("""COMPUTED_VALUE"""),"the")</f>
        <v>the</v>
      </c>
      <c r="C12827" s="2" t="str">
        <f ca="1">IFERROR(__xludf.DUMMYFUNCTION("""COMPUTED_VALUE"""),"The Protocol")</f>
        <v>The Protocol</v>
      </c>
    </row>
    <row r="12828" spans="1:3" x14ac:dyDescent="0.25">
      <c r="A12828" s="2" t="str">
        <f ca="1">IFERROR(__xludf.DUMMYFUNCTION("""COMPUTED_VALUE"""),"the-qwan")</f>
        <v>the-qwan</v>
      </c>
      <c r="B12828" s="2" t="str">
        <f ca="1">IFERROR(__xludf.DUMMYFUNCTION("""COMPUTED_VALUE"""),"qwan")</f>
        <v>qwan</v>
      </c>
      <c r="C12828" s="2" t="str">
        <f ca="1">IFERROR(__xludf.DUMMYFUNCTION("""COMPUTED_VALUE"""),"The QWAN")</f>
        <v>The QWAN</v>
      </c>
    </row>
    <row r="12829" spans="1:3" x14ac:dyDescent="0.25">
      <c r="A12829" s="2" t="str">
        <f ca="1">IFERROR(__xludf.DUMMYFUNCTION("""COMPUTED_VALUE"""),"the-real-landwolf")</f>
        <v>the-real-landwolf</v>
      </c>
      <c r="B12829" s="2" t="str">
        <f ca="1">IFERROR(__xludf.DUMMYFUNCTION("""COMPUTED_VALUE"""),"wolf")</f>
        <v>wolf</v>
      </c>
      <c r="C12829" s="2" t="str">
        <f ca="1">IFERROR(__xludf.DUMMYFUNCTION("""COMPUTED_VALUE"""),"LandWolf")</f>
        <v>LandWolf</v>
      </c>
    </row>
    <row r="12830" spans="1:3" x14ac:dyDescent="0.25">
      <c r="A12830" s="2" t="str">
        <f ca="1">IFERROR(__xludf.DUMMYFUNCTION("""COMPUTED_VALUE"""),"the-reaper")</f>
        <v>the-reaper</v>
      </c>
      <c r="B12830" s="2" t="str">
        <f ca="1">IFERROR(__xludf.DUMMYFUNCTION("""COMPUTED_VALUE"""),"rpr")</f>
        <v>rpr</v>
      </c>
      <c r="C12830" s="2" t="str">
        <f ca="1">IFERROR(__xludf.DUMMYFUNCTION("""COMPUTED_VALUE"""),"The Reaper")</f>
        <v>The Reaper</v>
      </c>
    </row>
    <row r="12831" spans="1:3" x14ac:dyDescent="0.25">
      <c r="A12831" s="2" t="str">
        <f ca="1">IFERROR(__xludf.DUMMYFUNCTION("""COMPUTED_VALUE"""),"the-reptilian-currency")</f>
        <v>the-reptilian-currency</v>
      </c>
      <c r="B12831" s="2" t="str">
        <f ca="1">IFERROR(__xludf.DUMMYFUNCTION("""COMPUTED_VALUE"""),"trc")</f>
        <v>trc</v>
      </c>
      <c r="C12831" s="2" t="str">
        <f ca="1">IFERROR(__xludf.DUMMYFUNCTION("""COMPUTED_VALUE"""),"The Reptilian Currency")</f>
        <v>The Reptilian Currency</v>
      </c>
    </row>
    <row r="12832" spans="1:3" x14ac:dyDescent="0.25">
      <c r="A12832" s="2" t="str">
        <f ca="1">IFERROR(__xludf.DUMMYFUNCTION("""COMPUTED_VALUE"""),"the-resistance-cat")</f>
        <v>the-resistance-cat</v>
      </c>
      <c r="B12832" s="2" t="str">
        <f ca="1">IFERROR(__xludf.DUMMYFUNCTION("""COMPUTED_VALUE"""),"$reca")</f>
        <v>$reca</v>
      </c>
      <c r="C12832" s="2" t="str">
        <f ca="1">IFERROR(__xludf.DUMMYFUNCTION("""COMPUTED_VALUE"""),"The Resistance Cat")</f>
        <v>The Resistance Cat</v>
      </c>
    </row>
    <row r="12833" spans="1:3" x14ac:dyDescent="0.25">
      <c r="A12833" s="2" t="str">
        <f ca="1">IFERROR(__xludf.DUMMYFUNCTION("""COMPUTED_VALUE"""),"the-root-network")</f>
        <v>the-root-network</v>
      </c>
      <c r="B12833" s="2" t="str">
        <f ca="1">IFERROR(__xludf.DUMMYFUNCTION("""COMPUTED_VALUE"""),"root")</f>
        <v>root</v>
      </c>
      <c r="C12833" s="2" t="str">
        <f ca="1">IFERROR(__xludf.DUMMYFUNCTION("""COMPUTED_VALUE"""),"The Root Network")</f>
        <v>The Root Network</v>
      </c>
    </row>
    <row r="12834" spans="1:3" x14ac:dyDescent="0.25">
      <c r="A12834" s="2" t="str">
        <f ca="1">IFERROR(__xludf.DUMMYFUNCTION("""COMPUTED_VALUE"""),"the-rug-game")</f>
        <v>the-rug-game</v>
      </c>
      <c r="B12834" s="2" t="str">
        <f ca="1">IFERROR(__xludf.DUMMYFUNCTION("""COMPUTED_VALUE"""),"trg")</f>
        <v>trg</v>
      </c>
      <c r="C12834" s="2" t="str">
        <f ca="1">IFERROR(__xludf.DUMMYFUNCTION("""COMPUTED_VALUE"""),"The Rug Game")</f>
        <v>The Rug Game</v>
      </c>
    </row>
    <row r="12835" spans="1:3" x14ac:dyDescent="0.25">
      <c r="A12835" s="2" t="str">
        <f ca="1">IFERROR(__xludf.DUMMYFUNCTION("""COMPUTED_VALUE"""),"the-runix-token")</f>
        <v>the-runix-token</v>
      </c>
      <c r="B12835" s="2" t="str">
        <f ca="1">IFERROR(__xludf.DUMMYFUNCTION("""COMPUTED_VALUE"""),"runix")</f>
        <v>runix</v>
      </c>
      <c r="C12835" s="2" t="str">
        <f ca="1">IFERROR(__xludf.DUMMYFUNCTION("""COMPUTED_VALUE"""),"THE•RUNIX•TOKEN")</f>
        <v>THE•RUNIX•TOKEN</v>
      </c>
    </row>
    <row r="12836" spans="1:3" x14ac:dyDescent="0.25">
      <c r="A12836" s="2" t="str">
        <f ca="1">IFERROR(__xludf.DUMMYFUNCTION("""COMPUTED_VALUE"""),"the-runix-token-runes")</f>
        <v>the-runix-token-runes</v>
      </c>
      <c r="B12836" s="2" t="str">
        <f ca="1">IFERROR(__xludf.DUMMYFUNCTION("""COMPUTED_VALUE"""),"ᚱ")</f>
        <v>ᚱ</v>
      </c>
      <c r="C12836" s="2" t="str">
        <f ca="1">IFERROR(__xludf.DUMMYFUNCTION("""COMPUTED_VALUE"""),"THE•RUNIX•TOKEN (Runes)")</f>
        <v>THE•RUNIX•TOKEN (Runes)</v>
      </c>
    </row>
    <row r="12837" spans="1:3" x14ac:dyDescent="0.25">
      <c r="A12837" s="2" t="str">
        <f ca="1">IFERROR(__xludf.DUMMYFUNCTION("""COMPUTED_VALUE"""),"the-sandbox")</f>
        <v>the-sandbox</v>
      </c>
      <c r="B12837" s="2" t="str">
        <f ca="1">IFERROR(__xludf.DUMMYFUNCTION("""COMPUTED_VALUE"""),"sand")</f>
        <v>sand</v>
      </c>
      <c r="C12837" s="2" t="str">
        <f ca="1">IFERROR(__xludf.DUMMYFUNCTION("""COMPUTED_VALUE"""),"The Sandbox")</f>
        <v>The Sandbox</v>
      </c>
    </row>
    <row r="12838" spans="1:3" x14ac:dyDescent="0.25">
      <c r="A12838" s="2" t="str">
        <f ca="1">IFERROR(__xludf.DUMMYFUNCTION("""COMPUTED_VALUE"""),"the-sandbox-wormhole")</f>
        <v>the-sandbox-wormhole</v>
      </c>
      <c r="B12838" s="2" t="str">
        <f ca="1">IFERROR(__xludf.DUMMYFUNCTION("""COMPUTED_VALUE"""),"sand")</f>
        <v>sand</v>
      </c>
      <c r="C12838" s="2" t="str">
        <f ca="1">IFERROR(__xludf.DUMMYFUNCTION("""COMPUTED_VALUE"""),"The Sandbox (Wormhole)")</f>
        <v>The Sandbox (Wormhole)</v>
      </c>
    </row>
    <row r="12839" spans="1:3" x14ac:dyDescent="0.25">
      <c r="A12839" s="2" t="str">
        <f ca="1">IFERROR(__xludf.DUMMYFUNCTION("""COMPUTED_VALUE"""),"the-sharks-fan-token")</f>
        <v>the-sharks-fan-token</v>
      </c>
      <c r="B12839" s="2" t="str">
        <f ca="1">IFERROR(__xludf.DUMMYFUNCTION("""COMPUTED_VALUE"""),"sharks")</f>
        <v>sharks</v>
      </c>
      <c r="C12839" s="2" t="str">
        <f ca="1">IFERROR(__xludf.DUMMYFUNCTION("""COMPUTED_VALUE"""),"The Sharks Fan Token")</f>
        <v>The Sharks Fan Token</v>
      </c>
    </row>
    <row r="12840" spans="1:3" x14ac:dyDescent="0.25">
      <c r="A12840" s="2" t="str">
        <f ca="1">IFERROR(__xludf.DUMMYFUNCTION("""COMPUTED_VALUE"""),"thesirion")</f>
        <v>thesirion</v>
      </c>
      <c r="B12840" s="2" t="str">
        <f ca="1">IFERROR(__xludf.DUMMYFUNCTION("""COMPUTED_VALUE"""),"tso")</f>
        <v>tso</v>
      </c>
      <c r="C12840" s="2" t="str">
        <f ca="1">IFERROR(__xludf.DUMMYFUNCTION("""COMPUTED_VALUE"""),"Thesirion")</f>
        <v>Thesirion</v>
      </c>
    </row>
    <row r="12841" spans="1:3" x14ac:dyDescent="0.25">
      <c r="A12841" s="2" t="str">
        <f ca="1">IFERROR(__xludf.DUMMYFUNCTION("""COMPUTED_VALUE"""),"thesis-cat")</f>
        <v>thesis-cat</v>
      </c>
      <c r="B12841" s="2" t="str">
        <f ca="1">IFERROR(__xludf.DUMMYFUNCTION("""COMPUTED_VALUE"""),"quant")</f>
        <v>quant</v>
      </c>
      <c r="C12841" s="2" t="str">
        <f ca="1">IFERROR(__xludf.DUMMYFUNCTION("""COMPUTED_VALUE"""),"thesis cat")</f>
        <v>thesis cat</v>
      </c>
    </row>
    <row r="12842" spans="1:3" x14ac:dyDescent="0.25">
      <c r="A12842" s="2" t="str">
        <f ca="1">IFERROR(__xludf.DUMMYFUNCTION("""COMPUTED_VALUE"""),"thesolandao")</f>
        <v>thesolandao</v>
      </c>
      <c r="B12842" s="2" t="str">
        <f ca="1">IFERROR(__xludf.DUMMYFUNCTION("""COMPUTED_VALUE"""),"sdo")</f>
        <v>sdo</v>
      </c>
      <c r="C12842" s="2" t="str">
        <f ca="1">IFERROR(__xludf.DUMMYFUNCTION("""COMPUTED_VALUE"""),"TheSolanDAO")</f>
        <v>TheSolanDAO</v>
      </c>
    </row>
    <row r="12843" spans="1:3" x14ac:dyDescent="0.25">
      <c r="A12843" s="2" t="str">
        <f ca="1">IFERROR(__xludf.DUMMYFUNCTION("""COMPUTED_VALUE"""),"the-soldog")</f>
        <v>the-soldog</v>
      </c>
      <c r="B12843" s="2" t="str">
        <f ca="1">IFERROR(__xludf.DUMMYFUNCTION("""COMPUTED_VALUE"""),"laika")</f>
        <v>laika</v>
      </c>
      <c r="C12843" s="2" t="str">
        <f ca="1">IFERROR(__xludf.DUMMYFUNCTION("""COMPUTED_VALUE"""),"the Soldog")</f>
        <v>the Soldog</v>
      </c>
    </row>
    <row r="12844" spans="1:3" x14ac:dyDescent="0.25">
      <c r="A12844" s="2" t="str">
        <f ca="1">IFERROR(__xludf.DUMMYFUNCTION("""COMPUTED_VALUE"""),"the-standard-euro")</f>
        <v>the-standard-euro</v>
      </c>
      <c r="B12844" s="2" t="str">
        <f ca="1">IFERROR(__xludf.DUMMYFUNCTION("""COMPUTED_VALUE"""),"euros")</f>
        <v>euros</v>
      </c>
      <c r="C12844" s="2" t="str">
        <f ca="1">IFERROR(__xludf.DUMMYFUNCTION("""COMPUTED_VALUE"""),"The Standard EURO")</f>
        <v>The Standard EURO</v>
      </c>
    </row>
    <row r="12845" spans="1:3" x14ac:dyDescent="0.25">
      <c r="A12845" s="2" t="str">
        <f ca="1">IFERROR(__xludf.DUMMYFUNCTION("""COMPUTED_VALUE"""),"thestandard-usd")</f>
        <v>thestandard-usd</v>
      </c>
      <c r="B12845" s="2" t="str">
        <f ca="1">IFERROR(__xludf.DUMMYFUNCTION("""COMPUTED_VALUE"""),"usds")</f>
        <v>usds</v>
      </c>
      <c r="C12845" s="2" t="str">
        <f ca="1">IFERROR(__xludf.DUMMYFUNCTION("""COMPUTED_VALUE"""),"TheStandard USD")</f>
        <v>TheStandard USD</v>
      </c>
    </row>
    <row r="12846" spans="1:3" x14ac:dyDescent="0.25">
      <c r="A12846" s="2" t="str">
        <f ca="1">IFERROR(__xludf.DUMMYFUNCTION("""COMPUTED_VALUE"""),"thetadrop")</f>
        <v>thetadrop</v>
      </c>
      <c r="B12846" s="2" t="str">
        <f ca="1">IFERROR(__xludf.DUMMYFUNCTION("""COMPUTED_VALUE"""),"tdrop")</f>
        <v>tdrop</v>
      </c>
      <c r="C12846" s="2" t="str">
        <f ca="1">IFERROR(__xludf.DUMMYFUNCTION("""COMPUTED_VALUE"""),"ThetaDrop")</f>
        <v>ThetaDrop</v>
      </c>
    </row>
    <row r="12847" spans="1:3" x14ac:dyDescent="0.25">
      <c r="A12847" s="2" t="str">
        <f ca="1">IFERROR(__xludf.DUMMYFUNCTION("""COMPUTED_VALUE"""),"theta-fuel")</f>
        <v>theta-fuel</v>
      </c>
      <c r="B12847" s="2" t="str">
        <f ca="1">IFERROR(__xludf.DUMMYFUNCTION("""COMPUTED_VALUE"""),"tfuel")</f>
        <v>tfuel</v>
      </c>
      <c r="C12847" s="2" t="str">
        <f ca="1">IFERROR(__xludf.DUMMYFUNCTION("""COMPUTED_VALUE"""),"Theta Fuel")</f>
        <v>Theta Fuel</v>
      </c>
    </row>
    <row r="12848" spans="1:3" x14ac:dyDescent="0.25">
      <c r="A12848" s="2" t="str">
        <f ca="1">IFERROR(__xludf.DUMMYFUNCTION("""COMPUTED_VALUE"""),"thetan-arena")</f>
        <v>thetan-arena</v>
      </c>
      <c r="B12848" s="2" t="str">
        <f ca="1">IFERROR(__xludf.DUMMYFUNCTION("""COMPUTED_VALUE"""),"thg")</f>
        <v>thg</v>
      </c>
      <c r="C12848" s="2" t="str">
        <f ca="1">IFERROR(__xludf.DUMMYFUNCTION("""COMPUTED_VALUE"""),"Thetan World")</f>
        <v>Thetan World</v>
      </c>
    </row>
    <row r="12849" spans="1:3" x14ac:dyDescent="0.25">
      <c r="A12849" s="2" t="str">
        <f ca="1">IFERROR(__xludf.DUMMYFUNCTION("""COMPUTED_VALUE"""),"thetanuts-finance")</f>
        <v>thetanuts-finance</v>
      </c>
      <c r="B12849" s="2" t="str">
        <f ca="1">IFERROR(__xludf.DUMMYFUNCTION("""COMPUTED_VALUE"""),"nuts")</f>
        <v>nuts</v>
      </c>
      <c r="C12849" s="2" t="str">
        <f ca="1">IFERROR(__xludf.DUMMYFUNCTION("""COMPUTED_VALUE"""),"Thetanuts Finance")</f>
        <v>Thetanuts Finance</v>
      </c>
    </row>
    <row r="12850" spans="1:3" x14ac:dyDescent="0.25">
      <c r="A12850" s="2" t="str">
        <f ca="1">IFERROR(__xludf.DUMMYFUNCTION("""COMPUTED_VALUE"""),"theta-token")</f>
        <v>theta-token</v>
      </c>
      <c r="B12850" s="2" t="str">
        <f ca="1">IFERROR(__xludf.DUMMYFUNCTION("""COMPUTED_VALUE"""),"theta")</f>
        <v>theta</v>
      </c>
      <c r="C12850" s="2" t="str">
        <f ca="1">IFERROR(__xludf.DUMMYFUNCTION("""COMPUTED_VALUE"""),"Theta Network")</f>
        <v>Theta Network</v>
      </c>
    </row>
    <row r="12851" spans="1:3" x14ac:dyDescent="0.25">
      <c r="A12851" s="2" t="str">
        <f ca="1">IFERROR(__xludf.DUMMYFUNCTION("""COMPUTED_VALUE"""),"the-theory-of-gravity")</f>
        <v>the-theory-of-gravity</v>
      </c>
      <c r="B12851" s="2" t="str">
        <f ca="1">IFERROR(__xludf.DUMMYFUNCTION("""COMPUTED_VALUE"""),"thog")</f>
        <v>thog</v>
      </c>
      <c r="C12851" s="2" t="str">
        <f ca="1">IFERROR(__xludf.DUMMYFUNCTION("""COMPUTED_VALUE"""),"Theory Of Gravity")</f>
        <v>Theory Of Gravity</v>
      </c>
    </row>
    <row r="12852" spans="1:3" x14ac:dyDescent="0.25">
      <c r="A12852" s="2" t="str">
        <f ca="1">IFERROR(__xludf.DUMMYFUNCTION("""COMPUTED_VALUE"""),"the-three-kingdoms")</f>
        <v>the-three-kingdoms</v>
      </c>
      <c r="B12852" s="2" t="str">
        <f ca="1">IFERROR(__xludf.DUMMYFUNCTION("""COMPUTED_VALUE"""),"ttk")</f>
        <v>ttk</v>
      </c>
      <c r="C12852" s="2" t="str">
        <f ca="1">IFERROR(__xludf.DUMMYFUNCTION("""COMPUTED_VALUE"""),"The Three Kingdoms")</f>
        <v>The Three Kingdoms</v>
      </c>
    </row>
    <row r="12853" spans="1:3" x14ac:dyDescent="0.25">
      <c r="A12853" s="2" t="str">
        <f ca="1">IFERROR(__xludf.DUMMYFUNCTION("""COMPUTED_VALUE"""),"the-ticker-is-elsa")</f>
        <v>the-ticker-is-elsa</v>
      </c>
      <c r="B12853" s="2" t="str">
        <f ca="1">IFERROR(__xludf.DUMMYFUNCTION("""COMPUTED_VALUE"""),"elsa")</f>
        <v>elsa</v>
      </c>
      <c r="C12853" s="2" t="str">
        <f ca="1">IFERROR(__xludf.DUMMYFUNCTION("""COMPUTED_VALUE"""),"THE•TICKER•IS•ELSA")</f>
        <v>THE•TICKER•IS•ELSA</v>
      </c>
    </row>
    <row r="12854" spans="1:3" x14ac:dyDescent="0.25">
      <c r="A12854" s="2" t="str">
        <f ca="1">IFERROR(__xludf.DUMMYFUNCTION("""COMPUTED_VALUE"""),"the-tokenized-bitcoin")</f>
        <v>the-tokenized-bitcoin</v>
      </c>
      <c r="B12854" s="2" t="str">
        <f ca="1">IFERROR(__xludf.DUMMYFUNCTION("""COMPUTED_VALUE"""),"imbtc")</f>
        <v>imbtc</v>
      </c>
      <c r="C12854" s="2" t="str">
        <f ca="1">IFERROR(__xludf.DUMMYFUNCTION("""COMPUTED_VALUE"""),"The Tokenized Bitcoin")</f>
        <v>The Tokenized Bitcoin</v>
      </c>
    </row>
    <row r="12855" spans="1:3" x14ac:dyDescent="0.25">
      <c r="A12855" s="2" t="str">
        <f ca="1">IFERROR(__xludf.DUMMYFUNCTION("""COMPUTED_VALUE"""),"thetopspotonline")</f>
        <v>thetopspotonline</v>
      </c>
      <c r="B12855" s="2" t="str">
        <f ca="1">IFERROR(__xludf.DUMMYFUNCTION("""COMPUTED_VALUE"""),"spott")</f>
        <v>spott</v>
      </c>
      <c r="C12855" s="2" t="str">
        <f ca="1">IFERROR(__xludf.DUMMYFUNCTION("""COMPUTED_VALUE"""),"TheTopSpotOnline")</f>
        <v>TheTopSpotOnline</v>
      </c>
    </row>
    <row r="12856" spans="1:3" x14ac:dyDescent="0.25">
      <c r="A12856" s="2" t="str">
        <f ca="1">IFERROR(__xludf.DUMMYFUNCTION("""COMPUTED_VALUE"""),"the-unfettered-souls")</f>
        <v>the-unfettered-souls</v>
      </c>
      <c r="B12856" s="2" t="str">
        <f ca="1">IFERROR(__xludf.DUMMYFUNCTION("""COMPUTED_VALUE"""),"souls")</f>
        <v>souls</v>
      </c>
      <c r="C12856" s="2" t="str">
        <f ca="1">IFERROR(__xludf.DUMMYFUNCTION("""COMPUTED_VALUE"""),"Unfettered Ecosystem")</f>
        <v>Unfettered Ecosystem</v>
      </c>
    </row>
    <row r="12857" spans="1:3" x14ac:dyDescent="0.25">
      <c r="A12857" s="2" t="str">
        <f ca="1">IFERROR(__xludf.DUMMYFUNCTION("""COMPUTED_VALUE"""),"the-vault-staked-sol")</f>
        <v>the-vault-staked-sol</v>
      </c>
      <c r="B12857" s="2" t="str">
        <f ca="1">IFERROR(__xludf.DUMMYFUNCTION("""COMPUTED_VALUE"""),"vsol")</f>
        <v>vsol</v>
      </c>
      <c r="C12857" s="2" t="str">
        <f ca="1">IFERROR(__xludf.DUMMYFUNCTION("""COMPUTED_VALUE"""),"The Vault Staked SOL")</f>
        <v>The Vault Staked SOL</v>
      </c>
    </row>
    <row r="12858" spans="1:3" x14ac:dyDescent="0.25">
      <c r="A12858" s="2" t="str">
        <f ca="1">IFERROR(__xludf.DUMMYFUNCTION("""COMPUTED_VALUE"""),"the-virtua-kolect")</f>
        <v>the-virtua-kolect</v>
      </c>
      <c r="B12858" s="2" t="str">
        <f ca="1">IFERROR(__xludf.DUMMYFUNCTION("""COMPUTED_VALUE"""),"tvk")</f>
        <v>tvk</v>
      </c>
      <c r="C12858" s="2" t="str">
        <f ca="1">IFERROR(__xludf.DUMMYFUNCTION("""COMPUTED_VALUE"""),"Virtua")</f>
        <v>Virtua</v>
      </c>
    </row>
    <row r="12859" spans="1:3" x14ac:dyDescent="0.25">
      <c r="A12859" s="2" t="str">
        <f ca="1">IFERROR(__xludf.DUMMYFUNCTION("""COMPUTED_VALUE"""),"the-void")</f>
        <v>the-void</v>
      </c>
      <c r="B12859" s="2" t="str">
        <f ca="1">IFERROR(__xludf.DUMMYFUNCTION("""COMPUTED_VALUE"""),"void")</f>
        <v>void</v>
      </c>
      <c r="C12859" s="2" t="str">
        <f ca="1">IFERROR(__xludf.DUMMYFUNCTION("""COMPUTED_VALUE"""),"The Void")</f>
        <v>The Void</v>
      </c>
    </row>
    <row r="12860" spans="1:3" x14ac:dyDescent="0.25">
      <c r="A12860" s="2" t="str">
        <f ca="1">IFERROR(__xludf.DUMMYFUNCTION("""COMPUTED_VALUE"""),"the-winkyverse")</f>
        <v>the-winkyverse</v>
      </c>
      <c r="B12860" s="2" t="str">
        <f ca="1">IFERROR(__xludf.DUMMYFUNCTION("""COMPUTED_VALUE"""),"wnk")</f>
        <v>wnk</v>
      </c>
      <c r="C12860" s="2" t="str">
        <f ca="1">IFERROR(__xludf.DUMMYFUNCTION("""COMPUTED_VALUE"""),"Winkies")</f>
        <v>Winkies</v>
      </c>
    </row>
    <row r="12861" spans="1:3" x14ac:dyDescent="0.25">
      <c r="A12861" s="2" t="str">
        <f ca="1">IFERROR(__xludf.DUMMYFUNCTION("""COMPUTED_VALUE"""),"the-winners-circle")</f>
        <v>the-winners-circle</v>
      </c>
      <c r="B12861" s="2" t="str">
        <f ca="1">IFERROR(__xludf.DUMMYFUNCTION("""COMPUTED_VALUE"""),"hrse")</f>
        <v>hrse</v>
      </c>
      <c r="C12861" s="2" t="str">
        <f ca="1">IFERROR(__xludf.DUMMYFUNCTION("""COMPUTED_VALUE"""),"The Winners Circle")</f>
        <v>The Winners Circle</v>
      </c>
    </row>
    <row r="12862" spans="1:3" x14ac:dyDescent="0.25">
      <c r="A12862" s="2" t="str">
        <f ca="1">IFERROR(__xludf.DUMMYFUNCTION("""COMPUTED_VALUE"""),"the-wonders")</f>
        <v>the-wonders</v>
      </c>
      <c r="B12862" s="2" t="str">
        <f ca="1">IFERROR(__xludf.DUMMYFUNCTION("""COMPUTED_VALUE"""),"boom")</f>
        <v>boom</v>
      </c>
      <c r="C12862" s="2" t="str">
        <f ca="1">IFERROR(__xludf.DUMMYFUNCTION("""COMPUTED_VALUE"""),"BOOM")</f>
        <v>BOOM</v>
      </c>
    </row>
    <row r="12863" spans="1:3" x14ac:dyDescent="0.25">
      <c r="A12863" s="2" t="str">
        <f ca="1">IFERROR(__xludf.DUMMYFUNCTION("""COMPUTED_VALUE"""),"the-word")</f>
        <v>the-word</v>
      </c>
      <c r="B12863" s="2" t="str">
        <f ca="1">IFERROR(__xludf.DUMMYFUNCTION("""COMPUTED_VALUE"""),"twd")</f>
        <v>twd</v>
      </c>
      <c r="C12863" s="2" t="str">
        <f ca="1">IFERROR(__xludf.DUMMYFUNCTION("""COMPUTED_VALUE"""),"THE WORD")</f>
        <v>THE WORD</v>
      </c>
    </row>
    <row r="12864" spans="1:3" x14ac:dyDescent="0.25">
      <c r="A12864" s="2" t="str">
        <f ca="1">IFERROR(__xludf.DUMMYFUNCTION("""COMPUTED_VALUE"""),"the-worked-dev")</f>
        <v>the-worked-dev</v>
      </c>
      <c r="B12864" s="2" t="str">
        <f ca="1">IFERROR(__xludf.DUMMYFUNCTION("""COMPUTED_VALUE"""),"work")</f>
        <v>work</v>
      </c>
      <c r="C12864" s="2" t="str">
        <f ca="1">IFERROR(__xludf.DUMMYFUNCTION("""COMPUTED_VALUE"""),"Work.Courses")</f>
        <v>Work.Courses</v>
      </c>
    </row>
    <row r="12865" spans="1:3" x14ac:dyDescent="0.25">
      <c r="A12865" s="2" t="str">
        <f ca="1">IFERROR(__xludf.DUMMYFUNCTION("""COMPUTED_VALUE"""),"the-world-state")</f>
        <v>the-world-state</v>
      </c>
      <c r="B12865" s="2" t="str">
        <f ca="1">IFERROR(__xludf.DUMMYFUNCTION("""COMPUTED_VALUE"""),"w$c")</f>
        <v>w$c</v>
      </c>
      <c r="C12865" s="2" t="str">
        <f ca="1">IFERROR(__xludf.DUMMYFUNCTION("""COMPUTED_VALUE"""),"World$tateCoin")</f>
        <v>World$tateCoin</v>
      </c>
    </row>
    <row r="12866" spans="1:3" x14ac:dyDescent="0.25">
      <c r="A12866" s="2" t="str">
        <f ca="1">IFERROR(__xludf.DUMMYFUNCTION("""COMPUTED_VALUE"""),"thief")</f>
        <v>thief</v>
      </c>
      <c r="B12866" s="2" t="str">
        <f ca="1">IFERROR(__xludf.DUMMYFUNCTION("""COMPUTED_VALUE"""),"nami")</f>
        <v>nami</v>
      </c>
      <c r="C12866" s="2" t="str">
        <f ca="1">IFERROR(__xludf.DUMMYFUNCTION("""COMPUTED_VALUE"""),"Thief Cat")</f>
        <v>Thief Cat</v>
      </c>
    </row>
    <row r="12867" spans="1:3" x14ac:dyDescent="0.25">
      <c r="A12867" s="2" t="str">
        <f ca="1">IFERROR(__xludf.DUMMYFUNCTION("""COMPUTED_VALUE"""),"thing")</f>
        <v>thing</v>
      </c>
      <c r="B12867" s="2" t="str">
        <f ca="1">IFERROR(__xludf.DUMMYFUNCTION("""COMPUTED_VALUE"""),"thing")</f>
        <v>thing</v>
      </c>
      <c r="C12867" s="2" t="str">
        <f ca="1">IFERROR(__xludf.DUMMYFUNCTION("""COMPUTED_VALUE"""),"Thing")</f>
        <v>Thing</v>
      </c>
    </row>
    <row r="12868" spans="1:3" x14ac:dyDescent="0.25">
      <c r="A12868" s="2" t="str">
        <f ca="1">IFERROR(__xludf.DUMMYFUNCTION("""COMPUTED_VALUE"""),"this-is-fine")</f>
        <v>this-is-fine</v>
      </c>
      <c r="B12868" s="2" t="str">
        <f ca="1">IFERROR(__xludf.DUMMYFUNCTION("""COMPUTED_VALUE"""),"fine")</f>
        <v>fine</v>
      </c>
      <c r="C12868" s="2" t="str">
        <f ca="1">IFERROR(__xludf.DUMMYFUNCTION("""COMPUTED_VALUE"""),"This is Fine")</f>
        <v>This is Fine</v>
      </c>
    </row>
    <row r="12869" spans="1:3" x14ac:dyDescent="0.25">
      <c r="A12869" s="2" t="str">
        <f ca="1">IFERROR(__xludf.DUMMYFUNCTION("""COMPUTED_VALUE"""),"this-is-my-iguana")</f>
        <v>this-is-my-iguana</v>
      </c>
      <c r="B12869" s="2" t="str">
        <f ca="1">IFERROR(__xludf.DUMMYFUNCTION("""COMPUTED_VALUE"""),"timi")</f>
        <v>timi</v>
      </c>
      <c r="C12869" s="2" t="str">
        <f ca="1">IFERROR(__xludf.DUMMYFUNCTION("""COMPUTED_VALUE"""),"This Is My Iguana")</f>
        <v>This Is My Iguana</v>
      </c>
    </row>
    <row r="12870" spans="1:3" x14ac:dyDescent="0.25">
      <c r="A12870" s="2" t="str">
        <f ca="1">IFERROR(__xludf.DUMMYFUNCTION("""COMPUTED_VALUE"""),"this-is-the-one")</f>
        <v>this-is-the-one</v>
      </c>
      <c r="B12870" s="2" t="str">
        <f ca="1">IFERROR(__xludf.DUMMYFUNCTION("""COMPUTED_VALUE"""),"theone")</f>
        <v>theone</v>
      </c>
      <c r="C12870" s="2" t="str">
        <f ca="1">IFERROR(__xludf.DUMMYFUNCTION("""COMPUTED_VALUE"""),"This Is The One")</f>
        <v>This Is The One</v>
      </c>
    </row>
    <row r="12871" spans="1:3" x14ac:dyDescent="0.25">
      <c r="A12871" s="2" t="str">
        <f ca="1">IFERROR(__xludf.DUMMYFUNCTION("""COMPUTED_VALUE"""),"tholana")</f>
        <v>tholana</v>
      </c>
      <c r="B12871" s="2" t="str">
        <f ca="1">IFERROR(__xludf.DUMMYFUNCTION("""COMPUTED_VALUE"""),"thol")</f>
        <v>thol</v>
      </c>
      <c r="C12871" s="2" t="str">
        <f ca="1">IFERROR(__xludf.DUMMYFUNCTION("""COMPUTED_VALUE"""),"Tholana")</f>
        <v>Tholana</v>
      </c>
    </row>
    <row r="12872" spans="1:3" x14ac:dyDescent="0.25">
      <c r="A12872" s="2" t="str">
        <f ca="1">IFERROR(__xludf.DUMMYFUNCTION("""COMPUTED_VALUE"""),"thol-token")</f>
        <v>thol-token</v>
      </c>
      <c r="B12872" s="2" t="str">
        <f ca="1">IFERROR(__xludf.DUMMYFUNCTION("""COMPUTED_VALUE"""),"thol")</f>
        <v>thol</v>
      </c>
      <c r="C12872" s="2" t="str">
        <f ca="1">IFERROR(__xludf.DUMMYFUNCTION("""COMPUTED_VALUE"""),"AngelBlock")</f>
        <v>AngelBlock</v>
      </c>
    </row>
    <row r="12873" spans="1:3" x14ac:dyDescent="0.25">
      <c r="A12873" s="2" t="str">
        <f ca="1">IFERROR(__xludf.DUMMYFUNCTION("""COMPUTED_VALUE"""),"thor")</f>
        <v>thor</v>
      </c>
      <c r="B12873" s="2" t="str">
        <f ca="1">IFERROR(__xludf.DUMMYFUNCTION("""COMPUTED_VALUE"""),"thor")</f>
        <v>thor</v>
      </c>
      <c r="C12873" s="2" t="str">
        <f ca="1">IFERROR(__xludf.DUMMYFUNCTION("""COMPUTED_VALUE"""),"ThorFi")</f>
        <v>ThorFi</v>
      </c>
    </row>
    <row r="12874" spans="1:3" x14ac:dyDescent="0.25">
      <c r="A12874" s="2" t="str">
        <f ca="1">IFERROR(__xludf.DUMMYFUNCTION("""COMPUTED_VALUE"""),"thorchain")</f>
        <v>thorchain</v>
      </c>
      <c r="B12874" s="2" t="str">
        <f ca="1">IFERROR(__xludf.DUMMYFUNCTION("""COMPUTED_VALUE"""),"rune")</f>
        <v>rune</v>
      </c>
      <c r="C12874" s="2" t="str">
        <f ca="1">IFERROR(__xludf.DUMMYFUNCTION("""COMPUTED_VALUE"""),"THORChain")</f>
        <v>THORChain</v>
      </c>
    </row>
    <row r="12875" spans="1:3" x14ac:dyDescent="0.25">
      <c r="A12875" s="2" t="str">
        <f ca="1">IFERROR(__xludf.DUMMYFUNCTION("""COMPUTED_VALUE"""),"thorecoin")</f>
        <v>thorecoin</v>
      </c>
      <c r="B12875" s="2" t="str">
        <f ca="1">IFERROR(__xludf.DUMMYFUNCTION("""COMPUTED_VALUE"""),"thr")</f>
        <v>thr</v>
      </c>
      <c r="C12875" s="2" t="str">
        <f ca="1">IFERROR(__xludf.DUMMYFUNCTION("""COMPUTED_VALUE"""),"Thorecoin")</f>
        <v>Thorecoin</v>
      </c>
    </row>
    <row r="12876" spans="1:3" x14ac:dyDescent="0.25">
      <c r="A12876" s="2" t="str">
        <f ca="1">IFERROR(__xludf.DUMMYFUNCTION("""COMPUTED_VALUE"""),"thoreum-v2")</f>
        <v>thoreum-v2</v>
      </c>
      <c r="B12876" s="2" t="str">
        <f ca="1">IFERROR(__xludf.DUMMYFUNCTION("""COMPUTED_VALUE"""),"thoreum")</f>
        <v>thoreum</v>
      </c>
      <c r="C12876" s="2" t="str">
        <f ca="1">IFERROR(__xludf.DUMMYFUNCTION("""COMPUTED_VALUE"""),"Thoreum V3")</f>
        <v>Thoreum V3</v>
      </c>
    </row>
    <row r="12877" spans="1:3" x14ac:dyDescent="0.25">
      <c r="A12877" s="2" t="str">
        <f ca="1">IFERROR(__xludf.DUMMYFUNCTION("""COMPUTED_VALUE"""),"thorstarter")</f>
        <v>thorstarter</v>
      </c>
      <c r="B12877" s="2" t="str">
        <f ca="1">IFERROR(__xludf.DUMMYFUNCTION("""COMPUTED_VALUE"""),"xrune")</f>
        <v>xrune</v>
      </c>
      <c r="C12877" s="2" t="str">
        <f ca="1">IFERROR(__xludf.DUMMYFUNCTION("""COMPUTED_VALUE"""),"Thorstarter")</f>
        <v>Thorstarter</v>
      </c>
    </row>
    <row r="12878" spans="1:3" x14ac:dyDescent="0.25">
      <c r="A12878" s="2" t="str">
        <f ca="1">IFERROR(__xludf.DUMMYFUNCTION("""COMPUTED_VALUE"""),"thorswap")</f>
        <v>thorswap</v>
      </c>
      <c r="B12878" s="2" t="str">
        <f ca="1">IFERROR(__xludf.DUMMYFUNCTION("""COMPUTED_VALUE"""),"thor")</f>
        <v>thor</v>
      </c>
      <c r="C12878" s="2" t="str">
        <f ca="1">IFERROR(__xludf.DUMMYFUNCTION("""COMPUTED_VALUE"""),"THORSwap")</f>
        <v>THORSwap</v>
      </c>
    </row>
    <row r="12879" spans="1:3" x14ac:dyDescent="0.25">
      <c r="A12879" s="2" t="str">
        <f ca="1">IFERROR(__xludf.DUMMYFUNCTION("""COMPUTED_VALUE"""),"thorus")</f>
        <v>thorus</v>
      </c>
      <c r="B12879" s="2" t="str">
        <f ca="1">IFERROR(__xludf.DUMMYFUNCTION("""COMPUTED_VALUE"""),"tho")</f>
        <v>tho</v>
      </c>
      <c r="C12879" s="2" t="str">
        <f ca="1">IFERROR(__xludf.DUMMYFUNCTION("""COMPUTED_VALUE"""),"Thorus")</f>
        <v>Thorus</v>
      </c>
    </row>
    <row r="12880" spans="1:3" x14ac:dyDescent="0.25">
      <c r="A12880" s="2" t="str">
        <f ca="1">IFERROR(__xludf.DUMMYFUNCTION("""COMPUTED_VALUE"""),"thorwallet")</f>
        <v>thorwallet</v>
      </c>
      <c r="B12880" s="2" t="str">
        <f ca="1">IFERROR(__xludf.DUMMYFUNCTION("""COMPUTED_VALUE"""),"tgt")</f>
        <v>tgt</v>
      </c>
      <c r="C12880" s="2" t="str">
        <f ca="1">IFERROR(__xludf.DUMMYFUNCTION("""COMPUTED_VALUE"""),"THORWallet DEX")</f>
        <v>THORWallet DEX</v>
      </c>
    </row>
    <row r="12881" spans="1:3" x14ac:dyDescent="0.25">
      <c r="A12881" s="2" t="str">
        <f ca="1">IFERROR(__xludf.DUMMYFUNCTION("""COMPUTED_VALUE"""),"thought")</f>
        <v>thought</v>
      </c>
      <c r="B12881" s="2" t="str">
        <f ca="1">IFERROR(__xludf.DUMMYFUNCTION("""COMPUTED_VALUE"""),"tht")</f>
        <v>tht</v>
      </c>
      <c r="C12881" s="2" t="str">
        <f ca="1">IFERROR(__xludf.DUMMYFUNCTION("""COMPUTED_VALUE"""),"Thought")</f>
        <v>Thought</v>
      </c>
    </row>
    <row r="12882" spans="1:3" x14ac:dyDescent="0.25">
      <c r="A12882" s="2" t="str">
        <f ca="1">IFERROR(__xludf.DUMMYFUNCTION("""COMPUTED_VALUE"""),"three")</f>
        <v>three</v>
      </c>
      <c r="B12882" s="2" t="str">
        <f ca="1">IFERROR(__xludf.DUMMYFUNCTION("""COMPUTED_VALUE"""),"$three")</f>
        <v>$three</v>
      </c>
      <c r="C12882" s="2" t="str">
        <f ca="1">IFERROR(__xludf.DUMMYFUNCTION("""COMPUTED_VALUE"""),"THREE")</f>
        <v>THREE</v>
      </c>
    </row>
    <row r="12883" spans="1:3" x14ac:dyDescent="0.25">
      <c r="A12883" s="2" t="str">
        <f ca="1">IFERROR(__xludf.DUMMYFUNCTION("""COMPUTED_VALUE"""),"three-arrowz-capitel")</f>
        <v>three-arrowz-capitel</v>
      </c>
      <c r="B12883" s="2" t="str">
        <f ca="1">IFERROR(__xludf.DUMMYFUNCTION("""COMPUTED_VALUE"""),"3ac")</f>
        <v>3ac</v>
      </c>
      <c r="C12883" s="2" t="str">
        <f ca="1">IFERROR(__xludf.DUMMYFUNCTION("""COMPUTED_VALUE"""),"Three Arrowz Capitel")</f>
        <v>Three Arrowz Capitel</v>
      </c>
    </row>
    <row r="12884" spans="1:3" x14ac:dyDescent="0.25">
      <c r="A12884" s="2" t="str">
        <f ca="1">IFERROR(__xludf.DUMMYFUNCTION("""COMPUTED_VALUE"""),"threefold-token")</f>
        <v>threefold-token</v>
      </c>
      <c r="B12884" s="2" t="str">
        <f ca="1">IFERROR(__xludf.DUMMYFUNCTION("""COMPUTED_VALUE"""),"tft")</f>
        <v>tft</v>
      </c>
      <c r="C12884" s="2" t="str">
        <f ca="1">IFERROR(__xludf.DUMMYFUNCTION("""COMPUTED_VALUE"""),"ThreeFold")</f>
        <v>ThreeFold</v>
      </c>
    </row>
    <row r="12885" spans="1:3" x14ac:dyDescent="0.25">
      <c r="A12885" s="2" t="str">
        <f ca="1">IFERROR(__xludf.DUMMYFUNCTION("""COMPUTED_VALUE"""),"three-hundred-ai")</f>
        <v>three-hundred-ai</v>
      </c>
      <c r="B12885" s="2" t="str">
        <f ca="1">IFERROR(__xludf.DUMMYFUNCTION("""COMPUTED_VALUE"""),"thnd")</f>
        <v>thnd</v>
      </c>
      <c r="C12885" s="2" t="str">
        <f ca="1">IFERROR(__xludf.DUMMYFUNCTION("""COMPUTED_VALUE"""),"Three Hundred AI")</f>
        <v>Three Hundred AI</v>
      </c>
    </row>
    <row r="12886" spans="1:3" x14ac:dyDescent="0.25">
      <c r="A12886" s="2" t="str">
        <f ca="1">IFERROR(__xludf.DUMMYFUNCTION("""COMPUTED_VALUE"""),"threshold-network-token")</f>
        <v>threshold-network-token</v>
      </c>
      <c r="B12886" s="2" t="str">
        <f ca="1">IFERROR(__xludf.DUMMYFUNCTION("""COMPUTED_VALUE"""),"t")</f>
        <v>t</v>
      </c>
      <c r="C12886" s="2" t="str">
        <f ca="1">IFERROR(__xludf.DUMMYFUNCTION("""COMPUTED_VALUE"""),"Threshold Network")</f>
        <v>Threshold Network</v>
      </c>
    </row>
    <row r="12887" spans="1:3" x14ac:dyDescent="0.25">
      <c r="A12887" s="2" t="str">
        <f ca="1">IFERROR(__xludf.DUMMYFUNCTION("""COMPUTED_VALUE"""),"threshold-usd")</f>
        <v>threshold-usd</v>
      </c>
      <c r="B12887" s="2" t="str">
        <f ca="1">IFERROR(__xludf.DUMMYFUNCTION("""COMPUTED_VALUE"""),"thusd")</f>
        <v>thusd</v>
      </c>
      <c r="C12887" s="2" t="str">
        <f ca="1">IFERROR(__xludf.DUMMYFUNCTION("""COMPUTED_VALUE"""),"Threshold USD")</f>
        <v>Threshold USD</v>
      </c>
    </row>
    <row r="12888" spans="1:3" x14ac:dyDescent="0.25">
      <c r="A12888" s="2" t="str">
        <f ca="1">IFERROR(__xludf.DUMMYFUNCTION("""COMPUTED_VALUE"""),"throne")</f>
        <v>throne</v>
      </c>
      <c r="B12888" s="2" t="str">
        <f ca="1">IFERROR(__xludf.DUMMYFUNCTION("""COMPUTED_VALUE"""),"thn")</f>
        <v>thn</v>
      </c>
      <c r="C12888" s="2" t="str">
        <f ca="1">IFERROR(__xludf.DUMMYFUNCTION("""COMPUTED_VALUE"""),"Throne")</f>
        <v>Throne</v>
      </c>
    </row>
    <row r="12889" spans="1:3" x14ac:dyDescent="0.25">
      <c r="A12889" s="2" t="str">
        <f ca="1">IFERROR(__xludf.DUMMYFUNCTION("""COMPUTED_VALUE"""),"thrupenny")</f>
        <v>thrupenny</v>
      </c>
      <c r="B12889" s="2" t="str">
        <f ca="1">IFERROR(__xludf.DUMMYFUNCTION("""COMPUTED_VALUE"""),"tpy")</f>
        <v>tpy</v>
      </c>
      <c r="C12889" s="2" t="str">
        <f ca="1">IFERROR(__xludf.DUMMYFUNCTION("""COMPUTED_VALUE"""),"Thrupenny")</f>
        <v>Thrupenny</v>
      </c>
    </row>
    <row r="12890" spans="1:3" x14ac:dyDescent="0.25">
      <c r="A12890" s="2" t="str">
        <f ca="1">IFERROR(__xludf.DUMMYFUNCTION("""COMPUTED_VALUE"""),"thug-life")</f>
        <v>thug-life</v>
      </c>
      <c r="B12890" s="2" t="str">
        <f ca="1">IFERROR(__xludf.DUMMYFUNCTION("""COMPUTED_VALUE"""),"thug")</f>
        <v>thug</v>
      </c>
      <c r="C12890" s="2" t="str">
        <f ca="1">IFERROR(__xludf.DUMMYFUNCTION("""COMPUTED_VALUE"""),"Thug Life")</f>
        <v>Thug Life</v>
      </c>
    </row>
    <row r="12891" spans="1:3" x14ac:dyDescent="0.25">
      <c r="A12891" s="2" t="str">
        <f ca="1">IFERROR(__xludf.DUMMYFUNCTION("""COMPUTED_VALUE"""),"thumb")</f>
        <v>thumb</v>
      </c>
      <c r="B12891" s="2" t="str">
        <f ca="1">IFERROR(__xludf.DUMMYFUNCTION("""COMPUTED_VALUE"""),"thumb")</f>
        <v>thumb</v>
      </c>
      <c r="C12891" s="2" t="str">
        <f ca="1">IFERROR(__xludf.DUMMYFUNCTION("""COMPUTED_VALUE"""),"Thumb")</f>
        <v>Thumb</v>
      </c>
    </row>
    <row r="12892" spans="1:3" x14ac:dyDescent="0.25">
      <c r="A12892" s="2" t="str">
        <f ca="1">IFERROR(__xludf.DUMMYFUNCTION("""COMPUTED_VALUE"""),"thundercore-bridged-busd-thundercore")</f>
        <v>thundercore-bridged-busd-thundercore</v>
      </c>
      <c r="B12892" s="2" t="str">
        <f ca="1">IFERROR(__xludf.DUMMYFUNCTION("""COMPUTED_VALUE"""),"busd")</f>
        <v>busd</v>
      </c>
      <c r="C12892" s="2" t="str">
        <f ca="1">IFERROR(__xludf.DUMMYFUNCTION("""COMPUTED_VALUE"""),"Thundercore Bridged BUSD (Thundercore)")</f>
        <v>Thundercore Bridged BUSD (Thundercore)</v>
      </c>
    </row>
    <row r="12893" spans="1:3" x14ac:dyDescent="0.25">
      <c r="A12893" s="2" t="str">
        <f ca="1">IFERROR(__xludf.DUMMYFUNCTION("""COMPUTED_VALUE"""),"thundercore-bridged-tt-weth-thundercore")</f>
        <v>thundercore-bridged-tt-weth-thundercore</v>
      </c>
      <c r="B12893" s="2" t="str">
        <f ca="1">IFERROR(__xludf.DUMMYFUNCTION("""COMPUTED_VALUE"""),"tt-weth")</f>
        <v>tt-weth</v>
      </c>
      <c r="C12893" s="2" t="str">
        <f ca="1">IFERROR(__xludf.DUMMYFUNCTION("""COMPUTED_VALUE"""),"ThunderCore Bridged TT-WETH (ThunderCore)")</f>
        <v>ThunderCore Bridged TT-WETH (ThunderCore)</v>
      </c>
    </row>
    <row r="12894" spans="1:3" x14ac:dyDescent="0.25">
      <c r="A12894" s="2" t="str">
        <f ca="1">IFERROR(__xludf.DUMMYFUNCTION("""COMPUTED_VALUE"""),"thundercore-bridged-usdc-thundercore")</f>
        <v>thundercore-bridged-usdc-thundercore</v>
      </c>
      <c r="B12894" s="2" t="str">
        <f ca="1">IFERROR(__xludf.DUMMYFUNCTION("""COMPUTED_VALUE"""),"usdc")</f>
        <v>usdc</v>
      </c>
      <c r="C12894" s="2" t="str">
        <f ca="1">IFERROR(__xludf.DUMMYFUNCTION("""COMPUTED_VALUE"""),"Thundercore Bridged USDC (Thundercore)")</f>
        <v>Thundercore Bridged USDC (Thundercore)</v>
      </c>
    </row>
    <row r="12895" spans="1:3" x14ac:dyDescent="0.25">
      <c r="A12895" s="2" t="str">
        <f ca="1">IFERROR(__xludf.DUMMYFUNCTION("""COMPUTED_VALUE"""),"thundercore-bridged-usdt-thundercore")</f>
        <v>thundercore-bridged-usdt-thundercore</v>
      </c>
      <c r="B12895" s="2" t="str">
        <f ca="1">IFERROR(__xludf.DUMMYFUNCTION("""COMPUTED_VALUE"""),"usdt")</f>
        <v>usdt</v>
      </c>
      <c r="C12895" s="2" t="str">
        <f ca="1">IFERROR(__xludf.DUMMYFUNCTION("""COMPUTED_VALUE"""),"Thundercore Bridged USDT (Thundercore)")</f>
        <v>Thundercore Bridged USDT (Thundercore)</v>
      </c>
    </row>
    <row r="12896" spans="1:3" x14ac:dyDescent="0.25">
      <c r="A12896" s="2" t="str">
        <f ca="1">IFERROR(__xludf.DUMMYFUNCTION("""COMPUTED_VALUE"""),"thundercore-bridged-wbtc-thundercore")</f>
        <v>thundercore-bridged-wbtc-thundercore</v>
      </c>
      <c r="B12896" s="2" t="str">
        <f ca="1">IFERROR(__xludf.DUMMYFUNCTION("""COMPUTED_VALUE"""),"tt-wbtc")</f>
        <v>tt-wbtc</v>
      </c>
      <c r="C12896" s="2" t="str">
        <f ca="1">IFERROR(__xludf.DUMMYFUNCTION("""COMPUTED_VALUE"""),"ThunderCore Bridged TT-WBTC (ThunderCore)")</f>
        <v>ThunderCore Bridged TT-WBTC (ThunderCore)</v>
      </c>
    </row>
    <row r="12897" spans="1:3" x14ac:dyDescent="0.25">
      <c r="A12897" s="2" t="str">
        <f ca="1">IFERROR(__xludf.DUMMYFUNCTION("""COMPUTED_VALUE"""),"thunderhead-staked-flip")</f>
        <v>thunderhead-staked-flip</v>
      </c>
      <c r="B12897" s="2" t="str">
        <f ca="1">IFERROR(__xludf.DUMMYFUNCTION("""COMPUTED_VALUE"""),"stflip")</f>
        <v>stflip</v>
      </c>
      <c r="C12897" s="2" t="str">
        <f ca="1">IFERROR(__xludf.DUMMYFUNCTION("""COMPUTED_VALUE"""),"Thunderhead Staked FLIP")</f>
        <v>Thunderhead Staked FLIP</v>
      </c>
    </row>
    <row r="12898" spans="1:3" x14ac:dyDescent="0.25">
      <c r="A12898" s="2" t="str">
        <f ca="1">IFERROR(__xludf.DUMMYFUNCTION("""COMPUTED_VALUE"""),"thunder-token")</f>
        <v>thunder-token</v>
      </c>
      <c r="B12898" s="2" t="str">
        <f ca="1">IFERROR(__xludf.DUMMYFUNCTION("""COMPUTED_VALUE"""),"tt")</f>
        <v>tt</v>
      </c>
      <c r="C12898" s="2" t="str">
        <f ca="1">IFERROR(__xludf.DUMMYFUNCTION("""COMPUTED_VALUE"""),"ThunderCore")</f>
        <v>ThunderCore</v>
      </c>
    </row>
    <row r="12899" spans="1:3" x14ac:dyDescent="0.25">
      <c r="A12899" s="2" t="str">
        <f ca="1">IFERROR(__xludf.DUMMYFUNCTION("""COMPUTED_VALUE"""),"thx-network")</f>
        <v>thx-network</v>
      </c>
      <c r="B12899" s="2" t="str">
        <f ca="1">IFERROR(__xludf.DUMMYFUNCTION("""COMPUTED_VALUE"""),"thx")</f>
        <v>thx</v>
      </c>
      <c r="C12899" s="2" t="str">
        <f ca="1">IFERROR(__xludf.DUMMYFUNCTION("""COMPUTED_VALUE"""),"THX Network")</f>
        <v>THX Network</v>
      </c>
    </row>
    <row r="12900" spans="1:3" x14ac:dyDescent="0.25">
      <c r="A12900" s="2" t="str">
        <f ca="1">IFERROR(__xludf.DUMMYFUNCTION("""COMPUTED_VALUE"""),"tia")</f>
        <v>tia</v>
      </c>
      <c r="B12900" s="2" t="str">
        <f ca="1">IFERROR(__xludf.DUMMYFUNCTION("""COMPUTED_VALUE"""),"tia")</f>
        <v>tia</v>
      </c>
      <c r="C12900" s="2" t="str">
        <f ca="1">IFERROR(__xludf.DUMMYFUNCTION("""COMPUTED_VALUE"""),"TIA")</f>
        <v>TIA</v>
      </c>
    </row>
    <row r="12901" spans="1:3" x14ac:dyDescent="0.25">
      <c r="A12901" s="2" t="str">
        <f ca="1">IFERROR(__xludf.DUMMYFUNCTION("""COMPUTED_VALUE"""),"ticclecat")</f>
        <v>ticclecat</v>
      </c>
      <c r="B12901" s="2" t="str">
        <f ca="1">IFERROR(__xludf.DUMMYFUNCTION("""COMPUTED_VALUE"""),"ticcl")</f>
        <v>ticcl</v>
      </c>
      <c r="C12901" s="2" t="str">
        <f ca="1">IFERROR(__xludf.DUMMYFUNCTION("""COMPUTED_VALUE"""),"TiccleCat")</f>
        <v>TiccleCat</v>
      </c>
    </row>
    <row r="12902" spans="1:3" x14ac:dyDescent="0.25">
      <c r="A12902" s="2" t="str">
        <f ca="1">IFERROR(__xludf.DUMMYFUNCTION("""COMPUTED_VALUE"""),"tickerstm")</f>
        <v>tickerstm</v>
      </c>
      <c r="B12902" s="2" t="str">
        <f ca="1">IFERROR(__xludf.DUMMYFUNCTION("""COMPUTED_VALUE"""),"tickstm")</f>
        <v>tickstm</v>
      </c>
      <c r="C12902" s="2" t="str">
        <f ca="1">IFERROR(__xludf.DUMMYFUNCTION("""COMPUTED_VALUE"""),"tickerSTM")</f>
        <v>tickerSTM</v>
      </c>
    </row>
    <row r="12903" spans="1:3" x14ac:dyDescent="0.25">
      <c r="A12903" s="2" t="str">
        <f ca="1">IFERROR(__xludf.DUMMYFUNCTION("""COMPUTED_VALUE"""),"tickle")</f>
        <v>tickle</v>
      </c>
      <c r="B12903" s="2" t="str">
        <f ca="1">IFERROR(__xludf.DUMMYFUNCTION("""COMPUTED_VALUE"""),"tickle")</f>
        <v>tickle</v>
      </c>
      <c r="C12903" s="2" t="str">
        <f ca="1">IFERROR(__xludf.DUMMYFUNCTION("""COMPUTED_VALUE"""),"Tickle")</f>
        <v>Tickle</v>
      </c>
    </row>
    <row r="12904" spans="1:3" x14ac:dyDescent="0.25">
      <c r="A12904" s="2" t="str">
        <f ca="1">IFERROR(__xludf.DUMMYFUNCTION("""COMPUTED_VALUE"""),"tico")</f>
        <v>tico</v>
      </c>
      <c r="B12904" s="2" t="str">
        <f ca="1">IFERROR(__xludf.DUMMYFUNCTION("""COMPUTED_VALUE"""),"tico")</f>
        <v>tico</v>
      </c>
      <c r="C12904" s="2" t="str">
        <f ca="1">IFERROR(__xludf.DUMMYFUNCTION("""COMPUTED_VALUE"""),"Tico")</f>
        <v>Tico</v>
      </c>
    </row>
    <row r="12905" spans="1:3" x14ac:dyDescent="0.25">
      <c r="A12905" s="2" t="str">
        <f ca="1">IFERROR(__xludf.DUMMYFUNCTION("""COMPUTED_VALUE"""),"tidal-finance")</f>
        <v>tidal-finance</v>
      </c>
      <c r="B12905" s="2" t="str">
        <f ca="1">IFERROR(__xludf.DUMMYFUNCTION("""COMPUTED_VALUE"""),"tidal")</f>
        <v>tidal</v>
      </c>
      <c r="C12905" s="2" t="str">
        <f ca="1">IFERROR(__xludf.DUMMYFUNCTION("""COMPUTED_VALUE"""),"Tidal Finance")</f>
        <v>Tidal Finance</v>
      </c>
    </row>
    <row r="12906" spans="1:3" x14ac:dyDescent="0.25">
      <c r="A12906" s="2" t="str">
        <f ca="1">IFERROR(__xludf.DUMMYFUNCTION("""COMPUTED_VALUE"""),"tidalflats")</f>
        <v>tidalflats</v>
      </c>
      <c r="B12906" s="2" t="str">
        <f ca="1">IFERROR(__xludf.DUMMYFUNCTION("""COMPUTED_VALUE"""),"tide")</f>
        <v>tide</v>
      </c>
      <c r="C12906" s="2" t="str">
        <f ca="1">IFERROR(__xludf.DUMMYFUNCTION("""COMPUTED_VALUE"""),"Tidalflats")</f>
        <v>Tidalflats</v>
      </c>
    </row>
    <row r="12907" spans="1:3" x14ac:dyDescent="0.25">
      <c r="A12907" s="2" t="str">
        <f ca="1">IFERROR(__xludf.DUMMYFUNCTION("""COMPUTED_VALUE"""),"tidecoin")</f>
        <v>tidecoin</v>
      </c>
      <c r="B12907" s="2" t="str">
        <f ca="1">IFERROR(__xludf.DUMMYFUNCTION("""COMPUTED_VALUE"""),"tdc")</f>
        <v>tdc</v>
      </c>
      <c r="C12907" s="2" t="str">
        <f ca="1">IFERROR(__xludf.DUMMYFUNCTION("""COMPUTED_VALUE"""),"Tidecoin")</f>
        <v>Tidecoin</v>
      </c>
    </row>
    <row r="12908" spans="1:3" x14ac:dyDescent="0.25">
      <c r="A12908" s="2" t="str">
        <f ca="1">IFERROR(__xludf.DUMMYFUNCTION("""COMPUTED_VALUE"""),"tidefi")</f>
        <v>tidefi</v>
      </c>
      <c r="B12908" s="2" t="str">
        <f ca="1">IFERROR(__xludf.DUMMYFUNCTION("""COMPUTED_VALUE"""),"tdfy")</f>
        <v>tdfy</v>
      </c>
      <c r="C12908" s="2" t="str">
        <f ca="1">IFERROR(__xludf.DUMMYFUNCTION("""COMPUTED_VALUE"""),"Tidefi")</f>
        <v>Tidefi</v>
      </c>
    </row>
    <row r="12909" spans="1:3" x14ac:dyDescent="0.25">
      <c r="A12909" s="2" t="str">
        <f ca="1">IFERROR(__xludf.DUMMYFUNCTION("""COMPUTED_VALUE"""),"tidex-token")</f>
        <v>tidex-token</v>
      </c>
      <c r="B12909" s="2" t="str">
        <f ca="1">IFERROR(__xludf.DUMMYFUNCTION("""COMPUTED_VALUE"""),"tdx")</f>
        <v>tdx</v>
      </c>
      <c r="C12909" s="2" t="str">
        <f ca="1">IFERROR(__xludf.DUMMYFUNCTION("""COMPUTED_VALUE"""),"Tidex")</f>
        <v>Tidex</v>
      </c>
    </row>
    <row r="12910" spans="1:3" x14ac:dyDescent="0.25">
      <c r="A12910" s="2" t="str">
        <f ca="1">IFERROR(__xludf.DUMMYFUNCTION("""COMPUTED_VALUE"""),"tierion")</f>
        <v>tierion</v>
      </c>
      <c r="B12910" s="2" t="str">
        <f ca="1">IFERROR(__xludf.DUMMYFUNCTION("""COMPUTED_VALUE"""),"tnt")</f>
        <v>tnt</v>
      </c>
      <c r="C12910" s="2" t="str">
        <f ca="1">IFERROR(__xludf.DUMMYFUNCTION("""COMPUTED_VALUE"""),"Tierion")</f>
        <v>Tierion</v>
      </c>
    </row>
    <row r="12911" spans="1:3" x14ac:dyDescent="0.25">
      <c r="A12911" s="2" t="str">
        <f ca="1">IFERROR(__xludf.DUMMYFUNCTION("""COMPUTED_VALUE"""),"tifi-token")</f>
        <v>tifi-token</v>
      </c>
      <c r="B12911" s="2" t="str">
        <f ca="1">IFERROR(__xludf.DUMMYFUNCTION("""COMPUTED_VALUE"""),"tifi")</f>
        <v>tifi</v>
      </c>
      <c r="C12911" s="2" t="str">
        <f ca="1">IFERROR(__xludf.DUMMYFUNCTION("""COMPUTED_VALUE"""),"TiFi")</f>
        <v>TiFi</v>
      </c>
    </row>
    <row r="12912" spans="1:3" x14ac:dyDescent="0.25">
      <c r="A12912" s="2" t="str">
        <f ca="1">IFERROR(__xludf.DUMMYFUNCTION("""COMPUTED_VALUE"""),"tiger-king")</f>
        <v>tiger-king</v>
      </c>
      <c r="B12912" s="2" t="str">
        <f ca="1">IFERROR(__xludf.DUMMYFUNCTION("""COMPUTED_VALUE"""),"tking")</f>
        <v>tking</v>
      </c>
      <c r="C12912" s="2" t="str">
        <f ca="1">IFERROR(__xludf.DUMMYFUNCTION("""COMPUTED_VALUE"""),"Tiger King Coin")</f>
        <v>Tiger King Coin</v>
      </c>
    </row>
    <row r="12913" spans="1:3" x14ac:dyDescent="0.25">
      <c r="A12913" s="2" t="str">
        <f ca="1">IFERROR(__xludf.DUMMYFUNCTION("""COMPUTED_VALUE"""),"tiger-meme-token")</f>
        <v>tiger-meme-token</v>
      </c>
      <c r="B12913" s="2" t="str">
        <f ca="1">IFERROR(__xludf.DUMMYFUNCTION("""COMPUTED_VALUE"""),"tgmt")</f>
        <v>tgmt</v>
      </c>
      <c r="C12913" s="2" t="str">
        <f ca="1">IFERROR(__xludf.DUMMYFUNCTION("""COMPUTED_VALUE"""),"Tiger Meme Token")</f>
        <v>Tiger Meme Token</v>
      </c>
    </row>
    <row r="12914" spans="1:3" x14ac:dyDescent="0.25">
      <c r="A12914" s="2" t="str">
        <f ca="1">IFERROR(__xludf.DUMMYFUNCTION("""COMPUTED_VALUE"""),"tiger-scrub-money-2")</f>
        <v>tiger-scrub-money-2</v>
      </c>
      <c r="B12914" s="2" t="str">
        <f ca="1">IFERROR(__xludf.DUMMYFUNCTION("""COMPUTED_VALUE"""),"tiger")</f>
        <v>tiger</v>
      </c>
      <c r="C12914" s="2" t="str">
        <f ca="1">IFERROR(__xludf.DUMMYFUNCTION("""COMPUTED_VALUE"""),"Tiger Scrub Money")</f>
        <v>Tiger Scrub Money</v>
      </c>
    </row>
    <row r="12915" spans="1:3" x14ac:dyDescent="0.25">
      <c r="A12915" s="2" t="str">
        <f ca="1">IFERROR(__xludf.DUMMYFUNCTION("""COMPUTED_VALUE"""),"tigra")</f>
        <v>tigra</v>
      </c>
      <c r="B12915" s="2" t="str">
        <f ca="1">IFERROR(__xludf.DUMMYFUNCTION("""COMPUTED_VALUE"""),"tigra")</f>
        <v>tigra</v>
      </c>
      <c r="C12915" s="2" t="str">
        <f ca="1">IFERROR(__xludf.DUMMYFUNCTION("""COMPUTED_VALUE"""),"Tigra")</f>
        <v>Tigra</v>
      </c>
    </row>
    <row r="12916" spans="1:3" x14ac:dyDescent="0.25">
      <c r="A12916" s="2" t="str">
        <f ca="1">IFERROR(__xludf.DUMMYFUNCTION("""COMPUTED_VALUE"""),"tigres-fan-token")</f>
        <v>tigres-fan-token</v>
      </c>
      <c r="B12916" s="2" t="str">
        <f ca="1">IFERROR(__xludf.DUMMYFUNCTION("""COMPUTED_VALUE"""),"tigres")</f>
        <v>tigres</v>
      </c>
      <c r="C12916" s="2" t="str">
        <f ca="1">IFERROR(__xludf.DUMMYFUNCTION("""COMPUTED_VALUE"""),"Tigres Fan Token")</f>
        <v>Tigres Fan Token</v>
      </c>
    </row>
    <row r="12917" spans="1:3" x14ac:dyDescent="0.25">
      <c r="A12917" s="2" t="str">
        <f ca="1">IFERROR(__xludf.DUMMYFUNCTION("""COMPUTED_VALUE"""),"tigris")</f>
        <v>tigris</v>
      </c>
      <c r="B12917" s="2" t="str">
        <f ca="1">IFERROR(__xludf.DUMMYFUNCTION("""COMPUTED_VALUE"""),"tig")</f>
        <v>tig</v>
      </c>
      <c r="C12917" s="2" t="str">
        <f ca="1">IFERROR(__xludf.DUMMYFUNCTION("""COMPUTED_VALUE"""),"Tigris")</f>
        <v>Tigris</v>
      </c>
    </row>
    <row r="12918" spans="1:3" x14ac:dyDescent="0.25">
      <c r="A12918" s="2" t="str">
        <f ca="1">IFERROR(__xludf.DUMMYFUNCTION("""COMPUTED_VALUE"""),"tilly-the-killer-whale")</f>
        <v>tilly-the-killer-whale</v>
      </c>
      <c r="B12918" s="2" t="str">
        <f ca="1">IFERROR(__xludf.DUMMYFUNCTION("""COMPUTED_VALUE"""),"tilly")</f>
        <v>tilly</v>
      </c>
      <c r="C12918" s="2" t="str">
        <f ca="1">IFERROR(__xludf.DUMMYFUNCTION("""COMPUTED_VALUE"""),"Tilly The Killer Whale")</f>
        <v>Tilly The Killer Whale</v>
      </c>
    </row>
    <row r="12919" spans="1:3" x14ac:dyDescent="0.25">
      <c r="A12919" s="2" t="str">
        <f ca="1">IFERROR(__xludf.DUMMYFUNCTION("""COMPUTED_VALUE"""),"time")</f>
        <v>time</v>
      </c>
      <c r="B12919" s="2" t="str">
        <f ca="1">IFERROR(__xludf.DUMMYFUNCTION("""COMPUTED_VALUE"""),"time")</f>
        <v>time</v>
      </c>
      <c r="C12919" s="2" t="str">
        <f ca="1">IFERROR(__xludf.DUMMYFUNCTION("""COMPUTED_VALUE"""),"TIME")</f>
        <v>TIME</v>
      </c>
    </row>
    <row r="12920" spans="1:3" x14ac:dyDescent="0.25">
      <c r="A12920" s="2" t="str">
        <f ca="1">IFERROR(__xludf.DUMMYFUNCTION("""COMPUTED_VALUE"""),"time-alliance-guild-time")</f>
        <v>time-alliance-guild-time</v>
      </c>
      <c r="B12920" s="2" t="str">
        <f ca="1">IFERROR(__xludf.DUMMYFUNCTION("""COMPUTED_VALUE"""),"time")</f>
        <v>time</v>
      </c>
      <c r="C12920" s="2" t="str">
        <f ca="1">IFERROR(__xludf.DUMMYFUNCTION("""COMPUTED_VALUE"""),"Time Alliance Guild Time")</f>
        <v>Time Alliance Guild Time</v>
      </c>
    </row>
    <row r="12921" spans="1:3" x14ac:dyDescent="0.25">
      <c r="A12921" s="2" t="str">
        <f ca="1">IFERROR(__xludf.DUMMYFUNCTION("""COMPUTED_VALUE"""),"timechain-swap-token")</f>
        <v>timechain-swap-token</v>
      </c>
      <c r="B12921" s="2" t="str">
        <f ca="1">IFERROR(__xludf.DUMMYFUNCTION("""COMPUTED_VALUE"""),"tcs")</f>
        <v>tcs</v>
      </c>
      <c r="C12921" s="2" t="str">
        <f ca="1">IFERROR(__xludf.DUMMYFUNCTION("""COMPUTED_VALUE"""),"Timechain Swap")</f>
        <v>Timechain Swap</v>
      </c>
    </row>
    <row r="12922" spans="1:3" x14ac:dyDescent="0.25">
      <c r="A12922" s="2" t="str">
        <f ca="1">IFERROR(__xludf.DUMMYFUNCTION("""COMPUTED_VALUE"""),"timecoin-2")</f>
        <v>timecoin-2</v>
      </c>
      <c r="B12922" s="2" t="str">
        <f ca="1">IFERROR(__xludf.DUMMYFUNCTION("""COMPUTED_VALUE"""),"$time")</f>
        <v>$time</v>
      </c>
      <c r="C12922" s="2" t="str">
        <f ca="1">IFERROR(__xludf.DUMMYFUNCTION("""COMPUTED_VALUE"""),"TIMECOIN")</f>
        <v>TIMECOIN</v>
      </c>
    </row>
    <row r="12923" spans="1:3" x14ac:dyDescent="0.25">
      <c r="A12923" s="2" t="str">
        <f ca="1">IFERROR(__xludf.DUMMYFUNCTION("""COMPUTED_VALUE"""),"t-i-m-e-dividend")</f>
        <v>t-i-m-e-dividend</v>
      </c>
      <c r="B12923" s="2" t="str">
        <f ca="1">IFERROR(__xludf.DUMMYFUNCTION("""COMPUTED_VALUE"""),"time")</f>
        <v>time</v>
      </c>
      <c r="C12923" s="2" t="str">
        <f ca="1">IFERROR(__xludf.DUMMYFUNCTION("""COMPUTED_VALUE"""),"T.I.M.E. Dividend")</f>
        <v>T.I.M.E. Dividend</v>
      </c>
    </row>
    <row r="12924" spans="1:3" x14ac:dyDescent="0.25">
      <c r="A12924" s="2" t="str">
        <f ca="1">IFERROR(__xludf.DUMMYFUNCTION("""COMPUTED_VALUE"""),"timeleap-finance")</f>
        <v>timeleap-finance</v>
      </c>
      <c r="B12924" s="2" t="str">
        <f ca="1">IFERROR(__xludf.DUMMYFUNCTION("""COMPUTED_VALUE"""),"time")</f>
        <v>time</v>
      </c>
      <c r="C12924" s="2" t="str">
        <f ca="1">IFERROR(__xludf.DUMMYFUNCTION("""COMPUTED_VALUE"""),"Timeleap Finance")</f>
        <v>Timeleap Finance</v>
      </c>
    </row>
    <row r="12925" spans="1:3" x14ac:dyDescent="0.25">
      <c r="A12925" s="2" t="str">
        <f ca="1">IFERROR(__xludf.DUMMYFUNCTION("""COMPUTED_VALUE"""),"timeless")</f>
        <v>timeless</v>
      </c>
      <c r="B12925" s="2" t="str">
        <f ca="1">IFERROR(__xludf.DUMMYFUNCTION("""COMPUTED_VALUE"""),"lit")</f>
        <v>lit</v>
      </c>
      <c r="C12925" s="2" t="str">
        <f ca="1">IFERROR(__xludf.DUMMYFUNCTION("""COMPUTED_VALUE"""),"Bunni")</f>
        <v>Bunni</v>
      </c>
    </row>
    <row r="12926" spans="1:3" x14ac:dyDescent="0.25">
      <c r="A12926" s="2" t="str">
        <f ca="1">IFERROR(__xludf.DUMMYFUNCTION("""COMPUTED_VALUE"""),"timeless-davido")</f>
        <v>timeless-davido</v>
      </c>
      <c r="B12926" s="2" t="str">
        <f ca="1">IFERROR(__xludf.DUMMYFUNCTION("""COMPUTED_VALUE"""),"davido")</f>
        <v>davido</v>
      </c>
      <c r="C12926" s="2" t="str">
        <f ca="1">IFERROR(__xludf.DUMMYFUNCTION("""COMPUTED_VALUE"""),"Timeless Davido")</f>
        <v>Timeless Davido</v>
      </c>
    </row>
    <row r="12927" spans="1:3" x14ac:dyDescent="0.25">
      <c r="A12927" s="2" t="str">
        <f ca="1">IFERROR(__xludf.DUMMYFUNCTION("""COMPUTED_VALUE"""),"timepocket")</f>
        <v>timepocket</v>
      </c>
      <c r="B12927" s="2" t="str">
        <f ca="1">IFERROR(__xludf.DUMMYFUNCTION("""COMPUTED_VALUE"""),"timepocket")</f>
        <v>timepocket</v>
      </c>
      <c r="C12927" s="2" t="str">
        <f ca="1">IFERROR(__xludf.DUMMYFUNCTION("""COMPUTED_VALUE"""),"TimePocket")</f>
        <v>TimePocket</v>
      </c>
    </row>
    <row r="12928" spans="1:3" x14ac:dyDescent="0.25">
      <c r="A12928" s="2" t="str">
        <f ca="1">IFERROR(__xludf.DUMMYFUNCTION("""COMPUTED_VALUE"""),"times")</f>
        <v>times</v>
      </c>
      <c r="B12928" s="2" t="str">
        <f ca="1">IFERROR(__xludf.DUMMYFUNCTION("""COMPUTED_VALUE"""),"$times")</f>
        <v>$times</v>
      </c>
      <c r="C12928" s="2" t="str">
        <f ca="1">IFERROR(__xludf.DUMMYFUNCTION("""COMPUTED_VALUE"""),"$TIMES")</f>
        <v>$TIMES</v>
      </c>
    </row>
    <row r="12929" spans="1:3" x14ac:dyDescent="0.25">
      <c r="A12929" s="2" t="str">
        <f ca="1">IFERROR(__xludf.DUMMYFUNCTION("""COMPUTED_VALUE"""),"timespace")</f>
        <v>timespace</v>
      </c>
      <c r="B12929" s="2" t="str">
        <f ca="1">IFERROR(__xludf.DUMMYFUNCTION("""COMPUTED_VALUE"""),"πts")</f>
        <v>πts</v>
      </c>
      <c r="C12929" s="2" t="str">
        <f ca="1">IFERROR(__xludf.DUMMYFUNCTION("""COMPUTED_VALUE"""),"πTimeSpace")</f>
        <v>πTimeSpace</v>
      </c>
    </row>
    <row r="12930" spans="1:3" x14ac:dyDescent="0.25">
      <c r="A12930" s="2" t="str">
        <f ca="1">IFERROR(__xludf.DUMMYFUNCTION("""COMPUTED_VALUE"""),"timmi")</f>
        <v>timmi</v>
      </c>
      <c r="B12930" s="2" t="str">
        <f ca="1">IFERROR(__xludf.DUMMYFUNCTION("""COMPUTED_VALUE"""),"timmi")</f>
        <v>timmi</v>
      </c>
      <c r="C12930" s="2" t="str">
        <f ca="1">IFERROR(__xludf.DUMMYFUNCTION("""COMPUTED_VALUE"""),"TIMMI")</f>
        <v>TIMMI</v>
      </c>
    </row>
    <row r="12931" spans="1:3" x14ac:dyDescent="0.25">
      <c r="A12931" s="2" t="str">
        <f ca="1">IFERROR(__xludf.DUMMYFUNCTION("""COMPUTED_VALUE"""),"timothy-dexter")</f>
        <v>timothy-dexter</v>
      </c>
      <c r="B12931" s="2" t="str">
        <f ca="1">IFERROR(__xludf.DUMMYFUNCTION("""COMPUTED_VALUE"""),"lord")</f>
        <v>lord</v>
      </c>
      <c r="C12931" s="2" t="str">
        <f ca="1">IFERROR(__xludf.DUMMYFUNCTION("""COMPUTED_VALUE"""),"Timothy Dexter")</f>
        <v>Timothy Dexter</v>
      </c>
    </row>
    <row r="12932" spans="1:3" x14ac:dyDescent="0.25">
      <c r="A12932" s="2" t="str">
        <f ca="1">IFERROR(__xludf.DUMMYFUNCTION("""COMPUTED_VALUE"""),"tinfa")</f>
        <v>tinfa</v>
      </c>
      <c r="B12932" s="2" t="str">
        <f ca="1">IFERROR(__xludf.DUMMYFUNCTION("""COMPUTED_VALUE"""),"tinfa")</f>
        <v>tinfa</v>
      </c>
      <c r="C12932" s="2" t="str">
        <f ca="1">IFERROR(__xludf.DUMMYFUNCTION("""COMPUTED_VALUE"""),"TINFA")</f>
        <v>TINFA</v>
      </c>
    </row>
    <row r="12933" spans="1:3" x14ac:dyDescent="0.25">
      <c r="A12933" s="2" t="str">
        <f ca="1">IFERROR(__xludf.DUMMYFUNCTION("""COMPUTED_VALUE"""),"tinhatcat")</f>
        <v>tinhatcat</v>
      </c>
      <c r="B12933" s="2" t="str">
        <f ca="1">IFERROR(__xludf.DUMMYFUNCTION("""COMPUTED_VALUE"""),"thc")</f>
        <v>thc</v>
      </c>
      <c r="C12933" s="2" t="str">
        <f ca="1">IFERROR(__xludf.DUMMYFUNCTION("""COMPUTED_VALUE"""),"TinHatCat")</f>
        <v>TinHatCat</v>
      </c>
    </row>
    <row r="12934" spans="1:3" x14ac:dyDescent="0.25">
      <c r="A12934" s="2" t="str">
        <f ca="1">IFERROR(__xludf.DUMMYFUNCTION("""COMPUTED_VALUE"""),"tinkernet")</f>
        <v>tinkernet</v>
      </c>
      <c r="B12934" s="2" t="str">
        <f ca="1">IFERROR(__xludf.DUMMYFUNCTION("""COMPUTED_VALUE"""),"tnkr")</f>
        <v>tnkr</v>
      </c>
      <c r="C12934" s="2" t="str">
        <f ca="1">IFERROR(__xludf.DUMMYFUNCTION("""COMPUTED_VALUE"""),"Tinkernet")</f>
        <v>Tinkernet</v>
      </c>
    </row>
    <row r="12935" spans="1:3" x14ac:dyDescent="0.25">
      <c r="A12935" s="2" t="str">
        <f ca="1">IFERROR(__xludf.DUMMYFUNCTION("""COMPUTED_VALUE"""),"t-inu")</f>
        <v>t-inu</v>
      </c>
      <c r="B12935" s="2" t="str">
        <f ca="1">IFERROR(__xludf.DUMMYFUNCTION("""COMPUTED_VALUE"""),"tinu")</f>
        <v>tinu</v>
      </c>
      <c r="C12935" s="2" t="str">
        <f ca="1">IFERROR(__xludf.DUMMYFUNCTION("""COMPUTED_VALUE"""),"Trump Inu")</f>
        <v>Trump Inu</v>
      </c>
    </row>
    <row r="12936" spans="1:3" x14ac:dyDescent="0.25">
      <c r="A12936" s="2" t="str">
        <f ca="1">IFERROR(__xludf.DUMMYFUNCTION("""COMPUTED_VALUE"""),"tiny")</f>
        <v>tiny</v>
      </c>
      <c r="B12936" s="2" t="str">
        <f ca="1">IFERROR(__xludf.DUMMYFUNCTION("""COMPUTED_VALUE"""),"tiny")</f>
        <v>tiny</v>
      </c>
      <c r="C12936" s="2" t="str">
        <f ca="1">IFERROR(__xludf.DUMMYFUNCTION("""COMPUTED_VALUE"""),"TINY")</f>
        <v>TINY</v>
      </c>
    </row>
    <row r="12937" spans="1:3" x14ac:dyDescent="0.25">
      <c r="A12937" s="2" t="str">
        <f ca="1">IFERROR(__xludf.DUMMYFUNCTION("""COMPUTED_VALUE"""),"tiny-colony")</f>
        <v>tiny-colony</v>
      </c>
      <c r="B12937" s="2" t="str">
        <f ca="1">IFERROR(__xludf.DUMMYFUNCTION("""COMPUTED_VALUE"""),"tiny")</f>
        <v>tiny</v>
      </c>
      <c r="C12937" s="2" t="str">
        <f ca="1">IFERROR(__xludf.DUMMYFUNCTION("""COMPUTED_VALUE"""),"Tiny Colony")</f>
        <v>Tiny Colony</v>
      </c>
    </row>
    <row r="12938" spans="1:3" x14ac:dyDescent="0.25">
      <c r="A12938" s="2" t="str">
        <f ca="1">IFERROR(__xludf.DUMMYFUNCTION("""COMPUTED_VALUE"""),"tiny-era-shard")</f>
        <v>tiny-era-shard</v>
      </c>
      <c r="B12938" s="2" t="str">
        <f ca="1">IFERROR(__xludf.DUMMYFUNCTION("""COMPUTED_VALUE"""),"tes")</f>
        <v>tes</v>
      </c>
      <c r="C12938" s="2" t="str">
        <f ca="1">IFERROR(__xludf.DUMMYFUNCTION("""COMPUTED_VALUE"""),"Tiny Era Shard")</f>
        <v>Tiny Era Shard</v>
      </c>
    </row>
    <row r="12939" spans="1:3" x14ac:dyDescent="0.25">
      <c r="A12939" s="2" t="str">
        <f ca="1">IFERROR(__xludf.DUMMYFUNCTION("""COMPUTED_VALUE"""),"tipcoin")</f>
        <v>tipcoin</v>
      </c>
      <c r="B12939" s="2" t="str">
        <f ca="1">IFERROR(__xludf.DUMMYFUNCTION("""COMPUTED_VALUE"""),"tip")</f>
        <v>tip</v>
      </c>
      <c r="C12939" s="2" t="str">
        <f ca="1">IFERROR(__xludf.DUMMYFUNCTION("""COMPUTED_VALUE"""),"Tipcoin")</f>
        <v>Tipcoin</v>
      </c>
    </row>
    <row r="12940" spans="1:3" x14ac:dyDescent="0.25">
      <c r="A12940" s="2" t="str">
        <f ca="1">IFERROR(__xludf.DUMMYFUNCTION("""COMPUTED_VALUE"""),"tiperian")</f>
        <v>tiperian</v>
      </c>
      <c r="B12940" s="2" t="str">
        <f ca="1">IFERROR(__xludf.DUMMYFUNCTION("""COMPUTED_VALUE"""),"tip")</f>
        <v>tip</v>
      </c>
      <c r="C12940" s="2" t="str">
        <f ca="1">IFERROR(__xludf.DUMMYFUNCTION("""COMPUTED_VALUE"""),"Tiperian")</f>
        <v>Tiperian</v>
      </c>
    </row>
    <row r="12941" spans="1:3" x14ac:dyDescent="0.25">
      <c r="A12941" s="2" t="str">
        <f ca="1">IFERROR(__xludf.DUMMYFUNCTION("""COMPUTED_VALUE"""),"tipja")</f>
        <v>tipja</v>
      </c>
      <c r="B12941" s="2" t="str">
        <f ca="1">IFERROR(__xludf.DUMMYFUNCTION("""COMPUTED_VALUE"""),"tipja")</f>
        <v>tipja</v>
      </c>
      <c r="C12941" s="2" t="str">
        <f ca="1">IFERROR(__xludf.DUMMYFUNCTION("""COMPUTED_VALUE"""),"Tipja")</f>
        <v>Tipja</v>
      </c>
    </row>
    <row r="12942" spans="1:3" x14ac:dyDescent="0.25">
      <c r="A12942" s="2" t="str">
        <f ca="1">IFERROR(__xludf.DUMMYFUNCTION("""COMPUTED_VALUE"""),"tipsycoin")</f>
        <v>tipsycoin</v>
      </c>
      <c r="B12942" s="2" t="str">
        <f ca="1">IFERROR(__xludf.DUMMYFUNCTION("""COMPUTED_VALUE"""),"$tipsy")</f>
        <v>$tipsy</v>
      </c>
      <c r="C12942" s="2" t="str">
        <f ca="1">IFERROR(__xludf.DUMMYFUNCTION("""COMPUTED_VALUE"""),"TipsyCoin")</f>
        <v>TipsyCoin</v>
      </c>
    </row>
    <row r="12943" spans="1:3" x14ac:dyDescent="0.25">
      <c r="A12943" s="2" t="str">
        <f ca="1">IFERROR(__xludf.DUMMYFUNCTION("""COMPUTED_VALUE"""),"tired-of-it-all")</f>
        <v>tired-of-it-all</v>
      </c>
      <c r="B12943" s="2" t="str">
        <f ca="1">IFERROR(__xludf.DUMMYFUNCTION("""COMPUTED_VALUE"""),"tired")</f>
        <v>tired</v>
      </c>
      <c r="C12943" s="2" t="str">
        <f ca="1">IFERROR(__xludf.DUMMYFUNCTION("""COMPUTED_VALUE"""),"tired of it all")</f>
        <v>tired of it all</v>
      </c>
    </row>
    <row r="12944" spans="1:3" x14ac:dyDescent="0.25">
      <c r="A12944" s="2" t="str">
        <f ca="1">IFERROR(__xludf.DUMMYFUNCTION("""COMPUTED_VALUE"""),"titan-2")</f>
        <v>titan-2</v>
      </c>
      <c r="B12944" s="2" t="str">
        <f ca="1">IFERROR(__xludf.DUMMYFUNCTION("""COMPUTED_VALUE"""),"titan")</f>
        <v>titan</v>
      </c>
      <c r="C12944" s="2" t="str">
        <f ca="1">IFERROR(__xludf.DUMMYFUNCTION("""COMPUTED_VALUE"""),"Titan")</f>
        <v>Titan</v>
      </c>
    </row>
    <row r="12945" spans="1:3" x14ac:dyDescent="0.25">
      <c r="A12945" s="2" t="str">
        <f ca="1">IFERROR(__xludf.DUMMYFUNCTION("""COMPUTED_VALUE"""),"titan-3")</f>
        <v>titan-3</v>
      </c>
      <c r="B12945" s="2" t="str">
        <f ca="1">IFERROR(__xludf.DUMMYFUNCTION("""COMPUTED_VALUE"""),"titan")</f>
        <v>titan</v>
      </c>
      <c r="C12945" s="2" t="str">
        <f ca="1">IFERROR(__xludf.DUMMYFUNCTION("""COMPUTED_VALUE"""),"TITAN")</f>
        <v>TITAN</v>
      </c>
    </row>
    <row r="12946" spans="1:3" x14ac:dyDescent="0.25">
      <c r="A12946" s="2" t="str">
        <f ca="1">IFERROR(__xludf.DUMMYFUNCTION("""COMPUTED_VALUE"""),"titan-blaze")</f>
        <v>titan-blaze</v>
      </c>
      <c r="B12946" s="2" t="str">
        <f ca="1">IFERROR(__xludf.DUMMYFUNCTION("""COMPUTED_VALUE"""),"blaze")</f>
        <v>blaze</v>
      </c>
      <c r="C12946" s="2" t="str">
        <f ca="1">IFERROR(__xludf.DUMMYFUNCTION("""COMPUTED_VALUE"""),"Titan Blaze")</f>
        <v>Titan Blaze</v>
      </c>
    </row>
    <row r="12947" spans="1:3" x14ac:dyDescent="0.25">
      <c r="A12947" s="2" t="str">
        <f ca="1">IFERROR(__xludf.DUMMYFUNCTION("""COMPUTED_VALUE"""),"titanborn")</f>
        <v>titanborn</v>
      </c>
      <c r="B12947" s="2" t="str">
        <f ca="1">IFERROR(__xludf.DUMMYFUNCTION("""COMPUTED_VALUE"""),"titans")</f>
        <v>titans</v>
      </c>
      <c r="C12947" s="2" t="str">
        <f ca="1">IFERROR(__xludf.DUMMYFUNCTION("""COMPUTED_VALUE"""),"TitanBorn")</f>
        <v>TitanBorn</v>
      </c>
    </row>
    <row r="12948" spans="1:3" x14ac:dyDescent="0.25">
      <c r="A12948" s="2" t="str">
        <f ca="1">IFERROR(__xludf.DUMMYFUNCTION("""COMPUTED_VALUE"""),"titan-hunters")</f>
        <v>titan-hunters</v>
      </c>
      <c r="B12948" s="2" t="str">
        <f ca="1">IFERROR(__xludf.DUMMYFUNCTION("""COMPUTED_VALUE"""),"tita")</f>
        <v>tita</v>
      </c>
      <c r="C12948" s="2" t="str">
        <f ca="1">IFERROR(__xludf.DUMMYFUNCTION("""COMPUTED_VALUE"""),"Titan Hunters")</f>
        <v>Titan Hunters</v>
      </c>
    </row>
    <row r="12949" spans="1:3" x14ac:dyDescent="0.25">
      <c r="A12949" s="2" t="str">
        <f ca="1">IFERROR(__xludf.DUMMYFUNCTION("""COMPUTED_VALUE"""),"titanium22")</f>
        <v>titanium22</v>
      </c>
      <c r="B12949" s="2" t="str">
        <f ca="1">IFERROR(__xludf.DUMMYFUNCTION("""COMPUTED_VALUE"""),"ti")</f>
        <v>ti</v>
      </c>
      <c r="C12949" s="2" t="str">
        <f ca="1">IFERROR(__xludf.DUMMYFUNCTION("""COMPUTED_VALUE"""),"Titanium22")</f>
        <v>Titanium22</v>
      </c>
    </row>
    <row r="12950" spans="1:3" x14ac:dyDescent="0.25">
      <c r="A12950" s="2" t="str">
        <f ca="1">IFERROR(__xludf.DUMMYFUNCTION("""COMPUTED_VALUE"""),"titanswap")</f>
        <v>titanswap</v>
      </c>
      <c r="B12950" s="2" t="str">
        <f ca="1">IFERROR(__xludf.DUMMYFUNCTION("""COMPUTED_VALUE"""),"titan")</f>
        <v>titan</v>
      </c>
      <c r="C12950" s="2" t="str">
        <f ca="1">IFERROR(__xludf.DUMMYFUNCTION("""COMPUTED_VALUE"""),"TitanSwap")</f>
        <v>TitanSwap</v>
      </c>
    </row>
    <row r="12951" spans="1:3" x14ac:dyDescent="0.25">
      <c r="A12951" s="2" t="str">
        <f ca="1">IFERROR(__xludf.DUMMYFUNCTION("""COMPUTED_VALUE"""),"titan-trading-token")</f>
        <v>titan-trading-token</v>
      </c>
      <c r="B12951" s="2" t="str">
        <f ca="1">IFERROR(__xludf.DUMMYFUNCTION("""COMPUTED_VALUE"""),"tes")</f>
        <v>tes</v>
      </c>
      <c r="C12951" s="2" t="str">
        <f ca="1">IFERROR(__xludf.DUMMYFUNCTION("""COMPUTED_VALUE"""),"Titan Trading Token")</f>
        <v>Titan Trading Token</v>
      </c>
    </row>
    <row r="12952" spans="1:3" x14ac:dyDescent="0.25">
      <c r="A12952" s="2" t="str">
        <f ca="1">IFERROR(__xludf.DUMMYFUNCTION("""COMPUTED_VALUE"""),"titanx")</f>
        <v>titanx</v>
      </c>
      <c r="B12952" s="2" t="str">
        <f ca="1">IFERROR(__xludf.DUMMYFUNCTION("""COMPUTED_VALUE"""),"titanx")</f>
        <v>titanx</v>
      </c>
      <c r="C12952" s="2" t="str">
        <f ca="1">IFERROR(__xludf.DUMMYFUNCTION("""COMPUTED_VALUE"""),"TitanX")</f>
        <v>TitanX</v>
      </c>
    </row>
    <row r="12953" spans="1:3" x14ac:dyDescent="0.25">
      <c r="A12953" s="2" t="str">
        <f ca="1">IFERROR(__xludf.DUMMYFUNCTION("""COMPUTED_VALUE"""),"tiusd")</f>
        <v>tiusd</v>
      </c>
      <c r="B12953" s="2" t="str">
        <f ca="1">IFERROR(__xludf.DUMMYFUNCTION("""COMPUTED_VALUE"""),"tiusd")</f>
        <v>tiusd</v>
      </c>
      <c r="C12953" s="2" t="str">
        <f ca="1">IFERROR(__xludf.DUMMYFUNCTION("""COMPUTED_VALUE"""),"TiUSD")</f>
        <v>TiUSD</v>
      </c>
    </row>
    <row r="12954" spans="1:3" x14ac:dyDescent="0.25">
      <c r="A12954" s="2" t="str">
        <f ca="1">IFERROR(__xludf.DUMMYFUNCTION("""COMPUTED_VALUE"""),"tlifecoin")</f>
        <v>tlifecoin</v>
      </c>
      <c r="B12954" s="2" t="str">
        <f ca="1">IFERROR(__xludf.DUMMYFUNCTION("""COMPUTED_VALUE"""),"tlife")</f>
        <v>tlife</v>
      </c>
      <c r="C12954" s="2" t="str">
        <f ca="1">IFERROR(__xludf.DUMMYFUNCTION("""COMPUTED_VALUE"""),"TLifeCoin")</f>
        <v>TLifeCoin</v>
      </c>
    </row>
    <row r="12955" spans="1:3" x14ac:dyDescent="0.25">
      <c r="A12955" s="2" t="str">
        <f ca="1">IFERROR(__xludf.DUMMYFUNCTION("""COMPUTED_VALUE"""),"tlx")</f>
        <v>tlx</v>
      </c>
      <c r="B12955" s="2" t="str">
        <f ca="1">IFERROR(__xludf.DUMMYFUNCTION("""COMPUTED_VALUE"""),"tlx")</f>
        <v>tlx</v>
      </c>
      <c r="C12955" s="2" t="str">
        <f ca="1">IFERROR(__xludf.DUMMYFUNCTION("""COMPUTED_VALUE"""),"TLX")</f>
        <v>TLX</v>
      </c>
    </row>
    <row r="12956" spans="1:3" x14ac:dyDescent="0.25">
      <c r="A12956" s="2" t="str">
        <f ca="1">IFERROR(__xludf.DUMMYFUNCTION("""COMPUTED_VALUE"""),"t-mac-dao")</f>
        <v>t-mac-dao</v>
      </c>
      <c r="B12956" s="2" t="str">
        <f ca="1">IFERROR(__xludf.DUMMYFUNCTION("""COMPUTED_VALUE"""),"tmg")</f>
        <v>tmg</v>
      </c>
      <c r="C12956" s="2" t="str">
        <f ca="1">IFERROR(__xludf.DUMMYFUNCTION("""COMPUTED_VALUE"""),"T-mac DAO")</f>
        <v>T-mac DAO</v>
      </c>
    </row>
    <row r="12957" spans="1:3" x14ac:dyDescent="0.25">
      <c r="A12957" s="2" t="str">
        <f ca="1">IFERROR(__xludf.DUMMYFUNCTION("""COMPUTED_VALUE"""),"t-mania-sol")</f>
        <v>t-mania-sol</v>
      </c>
      <c r="B12957" s="2" t="str">
        <f ca="1">IFERROR(__xludf.DUMMYFUNCTION("""COMPUTED_VALUE"""),"tmania")</f>
        <v>tmania</v>
      </c>
      <c r="C12957" s="2" t="str">
        <f ca="1">IFERROR(__xludf.DUMMYFUNCTION("""COMPUTED_VALUE"""),"Trump Mania")</f>
        <v>Trump Mania</v>
      </c>
    </row>
    <row r="12958" spans="1:3" x14ac:dyDescent="0.25">
      <c r="A12958" s="2" t="str">
        <f ca="1">IFERROR(__xludf.DUMMYFUNCTION("""COMPUTED_VALUE"""),"tmpl")</f>
        <v>tmpl</v>
      </c>
      <c r="B12958" s="2" t="str">
        <f ca="1">IFERROR(__xludf.DUMMYFUNCTION("""COMPUTED_VALUE"""),"tmpl")</f>
        <v>tmpl</v>
      </c>
      <c r="C12958" s="2" t="str">
        <f ca="1">IFERROR(__xludf.DUMMYFUNCTION("""COMPUTED_VALUE"""),"TMPL")</f>
        <v>TMPL</v>
      </c>
    </row>
    <row r="12959" spans="1:3" x14ac:dyDescent="0.25">
      <c r="A12959" s="2" t="str">
        <f ca="1">IFERROR(__xludf.DUMMYFUNCTION("""COMPUTED_VALUE"""),"tn100x")</f>
        <v>tn100x</v>
      </c>
      <c r="B12959" s="2" t="str">
        <f ca="1">IFERROR(__xludf.DUMMYFUNCTION("""COMPUTED_VALUE"""),"tn100x")</f>
        <v>tn100x</v>
      </c>
      <c r="C12959" s="2" t="str">
        <f ca="1">IFERROR(__xludf.DUMMYFUNCTION("""COMPUTED_VALUE"""),"TN100x")</f>
        <v>TN100x</v>
      </c>
    </row>
    <row r="12960" spans="1:3" x14ac:dyDescent="0.25">
      <c r="A12960" s="2" t="str">
        <f ca="1">IFERROR(__xludf.DUMMYFUNCTION("""COMPUTED_VALUE"""),"tna-protocol")</f>
        <v>tna-protocol</v>
      </c>
      <c r="B12960" s="2" t="str">
        <f ca="1">IFERROR(__xludf.DUMMYFUNCTION("""COMPUTED_VALUE"""),"bn")</f>
        <v>bn</v>
      </c>
      <c r="C12960" s="2" t="str">
        <f ca="1">IFERROR(__xludf.DUMMYFUNCTION("""COMPUTED_VALUE"""),"TNA Protocol")</f>
        <v>TNA Protocol</v>
      </c>
    </row>
    <row r="12961" spans="1:3" x14ac:dyDescent="0.25">
      <c r="A12961" s="2" t="str">
        <f ca="1">IFERROR(__xludf.DUMMYFUNCTION("""COMPUTED_VALUE"""),"toad")</f>
        <v>toad</v>
      </c>
      <c r="B12961" s="2" t="str">
        <f ca="1">IFERROR(__xludf.DUMMYFUNCTION("""COMPUTED_VALUE"""),"toad")</f>
        <v>toad</v>
      </c>
      <c r="C12961" s="2" t="str">
        <f ca="1">IFERROR(__xludf.DUMMYFUNCTION("""COMPUTED_VALUE"""),"TOAD")</f>
        <v>TOAD</v>
      </c>
    </row>
    <row r="12962" spans="1:3" x14ac:dyDescent="0.25">
      <c r="A12962" s="2" t="str">
        <f ca="1">IFERROR(__xludf.DUMMYFUNCTION("""COMPUTED_VALUE"""),"toadie-meme-coin")</f>
        <v>toadie-meme-coin</v>
      </c>
      <c r="B12962" s="2" t="str">
        <f ca="1">IFERROR(__xludf.DUMMYFUNCTION("""COMPUTED_VALUE"""),"toad")</f>
        <v>toad</v>
      </c>
      <c r="C12962" s="2" t="str">
        <f ca="1">IFERROR(__xludf.DUMMYFUNCTION("""COMPUTED_VALUE"""),"Toadie Meme Coin")</f>
        <v>Toadie Meme Coin</v>
      </c>
    </row>
    <row r="12963" spans="1:3" x14ac:dyDescent="0.25">
      <c r="A12963" s="2" t="str">
        <f ca="1">IFERROR(__xludf.DUMMYFUNCTION("""COMPUTED_VALUE"""),"toad-killer")</f>
        <v>toad-killer</v>
      </c>
      <c r="B12963" s="2" t="str">
        <f ca="1">IFERROR(__xludf.DUMMYFUNCTION("""COMPUTED_VALUE"""),"$toad")</f>
        <v>$toad</v>
      </c>
      <c r="C12963" s="2" t="str">
        <f ca="1">IFERROR(__xludf.DUMMYFUNCTION("""COMPUTED_VALUE"""),"Toad Killer")</f>
        <v>Toad Killer</v>
      </c>
    </row>
    <row r="12964" spans="1:3" x14ac:dyDescent="0.25">
      <c r="A12964" s="2" t="str">
        <f ca="1">IFERROR(__xludf.DUMMYFUNCTION("""COMPUTED_VALUE"""),"toad-sol")</f>
        <v>toad-sol</v>
      </c>
      <c r="B12964" s="2" t="str">
        <f ca="1">IFERROR(__xludf.DUMMYFUNCTION("""COMPUTED_VALUE"""),"$toad")</f>
        <v>$toad</v>
      </c>
      <c r="C12964" s="2" t="str">
        <f ca="1">IFERROR(__xludf.DUMMYFUNCTION("""COMPUTED_VALUE"""),"Toad (SOL)")</f>
        <v>Toad (SOL)</v>
      </c>
    </row>
    <row r="12965" spans="1:3" x14ac:dyDescent="0.25">
      <c r="A12965" s="2" t="str">
        <f ca="1">IFERROR(__xludf.DUMMYFUNCTION("""COMPUTED_VALUE"""),"toby-toadgod")</f>
        <v>toby-toadgod</v>
      </c>
      <c r="B12965" s="2" t="str">
        <f ca="1">IFERROR(__xludf.DUMMYFUNCTION("""COMPUTED_VALUE"""),"toby")</f>
        <v>toby</v>
      </c>
      <c r="C12965" s="2" t="str">
        <f ca="1">IFERROR(__xludf.DUMMYFUNCTION("""COMPUTED_VALUE"""),"Toby ToadGod")</f>
        <v>Toby ToadGod</v>
      </c>
    </row>
    <row r="12966" spans="1:3" x14ac:dyDescent="0.25">
      <c r="A12966" s="2" t="str">
        <f ca="1">IFERROR(__xludf.DUMMYFUNCTION("""COMPUTED_VALUE"""),"tocen")</f>
        <v>tocen</v>
      </c>
      <c r="B12966" s="2" t="str">
        <f ca="1">IFERROR(__xludf.DUMMYFUNCTION("""COMPUTED_VALUE"""),"toce")</f>
        <v>toce</v>
      </c>
      <c r="C12966" s="2" t="str">
        <f ca="1">IFERROR(__xludf.DUMMYFUNCTION("""COMPUTED_VALUE"""),"Tocen")</f>
        <v>Tocen</v>
      </c>
    </row>
    <row r="12967" spans="1:3" x14ac:dyDescent="0.25">
      <c r="A12967" s="2" t="str">
        <f ca="1">IFERROR(__xludf.DUMMYFUNCTION("""COMPUTED_VALUE"""),"tochi-base")</f>
        <v>tochi-base</v>
      </c>
      <c r="B12967" s="2" t="str">
        <f ca="1">IFERROR(__xludf.DUMMYFUNCTION("""COMPUTED_VALUE"""),"tochi")</f>
        <v>tochi</v>
      </c>
      <c r="C12967" s="2" t="str">
        <f ca="1">IFERROR(__xludf.DUMMYFUNCTION("""COMPUTED_VALUE"""),"Tochi Base")</f>
        <v>Tochi Base</v>
      </c>
    </row>
    <row r="12968" spans="1:3" x14ac:dyDescent="0.25">
      <c r="A12968" s="2" t="str">
        <f ca="1">IFERROR(__xludf.DUMMYFUNCTION("""COMPUTED_VALUE"""),"toding-protocol")</f>
        <v>toding-protocol</v>
      </c>
      <c r="B12968" s="2" t="str">
        <f ca="1">IFERROR(__xludf.DUMMYFUNCTION("""COMPUTED_VALUE"""),"toding")</f>
        <v>toding</v>
      </c>
      <c r="C12968" s="2" t="str">
        <f ca="1">IFERROR(__xludf.DUMMYFUNCTION("""COMPUTED_VALUE"""),"ToDing Protocol")</f>
        <v>ToDing Protocol</v>
      </c>
    </row>
    <row r="12969" spans="1:3" x14ac:dyDescent="0.25">
      <c r="A12969" s="2" t="str">
        <f ca="1">IFERROR(__xludf.DUMMYFUNCTION("""COMPUTED_VALUE"""),"toge")</f>
        <v>toge</v>
      </c>
      <c r="B12969" s="2" t="str">
        <f ca="1">IFERROR(__xludf.DUMMYFUNCTION("""COMPUTED_VALUE"""),"toge")</f>
        <v>toge</v>
      </c>
      <c r="C12969" s="2" t="str">
        <f ca="1">IFERROR(__xludf.DUMMYFUNCTION("""COMPUTED_VALUE"""),"TOGE")</f>
        <v>TOGE</v>
      </c>
    </row>
    <row r="12970" spans="1:3" x14ac:dyDescent="0.25">
      <c r="A12970" s="2" t="str">
        <f ca="1">IFERROR(__xludf.DUMMYFUNCTION("""COMPUTED_VALUE"""),"toka-2")</f>
        <v>toka-2</v>
      </c>
      <c r="B12970" s="2" t="str">
        <f ca="1">IFERROR(__xludf.DUMMYFUNCTION("""COMPUTED_VALUE"""),"toka")</f>
        <v>toka</v>
      </c>
      <c r="C12970" s="2" t="str">
        <f ca="1">IFERROR(__xludf.DUMMYFUNCTION("""COMPUTED_VALUE"""),"TOKA")</f>
        <v>TOKA</v>
      </c>
    </row>
    <row r="12971" spans="1:3" x14ac:dyDescent="0.25">
      <c r="A12971" s="2" t="str">
        <f ca="1">IFERROR(__xludf.DUMMYFUNCTION("""COMPUTED_VALUE"""),"tokai")</f>
        <v>tokai</v>
      </c>
      <c r="B12971" s="2" t="str">
        <f ca="1">IFERROR(__xludf.DUMMYFUNCTION("""COMPUTED_VALUE"""),"tok")</f>
        <v>tok</v>
      </c>
      <c r="C12971" s="2" t="str">
        <f ca="1">IFERROR(__xludf.DUMMYFUNCTION("""COMPUTED_VALUE"""),"Tokai")</f>
        <v>Tokai</v>
      </c>
    </row>
    <row r="12972" spans="1:3" x14ac:dyDescent="0.25">
      <c r="A12972" s="2" t="str">
        <f ca="1">IFERROR(__xludf.DUMMYFUNCTION("""COMPUTED_VALUE"""),"tokamak-network")</f>
        <v>tokamak-network</v>
      </c>
      <c r="B12972" s="2" t="str">
        <f ca="1">IFERROR(__xludf.DUMMYFUNCTION("""COMPUTED_VALUE"""),"ton")</f>
        <v>ton</v>
      </c>
      <c r="C12972" s="2" t="str">
        <f ca="1">IFERROR(__xludf.DUMMYFUNCTION("""COMPUTED_VALUE"""),"Tokamak Network")</f>
        <v>Tokamak Network</v>
      </c>
    </row>
    <row r="12973" spans="1:3" x14ac:dyDescent="0.25">
      <c r="A12973" s="2" t="str">
        <f ca="1">IFERROR(__xludf.DUMMYFUNCTION("""COMPUTED_VALUE"""),"tokan")</f>
        <v>tokan</v>
      </c>
      <c r="B12973" s="2" t="str">
        <f ca="1">IFERROR(__xludf.DUMMYFUNCTION("""COMPUTED_VALUE"""),"tkn")</f>
        <v>tkn</v>
      </c>
      <c r="C12973" s="2" t="str">
        <f ca="1">IFERROR(__xludf.DUMMYFUNCTION("""COMPUTED_VALUE"""),"Tokan")</f>
        <v>Tokan</v>
      </c>
    </row>
    <row r="12974" spans="1:3" x14ac:dyDescent="0.25">
      <c r="A12974" s="2" t="str">
        <f ca="1">IFERROR(__xludf.DUMMYFUNCTION("""COMPUTED_VALUE"""),"tokemak")</f>
        <v>tokemak</v>
      </c>
      <c r="B12974" s="2" t="str">
        <f ca="1">IFERROR(__xludf.DUMMYFUNCTION("""COMPUTED_VALUE"""),"toke")</f>
        <v>toke</v>
      </c>
      <c r="C12974" s="2" t="str">
        <f ca="1">IFERROR(__xludf.DUMMYFUNCTION("""COMPUTED_VALUE"""),"Tokemak")</f>
        <v>Tokemak</v>
      </c>
    </row>
    <row r="12975" spans="1:3" x14ac:dyDescent="0.25">
      <c r="A12975" s="2" t="str">
        <f ca="1">IFERROR(__xludf.DUMMYFUNCTION("""COMPUTED_VALUE"""),"token7007")</f>
        <v>token7007</v>
      </c>
      <c r="B12975" s="2" t="str">
        <f ca="1">IFERROR(__xludf.DUMMYFUNCTION("""COMPUTED_VALUE"""),"7007")</f>
        <v>7007</v>
      </c>
      <c r="C12975" s="2" t="str">
        <f ca="1">IFERROR(__xludf.DUMMYFUNCTION("""COMPUTED_VALUE"""),"Token7007")</f>
        <v>Token7007</v>
      </c>
    </row>
    <row r="12976" spans="1:3" x14ac:dyDescent="0.25">
      <c r="A12976" s="2" t="str">
        <f ca="1">IFERROR(__xludf.DUMMYFUNCTION("""COMPUTED_VALUE"""),"tokenbot")</f>
        <v>tokenbot</v>
      </c>
      <c r="B12976" s="2" t="str">
        <f ca="1">IFERROR(__xludf.DUMMYFUNCTION("""COMPUTED_VALUE"""),"tkb")</f>
        <v>tkb</v>
      </c>
      <c r="C12976" s="2" t="str">
        <f ca="1">IFERROR(__xludf.DUMMYFUNCTION("""COMPUTED_VALUE"""),"TokenBot")</f>
        <v>TokenBot</v>
      </c>
    </row>
    <row r="12977" spans="1:3" x14ac:dyDescent="0.25">
      <c r="A12977" s="2" t="str">
        <f ca="1">IFERROR(__xludf.DUMMYFUNCTION("""COMPUTED_VALUE"""),"tokencard")</f>
        <v>tokencard</v>
      </c>
      <c r="B12977" s="2" t="str">
        <f ca="1">IFERROR(__xludf.DUMMYFUNCTION("""COMPUTED_VALUE"""),"tkn")</f>
        <v>tkn</v>
      </c>
      <c r="C12977" s="2" t="str">
        <f ca="1">IFERROR(__xludf.DUMMYFUNCTION("""COMPUTED_VALUE"""),"Monolith")</f>
        <v>Monolith</v>
      </c>
    </row>
    <row r="12978" spans="1:3" x14ac:dyDescent="0.25">
      <c r="A12978" s="2" t="str">
        <f ca="1">IFERROR(__xludf.DUMMYFUNCTION("""COMPUTED_VALUE"""),"tokenclub")</f>
        <v>tokenclub</v>
      </c>
      <c r="B12978" s="2" t="str">
        <f ca="1">IFERROR(__xludf.DUMMYFUNCTION("""COMPUTED_VALUE"""),"tct")</f>
        <v>tct</v>
      </c>
      <c r="C12978" s="2" t="str">
        <f ca="1">IFERROR(__xludf.DUMMYFUNCTION("""COMPUTED_VALUE"""),"TokenClub")</f>
        <v>TokenClub</v>
      </c>
    </row>
    <row r="12979" spans="1:3" x14ac:dyDescent="0.25">
      <c r="A12979" s="2" t="str">
        <f ca="1">IFERROR(__xludf.DUMMYFUNCTION("""COMPUTED_VALUE"""),"token-dforce-usd")</f>
        <v>token-dforce-usd</v>
      </c>
      <c r="B12979" s="2" t="str">
        <f ca="1">IFERROR(__xludf.DUMMYFUNCTION("""COMPUTED_VALUE"""),"usx")</f>
        <v>usx</v>
      </c>
      <c r="C12979" s="2" t="str">
        <f ca="1">IFERROR(__xludf.DUMMYFUNCTION("""COMPUTED_VALUE"""),"dForce USD")</f>
        <v>dForce USD</v>
      </c>
    </row>
    <row r="12980" spans="1:3" x14ac:dyDescent="0.25">
      <c r="A12980" s="2" t="str">
        <f ca="1">IFERROR(__xludf.DUMMYFUNCTION("""COMPUTED_VALUE"""),"token-engineering-commons")</f>
        <v>token-engineering-commons</v>
      </c>
      <c r="B12980" s="2" t="str">
        <f ca="1">IFERROR(__xludf.DUMMYFUNCTION("""COMPUTED_VALUE"""),"tec")</f>
        <v>tec</v>
      </c>
      <c r="C12980" s="2" t="str">
        <f ca="1">IFERROR(__xludf.DUMMYFUNCTION("""COMPUTED_VALUE"""),"Token Engineering Commons")</f>
        <v>Token Engineering Commons</v>
      </c>
    </row>
    <row r="12981" spans="1:3" x14ac:dyDescent="0.25">
      <c r="A12981" s="2" t="str">
        <f ca="1">IFERROR(__xludf.DUMMYFUNCTION("""COMPUTED_VALUE"""),"tokenfi")</f>
        <v>tokenfi</v>
      </c>
      <c r="B12981" s="2" t="str">
        <f ca="1">IFERROR(__xludf.DUMMYFUNCTION("""COMPUTED_VALUE"""),"token")</f>
        <v>token</v>
      </c>
      <c r="C12981" s="2" t="str">
        <f ca="1">IFERROR(__xludf.DUMMYFUNCTION("""COMPUTED_VALUE"""),"TokenFi")</f>
        <v>TokenFi</v>
      </c>
    </row>
    <row r="12982" spans="1:3" x14ac:dyDescent="0.25">
      <c r="A12982" s="2" t="str">
        <f ca="1">IFERROR(__xludf.DUMMYFUNCTION("""COMPUTED_VALUE"""),"token-in")</f>
        <v>token-in</v>
      </c>
      <c r="B12982" s="2" t="str">
        <f ca="1">IFERROR(__xludf.DUMMYFUNCTION("""COMPUTED_VALUE"""),"tin")</f>
        <v>tin</v>
      </c>
      <c r="C12982" s="2" t="str">
        <f ca="1">IFERROR(__xludf.DUMMYFUNCTION("""COMPUTED_VALUE"""),"Token IN")</f>
        <v>Token IN</v>
      </c>
    </row>
    <row r="12983" spans="1:3" x14ac:dyDescent="0.25">
      <c r="A12983" s="2" t="str">
        <f ca="1">IFERROR(__xludf.DUMMYFUNCTION("""COMPUTED_VALUE"""),"tokenize-xchange")</f>
        <v>tokenize-xchange</v>
      </c>
      <c r="B12983" s="2" t="str">
        <f ca="1">IFERROR(__xludf.DUMMYFUNCTION("""COMPUTED_VALUE"""),"tkx")</f>
        <v>tkx</v>
      </c>
      <c r="C12983" s="2" t="str">
        <f ca="1">IFERROR(__xludf.DUMMYFUNCTION("""COMPUTED_VALUE"""),"Tokenize Xchange")</f>
        <v>Tokenize Xchange</v>
      </c>
    </row>
    <row r="12984" spans="1:3" x14ac:dyDescent="0.25">
      <c r="A12984" s="2" t="str">
        <f ca="1">IFERROR(__xludf.DUMMYFUNCTION("""COMPUTED_VALUE"""),"tokenlon")</f>
        <v>tokenlon</v>
      </c>
      <c r="B12984" s="2" t="str">
        <f ca="1">IFERROR(__xludf.DUMMYFUNCTION("""COMPUTED_VALUE"""),"lon")</f>
        <v>lon</v>
      </c>
      <c r="C12984" s="2" t="str">
        <f ca="1">IFERROR(__xludf.DUMMYFUNCTION("""COMPUTED_VALUE"""),"Tokenlon")</f>
        <v>Tokenlon</v>
      </c>
    </row>
    <row r="12985" spans="1:3" x14ac:dyDescent="0.25">
      <c r="A12985" s="2" t="str">
        <f ca="1">IFERROR(__xludf.DUMMYFUNCTION("""COMPUTED_VALUE"""),"token-metrics-ai")</f>
        <v>token-metrics-ai</v>
      </c>
      <c r="B12985" s="2" t="str">
        <f ca="1">IFERROR(__xludf.DUMMYFUNCTION("""COMPUTED_VALUE"""),"tmai")</f>
        <v>tmai</v>
      </c>
      <c r="C12985" s="2" t="str">
        <f ca="1">IFERROR(__xludf.DUMMYFUNCTION("""COMPUTED_VALUE"""),"Token Metrics AI")</f>
        <v>Token Metrics AI</v>
      </c>
    </row>
    <row r="12986" spans="1:3" x14ac:dyDescent="0.25">
      <c r="A12986" s="2" t="str">
        <f ca="1">IFERROR(__xludf.DUMMYFUNCTION("""COMPUTED_VALUE"""),"token-name-service")</f>
        <v>token-name-service</v>
      </c>
      <c r="B12986" s="2" t="str">
        <f ca="1">IFERROR(__xludf.DUMMYFUNCTION("""COMPUTED_VALUE"""),"tkn")</f>
        <v>tkn</v>
      </c>
      <c r="C12986" s="2" t="str">
        <f ca="1">IFERROR(__xludf.DUMMYFUNCTION("""COMPUTED_VALUE"""),"Token Name Service")</f>
        <v>Token Name Service</v>
      </c>
    </row>
    <row r="12987" spans="1:3" x14ac:dyDescent="0.25">
      <c r="A12987" s="2" t="str">
        <f ca="1">IFERROR(__xludf.DUMMYFUNCTION("""COMPUTED_VALUE"""),"tokenomy")</f>
        <v>tokenomy</v>
      </c>
      <c r="B12987" s="2" t="str">
        <f ca="1">IFERROR(__xludf.DUMMYFUNCTION("""COMPUTED_VALUE"""),"ten")</f>
        <v>ten</v>
      </c>
      <c r="C12987" s="2" t="str">
        <f ca="1">IFERROR(__xludf.DUMMYFUNCTION("""COMPUTED_VALUE"""),"Tokenomy")</f>
        <v>Tokenomy</v>
      </c>
    </row>
    <row r="12988" spans="1:3" x14ac:dyDescent="0.25">
      <c r="A12988" s="2" t="str">
        <f ca="1">IFERROR(__xludf.DUMMYFUNCTION("""COMPUTED_VALUE"""),"tokenplace")</f>
        <v>tokenplace</v>
      </c>
      <c r="B12988" s="2" t="str">
        <f ca="1">IFERROR(__xludf.DUMMYFUNCTION("""COMPUTED_VALUE"""),"tok")</f>
        <v>tok</v>
      </c>
      <c r="C12988" s="2" t="str">
        <f ca="1">IFERROR(__xludf.DUMMYFUNCTION("""COMPUTED_VALUE"""),"Tokenplace")</f>
        <v>Tokenplace</v>
      </c>
    </row>
    <row r="12989" spans="1:3" x14ac:dyDescent="0.25">
      <c r="A12989" s="2" t="str">
        <f ca="1">IFERROR(__xludf.DUMMYFUNCTION("""COMPUTED_VALUE"""),"token-pocket")</f>
        <v>token-pocket</v>
      </c>
      <c r="B12989" s="2" t="str">
        <f ca="1">IFERROR(__xludf.DUMMYFUNCTION("""COMPUTED_VALUE"""),"tpt")</f>
        <v>tpt</v>
      </c>
      <c r="C12989" s="2" t="str">
        <f ca="1">IFERROR(__xludf.DUMMYFUNCTION("""COMPUTED_VALUE"""),"TokenPocket Token")</f>
        <v>TokenPocket Token</v>
      </c>
    </row>
    <row r="12990" spans="1:3" x14ac:dyDescent="0.25">
      <c r="A12990" s="2" t="str">
        <f ca="1">IFERROR(__xludf.DUMMYFUNCTION("""COMPUTED_VALUE"""),"token-sentry-bot")</f>
        <v>token-sentry-bot</v>
      </c>
      <c r="B12990" s="2" t="str">
        <f ca="1">IFERROR(__xludf.DUMMYFUNCTION("""COMPUTED_VALUE"""),"sentry")</f>
        <v>sentry</v>
      </c>
      <c r="C12990" s="2" t="str">
        <f ca="1">IFERROR(__xludf.DUMMYFUNCTION("""COMPUTED_VALUE"""),"Token Sentry Bot")</f>
        <v>Token Sentry Bot</v>
      </c>
    </row>
    <row r="12991" spans="1:3" x14ac:dyDescent="0.25">
      <c r="A12991" s="2" t="str">
        <f ca="1">IFERROR(__xludf.DUMMYFUNCTION("""COMPUTED_VALUE"""),"tokensight")</f>
        <v>tokensight</v>
      </c>
      <c r="B12991" s="2" t="str">
        <f ca="1">IFERROR(__xludf.DUMMYFUNCTION("""COMPUTED_VALUE"""),"tkst")</f>
        <v>tkst</v>
      </c>
      <c r="C12991" s="2" t="str">
        <f ca="1">IFERROR(__xludf.DUMMYFUNCTION("""COMPUTED_VALUE"""),"TokenSight")</f>
        <v>TokenSight</v>
      </c>
    </row>
    <row r="12992" spans="1:3" x14ac:dyDescent="0.25">
      <c r="A12992" s="2" t="str">
        <f ca="1">IFERROR(__xludf.DUMMYFUNCTION("""COMPUTED_VALUE"""),"token-teknoloji-a-s-euro")</f>
        <v>token-teknoloji-a-s-euro</v>
      </c>
      <c r="B12992" s="2" t="str">
        <f ca="1">IFERROR(__xludf.DUMMYFUNCTION("""COMPUTED_VALUE"""),"eurot")</f>
        <v>eurot</v>
      </c>
      <c r="C12992" s="2" t="str">
        <f ca="1">IFERROR(__xludf.DUMMYFUNCTION("""COMPUTED_VALUE"""),"Token Teknoloji A.Ş. EURO")</f>
        <v>Token Teknoloji A.Ş. EURO</v>
      </c>
    </row>
    <row r="12993" spans="1:3" x14ac:dyDescent="0.25">
      <c r="A12993" s="2" t="str">
        <f ca="1">IFERROR(__xludf.DUMMYFUNCTION("""COMPUTED_VALUE"""),"token-teknoloji-a-s-ons-gold")</f>
        <v>token-teknoloji-a-s-ons-gold</v>
      </c>
      <c r="B12993" s="2" t="str">
        <f ca="1">IFERROR(__xludf.DUMMYFUNCTION("""COMPUTED_VALUE"""),"onsg")</f>
        <v>onsg</v>
      </c>
      <c r="C12993" s="2" t="str">
        <f ca="1">IFERROR(__xludf.DUMMYFUNCTION("""COMPUTED_VALUE"""),"Token Teknoloji A.Ş. ONS Gold")</f>
        <v>Token Teknoloji A.Ş. ONS Gold</v>
      </c>
    </row>
    <row r="12994" spans="1:3" x14ac:dyDescent="0.25">
      <c r="A12994" s="2" t="str">
        <f ca="1">IFERROR(__xludf.DUMMYFUNCTION("""COMPUTED_VALUE"""),"token-teknoloji-a-s-ons-silver")</f>
        <v>token-teknoloji-a-s-ons-silver</v>
      </c>
      <c r="B12994" s="2" t="str">
        <f ca="1">IFERROR(__xludf.DUMMYFUNCTION("""COMPUTED_VALUE"""),"onss")</f>
        <v>onss</v>
      </c>
      <c r="C12994" s="2" t="str">
        <f ca="1">IFERROR(__xludf.DUMMYFUNCTION("""COMPUTED_VALUE"""),"Token Teknoloji A.Ş. ONS Silver")</f>
        <v>Token Teknoloji A.Ş. ONS Silver</v>
      </c>
    </row>
    <row r="12995" spans="1:3" x14ac:dyDescent="0.25">
      <c r="A12995" s="2" t="str">
        <f ca="1">IFERROR(__xludf.DUMMYFUNCTION("""COMPUTED_VALUE"""),"token-teknoloji-a-s-token-25")</f>
        <v>token-teknoloji-a-s-token-25</v>
      </c>
      <c r="B12995" s="2" t="str">
        <f ca="1">IFERROR(__xludf.DUMMYFUNCTION("""COMPUTED_VALUE"""),"tkn25")</f>
        <v>tkn25</v>
      </c>
      <c r="C12995" s="2" t="str">
        <f ca="1">IFERROR(__xludf.DUMMYFUNCTION("""COMPUTED_VALUE"""),"Token Teknoloji A.Ş. Token 25")</f>
        <v>Token Teknoloji A.Ş. Token 25</v>
      </c>
    </row>
    <row r="12996" spans="1:3" x14ac:dyDescent="0.25">
      <c r="A12996" s="2" t="str">
        <f ca="1">IFERROR(__xludf.DUMMYFUNCTION("""COMPUTED_VALUE"""),"token-teknoloji-a-s-token-defi")</f>
        <v>token-teknoloji-a-s-token-defi</v>
      </c>
      <c r="B12996" s="2" t="str">
        <f ca="1">IFERROR(__xludf.DUMMYFUNCTION("""COMPUTED_VALUE"""),"tdefi")</f>
        <v>tdefi</v>
      </c>
      <c r="C12996" s="2" t="str">
        <f ca="1">IFERROR(__xludf.DUMMYFUNCTION("""COMPUTED_VALUE"""),"Token Teknoloji A.Ş. Token DeFi")</f>
        <v>Token Teknoloji A.Ş. Token DeFi</v>
      </c>
    </row>
    <row r="12997" spans="1:3" x14ac:dyDescent="0.25">
      <c r="A12997" s="2" t="str">
        <f ca="1">IFERROR(__xludf.DUMMYFUNCTION("""COMPUTED_VALUE"""),"token-teknoloji-a-s-token-metaverse")</f>
        <v>token-teknoloji-a-s-token-metaverse</v>
      </c>
      <c r="B12997" s="2" t="str">
        <f ca="1">IFERROR(__xludf.DUMMYFUNCTION("""COMPUTED_VALUE"""),"tmeta")</f>
        <v>tmeta</v>
      </c>
      <c r="C12997" s="2" t="str">
        <f ca="1">IFERROR(__xludf.DUMMYFUNCTION("""COMPUTED_VALUE"""),"Token Teknoloji A.Ş. Token Metaverse")</f>
        <v>Token Teknoloji A.Ş. Token Metaverse</v>
      </c>
    </row>
    <row r="12998" spans="1:3" x14ac:dyDescent="0.25">
      <c r="A12998" s="2" t="str">
        <f ca="1">IFERROR(__xludf.DUMMYFUNCTION("""COMPUTED_VALUE"""),"token-teknoloji-a-s-token-nft")</f>
        <v>token-teknoloji-a-s-token-nft</v>
      </c>
      <c r="B12998" s="2" t="str">
        <f ca="1">IFERROR(__xludf.DUMMYFUNCTION("""COMPUTED_VALUE"""),"tnft")</f>
        <v>tnft</v>
      </c>
      <c r="C12998" s="2" t="str">
        <f ca="1">IFERROR(__xludf.DUMMYFUNCTION("""COMPUTED_VALUE"""),"Token Teknoloji A.Ş. Token NFT")</f>
        <v>Token Teknoloji A.Ş. Token NFT</v>
      </c>
    </row>
    <row r="12999" spans="1:3" x14ac:dyDescent="0.25">
      <c r="A12999" s="2" t="str">
        <f ca="1">IFERROR(__xludf.DUMMYFUNCTION("""COMPUTED_VALUE"""),"token-teknoloji-a-s-token-play")</f>
        <v>token-teknoloji-a-s-token-play</v>
      </c>
      <c r="B12999" s="2" t="str">
        <f ca="1">IFERROR(__xludf.DUMMYFUNCTION("""COMPUTED_VALUE"""),"tplay")</f>
        <v>tplay</v>
      </c>
      <c r="C12999" s="2" t="str">
        <f ca="1">IFERROR(__xludf.DUMMYFUNCTION("""COMPUTED_VALUE"""),"Token Teknoloji A.Ş. Token Play")</f>
        <v>Token Teknoloji A.Ş. Token Play</v>
      </c>
    </row>
    <row r="13000" spans="1:3" x14ac:dyDescent="0.25">
      <c r="A13000" s="2" t="str">
        <f ca="1">IFERROR(__xludf.DUMMYFUNCTION("""COMPUTED_VALUE"""),"token-teknoloji-a-s-usd")</f>
        <v>token-teknoloji-a-s-usd</v>
      </c>
      <c r="B13000" s="2" t="str">
        <f ca="1">IFERROR(__xludf.DUMMYFUNCTION("""COMPUTED_VALUE"""),"usdot")</f>
        <v>usdot</v>
      </c>
      <c r="C13000" s="2" t="str">
        <f ca="1">IFERROR(__xludf.DUMMYFUNCTION("""COMPUTED_VALUE"""),"Token Teknoloji A.Ş. USD")</f>
        <v>Token Teknoloji A.Ş. USD</v>
      </c>
    </row>
    <row r="13001" spans="1:3" x14ac:dyDescent="0.25">
      <c r="A13001" s="2" t="str">
        <f ca="1">IFERROR(__xludf.DUMMYFUNCTION("""COMPUTED_VALUE"""),"tokenwatch")</f>
        <v>tokenwatch</v>
      </c>
      <c r="B13001" s="2" t="str">
        <f ca="1">IFERROR(__xludf.DUMMYFUNCTION("""COMPUTED_VALUE"""),"tokenwatch")</f>
        <v>tokenwatch</v>
      </c>
      <c r="C13001" s="2" t="str">
        <f ca="1">IFERROR(__xludf.DUMMYFUNCTION("""COMPUTED_VALUE"""),"TokenWatch")</f>
        <v>TokenWatch</v>
      </c>
    </row>
    <row r="13002" spans="1:3" x14ac:dyDescent="0.25">
      <c r="A13002" s="2" t="str">
        <f ca="1">IFERROR(__xludf.DUMMYFUNCTION("""COMPUTED_VALUE"""),"tokero-levelup-token")</f>
        <v>tokero-levelup-token</v>
      </c>
      <c r="B13002" s="2" t="str">
        <f ca="1">IFERROR(__xludf.DUMMYFUNCTION("""COMPUTED_VALUE"""),"tokero")</f>
        <v>tokero</v>
      </c>
      <c r="C13002" s="2" t="str">
        <f ca="1">IFERROR(__xludf.DUMMYFUNCTION("""COMPUTED_VALUE"""),"TOKERO LevelUP Token")</f>
        <v>TOKERO LevelUP Token</v>
      </c>
    </row>
    <row r="13003" spans="1:3" x14ac:dyDescent="0.25">
      <c r="A13003" s="2" t="str">
        <f ca="1">IFERROR(__xludf.DUMMYFUNCTION("""COMPUTED_VALUE"""),"tokhit")</f>
        <v>tokhit</v>
      </c>
      <c r="B13003" s="2" t="str">
        <f ca="1">IFERROR(__xludf.DUMMYFUNCTION("""COMPUTED_VALUE"""),"hitt")</f>
        <v>hitt</v>
      </c>
      <c r="C13003" s="2" t="str">
        <f ca="1">IFERROR(__xludf.DUMMYFUNCTION("""COMPUTED_VALUE"""),"TOKHIT")</f>
        <v>TOKHIT</v>
      </c>
    </row>
    <row r="13004" spans="1:3" x14ac:dyDescent="0.25">
      <c r="A13004" s="2" t="str">
        <f ca="1">IFERROR(__xludf.DUMMYFUNCTION("""COMPUTED_VALUE"""),"toko")</f>
        <v>toko</v>
      </c>
      <c r="B13004" s="2" t="str">
        <f ca="1">IFERROR(__xludf.DUMMYFUNCTION("""COMPUTED_VALUE"""),"toko")</f>
        <v>toko</v>
      </c>
      <c r="C13004" s="2" t="str">
        <f ca="1">IFERROR(__xludf.DUMMYFUNCTION("""COMPUTED_VALUE"""),"Tokoin")</f>
        <v>Tokoin</v>
      </c>
    </row>
    <row r="13005" spans="1:3" x14ac:dyDescent="0.25">
      <c r="A13005" s="2" t="str">
        <f ca="1">IFERROR(__xludf.DUMMYFUNCTION("""COMPUTED_VALUE"""),"tokocrypto")</f>
        <v>tokocrypto</v>
      </c>
      <c r="B13005" s="2" t="str">
        <f ca="1">IFERROR(__xludf.DUMMYFUNCTION("""COMPUTED_VALUE"""),"tko")</f>
        <v>tko</v>
      </c>
      <c r="C13005" s="2" t="str">
        <f ca="1">IFERROR(__xludf.DUMMYFUNCTION("""COMPUTED_VALUE"""),"Tokocrypto")</f>
        <v>Tokocrypto</v>
      </c>
    </row>
    <row r="13006" spans="1:3" x14ac:dyDescent="0.25">
      <c r="A13006" s="2" t="str">
        <f ca="1">IFERROR(__xludf.DUMMYFUNCTION("""COMPUTED_VALUE"""),"tokpie")</f>
        <v>tokpie</v>
      </c>
      <c r="B13006" s="2" t="str">
        <f ca="1">IFERROR(__xludf.DUMMYFUNCTION("""COMPUTED_VALUE"""),"tkp")</f>
        <v>tkp</v>
      </c>
      <c r="C13006" s="2" t="str">
        <f ca="1">IFERROR(__xludf.DUMMYFUNCTION("""COMPUTED_VALUE"""),"TOKPIE")</f>
        <v>TOKPIE</v>
      </c>
    </row>
    <row r="13007" spans="1:3" x14ac:dyDescent="0.25">
      <c r="A13007" s="2" t="str">
        <f ca="1">IFERROR(__xludf.DUMMYFUNCTION("""COMPUTED_VALUE"""),"toku")</f>
        <v>toku</v>
      </c>
      <c r="B13007" s="2" t="str">
        <f ca="1">IFERROR(__xludf.DUMMYFUNCTION("""COMPUTED_VALUE"""),"toku")</f>
        <v>toku</v>
      </c>
      <c r="C13007" s="2" t="str">
        <f ca="1">IFERROR(__xludf.DUMMYFUNCTION("""COMPUTED_VALUE"""),"Toku")</f>
        <v>Toku</v>
      </c>
    </row>
    <row r="13008" spans="1:3" x14ac:dyDescent="0.25">
      <c r="A13008" s="2" t="str">
        <f ca="1">IFERROR(__xludf.DUMMYFUNCTION("""COMPUTED_VALUE"""),"tokuda")</f>
        <v>tokuda</v>
      </c>
      <c r="B13008" s="2" t="str">
        <f ca="1">IFERROR(__xludf.DUMMYFUNCTION("""COMPUTED_VALUE"""),"tkd")</f>
        <v>tkd</v>
      </c>
      <c r="C13008" s="2" t="str">
        <f ca="1">IFERROR(__xludf.DUMMYFUNCTION("""COMPUTED_VALUE"""),"TOKUDA")</f>
        <v>TOKUDA</v>
      </c>
    </row>
    <row r="13009" spans="1:3" x14ac:dyDescent="0.25">
      <c r="A13009" s="2" t="str">
        <f ca="1">IFERROR(__xludf.DUMMYFUNCTION("""COMPUTED_VALUE"""),"tokyo")</f>
        <v>tokyo</v>
      </c>
      <c r="B13009" s="2" t="str">
        <f ca="1">IFERROR(__xludf.DUMMYFUNCTION("""COMPUTED_VALUE"""),"tokc")</f>
        <v>tokc</v>
      </c>
      <c r="C13009" s="2" t="str">
        <f ca="1">IFERROR(__xludf.DUMMYFUNCTION("""COMPUTED_VALUE"""),"Tokyo Coin")</f>
        <v>Tokyo Coin</v>
      </c>
    </row>
    <row r="13010" spans="1:3" x14ac:dyDescent="0.25">
      <c r="A13010" s="2" t="str">
        <f ca="1">IFERROR(__xludf.DUMMYFUNCTION("""COMPUTED_VALUE"""),"tokyo-au")</f>
        <v>tokyo-au</v>
      </c>
      <c r="B13010" s="2" t="str">
        <f ca="1">IFERROR(__xludf.DUMMYFUNCTION("""COMPUTED_VALUE"""),"tokau")</f>
        <v>tokau</v>
      </c>
      <c r="C13010" s="2" t="str">
        <f ca="1">IFERROR(__xludf.DUMMYFUNCTION("""COMPUTED_VALUE"""),"Tokyo AU")</f>
        <v>Tokyo AU</v>
      </c>
    </row>
    <row r="13011" spans="1:3" x14ac:dyDescent="0.25">
      <c r="A13011" s="2" t="str">
        <f ca="1">IFERROR(__xludf.DUMMYFUNCTION("""COMPUTED_VALUE"""),"toly")</f>
        <v>toly</v>
      </c>
      <c r="B13011" s="2" t="str">
        <f ca="1">IFERROR(__xludf.DUMMYFUNCTION("""COMPUTED_VALUE"""),"toly")</f>
        <v>toly</v>
      </c>
      <c r="C13011" s="2" t="str">
        <f ca="1">IFERROR(__xludf.DUMMYFUNCTION("""COMPUTED_VALUE"""),"Toly")</f>
        <v>Toly</v>
      </c>
    </row>
    <row r="13012" spans="1:3" x14ac:dyDescent="0.25">
      <c r="A13012" s="2" t="str">
        <f ca="1">IFERROR(__xludf.DUMMYFUNCTION("""COMPUTED_VALUE"""),"toly-s-cat")</f>
        <v>toly-s-cat</v>
      </c>
      <c r="B13012" s="2" t="str">
        <f ca="1">IFERROR(__xludf.DUMMYFUNCTION("""COMPUTED_VALUE"""),"tolycat")</f>
        <v>tolycat</v>
      </c>
      <c r="C13012" s="2" t="str">
        <f ca="1">IFERROR(__xludf.DUMMYFUNCTION("""COMPUTED_VALUE"""),"Toly's Cat")</f>
        <v>Toly's Cat</v>
      </c>
    </row>
    <row r="13013" spans="1:3" x14ac:dyDescent="0.25">
      <c r="A13013" s="2" t="str">
        <f ca="1">IFERROR(__xludf.DUMMYFUNCTION("""COMPUTED_VALUE"""),"tolys-cat")</f>
        <v>tolys-cat</v>
      </c>
      <c r="B13013" s="2" t="str">
        <f ca="1">IFERROR(__xludf.DUMMYFUNCTION("""COMPUTED_VALUE"""),"oppie")</f>
        <v>oppie</v>
      </c>
      <c r="C13013" s="2" t="str">
        <f ca="1">IFERROR(__xludf.DUMMYFUNCTION("""COMPUTED_VALUE"""),"TOLYS CAT")</f>
        <v>TOLYS CAT</v>
      </c>
    </row>
    <row r="13014" spans="1:3" x14ac:dyDescent="0.25">
      <c r="A13014" s="2" t="str">
        <f ca="1">IFERROR(__xludf.DUMMYFUNCTION("""COMPUTED_VALUE"""),"toman-coin")</f>
        <v>toman-coin</v>
      </c>
      <c r="B13014" s="2" t="str">
        <f ca="1">IFERROR(__xludf.DUMMYFUNCTION("""COMPUTED_VALUE"""),"tmc")</f>
        <v>tmc</v>
      </c>
      <c r="C13014" s="2" t="str">
        <f ca="1">IFERROR(__xludf.DUMMYFUNCTION("""COMPUTED_VALUE"""),"Toman Coin")</f>
        <v>Toman Coin</v>
      </c>
    </row>
    <row r="13015" spans="1:3" x14ac:dyDescent="0.25">
      <c r="A13015" s="2" t="str">
        <f ca="1">IFERROR(__xludf.DUMMYFUNCTION("""COMPUTED_VALUE"""),"tomb")</f>
        <v>tomb</v>
      </c>
      <c r="B13015" s="2" t="str">
        <f ca="1">IFERROR(__xludf.DUMMYFUNCTION("""COMPUTED_VALUE"""),"tomb")</f>
        <v>tomb</v>
      </c>
      <c r="C13015" s="2" t="str">
        <f ca="1">IFERROR(__xludf.DUMMYFUNCTION("""COMPUTED_VALUE"""),"Tomb")</f>
        <v>Tomb</v>
      </c>
    </row>
    <row r="13016" spans="1:3" x14ac:dyDescent="0.25">
      <c r="A13016" s="2" t="str">
        <f ca="1">IFERROR(__xludf.DUMMYFUNCTION("""COMPUTED_VALUE"""),"tombili-the-fat-cat")</f>
        <v>tombili-the-fat-cat</v>
      </c>
      <c r="B13016" s="2" t="str">
        <f ca="1">IFERROR(__xludf.DUMMYFUNCTION("""COMPUTED_VALUE"""),"fatcat")</f>
        <v>fatcat</v>
      </c>
      <c r="C13016" s="2" t="str">
        <f ca="1">IFERROR(__xludf.DUMMYFUNCTION("""COMPUTED_VALUE"""),"Tombili the Fat Cat")</f>
        <v>Tombili the Fat Cat</v>
      </c>
    </row>
    <row r="13017" spans="1:3" x14ac:dyDescent="0.25">
      <c r="A13017" s="2" t="str">
        <f ca="1">IFERROR(__xludf.DUMMYFUNCTION("""COMPUTED_VALUE"""),"tombplus")</f>
        <v>tombplus</v>
      </c>
      <c r="B13017" s="2" t="str">
        <f ca="1">IFERROR(__xludf.DUMMYFUNCTION("""COMPUTED_VALUE"""),"tomb+")</f>
        <v>tomb+</v>
      </c>
      <c r="C13017" s="2" t="str">
        <f ca="1">IFERROR(__xludf.DUMMYFUNCTION("""COMPUTED_VALUE"""),"Tomb+")</f>
        <v>Tomb+</v>
      </c>
    </row>
    <row r="13018" spans="1:3" x14ac:dyDescent="0.25">
      <c r="A13018" s="2" t="str">
        <f ca="1">IFERROR(__xludf.DUMMYFUNCTION("""COMPUTED_VALUE"""),"tombplus-tshare-plus")</f>
        <v>tombplus-tshare-plus</v>
      </c>
      <c r="B13018" s="2" t="str">
        <f ca="1">IFERROR(__xludf.DUMMYFUNCTION("""COMPUTED_VALUE"""),"tshare+")</f>
        <v>tshare+</v>
      </c>
      <c r="C13018" s="2" t="str">
        <f ca="1">IFERROR(__xludf.DUMMYFUNCTION("""COMPUTED_VALUE"""),"TombPlus TSHARE+")</f>
        <v>TombPlus TSHARE+</v>
      </c>
    </row>
    <row r="13019" spans="1:3" x14ac:dyDescent="0.25">
      <c r="A13019" s="2" t="str">
        <f ca="1">IFERROR(__xludf.DUMMYFUNCTION("""COMPUTED_VALUE"""),"tomb-shares")</f>
        <v>tomb-shares</v>
      </c>
      <c r="B13019" s="2" t="str">
        <f ca="1">IFERROR(__xludf.DUMMYFUNCTION("""COMPUTED_VALUE"""),"tshare")</f>
        <v>tshare</v>
      </c>
      <c r="C13019" s="2" t="str">
        <f ca="1">IFERROR(__xludf.DUMMYFUNCTION("""COMPUTED_VALUE"""),"Tomb Shares")</f>
        <v>Tomb Shares</v>
      </c>
    </row>
    <row r="13020" spans="1:3" x14ac:dyDescent="0.25">
      <c r="A13020" s="2" t="str">
        <f ca="1">IFERROR(__xludf.DUMMYFUNCTION("""COMPUTED_VALUE"""),"tom-coin")</f>
        <v>tom-coin</v>
      </c>
      <c r="B13020" s="2" t="str">
        <f ca="1">IFERROR(__xludf.DUMMYFUNCTION("""COMPUTED_VALUE"""),"tmc")</f>
        <v>tmc</v>
      </c>
      <c r="C13020" s="2" t="str">
        <f ca="1">IFERROR(__xludf.DUMMYFUNCTION("""COMPUTED_VALUE"""),"Tom Coin")</f>
        <v>Tom Coin</v>
      </c>
    </row>
    <row r="13021" spans="1:3" x14ac:dyDescent="0.25">
      <c r="A13021" s="2" t="str">
        <f ca="1">IFERROR(__xludf.DUMMYFUNCTION("""COMPUTED_VALUE"""),"tom-finance")</f>
        <v>tom-finance</v>
      </c>
      <c r="B13021" s="2" t="str">
        <f ca="1">IFERROR(__xludf.DUMMYFUNCTION("""COMPUTED_VALUE"""),"tom")</f>
        <v>tom</v>
      </c>
      <c r="C13021" s="2" t="str">
        <f ca="1">IFERROR(__xludf.DUMMYFUNCTION("""COMPUTED_VALUE"""),"TOM Finance")</f>
        <v>TOM Finance</v>
      </c>
    </row>
    <row r="13022" spans="1:3" x14ac:dyDescent="0.25">
      <c r="A13022" s="2" t="str">
        <f ca="1">IFERROR(__xludf.DUMMYFUNCTION("""COMPUTED_VALUE"""),"tominet")</f>
        <v>tominet</v>
      </c>
      <c r="B13022" s="2" t="str">
        <f ca="1">IFERROR(__xludf.DUMMYFUNCTION("""COMPUTED_VALUE"""),"tomi")</f>
        <v>tomi</v>
      </c>
      <c r="C13022" s="2" t="str">
        <f ca="1">IFERROR(__xludf.DUMMYFUNCTION("""COMPUTED_VALUE"""),"tomiNet")</f>
        <v>tomiNet</v>
      </c>
    </row>
    <row r="13023" spans="1:3" x14ac:dyDescent="0.25">
      <c r="A13023" s="2" t="str">
        <f ca="1">IFERROR(__xludf.DUMMYFUNCTION("""COMPUTED_VALUE"""),"tommy")</f>
        <v>tommy</v>
      </c>
      <c r="B13023" s="2" t="str">
        <f ca="1">IFERROR(__xludf.DUMMYFUNCTION("""COMPUTED_VALUE"""),"tommy")</f>
        <v>tommy</v>
      </c>
      <c r="C13023" s="2" t="str">
        <f ca="1">IFERROR(__xludf.DUMMYFUNCTION("""COMPUTED_VALUE"""),"TOMMY")</f>
        <v>TOMMY</v>
      </c>
    </row>
    <row r="13024" spans="1:3" x14ac:dyDescent="0.25">
      <c r="A13024" s="2" t="str">
        <f ca="1">IFERROR(__xludf.DUMMYFUNCTION("""COMPUTED_VALUE"""),"tomochain")</f>
        <v>tomochain</v>
      </c>
      <c r="B13024" s="2" t="str">
        <f ca="1">IFERROR(__xludf.DUMMYFUNCTION("""COMPUTED_VALUE"""),"vic")</f>
        <v>vic</v>
      </c>
      <c r="C13024" s="2" t="str">
        <f ca="1">IFERROR(__xludf.DUMMYFUNCTION("""COMPUTED_VALUE"""),"Viction")</f>
        <v>Viction</v>
      </c>
    </row>
    <row r="13025" spans="1:3" x14ac:dyDescent="0.25">
      <c r="A13025" s="2" t="str">
        <f ca="1">IFERROR(__xludf.DUMMYFUNCTION("""COMPUTED_VALUE"""),"tomoe")</f>
        <v>tomoe</v>
      </c>
      <c r="B13025" s="2" t="str">
        <f ca="1">IFERROR(__xludf.DUMMYFUNCTION("""COMPUTED_VALUE"""),"tomoe")</f>
        <v>tomoe</v>
      </c>
      <c r="C13025" s="2" t="str">
        <f ca="1">IFERROR(__xludf.DUMMYFUNCTION("""COMPUTED_VALUE"""),"TomoChain ERC-20")</f>
        <v>TomoChain ERC-20</v>
      </c>
    </row>
    <row r="13026" spans="1:3" x14ac:dyDescent="0.25">
      <c r="A13026" s="2" t="str">
        <f ca="1">IFERROR(__xludf.DUMMYFUNCTION("""COMPUTED_VALUE"""),"tomtomcoin")</f>
        <v>tomtomcoin</v>
      </c>
      <c r="B13026" s="2" t="str">
        <f ca="1">IFERROR(__xludf.DUMMYFUNCTION("""COMPUTED_VALUE"""),"toms")</f>
        <v>toms</v>
      </c>
      <c r="C13026" s="2" t="str">
        <f ca="1">IFERROR(__xludf.DUMMYFUNCTION("""COMPUTED_VALUE"""),"TomTomCoin")</f>
        <v>TomTomCoin</v>
      </c>
    </row>
    <row r="13027" spans="1:3" x14ac:dyDescent="0.25">
      <c r="A13027" s="2" t="str">
        <f ca="1">IFERROR(__xludf.DUMMYFUNCTION("""COMPUTED_VALUE"""),"tomwifhat")</f>
        <v>tomwifhat</v>
      </c>
      <c r="B13027" s="2" t="str">
        <f ca="1">IFERROR(__xludf.DUMMYFUNCTION("""COMPUTED_VALUE"""),"twif")</f>
        <v>twif</v>
      </c>
      <c r="C13027" s="2" t="str">
        <f ca="1">IFERROR(__xludf.DUMMYFUNCTION("""COMPUTED_VALUE"""),"Tomwifhat")</f>
        <v>Tomwifhat</v>
      </c>
    </row>
    <row r="13028" spans="1:3" x14ac:dyDescent="0.25">
      <c r="A13028" s="2" t="str">
        <f ca="1">IFERROR(__xludf.DUMMYFUNCTION("""COMPUTED_VALUE"""),"ton-cat")</f>
        <v>ton-cat</v>
      </c>
      <c r="B13028" s="2" t="str">
        <f ca="1">IFERROR(__xludf.DUMMYFUNCTION("""COMPUTED_VALUE"""),"tcat")</f>
        <v>tcat</v>
      </c>
      <c r="C13028" s="2" t="str">
        <f ca="1">IFERROR(__xludf.DUMMYFUNCTION("""COMPUTED_VALUE"""),"Ton Cat")</f>
        <v>Ton Cat</v>
      </c>
    </row>
    <row r="13029" spans="1:3" x14ac:dyDescent="0.25">
      <c r="A13029" s="2" t="str">
        <f ca="1">IFERROR(__xludf.DUMMYFUNCTION("""COMPUTED_VALUE"""),"ton-cats-jetton")</f>
        <v>ton-cats-jetton</v>
      </c>
      <c r="B13029" s="2" t="str">
        <f ca="1">IFERROR(__xludf.DUMMYFUNCTION("""COMPUTED_VALUE"""),"cats")</f>
        <v>cats</v>
      </c>
      <c r="C13029" s="2" t="str">
        <f ca="1">IFERROR(__xludf.DUMMYFUNCTION("""COMPUTED_VALUE"""),"TON Cats Jetton")</f>
        <v>TON Cats Jetton</v>
      </c>
    </row>
    <row r="13030" spans="1:3" x14ac:dyDescent="0.25">
      <c r="A13030" s="2" t="str">
        <f ca="1">IFERROR(__xludf.DUMMYFUNCTION("""COMPUTED_VALUE"""),"ton-dog")</f>
        <v>ton-dog</v>
      </c>
      <c r="B13030" s="2" t="str">
        <f ca="1">IFERROR(__xludf.DUMMYFUNCTION("""COMPUTED_VALUE"""),"tdog")</f>
        <v>tdog</v>
      </c>
      <c r="C13030" s="2" t="str">
        <f ca="1">IFERROR(__xludf.DUMMYFUNCTION("""COMPUTED_VALUE"""),"TON DOG")</f>
        <v>TON DOG</v>
      </c>
    </row>
    <row r="13031" spans="1:3" x14ac:dyDescent="0.25">
      <c r="A13031" s="2" t="str">
        <f ca="1">IFERROR(__xludf.DUMMYFUNCTION("""COMPUTED_VALUE"""),"tonex")</f>
        <v>tonex</v>
      </c>
      <c r="B13031" s="2" t="str">
        <f ca="1">IFERROR(__xludf.DUMMYFUNCTION("""COMPUTED_VALUE"""),"tnx")</f>
        <v>tnx</v>
      </c>
      <c r="C13031" s="2" t="str">
        <f ca="1">IFERROR(__xludf.DUMMYFUNCTION("""COMPUTED_VALUE"""),"Tonex")</f>
        <v>Tonex</v>
      </c>
    </row>
    <row r="13032" spans="1:3" x14ac:dyDescent="0.25">
      <c r="A13032" s="2" t="str">
        <f ca="1">IFERROR(__xludf.DUMMYFUNCTION("""COMPUTED_VALUE"""),"ton-fish-memecoin")</f>
        <v>ton-fish-memecoin</v>
      </c>
      <c r="B13032" s="2" t="str">
        <f ca="1">IFERROR(__xludf.DUMMYFUNCTION("""COMPUTED_VALUE"""),"fish")</f>
        <v>fish</v>
      </c>
      <c r="C13032" s="2" t="str">
        <f ca="1">IFERROR(__xludf.DUMMYFUNCTION("""COMPUTED_VALUE"""),"TON FISH MEMECOIN")</f>
        <v>TON FISH MEMECOIN</v>
      </c>
    </row>
    <row r="13033" spans="1:3" x14ac:dyDescent="0.25">
      <c r="A13033" s="2" t="str">
        <f ca="1">IFERROR(__xludf.DUMMYFUNCTION("""COMPUTED_VALUE"""),"tong")</f>
        <v>tong</v>
      </c>
      <c r="B13033" s="2" t="str">
        <f ca="1">IFERROR(__xludf.DUMMYFUNCTION("""COMPUTED_VALUE"""),"tong")</f>
        <v>tong</v>
      </c>
      <c r="C13033" s="2" t="str">
        <f ca="1">IFERROR(__xludf.DUMMYFUNCTION("""COMPUTED_VALUE"""),"Tong")</f>
        <v>Tong</v>
      </c>
    </row>
    <row r="13034" spans="1:3" x14ac:dyDescent="0.25">
      <c r="A13034" s="2" t="str">
        <f ca="1">IFERROR(__xludf.DUMMYFUNCTION("""COMPUTED_VALUE"""),"tongpu")</f>
        <v>tongpu</v>
      </c>
      <c r="B13034" s="2" t="str">
        <f ca="1">IFERROR(__xludf.DUMMYFUNCTION("""COMPUTED_VALUE"""),"tgpu")</f>
        <v>tgpu</v>
      </c>
      <c r="C13034" s="2" t="str">
        <f ca="1">IFERROR(__xludf.DUMMYFUNCTION("""COMPUTED_VALUE"""),"TonGPU")</f>
        <v>TonGPU</v>
      </c>
    </row>
    <row r="13035" spans="1:3" x14ac:dyDescent="0.25">
      <c r="A13035" s="2" t="str">
        <f ca="1">IFERROR(__xludf.DUMMYFUNCTION("""COMPUTED_VALUE"""),"tongtong-coin")</f>
        <v>tongtong-coin</v>
      </c>
      <c r="B13035" s="2" t="str">
        <f ca="1">IFERROR(__xludf.DUMMYFUNCTION("""COMPUTED_VALUE"""),"ttc")</f>
        <v>ttc</v>
      </c>
      <c r="C13035" s="2" t="str">
        <f ca="1">IFERROR(__xludf.DUMMYFUNCTION("""COMPUTED_VALUE"""),"Tongtong Coin")</f>
        <v>Tongtong Coin</v>
      </c>
    </row>
    <row r="13036" spans="1:3" x14ac:dyDescent="0.25">
      <c r="A13036" s="2" t="str">
        <f ca="1">IFERROR(__xludf.DUMMYFUNCTION("""COMPUTED_VALUE"""),"tongue-cat")</f>
        <v>tongue-cat</v>
      </c>
      <c r="B13036" s="2" t="str">
        <f ca="1">IFERROR(__xludf.DUMMYFUNCTION("""COMPUTED_VALUE"""),"luis")</f>
        <v>luis</v>
      </c>
      <c r="C13036" s="2" t="str">
        <f ca="1">IFERROR(__xludf.DUMMYFUNCTION("""COMPUTED_VALUE"""),"Tongue Cat")</f>
        <v>Tongue Cat</v>
      </c>
    </row>
    <row r="13037" spans="1:3" x14ac:dyDescent="0.25">
      <c r="A13037" s="2" t="str">
        <f ca="1">IFERROR(__xludf.DUMMYFUNCTION("""COMPUTED_VALUE"""),"tonhydra")</f>
        <v>tonhydra</v>
      </c>
      <c r="B13037" s="2" t="str">
        <f ca="1">IFERROR(__xludf.DUMMYFUNCTION("""COMPUTED_VALUE"""),"hydra")</f>
        <v>hydra</v>
      </c>
      <c r="C13037" s="2" t="str">
        <f ca="1">IFERROR(__xludf.DUMMYFUNCTION("""COMPUTED_VALUE"""),"Hydra")</f>
        <v>Hydra</v>
      </c>
    </row>
    <row r="13038" spans="1:3" x14ac:dyDescent="0.25">
      <c r="A13038" s="2" t="str">
        <f ca="1">IFERROR(__xludf.DUMMYFUNCTION("""COMPUTED_VALUE"""),"ton-inu")</f>
        <v>ton-inu</v>
      </c>
      <c r="B13038" s="2" t="str">
        <f ca="1">IFERROR(__xludf.DUMMYFUNCTION("""COMPUTED_VALUE"""),"tinu")</f>
        <v>tinu</v>
      </c>
      <c r="C13038" s="2" t="str">
        <f ca="1">IFERROR(__xludf.DUMMYFUNCTION("""COMPUTED_VALUE"""),"Ton Inu")</f>
        <v>Ton Inu</v>
      </c>
    </row>
    <row r="13039" spans="1:3" x14ac:dyDescent="0.25">
      <c r="A13039" s="2" t="str">
        <f ca="1">IFERROR(__xludf.DUMMYFUNCTION("""COMPUTED_VALUE"""),"tonk-inu")</f>
        <v>tonk-inu</v>
      </c>
      <c r="B13039" s="2" t="str">
        <f ca="1">IFERROR(__xludf.DUMMYFUNCTION("""COMPUTED_VALUE"""),"tonk")</f>
        <v>tonk</v>
      </c>
      <c r="C13039" s="2" t="str">
        <f ca="1">IFERROR(__xludf.DUMMYFUNCTION("""COMPUTED_VALUE"""),"Tonk Inu")</f>
        <v>Tonk Inu</v>
      </c>
    </row>
    <row r="13040" spans="1:3" x14ac:dyDescent="0.25">
      <c r="A13040" s="2" t="str">
        <f ca="1">IFERROR(__xludf.DUMMYFUNCTION("""COMPUTED_VALUE"""),"tonkit")</f>
        <v>tonkit</v>
      </c>
      <c r="B13040" s="2" t="str">
        <f ca="1">IFERROR(__xludf.DUMMYFUNCTION("""COMPUTED_VALUE"""),"tont")</f>
        <v>tont</v>
      </c>
      <c r="C13040" s="2" t="str">
        <f ca="1">IFERROR(__xludf.DUMMYFUNCTION("""COMPUTED_VALUE"""),"TONKIT")</f>
        <v>TONKIT</v>
      </c>
    </row>
    <row r="13041" spans="1:3" x14ac:dyDescent="0.25">
      <c r="A13041" s="2" t="str">
        <f ca="1">IFERROR(__xludf.DUMMYFUNCTION("""COMPUTED_VALUE"""),"ton-kong")</f>
        <v>ton-kong</v>
      </c>
      <c r="B13041" s="2" t="str">
        <f ca="1">IFERROR(__xludf.DUMMYFUNCTION("""COMPUTED_VALUE"""),"kong")</f>
        <v>kong</v>
      </c>
      <c r="C13041" s="2" t="str">
        <f ca="1">IFERROR(__xludf.DUMMYFUNCTION("""COMPUTED_VALUE"""),"TON KONG")</f>
        <v>TON KONG</v>
      </c>
    </row>
    <row r="13042" spans="1:3" x14ac:dyDescent="0.25">
      <c r="A13042" s="2" t="str">
        <f ca="1">IFERROR(__xludf.DUMMYFUNCTION("""COMPUTED_VALUE"""),"tonminer")</f>
        <v>tonminer</v>
      </c>
      <c r="B13042" s="2" t="str">
        <f ca="1">IFERROR(__xludf.DUMMYFUNCTION("""COMPUTED_VALUE"""),"1rus")</f>
        <v>1rus</v>
      </c>
      <c r="C13042" s="2" t="str">
        <f ca="1">IFERROR(__xludf.DUMMYFUNCTION("""COMPUTED_VALUE"""),"TonMiner")</f>
        <v>TonMiner</v>
      </c>
    </row>
    <row r="13043" spans="1:3" x14ac:dyDescent="0.25">
      <c r="A13043" s="2" t="str">
        <f ca="1">IFERROR(__xludf.DUMMYFUNCTION("""COMPUTED_VALUE"""),"ton-mixer")</f>
        <v>ton-mixer</v>
      </c>
      <c r="B13043" s="2" t="str">
        <f ca="1">IFERROR(__xludf.DUMMYFUNCTION("""COMPUTED_VALUE"""),"mixer")</f>
        <v>mixer</v>
      </c>
      <c r="C13043" s="2" t="str">
        <f ca="1">IFERROR(__xludf.DUMMYFUNCTION("""COMPUTED_VALUE"""),"$TON Mixer")</f>
        <v>$TON Mixer</v>
      </c>
    </row>
    <row r="13044" spans="1:3" x14ac:dyDescent="0.25">
      <c r="A13044" s="2" t="str">
        <f ca="1">IFERROR(__xludf.DUMMYFUNCTION("""COMPUTED_VALUE"""),"tonnel-network")</f>
        <v>tonnel-network</v>
      </c>
      <c r="B13044" s="2" t="str">
        <f ca="1">IFERROR(__xludf.DUMMYFUNCTION("""COMPUTED_VALUE"""),"tonnel")</f>
        <v>tonnel</v>
      </c>
      <c r="C13044" s="2" t="str">
        <f ca="1">IFERROR(__xludf.DUMMYFUNCTION("""COMPUTED_VALUE"""),"TONNEL Network")</f>
        <v>TONNEL Network</v>
      </c>
    </row>
    <row r="13045" spans="1:3" x14ac:dyDescent="0.25">
      <c r="A13045" s="2" t="str">
        <f ca="1">IFERROR(__xludf.DUMMYFUNCTION("""COMPUTED_VALUE"""),"tonny")</f>
        <v>tonny</v>
      </c>
      <c r="B13045" s="2" t="str">
        <f ca="1">IFERROR(__xludf.DUMMYFUNCTION("""COMPUTED_VALUE"""),"tonny")</f>
        <v>tonny</v>
      </c>
      <c r="C13045" s="2" t="str">
        <f ca="1">IFERROR(__xludf.DUMMYFUNCTION("""COMPUTED_VALUE"""),"Tonny")</f>
        <v>Tonny</v>
      </c>
    </row>
    <row r="13046" spans="1:3" x14ac:dyDescent="0.25">
      <c r="A13046" s="2" t="str">
        <f ca="1">IFERROR(__xludf.DUMMYFUNCTION("""COMPUTED_VALUE"""),"tonoreum")</f>
        <v>tonoreum</v>
      </c>
      <c r="B13046" s="2" t="str">
        <f ca="1">IFERROR(__xludf.DUMMYFUNCTION("""COMPUTED_VALUE"""),"tor")</f>
        <v>tor</v>
      </c>
      <c r="C13046" s="2" t="str">
        <f ca="1">IFERROR(__xludf.DUMMYFUNCTION("""COMPUTED_VALUE"""),"Tonoreum")</f>
        <v>Tonoreum</v>
      </c>
    </row>
    <row r="13047" spans="1:3" x14ac:dyDescent="0.25">
      <c r="A13047" s="2" t="str">
        <f ca="1">IFERROR(__xludf.DUMMYFUNCTION("""COMPUTED_VALUE"""),"ton-printer")</f>
        <v>ton-printer</v>
      </c>
      <c r="B13047" s="2" t="str">
        <f ca="1">IFERROR(__xludf.DUMMYFUNCTION("""COMPUTED_VALUE"""),"tp")</f>
        <v>tp</v>
      </c>
      <c r="C13047" s="2" t="str">
        <f ca="1">IFERROR(__xludf.DUMMYFUNCTION("""COMPUTED_VALUE"""),"Ton Printer")</f>
        <v>Ton Printer</v>
      </c>
    </row>
    <row r="13048" spans="1:3" x14ac:dyDescent="0.25">
      <c r="A13048" s="2" t="str">
        <f ca="1">IFERROR(__xludf.DUMMYFUNCTION("""COMPUTED_VALUE"""),"ton-raffles")</f>
        <v>ton-raffles</v>
      </c>
      <c r="B13048" s="2" t="str">
        <f ca="1">IFERROR(__xludf.DUMMYFUNCTION("""COMPUTED_VALUE"""),"raff")</f>
        <v>raff</v>
      </c>
      <c r="C13048" s="2" t="str">
        <f ca="1">IFERROR(__xludf.DUMMYFUNCTION("""COMPUTED_VALUE"""),"TON Raffles")</f>
        <v>TON Raffles</v>
      </c>
    </row>
    <row r="13049" spans="1:3" x14ac:dyDescent="0.25">
      <c r="A13049" s="2" t="str">
        <f ca="1">IFERROR(__xludf.DUMMYFUNCTION("""COMPUTED_VALUE"""),"ton-renaissance")</f>
        <v>ton-renaissance</v>
      </c>
      <c r="B13049" s="2" t="str">
        <f ca="1">IFERROR(__xludf.DUMMYFUNCTION("""COMPUTED_VALUE"""),"tonr")</f>
        <v>tonr</v>
      </c>
      <c r="C13049" s="2" t="str">
        <f ca="1">IFERROR(__xludf.DUMMYFUNCTION("""COMPUTED_VALUE"""),"Ton Renaissance")</f>
        <v>Ton Renaissance</v>
      </c>
    </row>
    <row r="13050" spans="1:3" x14ac:dyDescent="0.25">
      <c r="A13050" s="2" t="str">
        <f ca="1">IFERROR(__xludf.DUMMYFUNCTION("""COMPUTED_VALUE"""),"ton-ship")</f>
        <v>ton-ship</v>
      </c>
      <c r="B13050" s="2" t="str">
        <f ca="1">IFERROR(__xludf.DUMMYFUNCTION("""COMPUTED_VALUE"""),"ship")</f>
        <v>ship</v>
      </c>
      <c r="C13050" s="2" t="str">
        <f ca="1">IFERROR(__xludf.DUMMYFUNCTION("""COMPUTED_VALUE"""),"Ton Ship")</f>
        <v>Ton Ship</v>
      </c>
    </row>
    <row r="13051" spans="1:3" x14ac:dyDescent="0.25">
      <c r="A13051" s="2" t="str">
        <f ca="1">IFERROR(__xludf.DUMMYFUNCTION("""COMPUTED_VALUE"""),"tonsniper")</f>
        <v>tonsniper</v>
      </c>
      <c r="B13051" s="2" t="str">
        <f ca="1">IFERROR(__xludf.DUMMYFUNCTION("""COMPUTED_VALUE"""),"tons")</f>
        <v>tons</v>
      </c>
      <c r="C13051" s="2" t="str">
        <f ca="1">IFERROR(__xludf.DUMMYFUNCTION("""COMPUTED_VALUE"""),"TONSniper")</f>
        <v>TONSniper</v>
      </c>
    </row>
    <row r="13052" spans="1:3" x14ac:dyDescent="0.25">
      <c r="A13052" s="2" t="str">
        <f ca="1">IFERROR(__xludf.DUMMYFUNCTION("""COMPUTED_VALUE"""),"tonstakers")</f>
        <v>tonstakers</v>
      </c>
      <c r="B13052" s="2" t="str">
        <f ca="1">IFERROR(__xludf.DUMMYFUNCTION("""COMPUTED_VALUE"""),"tston")</f>
        <v>tston</v>
      </c>
      <c r="C13052" s="2" t="str">
        <f ca="1">IFERROR(__xludf.DUMMYFUNCTION("""COMPUTED_VALUE"""),"Tonstakers")</f>
        <v>Tonstakers</v>
      </c>
    </row>
    <row r="13053" spans="1:3" x14ac:dyDescent="0.25">
      <c r="A13053" s="2" t="str">
        <f ca="1">IFERROR(__xludf.DUMMYFUNCTION("""COMPUTED_VALUE"""),"ton-stars")</f>
        <v>ton-stars</v>
      </c>
      <c r="B13053" s="2" t="str">
        <f ca="1">IFERROR(__xludf.DUMMYFUNCTION("""COMPUTED_VALUE"""),"stars")</f>
        <v>stars</v>
      </c>
      <c r="C13053" s="2" t="str">
        <f ca="1">IFERROR(__xludf.DUMMYFUNCTION("""COMPUTED_VALUE"""),"Ton Stars")</f>
        <v>Ton Stars</v>
      </c>
    </row>
    <row r="13054" spans="1:3" x14ac:dyDescent="0.25">
      <c r="A13054" s="2" t="str">
        <f ca="1">IFERROR(__xludf.DUMMYFUNCTION("""COMPUTED_VALUE"""),"tonstarter")</f>
        <v>tonstarter</v>
      </c>
      <c r="B13054" s="2" t="str">
        <f ca="1">IFERROR(__xludf.DUMMYFUNCTION("""COMPUTED_VALUE"""),"tos")</f>
        <v>tos</v>
      </c>
      <c r="C13054" s="2" t="str">
        <f ca="1">IFERROR(__xludf.DUMMYFUNCTION("""COMPUTED_VALUE"""),"TONStarter")</f>
        <v>TONStarter</v>
      </c>
    </row>
    <row r="13055" spans="1:3" x14ac:dyDescent="0.25">
      <c r="A13055" s="2" t="str">
        <f ca="1">IFERROR(__xludf.DUMMYFUNCTION("""COMPUTED_VALUE"""),"ton-tiger")</f>
        <v>ton-tiger</v>
      </c>
      <c r="B13055" s="2" t="str">
        <f ca="1">IFERROR(__xludf.DUMMYFUNCTION("""COMPUTED_VALUE"""),"tiger")</f>
        <v>tiger</v>
      </c>
      <c r="C13055" s="2" t="str">
        <f ca="1">IFERROR(__xludf.DUMMYFUNCTION("""COMPUTED_VALUE"""),"TON Tiger")</f>
        <v>TON Tiger</v>
      </c>
    </row>
    <row r="13056" spans="1:3" x14ac:dyDescent="0.25">
      <c r="A13056" s="2" t="str">
        <f ca="1">IFERROR(__xludf.DUMMYFUNCTION("""COMPUTED_VALUE"""),"tontoken")</f>
        <v>tontoken</v>
      </c>
      <c r="B13056" s="2" t="str">
        <f ca="1">IFERROR(__xludf.DUMMYFUNCTION("""COMPUTED_VALUE"""),"ton")</f>
        <v>ton</v>
      </c>
      <c r="C13056" s="2" t="str">
        <f ca="1">IFERROR(__xludf.DUMMYFUNCTION("""COMPUTED_VALUE"""),"TON Community")</f>
        <v>TON Community</v>
      </c>
    </row>
    <row r="13057" spans="1:3" x14ac:dyDescent="0.25">
      <c r="A13057" s="2" t="str">
        <f ca="1">IFERROR(__xludf.DUMMYFUNCTION("""COMPUTED_VALUE"""),"tonx")</f>
        <v>tonx</v>
      </c>
      <c r="B13057" s="2" t="str">
        <f ca="1">IFERROR(__xludf.DUMMYFUNCTION("""COMPUTED_VALUE"""),"tele")</f>
        <v>tele</v>
      </c>
      <c r="C13057" s="2" t="str">
        <f ca="1">IFERROR(__xludf.DUMMYFUNCTION("""COMPUTED_VALUE"""),"TELE")</f>
        <v>TELE</v>
      </c>
    </row>
    <row r="13058" spans="1:3" x14ac:dyDescent="0.25">
      <c r="A13058" s="2" t="str">
        <f ca="1">IFERROR(__xludf.DUMMYFUNCTION("""COMPUTED_VALUE"""),"tony")</f>
        <v>tony</v>
      </c>
      <c r="B13058" s="2" t="str">
        <f ca="1">IFERROR(__xludf.DUMMYFUNCTION("""COMPUTED_VALUE"""),"tny")</f>
        <v>tny</v>
      </c>
      <c r="C13058" s="2" t="str">
        <f ca="1">IFERROR(__xludf.DUMMYFUNCTION("""COMPUTED_VALUE"""),"TONY")</f>
        <v>TONY</v>
      </c>
    </row>
    <row r="13059" spans="1:3" x14ac:dyDescent="0.25">
      <c r="A13059" s="2" t="str">
        <f ca="1">IFERROR(__xludf.DUMMYFUNCTION("""COMPUTED_VALUE"""),"tony-mcduck")</f>
        <v>tony-mcduck</v>
      </c>
      <c r="B13059" s="2" t="str">
        <f ca="1">IFERROR(__xludf.DUMMYFUNCTION("""COMPUTED_VALUE"""),"tony")</f>
        <v>tony</v>
      </c>
      <c r="C13059" s="2" t="str">
        <f ca="1">IFERROR(__xludf.DUMMYFUNCTION("""COMPUTED_VALUE"""),"Tony McDuck")</f>
        <v>Tony McDuck</v>
      </c>
    </row>
    <row r="13060" spans="1:3" x14ac:dyDescent="0.25">
      <c r="A13060" s="2" t="str">
        <f ca="1">IFERROR(__xludf.DUMMYFUNCTION("""COMPUTED_VALUE"""),"tony-the-duck")</f>
        <v>tony-the-duck</v>
      </c>
      <c r="B13060" s="2" t="str">
        <f ca="1">IFERROR(__xludf.DUMMYFUNCTION("""COMPUTED_VALUE"""),"tony")</f>
        <v>tony</v>
      </c>
      <c r="C13060" s="2" t="str">
        <f ca="1">IFERROR(__xludf.DUMMYFUNCTION("""COMPUTED_VALUE"""),"TONY THE DUCK")</f>
        <v>TONY THE DUCK</v>
      </c>
    </row>
    <row r="13061" spans="1:3" x14ac:dyDescent="0.25">
      <c r="A13061" s="2" t="str">
        <f ca="1">IFERROR(__xludf.DUMMYFUNCTION("""COMPUTED_VALUE"""),"tooker-kurlson")</f>
        <v>tooker-kurlson</v>
      </c>
      <c r="B13061" s="2" t="str">
        <f ca="1">IFERROR(__xludf.DUMMYFUNCTION("""COMPUTED_VALUE"""),"tooker")</f>
        <v>tooker</v>
      </c>
      <c r="C13061" s="2" t="str">
        <f ca="1">IFERROR(__xludf.DUMMYFUNCTION("""COMPUTED_VALUE"""),"tooker kurlson")</f>
        <v>tooker kurlson</v>
      </c>
    </row>
    <row r="13062" spans="1:3" x14ac:dyDescent="0.25">
      <c r="A13062" s="2" t="str">
        <f ca="1">IFERROR(__xludf.DUMMYFUNCTION("""COMPUTED_VALUE"""),"tools")</f>
        <v>tools</v>
      </c>
      <c r="B13062" s="2" t="str">
        <f ca="1">IFERROR(__xludf.DUMMYFUNCTION("""COMPUTED_VALUE"""),"tools")</f>
        <v>tools</v>
      </c>
      <c r="C13062" s="2" t="str">
        <f ca="1">IFERROR(__xludf.DUMMYFUNCTION("""COMPUTED_VALUE"""),"TOOLS")</f>
        <v>TOOLS</v>
      </c>
    </row>
    <row r="13063" spans="1:3" x14ac:dyDescent="0.25">
      <c r="A13063" s="2" t="str">
        <f ca="1">IFERROR(__xludf.DUMMYFUNCTION("""COMPUTED_VALUE"""),"tools-fi")</f>
        <v>tools-fi</v>
      </c>
      <c r="B13063" s="2" t="str">
        <f ca="1">IFERROR(__xludf.DUMMYFUNCTION("""COMPUTED_VALUE"""),"tools-fi")</f>
        <v>tools-fi</v>
      </c>
      <c r="C13063" s="2" t="str">
        <f ca="1">IFERROR(__xludf.DUMMYFUNCTION("""COMPUTED_VALUE"""),"Tools-Fi")</f>
        <v>Tools-Fi</v>
      </c>
    </row>
    <row r="13064" spans="1:3" x14ac:dyDescent="0.25">
      <c r="A13064" s="2" t="str">
        <f ca="1">IFERROR(__xludf.DUMMYFUNCTION("""COMPUTED_VALUE"""),"toon-of-meme")</f>
        <v>toon-of-meme</v>
      </c>
      <c r="B13064" s="2" t="str">
        <f ca="1">IFERROR(__xludf.DUMMYFUNCTION("""COMPUTED_VALUE"""),"tome")</f>
        <v>tome</v>
      </c>
      <c r="C13064" s="2" t="str">
        <f ca="1">IFERROR(__xludf.DUMMYFUNCTION("""COMPUTED_VALUE"""),"Toon Of Meme")</f>
        <v>Toon Of Meme</v>
      </c>
    </row>
    <row r="13065" spans="1:3" x14ac:dyDescent="0.25">
      <c r="A13065" s="2" t="str">
        <f ca="1">IFERROR(__xludf.DUMMYFUNCTION("""COMPUTED_VALUE"""),"topcat-2")</f>
        <v>topcat-2</v>
      </c>
      <c r="B13065" s="2" t="str">
        <f ca="1">IFERROR(__xludf.DUMMYFUNCTION("""COMPUTED_VALUE"""),"topcat")</f>
        <v>topcat</v>
      </c>
      <c r="C13065" s="2" t="str">
        <f ca="1">IFERROR(__xludf.DUMMYFUNCTION("""COMPUTED_VALUE"""),"Topcat")</f>
        <v>Topcat</v>
      </c>
    </row>
    <row r="13066" spans="1:3" x14ac:dyDescent="0.25">
      <c r="A13066" s="2" t="str">
        <f ca="1">IFERROR(__xludf.DUMMYFUNCTION("""COMPUTED_VALUE"""),"topcat-in-sol")</f>
        <v>topcat-in-sol</v>
      </c>
      <c r="B13066" s="2" t="str">
        <f ca="1">IFERROR(__xludf.DUMMYFUNCTION("""COMPUTED_VALUE"""),"topcat")</f>
        <v>topcat</v>
      </c>
      <c r="C13066" s="2" t="str">
        <f ca="1">IFERROR(__xludf.DUMMYFUNCTION("""COMPUTED_VALUE"""),"TOPCAT in SOL")</f>
        <v>TOPCAT in SOL</v>
      </c>
    </row>
    <row r="13067" spans="1:3" x14ac:dyDescent="0.25">
      <c r="A13067" s="2" t="str">
        <f ca="1">IFERROR(__xludf.DUMMYFUNCTION("""COMPUTED_VALUE"""),"top-g")</f>
        <v>top-g</v>
      </c>
      <c r="B13067" s="2" t="str">
        <f ca="1">IFERROR(__xludf.DUMMYFUNCTION("""COMPUTED_VALUE"""),"topg")</f>
        <v>topg</v>
      </c>
      <c r="C13067" s="2" t="str">
        <f ca="1">IFERROR(__xludf.DUMMYFUNCTION("""COMPUTED_VALUE"""),"Top G")</f>
        <v>Top G</v>
      </c>
    </row>
    <row r="13068" spans="1:3" x14ac:dyDescent="0.25">
      <c r="A13068" s="2" t="str">
        <f ca="1">IFERROR(__xludf.DUMMYFUNCTION("""COMPUTED_VALUE"""),"topgoal")</f>
        <v>topgoal</v>
      </c>
      <c r="B13068" s="2" t="str">
        <f ca="1">IFERROR(__xludf.DUMMYFUNCTION("""COMPUTED_VALUE"""),"goal")</f>
        <v>goal</v>
      </c>
      <c r="C13068" s="2" t="str">
        <f ca="1">IFERROR(__xludf.DUMMYFUNCTION("""COMPUTED_VALUE"""),"TopGoal")</f>
        <v>TopGoal</v>
      </c>
    </row>
    <row r="13069" spans="1:3" x14ac:dyDescent="0.25">
      <c r="A13069" s="2" t="str">
        <f ca="1">IFERROR(__xludf.DUMMYFUNCTION("""COMPUTED_VALUE"""),"top-jeet")</f>
        <v>top-jeet</v>
      </c>
      <c r="B13069" s="2" t="str">
        <f ca="1">IFERROR(__xludf.DUMMYFUNCTION("""COMPUTED_VALUE"""),"topj")</f>
        <v>topj</v>
      </c>
      <c r="C13069" s="2" t="str">
        <f ca="1">IFERROR(__xludf.DUMMYFUNCTION("""COMPUTED_VALUE"""),"Top Jeet")</f>
        <v>Top Jeet</v>
      </c>
    </row>
    <row r="13070" spans="1:3" x14ac:dyDescent="0.25">
      <c r="A13070" s="2" t="str">
        <f ca="1">IFERROR(__xludf.DUMMYFUNCTION("""COMPUTED_VALUE"""),"topmanager")</f>
        <v>topmanager</v>
      </c>
      <c r="B13070" s="2" t="str">
        <f ca="1">IFERROR(__xludf.DUMMYFUNCTION("""COMPUTED_VALUE"""),"tmt")</f>
        <v>tmt</v>
      </c>
      <c r="C13070" s="2" t="str">
        <f ca="1">IFERROR(__xludf.DUMMYFUNCTION("""COMPUTED_VALUE"""),"TopManager")</f>
        <v>TopManager</v>
      </c>
    </row>
    <row r="13071" spans="1:3" x14ac:dyDescent="0.25">
      <c r="A13071" s="2" t="str">
        <f ca="1">IFERROR(__xludf.DUMMYFUNCTION("""COMPUTED_VALUE"""),"top-network")</f>
        <v>top-network</v>
      </c>
      <c r="B13071" s="2" t="str">
        <f ca="1">IFERROR(__xludf.DUMMYFUNCTION("""COMPUTED_VALUE"""),"top")</f>
        <v>top</v>
      </c>
      <c r="C13071" s="2" t="str">
        <f ca="1">IFERROR(__xludf.DUMMYFUNCTION("""COMPUTED_VALUE"""),"TOP AI Network")</f>
        <v>TOP AI Network</v>
      </c>
    </row>
    <row r="13072" spans="1:3" x14ac:dyDescent="0.25">
      <c r="A13072" s="2" t="str">
        <f ca="1">IFERROR(__xludf.DUMMYFUNCTION("""COMPUTED_VALUE"""),"topshelf-finance")</f>
        <v>topshelf-finance</v>
      </c>
      <c r="B13072" s="2" t="str">
        <f ca="1">IFERROR(__xludf.DUMMYFUNCTION("""COMPUTED_VALUE"""),"liqr")</f>
        <v>liqr</v>
      </c>
      <c r="C13072" s="2" t="str">
        <f ca="1">IFERROR(__xludf.DUMMYFUNCTION("""COMPUTED_VALUE"""),"Topshelf Finance")</f>
        <v>Topshelf Finance</v>
      </c>
    </row>
    <row r="13073" spans="1:3" x14ac:dyDescent="0.25">
      <c r="A13073" s="2" t="str">
        <f ca="1">IFERROR(__xludf.DUMMYFUNCTION("""COMPUTED_VALUE"""),"toptrade")</f>
        <v>toptrade</v>
      </c>
      <c r="B13073" s="2" t="str">
        <f ca="1">IFERROR(__xludf.DUMMYFUNCTION("""COMPUTED_VALUE"""),"ttt")</f>
        <v>ttt</v>
      </c>
      <c r="C13073" s="2" t="str">
        <f ca="1">IFERROR(__xludf.DUMMYFUNCTION("""COMPUTED_VALUE"""),"TopTrade")</f>
        <v>TopTrade</v>
      </c>
    </row>
    <row r="13074" spans="1:3" x14ac:dyDescent="0.25">
      <c r="A13074" s="2" t="str">
        <f ca="1">IFERROR(__xludf.DUMMYFUNCTION("""COMPUTED_VALUE"""),"tor")</f>
        <v>tor</v>
      </c>
      <c r="B13074" s="2" t="str">
        <f ca="1">IFERROR(__xludf.DUMMYFUNCTION("""COMPUTED_VALUE"""),"tor")</f>
        <v>tor</v>
      </c>
      <c r="C13074" s="2" t="str">
        <f ca="1">IFERROR(__xludf.DUMMYFUNCTION("""COMPUTED_VALUE"""),"TOR")</f>
        <v>TOR</v>
      </c>
    </row>
    <row r="13075" spans="1:3" x14ac:dyDescent="0.25">
      <c r="A13075" s="2" t="str">
        <f ca="1">IFERROR(__xludf.DUMMYFUNCTION("""COMPUTED_VALUE"""),"tora-neko")</f>
        <v>tora-neko</v>
      </c>
      <c r="B13075" s="2" t="str">
        <f ca="1">IFERROR(__xludf.DUMMYFUNCTION("""COMPUTED_VALUE"""),"tora")</f>
        <v>tora</v>
      </c>
      <c r="C13075" s="2" t="str">
        <f ca="1">IFERROR(__xludf.DUMMYFUNCTION("""COMPUTED_VALUE"""),"TORA NEKO")</f>
        <v>TORA NEKO</v>
      </c>
    </row>
    <row r="13076" spans="1:3" x14ac:dyDescent="0.25">
      <c r="A13076" s="2" t="str">
        <f ca="1">IFERROR(__xludf.DUMMYFUNCTION("""COMPUTED_VALUE"""),"torg")</f>
        <v>torg</v>
      </c>
      <c r="B13076" s="2" t="str">
        <f ca="1">IFERROR(__xludf.DUMMYFUNCTION("""COMPUTED_VALUE"""),"torg")</f>
        <v>torg</v>
      </c>
      <c r="C13076" s="2" t="str">
        <f ca="1">IFERROR(__xludf.DUMMYFUNCTION("""COMPUTED_VALUE"""),"TORG")</f>
        <v>TORG</v>
      </c>
    </row>
    <row r="13077" spans="1:3" x14ac:dyDescent="0.25">
      <c r="A13077" s="2" t="str">
        <f ca="1">IFERROR(__xludf.DUMMYFUNCTION("""COMPUTED_VALUE"""),"tori-the-cat")</f>
        <v>tori-the-cat</v>
      </c>
      <c r="B13077" s="2" t="str">
        <f ca="1">IFERROR(__xludf.DUMMYFUNCTION("""COMPUTED_VALUE"""),"tori")</f>
        <v>tori</v>
      </c>
      <c r="C13077" s="2" t="str">
        <f ca="1">IFERROR(__xludf.DUMMYFUNCTION("""COMPUTED_VALUE"""),"Tori the Cat")</f>
        <v>Tori the Cat</v>
      </c>
    </row>
    <row r="13078" spans="1:3" x14ac:dyDescent="0.25">
      <c r="A13078" s="2" t="str">
        <f ca="1">IFERROR(__xludf.DUMMYFUNCTION("""COMPUTED_VALUE"""),"tornado-cash")</f>
        <v>tornado-cash</v>
      </c>
      <c r="B13078" s="2" t="str">
        <f ca="1">IFERROR(__xludf.DUMMYFUNCTION("""COMPUTED_VALUE"""),"torn")</f>
        <v>torn</v>
      </c>
      <c r="C13078" s="2" t="str">
        <f ca="1">IFERROR(__xludf.DUMMYFUNCTION("""COMPUTED_VALUE"""),"Tornado Cash")</f>
        <v>Tornado Cash</v>
      </c>
    </row>
    <row r="13079" spans="1:3" x14ac:dyDescent="0.25">
      <c r="A13079" s="2" t="str">
        <f ca="1">IFERROR(__xludf.DUMMYFUNCTION("""COMPUTED_VALUE"""),"toro")</f>
        <v>toro</v>
      </c>
      <c r="B13079" s="2" t="str">
        <f ca="1">IFERROR(__xludf.DUMMYFUNCTION("""COMPUTED_VALUE"""),"toro")</f>
        <v>toro</v>
      </c>
      <c r="C13079" s="2" t="str">
        <f ca="1">IFERROR(__xludf.DUMMYFUNCTION("""COMPUTED_VALUE"""),"TORO")</f>
        <v>TORO</v>
      </c>
    </row>
    <row r="13080" spans="1:3" x14ac:dyDescent="0.25">
      <c r="A13080" s="2" t="str">
        <f ca="1">IFERROR(__xludf.DUMMYFUNCTION("""COMPUTED_VALUE"""),"toro-2")</f>
        <v>toro-2</v>
      </c>
      <c r="B13080" s="2" t="str">
        <f ca="1">IFERROR(__xludf.DUMMYFUNCTION("""COMPUTED_VALUE"""),"$toro")</f>
        <v>$toro</v>
      </c>
      <c r="C13080" s="2" t="str">
        <f ca="1">IFERROR(__xludf.DUMMYFUNCTION("""COMPUTED_VALUE"""),"EL-Toro")</f>
        <v>EL-Toro</v>
      </c>
    </row>
    <row r="13081" spans="1:3" x14ac:dyDescent="0.25">
      <c r="A13081" s="2" t="str">
        <f ca="1">IFERROR(__xludf.DUMMYFUNCTION("""COMPUTED_VALUE"""),"torq-swap")</f>
        <v>torq-swap</v>
      </c>
      <c r="B13081" s="2" t="str">
        <f ca="1">IFERROR(__xludf.DUMMYFUNCTION("""COMPUTED_VALUE"""),"tqs")</f>
        <v>tqs</v>
      </c>
      <c r="C13081" s="2" t="str">
        <f ca="1">IFERROR(__xludf.DUMMYFUNCTION("""COMPUTED_VALUE"""),"Torq Swap")</f>
        <v>Torq Swap</v>
      </c>
    </row>
    <row r="13082" spans="1:3" x14ac:dyDescent="0.25">
      <c r="A13082" s="2" t="str">
        <f ca="1">IFERROR(__xludf.DUMMYFUNCTION("""COMPUTED_VALUE"""),"torque")</f>
        <v>torque</v>
      </c>
      <c r="B13082" s="2" t="str">
        <f ca="1">IFERROR(__xludf.DUMMYFUNCTION("""COMPUTED_VALUE"""),"torq")</f>
        <v>torq</v>
      </c>
      <c r="C13082" s="2" t="str">
        <f ca="1">IFERROR(__xludf.DUMMYFUNCTION("""COMPUTED_VALUE"""),"Torque")</f>
        <v>Torque</v>
      </c>
    </row>
    <row r="13083" spans="1:3" x14ac:dyDescent="0.25">
      <c r="A13083" s="2" t="str">
        <f ca="1">IFERROR(__xludf.DUMMYFUNCTION("""COMPUTED_VALUE"""),"torsy")</f>
        <v>torsy</v>
      </c>
      <c r="B13083" s="2" t="str">
        <f ca="1">IFERROR(__xludf.DUMMYFUNCTION("""COMPUTED_VALUE"""),"torsy")</f>
        <v>torsy</v>
      </c>
      <c r="C13083" s="2" t="str">
        <f ca="1">IFERROR(__xludf.DUMMYFUNCTION("""COMPUTED_VALUE"""),"TORSY")</f>
        <v>TORSY</v>
      </c>
    </row>
    <row r="13084" spans="1:3" x14ac:dyDescent="0.25">
      <c r="A13084" s="2" t="str">
        <f ca="1">IFERROR(__xludf.DUMMYFUNCTION("""COMPUTED_VALUE"""),"tortol")</f>
        <v>tortol</v>
      </c>
      <c r="B13084" s="2" t="str">
        <f ca="1">IFERROR(__xludf.DUMMYFUNCTION("""COMPUTED_VALUE"""),"trtl")</f>
        <v>trtl</v>
      </c>
      <c r="C13084" s="2" t="str">
        <f ca="1">IFERROR(__xludf.DUMMYFUNCTION("""COMPUTED_VALUE"""),"Tortol")</f>
        <v>Tortol</v>
      </c>
    </row>
    <row r="13085" spans="1:3" x14ac:dyDescent="0.25">
      <c r="A13085" s="2" t="str">
        <f ca="1">IFERROR(__xludf.DUMMYFUNCTION("""COMPUTED_VALUE"""),"tortuga-staked-aptos")</f>
        <v>tortuga-staked-aptos</v>
      </c>
      <c r="B13085" s="2" t="str">
        <f ca="1">IFERROR(__xludf.DUMMYFUNCTION("""COMPUTED_VALUE"""),"tapt")</f>
        <v>tapt</v>
      </c>
      <c r="C13085" s="2" t="str">
        <f ca="1">IFERROR(__xludf.DUMMYFUNCTION("""COMPUTED_VALUE"""),"Tortuga Staked Aptos")</f>
        <v>Tortuga Staked Aptos</v>
      </c>
    </row>
    <row r="13086" spans="1:3" x14ac:dyDescent="0.25">
      <c r="A13086" s="2" t="str">
        <f ca="1">IFERROR(__xludf.DUMMYFUNCTION("""COMPUTED_VALUE"""),"torum")</f>
        <v>torum</v>
      </c>
      <c r="B13086" s="2" t="str">
        <f ca="1">IFERROR(__xludf.DUMMYFUNCTION("""COMPUTED_VALUE"""),"xtm")</f>
        <v>xtm</v>
      </c>
      <c r="C13086" s="2" t="str">
        <f ca="1">IFERROR(__xludf.DUMMYFUNCTION("""COMPUTED_VALUE"""),"Torum")</f>
        <v>Torum</v>
      </c>
    </row>
    <row r="13087" spans="1:3" x14ac:dyDescent="0.25">
      <c r="A13087" s="2" t="str">
        <f ca="1">IFERROR(__xludf.DUMMYFUNCTION("""COMPUTED_VALUE"""),"tosdis")</f>
        <v>tosdis</v>
      </c>
      <c r="B13087" s="2" t="str">
        <f ca="1">IFERROR(__xludf.DUMMYFUNCTION("""COMPUTED_VALUE"""),"dis")</f>
        <v>dis</v>
      </c>
      <c r="C13087" s="2" t="str">
        <f ca="1">IFERROR(__xludf.DUMMYFUNCTION("""COMPUTED_VALUE"""),"TosDis")</f>
        <v>TosDis</v>
      </c>
    </row>
    <row r="13088" spans="1:3" x14ac:dyDescent="0.25">
      <c r="A13088" s="2" t="str">
        <f ca="1">IFERROR(__xludf.DUMMYFUNCTION("""COMPUTED_VALUE"""),"toshi")</f>
        <v>toshi</v>
      </c>
      <c r="B13088" s="2" t="str">
        <f ca="1">IFERROR(__xludf.DUMMYFUNCTION("""COMPUTED_VALUE"""),"toshi")</f>
        <v>toshi</v>
      </c>
      <c r="C13088" s="2" t="str">
        <f ca="1">IFERROR(__xludf.DUMMYFUNCTION("""COMPUTED_VALUE"""),"Toshi")</f>
        <v>Toshi</v>
      </c>
    </row>
    <row r="13089" spans="1:3" x14ac:dyDescent="0.25">
      <c r="A13089" s="2" t="str">
        <f ca="1">IFERROR(__xludf.DUMMYFUNCTION("""COMPUTED_VALUE"""),"tosidrop")</f>
        <v>tosidrop</v>
      </c>
      <c r="B13089" s="2" t="str">
        <f ca="1">IFERROR(__xludf.DUMMYFUNCTION("""COMPUTED_VALUE"""),"ctosi")</f>
        <v>ctosi</v>
      </c>
      <c r="C13089" s="2" t="str">
        <f ca="1">IFERROR(__xludf.DUMMYFUNCTION("""COMPUTED_VALUE"""),"TosiDrop")</f>
        <v>TosiDrop</v>
      </c>
    </row>
    <row r="13090" spans="1:3" x14ac:dyDescent="0.25">
      <c r="A13090" s="2" t="str">
        <f ca="1">IFERROR(__xludf.DUMMYFUNCTION("""COMPUTED_VALUE"""),"to-the-sun")</f>
        <v>to-the-sun</v>
      </c>
      <c r="B13090" s="2" t="str">
        <f ca="1">IFERROR(__xludf.DUMMYFUNCTION("""COMPUTED_VALUE"""),"sunpump")</f>
        <v>sunpump</v>
      </c>
      <c r="C13090" s="2" t="str">
        <f ca="1">IFERROR(__xludf.DUMMYFUNCTION("""COMPUTED_VALUE"""),"To The Sun")</f>
        <v>To The Sun</v>
      </c>
    </row>
    <row r="13091" spans="1:3" x14ac:dyDescent="0.25">
      <c r="A13091" s="2" t="str">
        <f ca="1">IFERROR(__xludf.DUMMYFUNCTION("""COMPUTED_VALUE"""),"toto")</f>
        <v>toto</v>
      </c>
      <c r="B13091" s="2" t="str">
        <f ca="1">IFERROR(__xludf.DUMMYFUNCTION("""COMPUTED_VALUE"""),"toto")</f>
        <v>toto</v>
      </c>
      <c r="C13091" s="2" t="str">
        <f ca="1">IFERROR(__xludf.DUMMYFUNCTION("""COMPUTED_VALUE"""),"TOTO")</f>
        <v>TOTO</v>
      </c>
    </row>
    <row r="13092" spans="1:3" x14ac:dyDescent="0.25">
      <c r="A13092" s="2" t="str">
        <f ca="1">IFERROR(__xludf.DUMMYFUNCTION("""COMPUTED_VALUE"""),"tottenham-hotspur-fc-fan-token")</f>
        <v>tottenham-hotspur-fc-fan-token</v>
      </c>
      <c r="B13092" s="2" t="str">
        <f ca="1">IFERROR(__xludf.DUMMYFUNCTION("""COMPUTED_VALUE"""),"spurs")</f>
        <v>spurs</v>
      </c>
      <c r="C13092" s="2" t="str">
        <f ca="1">IFERROR(__xludf.DUMMYFUNCTION("""COMPUTED_VALUE"""),"Tottenham Hotspur FC Fan Token")</f>
        <v>Tottenham Hotspur FC Fan Token</v>
      </c>
    </row>
    <row r="13093" spans="1:3" x14ac:dyDescent="0.25">
      <c r="A13093" s="2" t="str">
        <f ca="1">IFERROR(__xludf.DUMMYFUNCTION("""COMPUTED_VALUE"""),"toucan-protocol-base-carbon-tonne")</f>
        <v>toucan-protocol-base-carbon-tonne</v>
      </c>
      <c r="B13093" s="2" t="str">
        <f ca="1">IFERROR(__xludf.DUMMYFUNCTION("""COMPUTED_VALUE"""),"bct")</f>
        <v>bct</v>
      </c>
      <c r="C13093" s="2" t="str">
        <f ca="1">IFERROR(__xludf.DUMMYFUNCTION("""COMPUTED_VALUE"""),"Base Carbon Tonne")</f>
        <v>Base Carbon Tonne</v>
      </c>
    </row>
    <row r="13094" spans="1:3" x14ac:dyDescent="0.25">
      <c r="A13094" s="2" t="str">
        <f ca="1">IFERROR(__xludf.DUMMYFUNCTION("""COMPUTED_VALUE"""),"toucan-protocol-nature-carbon-tonne")</f>
        <v>toucan-protocol-nature-carbon-tonne</v>
      </c>
      <c r="B13094" s="2" t="str">
        <f ca="1">IFERROR(__xludf.DUMMYFUNCTION("""COMPUTED_VALUE"""),"nct")</f>
        <v>nct</v>
      </c>
      <c r="C13094" s="2" t="str">
        <f ca="1">IFERROR(__xludf.DUMMYFUNCTION("""COMPUTED_VALUE"""),"Toucan Protocol: Nature Carbon Tonne")</f>
        <v>Toucan Protocol: Nature Carbon Tonne</v>
      </c>
    </row>
    <row r="13095" spans="1:3" x14ac:dyDescent="0.25">
      <c r="A13095" s="2" t="str">
        <f ca="1">IFERROR(__xludf.DUMMYFUNCTION("""COMPUTED_VALUE"""),"toupee-tech")</f>
        <v>toupee-tech</v>
      </c>
      <c r="B13095" s="2" t="str">
        <f ca="1">IFERROR(__xludf.DUMMYFUNCTION("""COMPUTED_VALUE"""),"wig")</f>
        <v>wig</v>
      </c>
      <c r="C13095" s="2" t="str">
        <f ca="1">IFERROR(__xludf.DUMMYFUNCTION("""COMPUTED_VALUE"""),"Toupée Tech")</f>
        <v>Toupée Tech</v>
      </c>
    </row>
    <row r="13096" spans="1:3" x14ac:dyDescent="0.25">
      <c r="A13096" s="2" t="str">
        <f ca="1">IFERROR(__xludf.DUMMYFUNCTION("""COMPUTED_VALUE"""),"tour-billion-coin")</f>
        <v>tour-billion-coin</v>
      </c>
      <c r="B13096" s="2" t="str">
        <f ca="1">IFERROR(__xludf.DUMMYFUNCTION("""COMPUTED_VALUE"""),"tbc")</f>
        <v>tbc</v>
      </c>
      <c r="C13096" s="2" t="str">
        <f ca="1">IFERROR(__xludf.DUMMYFUNCTION("""COMPUTED_VALUE"""),"Tour Billion Coin")</f>
        <v>Tour Billion Coin</v>
      </c>
    </row>
    <row r="13097" spans="1:3" x14ac:dyDescent="0.25">
      <c r="A13097" s="2" t="str">
        <f ca="1">IFERROR(__xludf.DUMMYFUNCTION("""COMPUTED_VALUE"""),"tourism-industry-metavers")</f>
        <v>tourism-industry-metavers</v>
      </c>
      <c r="B13097" s="2" t="str">
        <f ca="1">IFERROR(__xludf.DUMMYFUNCTION("""COMPUTED_VALUE"""),"tim")</f>
        <v>tim</v>
      </c>
      <c r="C13097" s="2" t="str">
        <f ca="1">IFERROR(__xludf.DUMMYFUNCTION("""COMPUTED_VALUE"""),"Tourism Industry Metavers")</f>
        <v>Tourism Industry Metavers</v>
      </c>
    </row>
    <row r="13098" spans="1:3" x14ac:dyDescent="0.25">
      <c r="A13098" s="2" t="str">
        <f ca="1">IFERROR(__xludf.DUMMYFUNCTION("""COMPUTED_VALUE"""),"towelie")</f>
        <v>towelie</v>
      </c>
      <c r="B13098" s="2" t="str">
        <f ca="1">IFERROR(__xludf.DUMMYFUNCTION("""COMPUTED_VALUE"""),"toweli")</f>
        <v>toweli</v>
      </c>
      <c r="C13098" s="2" t="str">
        <f ca="1">IFERROR(__xludf.DUMMYFUNCTION("""COMPUTED_VALUE"""),"Towelie")</f>
        <v>Towelie</v>
      </c>
    </row>
    <row r="13099" spans="1:3" x14ac:dyDescent="0.25">
      <c r="A13099" s="2" t="str">
        <f ca="1">IFERROR(__xludf.DUMMYFUNCTION("""COMPUTED_VALUE"""),"tower")</f>
        <v>tower</v>
      </c>
      <c r="B13099" s="2" t="str">
        <f ca="1">IFERROR(__xludf.DUMMYFUNCTION("""COMPUTED_VALUE"""),"tower")</f>
        <v>tower</v>
      </c>
      <c r="C13099" s="2" t="str">
        <f ca="1">IFERROR(__xludf.DUMMYFUNCTION("""COMPUTED_VALUE"""),"Tower")</f>
        <v>Tower</v>
      </c>
    </row>
    <row r="13100" spans="1:3" x14ac:dyDescent="0.25">
      <c r="A13100" s="2" t="str">
        <f ca="1">IFERROR(__xludf.DUMMYFUNCTION("""COMPUTED_VALUE"""),"toxicdeer-finance")</f>
        <v>toxicdeer-finance</v>
      </c>
      <c r="B13100" s="2" t="str">
        <f ca="1">IFERROR(__xludf.DUMMYFUNCTION("""COMPUTED_VALUE"""),"deer")</f>
        <v>deer</v>
      </c>
      <c r="C13100" s="2" t="str">
        <f ca="1">IFERROR(__xludf.DUMMYFUNCTION("""COMPUTED_VALUE"""),"ToxicDeer Finance")</f>
        <v>ToxicDeer Finance</v>
      </c>
    </row>
    <row r="13101" spans="1:3" x14ac:dyDescent="0.25">
      <c r="A13101" s="2" t="str">
        <f ca="1">IFERROR(__xludf.DUMMYFUNCTION("""COMPUTED_VALUE"""),"tpro")</f>
        <v>tpro</v>
      </c>
      <c r="B13101" s="2" t="str">
        <f ca="1">IFERROR(__xludf.DUMMYFUNCTION("""COMPUTED_VALUE"""),"tpro")</f>
        <v>tpro</v>
      </c>
      <c r="C13101" s="2" t="str">
        <f ca="1">IFERROR(__xludf.DUMMYFUNCTION("""COMPUTED_VALUE"""),"TPRO Network")</f>
        <v>TPRO Network</v>
      </c>
    </row>
    <row r="13102" spans="1:3" x14ac:dyDescent="0.25">
      <c r="A13102" s="2" t="str">
        <f ca="1">IFERROR(__xludf.DUMMYFUNCTION("""COMPUTED_VALUE"""),"tr3zor")</f>
        <v>tr3zor</v>
      </c>
      <c r="B13102" s="2" t="str">
        <f ca="1">IFERROR(__xludf.DUMMYFUNCTION("""COMPUTED_VALUE"""),"tr3")</f>
        <v>tr3</v>
      </c>
      <c r="C13102" s="2" t="str">
        <f ca="1">IFERROR(__xludf.DUMMYFUNCTION("""COMPUTED_VALUE"""),"Tr3zor")</f>
        <v>Tr3zor</v>
      </c>
    </row>
    <row r="13103" spans="1:3" x14ac:dyDescent="0.25">
      <c r="A13103" s="2" t="str">
        <f ca="1">IFERROR(__xludf.DUMMYFUNCTION("""COMPUTED_VALUE"""),"traaitt")</f>
        <v>traaitt</v>
      </c>
      <c r="B13103" s="2" t="str">
        <f ca="1">IFERROR(__xludf.DUMMYFUNCTION("""COMPUTED_VALUE"""),"xte")</f>
        <v>xte</v>
      </c>
      <c r="C13103" s="2" t="str">
        <f ca="1">IFERROR(__xludf.DUMMYFUNCTION("""COMPUTED_VALUE"""),"traaitt")</f>
        <v>traaitt</v>
      </c>
    </row>
    <row r="13104" spans="1:3" x14ac:dyDescent="0.25">
      <c r="A13104" s="2" t="str">
        <f ca="1">IFERROR(__xludf.DUMMYFUNCTION("""COMPUTED_VALUE"""),"traaittxtcash")</f>
        <v>traaittxtcash</v>
      </c>
      <c r="B13104" s="2" t="str">
        <f ca="1">IFERROR(__xludf.DUMMYFUNCTION("""COMPUTED_VALUE"""),"xtcash")</f>
        <v>xtcash</v>
      </c>
      <c r="C13104" s="2" t="str">
        <f ca="1">IFERROR(__xludf.DUMMYFUNCTION("""COMPUTED_VALUE"""),"traaittXTCASH")</f>
        <v>traaittXTCASH</v>
      </c>
    </row>
    <row r="13105" spans="1:3" x14ac:dyDescent="0.25">
      <c r="A13105" s="2" t="str">
        <f ca="1">IFERROR(__xludf.DUMMYFUNCTION("""COMPUTED_VALUE"""),"trabzonspor-fan-token")</f>
        <v>trabzonspor-fan-token</v>
      </c>
      <c r="B13105" s="2" t="str">
        <f ca="1">IFERROR(__xludf.DUMMYFUNCTION("""COMPUTED_VALUE"""),"tra")</f>
        <v>tra</v>
      </c>
      <c r="C13105" s="2" t="str">
        <f ca="1">IFERROR(__xludf.DUMMYFUNCTION("""COMPUTED_VALUE"""),"Trabzonspor Fan Token")</f>
        <v>Trabzonspor Fan Token</v>
      </c>
    </row>
    <row r="13106" spans="1:3" x14ac:dyDescent="0.25">
      <c r="A13106" s="2" t="str">
        <f ca="1">IFERROR(__xludf.DUMMYFUNCTION("""COMPUTED_VALUE"""),"trac")</f>
        <v>trac</v>
      </c>
      <c r="B13106" s="2" t="str">
        <f ca="1">IFERROR(__xludf.DUMMYFUNCTION("""COMPUTED_VALUE"""),"trac")</f>
        <v>trac</v>
      </c>
      <c r="C13106" s="2" t="str">
        <f ca="1">IFERROR(__xludf.DUMMYFUNCTION("""COMPUTED_VALUE"""),"TRAC (Ordinals)")</f>
        <v>TRAC (Ordinals)</v>
      </c>
    </row>
    <row r="13107" spans="1:3" x14ac:dyDescent="0.25">
      <c r="A13107" s="2" t="str">
        <f ca="1">IFERROR(__xludf.DUMMYFUNCTION("""COMPUTED_VALUE"""),"trace-ai")</f>
        <v>trace-ai</v>
      </c>
      <c r="B13107" s="2" t="str">
        <f ca="1">IFERROR(__xludf.DUMMYFUNCTION("""COMPUTED_VALUE"""),"tai")</f>
        <v>tai</v>
      </c>
      <c r="C13107" s="2" t="str">
        <f ca="1">IFERROR(__xludf.DUMMYFUNCTION("""COMPUTED_VALUE"""),"Trace AI")</f>
        <v>Trace AI</v>
      </c>
    </row>
    <row r="13108" spans="1:3" x14ac:dyDescent="0.25">
      <c r="A13108" s="2" t="str">
        <f ca="1">IFERROR(__xludf.DUMMYFUNCTION("""COMPUTED_VALUE"""),"trace-network-labs")</f>
        <v>trace-network-labs</v>
      </c>
      <c r="B13108" s="2" t="str">
        <f ca="1">IFERROR(__xludf.DUMMYFUNCTION("""COMPUTED_VALUE"""),"trace")</f>
        <v>trace</v>
      </c>
      <c r="C13108" s="2" t="str">
        <f ca="1">IFERROR(__xludf.DUMMYFUNCTION("""COMPUTED_VALUE"""),"Trace Network Labs")</f>
        <v>Trace Network Labs</v>
      </c>
    </row>
    <row r="13109" spans="1:3" x14ac:dyDescent="0.25">
      <c r="A13109" s="2" t="str">
        <f ca="1">IFERROR(__xludf.DUMMYFUNCTION("""COMPUTED_VALUE"""),"tracer")</f>
        <v>tracer</v>
      </c>
      <c r="B13109" s="2" t="str">
        <f ca="1">IFERROR(__xludf.DUMMYFUNCTION("""COMPUTED_VALUE"""),"trc")</f>
        <v>trc</v>
      </c>
      <c r="C13109" s="2" t="str">
        <f ca="1">IFERROR(__xludf.DUMMYFUNCTION("""COMPUTED_VALUE"""),"Tracer")</f>
        <v>Tracer</v>
      </c>
    </row>
    <row r="13110" spans="1:3" x14ac:dyDescent="0.25">
      <c r="A13110" s="2" t="str">
        <f ca="1">IFERROR(__xludf.DUMMYFUNCTION("""COMPUTED_VALUE"""),"tracker-ai")</f>
        <v>tracker-ai</v>
      </c>
      <c r="B13110" s="2" t="str">
        <f ca="1">IFERROR(__xludf.DUMMYFUNCTION("""COMPUTED_VALUE"""),"track")</f>
        <v>track</v>
      </c>
      <c r="C13110" s="2" t="str">
        <f ca="1">IFERROR(__xludf.DUMMYFUNCTION("""COMPUTED_VALUE"""),"Tracker AI")</f>
        <v>Tracker AI</v>
      </c>
    </row>
    <row r="13111" spans="1:3" x14ac:dyDescent="0.25">
      <c r="A13111" s="2" t="str">
        <f ca="1">IFERROR(__xludf.DUMMYFUNCTION("""COMPUTED_VALUE"""),"track-the-funds-bot")</f>
        <v>track-the-funds-bot</v>
      </c>
      <c r="B13111" s="2" t="str">
        <f ca="1">IFERROR(__xludf.DUMMYFUNCTION("""COMPUTED_VALUE"""),"ttf")</f>
        <v>ttf</v>
      </c>
      <c r="C13111" s="2" t="str">
        <f ca="1">IFERROR(__xludf.DUMMYFUNCTION("""COMPUTED_VALUE"""),"Track The Funds Bot")</f>
        <v>Track The Funds Bot</v>
      </c>
    </row>
    <row r="13112" spans="1:3" x14ac:dyDescent="0.25">
      <c r="A13112" s="2" t="str">
        <f ca="1">IFERROR(__xludf.DUMMYFUNCTION("""COMPUTED_VALUE"""),"trade-bionic")</f>
        <v>trade-bionic</v>
      </c>
      <c r="B13112" s="2" t="str">
        <f ca="1">IFERROR(__xludf.DUMMYFUNCTION("""COMPUTED_VALUE"""),"onic")</f>
        <v>onic</v>
      </c>
      <c r="C13112" s="2" t="str">
        <f ca="1">IFERROR(__xludf.DUMMYFUNCTION("""COMPUTED_VALUE"""),"Trade Bionic")</f>
        <v>Trade Bionic</v>
      </c>
    </row>
    <row r="13113" spans="1:3" x14ac:dyDescent="0.25">
      <c r="A13113" s="2" t="str">
        <f ca="1">IFERROR(__xludf.DUMMYFUNCTION("""COMPUTED_VALUE"""),"tradehub")</f>
        <v>tradehub</v>
      </c>
      <c r="B13113" s="2" t="str">
        <f ca="1">IFERROR(__xludf.DUMMYFUNCTION("""COMPUTED_VALUE"""),"trhub")</f>
        <v>trhub</v>
      </c>
      <c r="C13113" s="2" t="str">
        <f ca="1">IFERROR(__xludf.DUMMYFUNCTION("""COMPUTED_VALUE"""),"Tradehub")</f>
        <v>Tradehub</v>
      </c>
    </row>
    <row r="13114" spans="1:3" x14ac:dyDescent="0.25">
      <c r="A13114" s="2" t="str">
        <f ca="1">IFERROR(__xludf.DUMMYFUNCTION("""COMPUTED_VALUE"""),"trade-leaf")</f>
        <v>trade-leaf</v>
      </c>
      <c r="B13114" s="2" t="str">
        <f ca="1">IFERROR(__xludf.DUMMYFUNCTION("""COMPUTED_VALUE"""),"tlf")</f>
        <v>tlf</v>
      </c>
      <c r="C13114" s="2" t="str">
        <f ca="1">IFERROR(__xludf.DUMMYFUNCTION("""COMPUTED_VALUE"""),"Tradeleaf")</f>
        <v>Tradeleaf</v>
      </c>
    </row>
    <row r="13115" spans="1:3" x14ac:dyDescent="0.25">
      <c r="A13115" s="2" t="str">
        <f ca="1">IFERROR(__xludf.DUMMYFUNCTION("""COMPUTED_VALUE"""),"trademaster-ninja")</f>
        <v>trademaster-ninja</v>
      </c>
      <c r="B13115" s="2" t="str">
        <f ca="1">IFERROR(__xludf.DUMMYFUNCTION("""COMPUTED_VALUE"""),"trdm")</f>
        <v>trdm</v>
      </c>
      <c r="C13115" s="2" t="str">
        <f ca="1">IFERROR(__xludf.DUMMYFUNCTION("""COMPUTED_VALUE"""),"TradeMaster.ninja")</f>
        <v>TradeMaster.ninja</v>
      </c>
    </row>
    <row r="13116" spans="1:3" x14ac:dyDescent="0.25">
      <c r="A13116" s="2" t="str">
        <f ca="1">IFERROR(__xludf.DUMMYFUNCTION("""COMPUTED_VALUE"""),"traderdao-proof-of-trade")</f>
        <v>traderdao-proof-of-trade</v>
      </c>
      <c r="B13116" s="2" t="str">
        <f ca="1">IFERROR(__xludf.DUMMYFUNCTION("""COMPUTED_VALUE"""),"pot")</f>
        <v>pot</v>
      </c>
      <c r="C13116" s="2" t="str">
        <f ca="1">IFERROR(__xludf.DUMMYFUNCTION("""COMPUTED_VALUE"""),"TraderDAO Proof Of Trade")</f>
        <v>TraderDAO Proof Of Trade</v>
      </c>
    </row>
    <row r="13117" spans="1:3" x14ac:dyDescent="0.25">
      <c r="A13117" s="2" t="str">
        <f ca="1">IFERROR(__xludf.DUMMYFUNCTION("""COMPUTED_VALUE"""),"traders-coin")</f>
        <v>traders-coin</v>
      </c>
      <c r="B13117" s="2" t="str">
        <f ca="1">IFERROR(__xludf.DUMMYFUNCTION("""COMPUTED_VALUE"""),"trdc")</f>
        <v>trdc</v>
      </c>
      <c r="C13117" s="2" t="str">
        <f ca="1">IFERROR(__xludf.DUMMYFUNCTION("""COMPUTED_VALUE"""),"Traders Coin")</f>
        <v>Traders Coin</v>
      </c>
    </row>
    <row r="13118" spans="1:3" x14ac:dyDescent="0.25">
      <c r="A13118" s="2" t="str">
        <f ca="1">IFERROR(__xludf.DUMMYFUNCTION("""COMPUTED_VALUE"""),"traders-wallet")</f>
        <v>traders-wallet</v>
      </c>
      <c r="B13118" s="2" t="str">
        <f ca="1">IFERROR(__xludf.DUMMYFUNCTION("""COMPUTED_VALUE"""),"trw")</f>
        <v>trw</v>
      </c>
      <c r="C13118" s="2" t="str">
        <f ca="1">IFERROR(__xludf.DUMMYFUNCTION("""COMPUTED_VALUE"""),"Traders Wallet")</f>
        <v>Traders Wallet</v>
      </c>
    </row>
    <row r="13119" spans="1:3" x14ac:dyDescent="0.25">
      <c r="A13119" s="2" t="str">
        <f ca="1">IFERROR(__xludf.DUMMYFUNCTION("""COMPUTED_VALUE"""),"tradetomato")</f>
        <v>tradetomato</v>
      </c>
      <c r="B13119" s="2" t="str">
        <f ca="1">IFERROR(__xludf.DUMMYFUNCTION("""COMPUTED_VALUE"""),"ttm")</f>
        <v>ttm</v>
      </c>
      <c r="C13119" s="2" t="str">
        <f ca="1">IFERROR(__xludf.DUMMYFUNCTION("""COMPUTED_VALUE"""),"Tradetomato")</f>
        <v>Tradetomato</v>
      </c>
    </row>
    <row r="13120" spans="1:3" x14ac:dyDescent="0.25">
      <c r="A13120" s="2" t="str">
        <f ca="1">IFERROR(__xludf.DUMMYFUNCTION("""COMPUTED_VALUE"""),"tradfi-bro")</f>
        <v>tradfi-bro</v>
      </c>
      <c r="B13120" s="2" t="str">
        <f ca="1">IFERROR(__xludf.DUMMYFUNCTION("""COMPUTED_VALUE"""),"cfa")</f>
        <v>cfa</v>
      </c>
      <c r="C13120" s="2" t="str">
        <f ca="1">IFERROR(__xludf.DUMMYFUNCTION("""COMPUTED_VALUE"""),"Tradfi Bro")</f>
        <v>Tradfi Bro</v>
      </c>
    </row>
    <row r="13121" spans="1:3" x14ac:dyDescent="0.25">
      <c r="A13121" s="2" t="str">
        <f ca="1">IFERROR(__xludf.DUMMYFUNCTION("""COMPUTED_VALUE"""),"trading-views")</f>
        <v>trading-views</v>
      </c>
      <c r="B13121" s="2" t="str">
        <f ca="1">IFERROR(__xludf.DUMMYFUNCTION("""COMPUTED_VALUE"""),"tradingviews")</f>
        <v>tradingviews</v>
      </c>
      <c r="C13121" s="2" t="str">
        <f ca="1">IFERROR(__xludf.DUMMYFUNCTION("""COMPUTED_VALUE"""),"Trading Views")</f>
        <v>Trading Views</v>
      </c>
    </row>
    <row r="13122" spans="1:3" x14ac:dyDescent="0.25">
      <c r="A13122" s="2" t="str">
        <f ca="1">IFERROR(__xludf.DUMMYFUNCTION("""COMPUTED_VALUE"""),"tradix")</f>
        <v>tradix</v>
      </c>
      <c r="B13122" s="2" t="str">
        <f ca="1">IFERROR(__xludf.DUMMYFUNCTION("""COMPUTED_VALUE"""),"tx")</f>
        <v>tx</v>
      </c>
      <c r="C13122" s="2" t="str">
        <f ca="1">IFERROR(__xludf.DUMMYFUNCTION("""COMPUTED_VALUE"""),"Tradix")</f>
        <v>Tradix</v>
      </c>
    </row>
    <row r="13123" spans="1:3" x14ac:dyDescent="0.25">
      <c r="A13123" s="2" t="str">
        <f ca="1">IFERROR(__xludf.DUMMYFUNCTION("""COMPUTED_VALUE"""),"trailblaze")</f>
        <v>trailblaze</v>
      </c>
      <c r="B13123" s="2" t="str">
        <f ca="1">IFERROR(__xludf.DUMMYFUNCTION("""COMPUTED_VALUE"""),"xblaze")</f>
        <v>xblaze</v>
      </c>
      <c r="C13123" s="2" t="str">
        <f ca="1">IFERROR(__xludf.DUMMYFUNCTION("""COMPUTED_VALUE"""),"Trailblaze")</f>
        <v>Trailblaze</v>
      </c>
    </row>
    <row r="13124" spans="1:3" x14ac:dyDescent="0.25">
      <c r="A13124" s="2" t="str">
        <f ca="1">IFERROR(__xludf.DUMMYFUNCTION("""COMPUTED_VALUE"""),"trainingdietmax")</f>
        <v>trainingdietmax</v>
      </c>
      <c r="B13124" s="2" t="str">
        <f ca="1">IFERROR(__xludf.DUMMYFUNCTION("""COMPUTED_VALUE"""),"tdm")</f>
        <v>tdm</v>
      </c>
      <c r="C13124" s="2" t="str">
        <f ca="1">IFERROR(__xludf.DUMMYFUNCTION("""COMPUTED_VALUE"""),"TrainingDietMax")</f>
        <v>TrainingDietMax</v>
      </c>
    </row>
    <row r="13125" spans="1:3" x14ac:dyDescent="0.25">
      <c r="A13125" s="2" t="str">
        <f ca="1">IFERROR(__xludf.DUMMYFUNCTION("""COMPUTED_VALUE"""),"trala-token")</f>
        <v>trala-token</v>
      </c>
      <c r="B13125" s="2" t="str">
        <f ca="1">IFERROR(__xludf.DUMMYFUNCTION("""COMPUTED_VALUE"""),"trala")</f>
        <v>trala</v>
      </c>
      <c r="C13125" s="2" t="str">
        <f ca="1">IFERROR(__xludf.DUMMYFUNCTION("""COMPUTED_VALUE"""),"TRALA TOKEN")</f>
        <v>TRALA TOKEN</v>
      </c>
    </row>
    <row r="13126" spans="1:3" x14ac:dyDescent="0.25">
      <c r="A13126" s="2" t="str">
        <f ca="1">IFERROR(__xludf.DUMMYFUNCTION("""COMPUTED_VALUE"""),"tranche-finance")</f>
        <v>tranche-finance</v>
      </c>
      <c r="B13126" s="2" t="str">
        <f ca="1">IFERROR(__xludf.DUMMYFUNCTION("""COMPUTED_VALUE"""),"slice")</f>
        <v>slice</v>
      </c>
      <c r="C13126" s="2" t="str">
        <f ca="1">IFERROR(__xludf.DUMMYFUNCTION("""COMPUTED_VALUE"""),"Tranche Finance")</f>
        <v>Tranche Finance</v>
      </c>
    </row>
    <row r="13127" spans="1:3" x14ac:dyDescent="0.25">
      <c r="A13127" s="2" t="str">
        <f ca="1">IFERROR(__xludf.DUMMYFUNCTION("""COMPUTED_VALUE"""),"tranchess")</f>
        <v>tranchess</v>
      </c>
      <c r="B13127" s="2" t="str">
        <f ca="1">IFERROR(__xludf.DUMMYFUNCTION("""COMPUTED_VALUE"""),"chess")</f>
        <v>chess</v>
      </c>
      <c r="C13127" s="2" t="str">
        <f ca="1">IFERROR(__xludf.DUMMYFUNCTION("""COMPUTED_VALUE"""),"Tranchess")</f>
        <v>Tranchess</v>
      </c>
    </row>
    <row r="13128" spans="1:3" x14ac:dyDescent="0.25">
      <c r="A13128" s="2" t="str">
        <f ca="1">IFERROR(__xludf.DUMMYFUNCTION("""COMPUTED_VALUE"""),"tranquil-finance")</f>
        <v>tranquil-finance</v>
      </c>
      <c r="B13128" s="2" t="str">
        <f ca="1">IFERROR(__xludf.DUMMYFUNCTION("""COMPUTED_VALUE"""),"tranq")</f>
        <v>tranq</v>
      </c>
      <c r="C13128" s="2" t="str">
        <f ca="1">IFERROR(__xludf.DUMMYFUNCTION("""COMPUTED_VALUE"""),"Tranquil Finance")</f>
        <v>Tranquil Finance</v>
      </c>
    </row>
    <row r="13129" spans="1:3" x14ac:dyDescent="0.25">
      <c r="A13129" s="2" t="str">
        <f ca="1">IFERROR(__xludf.DUMMYFUNCTION("""COMPUTED_VALUE"""),"tranquil-staked-one")</f>
        <v>tranquil-staked-one</v>
      </c>
      <c r="B13129" s="2" t="str">
        <f ca="1">IFERROR(__xludf.DUMMYFUNCTION("""COMPUTED_VALUE"""),"stone")</f>
        <v>stone</v>
      </c>
      <c r="C13129" s="2" t="str">
        <f ca="1">IFERROR(__xludf.DUMMYFUNCTION("""COMPUTED_VALUE"""),"Tranquil Staked ONE")</f>
        <v>Tranquil Staked ONE</v>
      </c>
    </row>
    <row r="13130" spans="1:3" x14ac:dyDescent="0.25">
      <c r="A13130" s="2" t="str">
        <f ca="1">IFERROR(__xludf.DUMMYFUNCTION("""COMPUTED_VALUE"""),"transhuman-coin")</f>
        <v>transhuman-coin</v>
      </c>
      <c r="B13130" s="2" t="str">
        <f ca="1">IFERROR(__xludf.DUMMYFUNCTION("""COMPUTED_VALUE"""),"thc")</f>
        <v>thc</v>
      </c>
      <c r="C13130" s="2" t="str">
        <f ca="1">IFERROR(__xludf.DUMMYFUNCTION("""COMPUTED_VALUE"""),"Transhuman Coin")</f>
        <v>Transhuman Coin</v>
      </c>
    </row>
    <row r="13131" spans="1:3" x14ac:dyDescent="0.25">
      <c r="A13131" s="2" t="str">
        <f ca="1">IFERROR(__xludf.DUMMYFUNCTION("""COMPUTED_VALUE"""),"trava-finance")</f>
        <v>trava-finance</v>
      </c>
      <c r="B13131" s="2" t="str">
        <f ca="1">IFERROR(__xludf.DUMMYFUNCTION("""COMPUTED_VALUE"""),"trava")</f>
        <v>trava</v>
      </c>
      <c r="C13131" s="2" t="str">
        <f ca="1">IFERROR(__xludf.DUMMYFUNCTION("""COMPUTED_VALUE"""),"Trava Finance")</f>
        <v>Trava Finance</v>
      </c>
    </row>
    <row r="13132" spans="1:3" x14ac:dyDescent="0.25">
      <c r="A13132" s="2" t="str">
        <f ca="1">IFERROR(__xludf.DUMMYFUNCTION("""COMPUTED_VALUE"""),"travelers-token")</f>
        <v>travelers-token</v>
      </c>
      <c r="B13132" s="2" t="str">
        <f ca="1">IFERROR(__xludf.DUMMYFUNCTION("""COMPUTED_VALUE"""),"trv")</f>
        <v>trv</v>
      </c>
      <c r="C13132" s="2" t="str">
        <f ca="1">IFERROR(__xludf.DUMMYFUNCTION("""COMPUTED_VALUE"""),"Travelers Token")</f>
        <v>Travelers Token</v>
      </c>
    </row>
    <row r="13133" spans="1:3" x14ac:dyDescent="0.25">
      <c r="A13133" s="2" t="str">
        <f ca="1">IFERROR(__xludf.DUMMYFUNCTION("""COMPUTED_VALUE"""),"trax")</f>
        <v>trax</v>
      </c>
      <c r="B13133" s="2" t="str">
        <f ca="1">IFERROR(__xludf.DUMMYFUNCTION("""COMPUTED_VALUE"""),"trax")</f>
        <v>trax</v>
      </c>
      <c r="C13133" s="2" t="str">
        <f ca="1">IFERROR(__xludf.DUMMYFUNCTION("""COMPUTED_VALUE"""),"TRAX")</f>
        <v>TRAX</v>
      </c>
    </row>
    <row r="13134" spans="1:3" x14ac:dyDescent="0.25">
      <c r="A13134" s="2" t="str">
        <f ca="1">IFERROR(__xludf.DUMMYFUNCTION("""COMPUTED_VALUE"""),"traxx")</f>
        <v>traxx</v>
      </c>
      <c r="B13134" s="2" t="str">
        <f ca="1">IFERROR(__xludf.DUMMYFUNCTION("""COMPUTED_VALUE"""),"traxx")</f>
        <v>traxx</v>
      </c>
      <c r="C13134" s="2" t="str">
        <f ca="1">IFERROR(__xludf.DUMMYFUNCTION("""COMPUTED_VALUE"""),"Traxx")</f>
        <v>Traxx</v>
      </c>
    </row>
    <row r="13135" spans="1:3" x14ac:dyDescent="0.25">
      <c r="A13135" s="2" t="str">
        <f ca="1">IFERROR(__xludf.DUMMYFUNCTION("""COMPUTED_VALUE"""),"treasure-labs-loot")</f>
        <v>treasure-labs-loot</v>
      </c>
      <c r="B13135" s="2" t="str">
        <f ca="1">IFERROR(__xludf.DUMMYFUNCTION("""COMPUTED_VALUE"""),"loot")</f>
        <v>loot</v>
      </c>
      <c r="C13135" s="2" t="str">
        <f ca="1">IFERROR(__xludf.DUMMYFUNCTION("""COMPUTED_VALUE"""),"Treasure Labs LOOT")</f>
        <v>Treasure Labs LOOT</v>
      </c>
    </row>
    <row r="13136" spans="1:3" x14ac:dyDescent="0.25">
      <c r="A13136" s="2" t="str">
        <f ca="1">IFERROR(__xludf.DUMMYFUNCTION("""COMPUTED_VALUE"""),"treasure-under-sea")</f>
        <v>treasure-under-sea</v>
      </c>
      <c r="B13136" s="2" t="str">
        <f ca="1">IFERROR(__xludf.DUMMYFUNCTION("""COMPUTED_VALUE"""),"tus")</f>
        <v>tus</v>
      </c>
      <c r="C13136" s="2" t="str">
        <f ca="1">IFERROR(__xludf.DUMMYFUNCTION("""COMPUTED_VALUE"""),"Treasure Under Sea")</f>
        <v>Treasure Under Sea</v>
      </c>
    </row>
    <row r="13137" spans="1:3" x14ac:dyDescent="0.25">
      <c r="A13137" s="2" t="str">
        <f ca="1">IFERROR(__xludf.DUMMYFUNCTION("""COMPUTED_VALUE"""),"treasury-bond-eth-tokenized-stock-defichain")</f>
        <v>treasury-bond-eth-tokenized-stock-defichain</v>
      </c>
      <c r="B13137" s="2" t="str">
        <f ca="1">IFERROR(__xludf.DUMMYFUNCTION("""COMPUTED_VALUE"""),"dtlt")</f>
        <v>dtlt</v>
      </c>
      <c r="C13137" s="2" t="str">
        <f ca="1">IFERROR(__xludf.DUMMYFUNCTION("""COMPUTED_VALUE"""),"iShares 20+ Year Treasury Bond ETF Defichain")</f>
        <v>iShares 20+ Year Treasury Bond ETF Defichain</v>
      </c>
    </row>
    <row r="13138" spans="1:3" x14ac:dyDescent="0.25">
      <c r="A13138" s="2" t="str">
        <f ca="1">IFERROR(__xludf.DUMMYFUNCTION("""COMPUTED_VALUE"""),"treatdao-v2")</f>
        <v>treatdao-v2</v>
      </c>
      <c r="B13138" s="2" t="str">
        <f ca="1">IFERROR(__xludf.DUMMYFUNCTION("""COMPUTED_VALUE"""),"treat")</f>
        <v>treat</v>
      </c>
      <c r="C13138" s="2" t="str">
        <f ca="1">IFERROR(__xludf.DUMMYFUNCTION("""COMPUTED_VALUE"""),"TreatDAO")</f>
        <v>TreatDAO</v>
      </c>
    </row>
    <row r="13139" spans="1:3" x14ac:dyDescent="0.25">
      <c r="A13139" s="2" t="str">
        <f ca="1">IFERROR(__xludf.DUMMYFUNCTION("""COMPUTED_VALUE"""),"treat-token")</f>
        <v>treat-token</v>
      </c>
      <c r="B13139" s="2" t="str">
        <f ca="1">IFERROR(__xludf.DUMMYFUNCTION("""COMPUTED_VALUE"""),"treat")</f>
        <v>treat</v>
      </c>
      <c r="C13139" s="2" t="str">
        <f ca="1">IFERROR(__xludf.DUMMYFUNCTION("""COMPUTED_VALUE"""),"Treat Token")</f>
        <v>Treat Token</v>
      </c>
    </row>
    <row r="13140" spans="1:3" x14ac:dyDescent="0.25">
      <c r="A13140" s="2" t="str">
        <f ca="1">IFERROR(__xludf.DUMMYFUNCTION("""COMPUTED_VALUE"""),"treeb")</f>
        <v>treeb</v>
      </c>
      <c r="B13140" s="2" t="str">
        <f ca="1">IFERROR(__xludf.DUMMYFUNCTION("""COMPUTED_VALUE"""),"treeb")</f>
        <v>treeb</v>
      </c>
      <c r="C13140" s="2" t="str">
        <f ca="1">IFERROR(__xludf.DUMMYFUNCTION("""COMPUTED_VALUE"""),"Retreeb")</f>
        <v>Retreeb</v>
      </c>
    </row>
    <row r="13141" spans="1:3" x14ac:dyDescent="0.25">
      <c r="A13141" s="2" t="str">
        <f ca="1">IFERROR(__xludf.DUMMYFUNCTION("""COMPUTED_VALUE"""),"tree-capital")</f>
        <v>tree-capital</v>
      </c>
      <c r="B13141" s="2" t="str">
        <f ca="1">IFERROR(__xludf.DUMMYFUNCTION("""COMPUTED_VALUE"""),"tree")</f>
        <v>tree</v>
      </c>
      <c r="C13141" s="2" t="str">
        <f ca="1">IFERROR(__xludf.DUMMYFUNCTION("""COMPUTED_VALUE"""),"Tree")</f>
        <v>Tree</v>
      </c>
    </row>
    <row r="13142" spans="1:3" x14ac:dyDescent="0.25">
      <c r="A13142" s="2" t="str">
        <f ca="1">IFERROR(__xludf.DUMMYFUNCTION("""COMPUTED_VALUE"""),"treecle")</f>
        <v>treecle</v>
      </c>
      <c r="B13142" s="2" t="str">
        <f ca="1">IFERROR(__xludf.DUMMYFUNCTION("""COMPUTED_VALUE"""),"trcl")</f>
        <v>trcl</v>
      </c>
      <c r="C13142" s="2" t="str">
        <f ca="1">IFERROR(__xludf.DUMMYFUNCTION("""COMPUTED_VALUE"""),"Treecle")</f>
        <v>Treecle</v>
      </c>
    </row>
    <row r="13143" spans="1:3" x14ac:dyDescent="0.25">
      <c r="A13143" s="2" t="str">
        <f ca="1">IFERROR(__xludf.DUMMYFUNCTION("""COMPUTED_VALUE"""),"treehouse-eth")</f>
        <v>treehouse-eth</v>
      </c>
      <c r="B13143" s="2" t="str">
        <f ca="1">IFERROR(__xludf.DUMMYFUNCTION("""COMPUTED_VALUE"""),"teth")</f>
        <v>teth</v>
      </c>
      <c r="C13143" s="2" t="str">
        <f ca="1">IFERROR(__xludf.DUMMYFUNCTION("""COMPUTED_VALUE"""),"Treehouse ETH")</f>
        <v>Treehouse ETH</v>
      </c>
    </row>
    <row r="13144" spans="1:3" x14ac:dyDescent="0.25">
      <c r="A13144" s="2" t="str">
        <f ca="1">IFERROR(__xludf.DUMMYFUNCTION("""COMPUTED_VALUE"""),"treemeister")</f>
        <v>treemeister</v>
      </c>
      <c r="B13144" s="2" t="str">
        <f ca="1">IFERROR(__xludf.DUMMYFUNCTION("""COMPUTED_VALUE"""),"tree")</f>
        <v>tree</v>
      </c>
      <c r="C13144" s="2" t="str">
        <f ca="1">IFERROR(__xludf.DUMMYFUNCTION("""COMPUTED_VALUE"""),"Treemeister")</f>
        <v>Treemeister</v>
      </c>
    </row>
    <row r="13145" spans="1:3" x14ac:dyDescent="0.25">
      <c r="A13145" s="2" t="str">
        <f ca="1">IFERROR(__xludf.DUMMYFUNCTION("""COMPUTED_VALUE"""),"treeplanting")</f>
        <v>treeplanting</v>
      </c>
      <c r="B13145" s="2" t="str">
        <f ca="1">IFERROR(__xludf.DUMMYFUNCTION("""COMPUTED_VALUE"""),"tree")</f>
        <v>tree</v>
      </c>
      <c r="C13145" s="2" t="str">
        <f ca="1">IFERROR(__xludf.DUMMYFUNCTION("""COMPUTED_VALUE"""),"/treeplanting")</f>
        <v>/treeplanting</v>
      </c>
    </row>
    <row r="13146" spans="1:3" x14ac:dyDescent="0.25">
      <c r="A13146" s="2" t="str">
        <f ca="1">IFERROR(__xludf.DUMMYFUNCTION("""COMPUTED_VALUE"""),"trellis")</f>
        <v>trellis</v>
      </c>
      <c r="B13146" s="2" t="str">
        <f ca="1">IFERROR(__xludf.DUMMYFUNCTION("""COMPUTED_VALUE"""),"treis")</f>
        <v>treis</v>
      </c>
      <c r="C13146" s="2" t="str">
        <f ca="1">IFERROR(__xludf.DUMMYFUNCTION("""COMPUTED_VALUE"""),"Trellis")</f>
        <v>Trellis</v>
      </c>
    </row>
    <row r="13147" spans="1:3" x14ac:dyDescent="0.25">
      <c r="A13147" s="2" t="str">
        <f ca="1">IFERROR(__xludf.DUMMYFUNCTION("""COMPUTED_VALUE"""),"tren")</f>
        <v>tren</v>
      </c>
      <c r="B13147" s="2" t="str">
        <f ca="1">IFERROR(__xludf.DUMMYFUNCTION("""COMPUTED_VALUE"""),"tren")</f>
        <v>tren</v>
      </c>
      <c r="C13147" s="2" t="str">
        <f ca="1">IFERROR(__xludf.DUMMYFUNCTION("""COMPUTED_VALUE"""),"TREN")</f>
        <v>TREN</v>
      </c>
    </row>
    <row r="13148" spans="1:3" x14ac:dyDescent="0.25">
      <c r="A13148" s="2" t="str">
        <f ca="1">IFERROR(__xludf.DUMMYFUNCTION("""COMPUTED_VALUE"""),"trendappend")</f>
        <v>trendappend</v>
      </c>
      <c r="B13148" s="2" t="str">
        <f ca="1">IFERROR(__xludf.DUMMYFUNCTION("""COMPUTED_VALUE"""),"trnd")</f>
        <v>trnd</v>
      </c>
      <c r="C13148" s="2" t="str">
        <f ca="1">IFERROR(__xludf.DUMMYFUNCTION("""COMPUTED_VALUE"""),"TrendAppend")</f>
        <v>TrendAppend</v>
      </c>
    </row>
    <row r="13149" spans="1:3" x14ac:dyDescent="0.25">
      <c r="A13149" s="2" t="str">
        <f ca="1">IFERROR(__xludf.DUMMYFUNCTION("""COMPUTED_VALUE"""),"trendguru")</f>
        <v>trendguru</v>
      </c>
      <c r="B13149" s="2" t="str">
        <f ca="1">IFERROR(__xludf.DUMMYFUNCTION("""COMPUTED_VALUE"""),"trendguru")</f>
        <v>trendguru</v>
      </c>
      <c r="C13149" s="2" t="str">
        <f ca="1">IFERROR(__xludf.DUMMYFUNCTION("""COMPUTED_VALUE"""),"TrendGuru")</f>
        <v>TrendGuru</v>
      </c>
    </row>
    <row r="13150" spans="1:3" x14ac:dyDescent="0.25">
      <c r="A13150" s="2" t="str">
        <f ca="1">IFERROR(__xludf.DUMMYFUNCTION("""COMPUTED_VALUE"""),"trendingtool-io")</f>
        <v>trendingtool-io</v>
      </c>
      <c r="B13150" s="2" t="str">
        <f ca="1">IFERROR(__xludf.DUMMYFUNCTION("""COMPUTED_VALUE"""),"smm")</f>
        <v>smm</v>
      </c>
      <c r="C13150" s="3" t="str">
        <f ca="1">IFERROR(__xludf.DUMMYFUNCTION("""COMPUTED_VALUE"""),"TrendingTool.io")</f>
        <v>TrendingTool.io</v>
      </c>
    </row>
    <row r="13151" spans="1:3" x14ac:dyDescent="0.25">
      <c r="A13151" s="2" t="str">
        <f ca="1">IFERROR(__xludf.DUMMYFUNCTION("""COMPUTED_VALUE"""),"trend-x")</f>
        <v>trend-x</v>
      </c>
      <c r="B13151" s="2" t="str">
        <f ca="1">IFERROR(__xludf.DUMMYFUNCTION("""COMPUTED_VALUE"""),"trendx")</f>
        <v>trendx</v>
      </c>
      <c r="C13151" s="2" t="str">
        <f ca="1">IFERROR(__xludf.DUMMYFUNCTION("""COMPUTED_VALUE"""),"Trend X")</f>
        <v>Trend X</v>
      </c>
    </row>
    <row r="13152" spans="1:3" x14ac:dyDescent="0.25">
      <c r="A13152" s="2" t="str">
        <f ca="1">IFERROR(__xludf.DUMMYFUNCTION("""COMPUTED_VALUE"""),"trepe")</f>
        <v>trepe</v>
      </c>
      <c r="B13152" s="2" t="str">
        <f ca="1">IFERROR(__xludf.DUMMYFUNCTION("""COMPUTED_VALUE"""),"$trepe")</f>
        <v>$trepe</v>
      </c>
      <c r="C13152" s="2" t="str">
        <f ca="1">IFERROR(__xludf.DUMMYFUNCTION("""COMPUTED_VALUE"""),"Trepe")</f>
        <v>Trepe</v>
      </c>
    </row>
    <row r="13153" spans="1:3" x14ac:dyDescent="0.25">
      <c r="A13153" s="2" t="str">
        <f ca="1">IFERROR(__xludf.DUMMYFUNCTION("""COMPUTED_VALUE"""),"tres-chain")</f>
        <v>tres-chain</v>
      </c>
      <c r="B13153" s="2" t="str">
        <f ca="1">IFERROR(__xludf.DUMMYFUNCTION("""COMPUTED_VALUE"""),"tres")</f>
        <v>tres</v>
      </c>
      <c r="C13153" s="2" t="str">
        <f ca="1">IFERROR(__xludf.DUMMYFUNCTION("""COMPUTED_VALUE"""),"Tres Chain")</f>
        <v>Tres Chain</v>
      </c>
    </row>
    <row r="13154" spans="1:3" x14ac:dyDescent="0.25">
      <c r="A13154" s="2" t="str">
        <f ca="1">IFERROR(__xludf.DUMMYFUNCTION("""COMPUTED_VALUE"""),"trestle")</f>
        <v>trestle</v>
      </c>
      <c r="B13154" s="2" t="str">
        <f ca="1">IFERROR(__xludf.DUMMYFUNCTION("""COMPUTED_VALUE"""),"trestle")</f>
        <v>trestle</v>
      </c>
      <c r="C13154" s="2" t="str">
        <f ca="1">IFERROR(__xludf.DUMMYFUNCTION("""COMPUTED_VALUE"""),"TRESTLE")</f>
        <v>TRESTLE</v>
      </c>
    </row>
    <row r="13155" spans="1:3" x14ac:dyDescent="0.25">
      <c r="A13155" s="2" t="str">
        <f ca="1">IFERROR(__xludf.DUMMYFUNCTION("""COMPUTED_VALUE"""),"trestle-wrapped-tia")</f>
        <v>trestle-wrapped-tia</v>
      </c>
      <c r="B13155" s="2" t="str">
        <f ca="1">IFERROR(__xludf.DUMMYFUNCTION("""COMPUTED_VALUE"""),"wtia")</f>
        <v>wtia</v>
      </c>
      <c r="C13155" s="2" t="str">
        <f ca="1">IFERROR(__xludf.DUMMYFUNCTION("""COMPUTED_VALUE"""),"Trestle Wrapped TIA")</f>
        <v>Trestle Wrapped TIA</v>
      </c>
    </row>
    <row r="13156" spans="1:3" x14ac:dyDescent="0.25">
      <c r="A13156" s="2" t="str">
        <f ca="1">IFERROR(__xludf.DUMMYFUNCTION("""COMPUTED_VALUE"""),"trex20")</f>
        <v>trex20</v>
      </c>
      <c r="B13156" s="2" t="str">
        <f ca="1">IFERROR(__xludf.DUMMYFUNCTION("""COMPUTED_VALUE"""),"tx20")</f>
        <v>tx20</v>
      </c>
      <c r="C13156" s="2" t="str">
        <f ca="1">IFERROR(__xludf.DUMMYFUNCTION("""COMPUTED_VALUE"""),"Trex20")</f>
        <v>Trex20</v>
      </c>
    </row>
    <row r="13157" spans="1:3" x14ac:dyDescent="0.25">
      <c r="A13157" s="2" t="str">
        <f ca="1">IFERROR(__xludf.DUMMYFUNCTION("""COMPUTED_VALUE"""),"trezarcoin")</f>
        <v>trezarcoin</v>
      </c>
      <c r="B13157" s="2" t="str">
        <f ca="1">IFERROR(__xludf.DUMMYFUNCTION("""COMPUTED_VALUE"""),"tzc")</f>
        <v>tzc</v>
      </c>
      <c r="C13157" s="2" t="str">
        <f ca="1">IFERROR(__xludf.DUMMYFUNCTION("""COMPUTED_VALUE"""),"TrezarCoin")</f>
        <v>TrezarCoin</v>
      </c>
    </row>
    <row r="13158" spans="1:3" x14ac:dyDescent="0.25">
      <c r="A13158" s="2" t="str">
        <f ca="1">IFERROR(__xludf.DUMMYFUNCTION("""COMPUTED_VALUE"""),"triall")</f>
        <v>triall</v>
      </c>
      <c r="B13158" s="2" t="str">
        <f ca="1">IFERROR(__xludf.DUMMYFUNCTION("""COMPUTED_VALUE"""),"trl")</f>
        <v>trl</v>
      </c>
      <c r="C13158" s="2" t="str">
        <f ca="1">IFERROR(__xludf.DUMMYFUNCTION("""COMPUTED_VALUE"""),"Triall")</f>
        <v>Triall</v>
      </c>
    </row>
    <row r="13159" spans="1:3" x14ac:dyDescent="0.25">
      <c r="A13159" s="2" t="str">
        <f ca="1">IFERROR(__xludf.DUMMYFUNCTION("""COMPUTED_VALUE"""),"trias-token")</f>
        <v>trias-token</v>
      </c>
      <c r="B13159" s="2" t="str">
        <f ca="1">IFERROR(__xludf.DUMMYFUNCTION("""COMPUTED_VALUE"""),"trias")</f>
        <v>trias</v>
      </c>
      <c r="C13159" s="2" t="str">
        <f ca="1">IFERROR(__xludf.DUMMYFUNCTION("""COMPUTED_VALUE"""),"TriasLab")</f>
        <v>TriasLab</v>
      </c>
    </row>
    <row r="13160" spans="1:3" x14ac:dyDescent="0.25">
      <c r="A13160" s="2" t="str">
        <f ca="1">IFERROR(__xludf.DUMMYFUNCTION("""COMPUTED_VALUE"""),"tribal-token")</f>
        <v>tribal-token</v>
      </c>
      <c r="B13160" s="2" t="str">
        <f ca="1">IFERROR(__xludf.DUMMYFUNCTION("""COMPUTED_VALUE"""),"tribl")</f>
        <v>tribl</v>
      </c>
      <c r="C13160" s="2" t="str">
        <f ca="1">IFERROR(__xludf.DUMMYFUNCTION("""COMPUTED_VALUE"""),"Tribal Token")</f>
        <v>Tribal Token</v>
      </c>
    </row>
    <row r="13161" spans="1:3" x14ac:dyDescent="0.25">
      <c r="A13161" s="2" t="str">
        <f ca="1">IFERROR(__xludf.DUMMYFUNCTION("""COMPUTED_VALUE"""),"tribal-triballygames")</f>
        <v>tribal-triballygames</v>
      </c>
      <c r="B13161" s="2" t="str">
        <f ca="1">IFERROR(__xludf.DUMMYFUNCTION("""COMPUTED_VALUE"""),"tribal")</f>
        <v>tribal</v>
      </c>
      <c r="C13161" s="2" t="str">
        <f ca="1">IFERROR(__xludf.DUMMYFUNCTION("""COMPUTED_VALUE"""),"TRIBAL")</f>
        <v>TRIBAL</v>
      </c>
    </row>
    <row r="13162" spans="1:3" x14ac:dyDescent="0.25">
      <c r="A13162" s="2" t="str">
        <f ca="1">IFERROR(__xludf.DUMMYFUNCTION("""COMPUTED_VALUE"""),"tribe-2")</f>
        <v>tribe-2</v>
      </c>
      <c r="B13162" s="2" t="str">
        <f ca="1">IFERROR(__xludf.DUMMYFUNCTION("""COMPUTED_VALUE"""),"tribe")</f>
        <v>tribe</v>
      </c>
      <c r="C13162" s="2" t="str">
        <f ca="1">IFERROR(__xludf.DUMMYFUNCTION("""COMPUTED_VALUE"""),"Tribe")</f>
        <v>Tribe</v>
      </c>
    </row>
    <row r="13163" spans="1:3" x14ac:dyDescent="0.25">
      <c r="A13163" s="2" t="str">
        <f ca="1">IFERROR(__xludf.DUMMYFUNCTION("""COMPUTED_VALUE"""),"tribeone")</f>
        <v>tribeone</v>
      </c>
      <c r="B13163" s="2" t="str">
        <f ca="1">IFERROR(__xludf.DUMMYFUNCTION("""COMPUTED_VALUE"""),"haka")</f>
        <v>haka</v>
      </c>
      <c r="C13163" s="2" t="str">
        <f ca="1">IFERROR(__xludf.DUMMYFUNCTION("""COMPUTED_VALUE"""),"TribeOne")</f>
        <v>TribeOne</v>
      </c>
    </row>
    <row r="13164" spans="1:3" x14ac:dyDescent="0.25">
      <c r="A13164" s="2" t="str">
        <f ca="1">IFERROR(__xludf.DUMMYFUNCTION("""COMPUTED_VALUE"""),"tridentdao")</f>
        <v>tridentdao</v>
      </c>
      <c r="B13164" s="2" t="str">
        <f ca="1">IFERROR(__xludf.DUMMYFUNCTION("""COMPUTED_VALUE"""),"psi")</f>
        <v>psi</v>
      </c>
      <c r="C13164" s="2" t="str">
        <f ca="1">IFERROR(__xludf.DUMMYFUNCTION("""COMPUTED_VALUE"""),"TridentDAO")</f>
        <v>TridentDAO</v>
      </c>
    </row>
    <row r="13165" spans="1:3" x14ac:dyDescent="0.25">
      <c r="A13165" s="2" t="str">
        <f ca="1">IFERROR(__xludf.DUMMYFUNCTION("""COMPUTED_VALUE"""),"triipmiles")</f>
        <v>triipmiles</v>
      </c>
      <c r="B13165" s="2" t="str">
        <f ca="1">IFERROR(__xludf.DUMMYFUNCTION("""COMPUTED_VALUE"""),"tiim")</f>
        <v>tiim</v>
      </c>
      <c r="C13165" s="2" t="str">
        <f ca="1">IFERROR(__xludf.DUMMYFUNCTION("""COMPUTED_VALUE"""),"TriipMiles")</f>
        <v>TriipMiles</v>
      </c>
    </row>
    <row r="13166" spans="1:3" x14ac:dyDescent="0.25">
      <c r="A13166" s="2" t="str">
        <f ca="1">IFERROR(__xludf.DUMMYFUNCTION("""COMPUTED_VALUE"""),"trillant")</f>
        <v>trillant</v>
      </c>
      <c r="B13166" s="2" t="str">
        <f ca="1">IFERROR(__xludf.DUMMYFUNCTION("""COMPUTED_VALUE"""),"tril")</f>
        <v>tril</v>
      </c>
      <c r="C13166" s="2" t="str">
        <f ca="1">IFERROR(__xludf.DUMMYFUNCTION("""COMPUTED_VALUE"""),"TRILLANT")</f>
        <v>TRILLANT</v>
      </c>
    </row>
    <row r="13167" spans="1:3" x14ac:dyDescent="0.25">
      <c r="A13167" s="2" t="str">
        <f ca="1">IFERROR(__xludf.DUMMYFUNCTION("""COMPUTED_VALUE"""),"trillioner")</f>
        <v>trillioner</v>
      </c>
      <c r="B13167" s="2" t="str">
        <f ca="1">IFERROR(__xludf.DUMMYFUNCTION("""COMPUTED_VALUE"""),"tlc")</f>
        <v>tlc</v>
      </c>
      <c r="C13167" s="2" t="str">
        <f ca="1">IFERROR(__xludf.DUMMYFUNCTION("""COMPUTED_VALUE"""),"Trillioner")</f>
        <v>Trillioner</v>
      </c>
    </row>
    <row r="13168" spans="1:3" x14ac:dyDescent="0.25">
      <c r="A13168" s="2" t="str">
        <f ca="1">IFERROR(__xludf.DUMMYFUNCTION("""COMPUTED_VALUE"""),"trilly")</f>
        <v>trilly</v>
      </c>
      <c r="B13168" s="2" t="str">
        <f ca="1">IFERROR(__xludf.DUMMYFUNCTION("""COMPUTED_VALUE"""),"trilly")</f>
        <v>trilly</v>
      </c>
      <c r="C13168" s="2" t="str">
        <f ca="1">IFERROR(__xludf.DUMMYFUNCTION("""COMPUTED_VALUE"""),"trilly")</f>
        <v>trilly</v>
      </c>
    </row>
    <row r="13169" spans="1:3" x14ac:dyDescent="0.25">
      <c r="A13169" s="2" t="str">
        <f ca="1">IFERROR(__xludf.DUMMYFUNCTION("""COMPUTED_VALUE"""),"trimbex")</f>
        <v>trimbex</v>
      </c>
      <c r="B13169" s="2" t="str">
        <f ca="1">IFERROR(__xludf.DUMMYFUNCTION("""COMPUTED_VALUE"""),"trim")</f>
        <v>trim</v>
      </c>
      <c r="C13169" s="2" t="str">
        <f ca="1">IFERROR(__xludf.DUMMYFUNCTION("""COMPUTED_VALUE"""),"TRIMBEX")</f>
        <v>TRIMBEX</v>
      </c>
    </row>
    <row r="13170" spans="1:3" x14ac:dyDescent="0.25">
      <c r="A13170" s="2" t="str">
        <f ca="1">IFERROR(__xludf.DUMMYFUNCTION("""COMPUTED_VALUE"""),"trinique")</f>
        <v>trinique</v>
      </c>
      <c r="B13170" s="2" t="str">
        <f ca="1">IFERROR(__xludf.DUMMYFUNCTION("""COMPUTED_VALUE"""),"tnq")</f>
        <v>tnq</v>
      </c>
      <c r="C13170" s="2" t="str">
        <f ca="1">IFERROR(__xludf.DUMMYFUNCTION("""COMPUTED_VALUE"""),"TNQ")</f>
        <v>TNQ</v>
      </c>
    </row>
    <row r="13171" spans="1:3" x14ac:dyDescent="0.25">
      <c r="A13171" s="2" t="str">
        <f ca="1">IFERROR(__xludf.DUMMYFUNCTION("""COMPUTED_VALUE"""),"trinity-network-credit")</f>
        <v>trinity-network-credit</v>
      </c>
      <c r="B13171" s="2" t="str">
        <f ca="1">IFERROR(__xludf.DUMMYFUNCTION("""COMPUTED_VALUE"""),"tnc")</f>
        <v>tnc</v>
      </c>
      <c r="C13171" s="2" t="str">
        <f ca="1">IFERROR(__xludf.DUMMYFUNCTION("""COMPUTED_VALUE"""),"Trinity Network Credit")</f>
        <v>Trinity Network Credit</v>
      </c>
    </row>
    <row r="13172" spans="1:3" x14ac:dyDescent="0.25">
      <c r="A13172" s="2" t="str">
        <f ca="1">IFERROR(__xludf.DUMMYFUNCTION("""COMPUTED_VALUE"""),"trinity-of-the-fabled-abyss-fragment")</f>
        <v>trinity-of-the-fabled-abyss-fragment</v>
      </c>
      <c r="B13172" s="2" t="str">
        <f ca="1">IFERROR(__xludf.DUMMYFUNCTION("""COMPUTED_VALUE"""),"abys")</f>
        <v>abys</v>
      </c>
      <c r="C13172" s="2" t="str">
        <f ca="1">IFERROR(__xludf.DUMMYFUNCTION("""COMPUTED_VALUE"""),"Trinity Of The Fabled Abyss Fragment")</f>
        <v>Trinity Of The Fabled Abyss Fragment</v>
      </c>
    </row>
    <row r="13173" spans="1:3" x14ac:dyDescent="0.25">
      <c r="A13173" s="2" t="str">
        <f ca="1">IFERROR(__xludf.DUMMYFUNCTION("""COMPUTED_VALUE"""),"trio-ordinals")</f>
        <v>trio-ordinals</v>
      </c>
      <c r="B13173" s="2" t="str">
        <f ca="1">IFERROR(__xludf.DUMMYFUNCTION("""COMPUTED_VALUE"""),"trio")</f>
        <v>trio</v>
      </c>
      <c r="C13173" s="2" t="str">
        <f ca="1">IFERROR(__xludf.DUMMYFUNCTION("""COMPUTED_VALUE"""),"Trio (Ordinals)")</f>
        <v>Trio (Ordinals)</v>
      </c>
    </row>
    <row r="13174" spans="1:3" x14ac:dyDescent="0.25">
      <c r="A13174" s="2" t="str">
        <f ca="1">IFERROR(__xludf.DUMMYFUNCTION("""COMPUTED_VALUE"""),"trisolaris")</f>
        <v>trisolaris</v>
      </c>
      <c r="B13174" s="2" t="str">
        <f ca="1">IFERROR(__xludf.DUMMYFUNCTION("""COMPUTED_VALUE"""),"tri")</f>
        <v>tri</v>
      </c>
      <c r="C13174" s="2" t="str">
        <f ca="1">IFERROR(__xludf.DUMMYFUNCTION("""COMPUTED_VALUE"""),"Trisolaris")</f>
        <v>Trisolaris</v>
      </c>
    </row>
    <row r="13175" spans="1:3" x14ac:dyDescent="0.25">
      <c r="A13175" s="2" t="str">
        <f ca="1">IFERROR(__xludf.DUMMYFUNCTION("""COMPUTED_VALUE"""),"triton")</f>
        <v>triton</v>
      </c>
      <c r="B13175" s="2" t="str">
        <f ca="1">IFERROR(__xludf.DUMMYFUNCTION("""COMPUTED_VALUE"""),"xeq")</f>
        <v>xeq</v>
      </c>
      <c r="C13175" s="2" t="str">
        <f ca="1">IFERROR(__xludf.DUMMYFUNCTION("""COMPUTED_VALUE"""),"Equilibria")</f>
        <v>Equilibria</v>
      </c>
    </row>
    <row r="13176" spans="1:3" x14ac:dyDescent="0.25">
      <c r="A13176" s="2" t="str">
        <f ca="1">IFERROR(__xludf.DUMMYFUNCTION("""COMPUTED_VALUE"""),"triton-2")</f>
        <v>triton-2</v>
      </c>
      <c r="B13176" s="2" t="str">
        <f ca="1">IFERROR(__xludf.DUMMYFUNCTION("""COMPUTED_VALUE"""),"triton")</f>
        <v>triton</v>
      </c>
      <c r="C13176" s="2" t="str">
        <f ca="1">IFERROR(__xludf.DUMMYFUNCTION("""COMPUTED_VALUE"""),"Triton")</f>
        <v>Triton</v>
      </c>
    </row>
    <row r="13177" spans="1:3" x14ac:dyDescent="0.25">
      <c r="A13177" s="2" t="str">
        <f ca="1">IFERROR(__xludf.DUMMYFUNCTION("""COMPUTED_VALUE"""),"trivian")</f>
        <v>trivian</v>
      </c>
      <c r="B13177" s="2" t="str">
        <f ca="1">IFERROR(__xludf.DUMMYFUNCTION("""COMPUTED_VALUE"""),"trivia")</f>
        <v>trivia</v>
      </c>
      <c r="C13177" s="2" t="str">
        <f ca="1">IFERROR(__xludf.DUMMYFUNCTION("""COMPUTED_VALUE"""),"Trivians")</f>
        <v>Trivians</v>
      </c>
    </row>
    <row r="13178" spans="1:3" x14ac:dyDescent="0.25">
      <c r="A13178" s="2" t="str">
        <f ca="1">IFERROR(__xludf.DUMMYFUNCTION("""COMPUTED_VALUE"""),"trog")</f>
        <v>trog</v>
      </c>
      <c r="B13178" s="2" t="str">
        <f ca="1">IFERROR(__xludf.DUMMYFUNCTION("""COMPUTED_VALUE"""),"trog")</f>
        <v>trog</v>
      </c>
      <c r="C13178" s="2" t="str">
        <f ca="1">IFERROR(__xludf.DUMMYFUNCTION("""COMPUTED_VALUE"""),"Trog")</f>
        <v>Trog</v>
      </c>
    </row>
    <row r="13179" spans="1:3" x14ac:dyDescent="0.25">
      <c r="A13179" s="2" t="str">
        <f ca="1">IFERROR(__xludf.DUMMYFUNCTION("""COMPUTED_VALUE"""),"trog-2")</f>
        <v>trog-2</v>
      </c>
      <c r="B13179" s="2" t="str">
        <f ca="1">IFERROR(__xludf.DUMMYFUNCTION("""COMPUTED_VALUE"""),"trog")</f>
        <v>trog</v>
      </c>
      <c r="C13179" s="2" t="str">
        <f ca="1">IFERROR(__xludf.DUMMYFUNCTION("""COMPUTED_VALUE"""),"TROG")</f>
        <v>TROG</v>
      </c>
    </row>
    <row r="13180" spans="1:3" x14ac:dyDescent="0.25">
      <c r="A13180" s="2" t="str">
        <f ca="1">IFERROR(__xludf.DUMMYFUNCTION("""COMPUTED_VALUE"""),"troll")</f>
        <v>troll</v>
      </c>
      <c r="B13180" s="2" t="str">
        <f ca="1">IFERROR(__xludf.DUMMYFUNCTION("""COMPUTED_VALUE"""),"troll")</f>
        <v>troll</v>
      </c>
      <c r="C13180" s="2" t="str">
        <f ca="1">IFERROR(__xludf.DUMMYFUNCTION("""COMPUTED_VALUE"""),"Troll")</f>
        <v>Troll</v>
      </c>
    </row>
    <row r="13181" spans="1:3" x14ac:dyDescent="0.25">
      <c r="A13181" s="2" t="str">
        <f ca="1">IFERROR(__xludf.DUMMYFUNCTION("""COMPUTED_VALUE"""),"troll-2-0")</f>
        <v>troll-2-0</v>
      </c>
      <c r="B13181" s="2" t="str">
        <f ca="1">IFERROR(__xludf.DUMMYFUNCTION("""COMPUTED_VALUE"""),"troll 2.0")</f>
        <v>troll 2.0</v>
      </c>
      <c r="C13181" s="2" t="str">
        <f ca="1">IFERROR(__xludf.DUMMYFUNCTION("""COMPUTED_VALUE"""),"TROLL 2.0")</f>
        <v>TROLL 2.0</v>
      </c>
    </row>
    <row r="13182" spans="1:3" x14ac:dyDescent="0.25">
      <c r="A13182" s="2" t="str">
        <f ca="1">IFERROR(__xludf.DUMMYFUNCTION("""COMPUTED_VALUE"""),"trollbox")</f>
        <v>trollbox</v>
      </c>
      <c r="B13182" s="2" t="str">
        <f ca="1">IFERROR(__xludf.DUMMYFUNCTION("""COMPUTED_VALUE"""),"tox")</f>
        <v>tox</v>
      </c>
      <c r="C13182" s="2" t="str">
        <f ca="1">IFERROR(__xludf.DUMMYFUNCTION("""COMPUTED_VALUE"""),"trollbox")</f>
        <v>trollbox</v>
      </c>
    </row>
    <row r="13183" spans="1:3" x14ac:dyDescent="0.25">
      <c r="A13183" s="2" t="str">
        <f ca="1">IFERROR(__xludf.DUMMYFUNCTION("""COMPUTED_VALUE"""),"trollcoin-2")</f>
        <v>trollcoin-2</v>
      </c>
      <c r="B13183" s="2" t="str">
        <f ca="1">IFERROR(__xludf.DUMMYFUNCTION("""COMPUTED_VALUE"""),"troll")</f>
        <v>troll</v>
      </c>
      <c r="C13183" s="2" t="str">
        <f ca="1">IFERROR(__xludf.DUMMYFUNCTION("""COMPUTED_VALUE"""),"TrollCoin")</f>
        <v>TrollCoin</v>
      </c>
    </row>
    <row r="13184" spans="1:3" x14ac:dyDescent="0.25">
      <c r="A13184" s="2" t="str">
        <f ca="1">IFERROR(__xludf.DUMMYFUNCTION("""COMPUTED_VALUE"""),"troll-face")</f>
        <v>troll-face</v>
      </c>
      <c r="B13184" s="2" t="str">
        <f ca="1">IFERROR(__xludf.DUMMYFUNCTION("""COMPUTED_VALUE"""),"troll")</f>
        <v>troll</v>
      </c>
      <c r="C13184" s="2" t="str">
        <f ca="1">IFERROR(__xludf.DUMMYFUNCTION("""COMPUTED_VALUE"""),"Troll Face")</f>
        <v>Troll Face</v>
      </c>
    </row>
    <row r="13185" spans="1:3" x14ac:dyDescent="0.25">
      <c r="A13185" s="2" t="str">
        <f ca="1">IFERROR(__xludf.DUMMYFUNCTION("""COMPUTED_VALUE"""),"trolli-cto")</f>
        <v>trolli-cto</v>
      </c>
      <c r="B13185" s="2" t="str">
        <f ca="1">IFERROR(__xludf.DUMMYFUNCTION("""COMPUTED_VALUE"""),"trollicto")</f>
        <v>trollicto</v>
      </c>
      <c r="C13185" s="2" t="str">
        <f ca="1">IFERROR(__xludf.DUMMYFUNCTION("""COMPUTED_VALUE"""),"TROLLI CTO")</f>
        <v>TROLLI CTO</v>
      </c>
    </row>
    <row r="13186" spans="1:3" x14ac:dyDescent="0.25">
      <c r="A13186" s="2" t="str">
        <f ca="1">IFERROR(__xludf.DUMMYFUNCTION("""COMPUTED_VALUE"""),"tron")</f>
        <v>tron</v>
      </c>
      <c r="B13186" s="2" t="str">
        <f ca="1">IFERROR(__xludf.DUMMYFUNCTION("""COMPUTED_VALUE"""),"trx")</f>
        <v>trx</v>
      </c>
      <c r="C13186" s="2" t="str">
        <f ca="1">IFERROR(__xludf.DUMMYFUNCTION("""COMPUTED_VALUE"""),"TRON")</f>
        <v>TRON</v>
      </c>
    </row>
    <row r="13187" spans="1:3" x14ac:dyDescent="0.25">
      <c r="A13187" s="2" t="str">
        <f ca="1">IFERROR(__xludf.DUMMYFUNCTION("""COMPUTED_VALUE"""),"tronarmy")</f>
        <v>tronarmy</v>
      </c>
      <c r="B13187" s="2" t="str">
        <f ca="1">IFERROR(__xludf.DUMMYFUNCTION("""COMPUTED_VALUE"""),"tronarmy")</f>
        <v>tronarmy</v>
      </c>
      <c r="C13187" s="2" t="str">
        <f ca="1">IFERROR(__xludf.DUMMYFUNCTION("""COMPUTED_VALUE"""),"TronArmy")</f>
        <v>TronArmy</v>
      </c>
    </row>
    <row r="13188" spans="1:3" x14ac:dyDescent="0.25">
      <c r="A13188" s="2" t="str">
        <f ca="1">IFERROR(__xludf.DUMMYFUNCTION("""COMPUTED_VALUE"""),"tron-beer")</f>
        <v>tron-beer</v>
      </c>
      <c r="B13188" s="2" t="str">
        <f ca="1">IFERROR(__xludf.DUMMYFUNCTION("""COMPUTED_VALUE"""),"tbeer")</f>
        <v>tbeer</v>
      </c>
      <c r="C13188" s="2" t="str">
        <f ca="1">IFERROR(__xludf.DUMMYFUNCTION("""COMPUTED_VALUE"""),"TRON BEER")</f>
        <v>TRON BEER</v>
      </c>
    </row>
    <row r="13189" spans="1:3" x14ac:dyDescent="0.25">
      <c r="A13189" s="2" t="str">
        <f ca="1">IFERROR(__xludf.DUMMYFUNCTION("""COMPUTED_VALUE"""),"tron-bsc")</f>
        <v>tron-bsc</v>
      </c>
      <c r="B13189" s="2" t="str">
        <f ca="1">IFERROR(__xludf.DUMMYFUNCTION("""COMPUTED_VALUE"""),"trx")</f>
        <v>trx</v>
      </c>
      <c r="C13189" s="2" t="str">
        <f ca="1">IFERROR(__xludf.DUMMYFUNCTION("""COMPUTED_VALUE"""),"TRON (BSC)")</f>
        <v>TRON (BSC)</v>
      </c>
    </row>
    <row r="13190" spans="1:3" x14ac:dyDescent="0.25">
      <c r="A13190" s="2" t="str">
        <f ca="1">IFERROR(__xludf.DUMMYFUNCTION("""COMPUTED_VALUE"""),"tron-bull")</f>
        <v>tron-bull</v>
      </c>
      <c r="B13190" s="2" t="str">
        <f ca="1">IFERROR(__xludf.DUMMYFUNCTION("""COMPUTED_VALUE"""),"bull")</f>
        <v>bull</v>
      </c>
      <c r="C13190" s="2" t="str">
        <f ca="1">IFERROR(__xludf.DUMMYFUNCTION("""COMPUTED_VALUE"""),"Tron Bull")</f>
        <v>Tron Bull</v>
      </c>
    </row>
    <row r="13191" spans="1:3" x14ac:dyDescent="0.25">
      <c r="A13191" s="2" t="str">
        <f ca="1">IFERROR(__xludf.DUMMYFUNCTION("""COMPUTED_VALUE"""),"tron-bull-coin")</f>
        <v>tron-bull-coin</v>
      </c>
      <c r="B13191" s="2" t="str">
        <f ca="1">IFERROR(__xludf.DUMMYFUNCTION("""COMPUTED_VALUE"""),"tbull")</f>
        <v>tbull</v>
      </c>
      <c r="C13191" s="2" t="str">
        <f ca="1">IFERROR(__xludf.DUMMYFUNCTION("""COMPUTED_VALUE"""),"Tron Bull Coin")</f>
        <v>Tron Bull Coin</v>
      </c>
    </row>
    <row r="13192" spans="1:3" x14ac:dyDescent="0.25">
      <c r="A13192" s="2" t="str">
        <f ca="1">IFERROR(__xludf.DUMMYFUNCTION("""COMPUTED_VALUE"""),"tron-cat")</f>
        <v>tron-cat</v>
      </c>
      <c r="B13192" s="2" t="str">
        <f ca="1">IFERROR(__xludf.DUMMYFUNCTION("""COMPUTED_VALUE"""),"tcat")</f>
        <v>tcat</v>
      </c>
      <c r="C13192" s="2" t="str">
        <f ca="1">IFERROR(__xludf.DUMMYFUNCTION("""COMPUTED_VALUE"""),"Tron Cat")</f>
        <v>Tron Cat</v>
      </c>
    </row>
    <row r="13193" spans="1:3" x14ac:dyDescent="0.25">
      <c r="A13193" s="2" t="str">
        <f ca="1">IFERROR(__xludf.DUMMYFUNCTION("""COMPUTED_VALUE"""),"tronches")</f>
        <v>tronches</v>
      </c>
      <c r="B13193" s="2" t="str">
        <f ca="1">IFERROR(__xludf.DUMMYFUNCTION("""COMPUTED_VALUE"""),"tronches")</f>
        <v>tronches</v>
      </c>
      <c r="C13193" s="2" t="str">
        <f ca="1">IFERROR(__xludf.DUMMYFUNCTION("""COMPUTED_VALUE"""),"TRONCHES")</f>
        <v>TRONCHES</v>
      </c>
    </row>
    <row r="13194" spans="1:3" x14ac:dyDescent="0.25">
      <c r="A13194" s="2" t="str">
        <f ca="1">IFERROR(__xludf.DUMMYFUNCTION("""COMPUTED_VALUE"""),"tronclassic")</f>
        <v>tronclassic</v>
      </c>
      <c r="B13194" s="2" t="str">
        <f ca="1">IFERROR(__xludf.DUMMYFUNCTION("""COMPUTED_VALUE"""),"trxc")</f>
        <v>trxc</v>
      </c>
      <c r="C13194" s="2" t="str">
        <f ca="1">IFERROR(__xludf.DUMMYFUNCTION("""COMPUTED_VALUE"""),"TronClassic")</f>
        <v>TronClassic</v>
      </c>
    </row>
    <row r="13195" spans="1:3" x14ac:dyDescent="0.25">
      <c r="A13195" s="2" t="str">
        <f ca="1">IFERROR(__xludf.DUMMYFUNCTION("""COMPUTED_VALUE"""),"trondog")</f>
        <v>trondog</v>
      </c>
      <c r="B13195" s="2" t="str">
        <f ca="1">IFERROR(__xludf.DUMMYFUNCTION("""COMPUTED_VALUE"""),"trondog")</f>
        <v>trondog</v>
      </c>
      <c r="C13195" s="2" t="str">
        <f ca="1">IFERROR(__xludf.DUMMYFUNCTION("""COMPUTED_VALUE"""),"TronDog")</f>
        <v>TronDog</v>
      </c>
    </row>
    <row r="13196" spans="1:3" x14ac:dyDescent="0.25">
      <c r="A13196" s="2" t="str">
        <f ca="1">IFERROR(__xludf.DUMMYFUNCTION("""COMPUTED_VALUE"""),"troneuroperewardcoin")</f>
        <v>troneuroperewardcoin</v>
      </c>
      <c r="B13196" s="2" t="str">
        <f ca="1">IFERROR(__xludf.DUMMYFUNCTION("""COMPUTED_VALUE"""),"terc")</f>
        <v>terc</v>
      </c>
      <c r="C13196" s="2" t="str">
        <f ca="1">IFERROR(__xludf.DUMMYFUNCTION("""COMPUTED_VALUE"""),"TronEuropeRewardCoin")</f>
        <v>TronEuropeRewardCoin</v>
      </c>
    </row>
    <row r="13197" spans="1:3" x14ac:dyDescent="0.25">
      <c r="A13197" s="2" t="str">
        <f ca="1">IFERROR(__xludf.DUMMYFUNCTION("""COMPUTED_VALUE"""),"tronkey")</f>
        <v>tronkey</v>
      </c>
      <c r="B13197" s="2" t="str">
        <f ca="1">IFERROR(__xludf.DUMMYFUNCTION("""COMPUTED_VALUE"""),"tronkey")</f>
        <v>tronkey</v>
      </c>
      <c r="C13197" s="2" t="str">
        <f ca="1">IFERROR(__xludf.DUMMYFUNCTION("""COMPUTED_VALUE"""),"TRONKEY")</f>
        <v>TRONKEY</v>
      </c>
    </row>
    <row r="13198" spans="1:3" x14ac:dyDescent="0.25">
      <c r="A13198" s="2" t="str">
        <f ca="1">IFERROR(__xludf.DUMMYFUNCTION("""COMPUTED_VALUE"""),"tronpad")</f>
        <v>tronpad</v>
      </c>
      <c r="B13198" s="2" t="str">
        <f ca="1">IFERROR(__xludf.DUMMYFUNCTION("""COMPUTED_VALUE"""),"tronpad")</f>
        <v>tronpad</v>
      </c>
      <c r="C13198" s="2" t="str">
        <f ca="1">IFERROR(__xludf.DUMMYFUNCTION("""COMPUTED_VALUE"""),"TRONPAD")</f>
        <v>TRONPAD</v>
      </c>
    </row>
    <row r="13199" spans="1:3" x14ac:dyDescent="0.25">
      <c r="A13199" s="2" t="str">
        <f ca="1">IFERROR(__xludf.DUMMYFUNCTION("""COMPUTED_VALUE"""),"tron-rice")</f>
        <v>tron-rice</v>
      </c>
      <c r="B13199" s="2" t="str">
        <f ca="1">IFERROR(__xludf.DUMMYFUNCTION("""COMPUTED_VALUE"""),"rice")</f>
        <v>rice</v>
      </c>
      <c r="C13199" s="2" t="str">
        <f ca="1">IFERROR(__xludf.DUMMYFUNCTION("""COMPUTED_VALUE"""),"Tron Rice")</f>
        <v>Tron Rice</v>
      </c>
    </row>
    <row r="13200" spans="1:3" x14ac:dyDescent="0.25">
      <c r="A13200" s="2" t="str">
        <f ca="1">IFERROR(__xludf.DUMMYFUNCTION("""COMPUTED_VALUE"""),"troop")</f>
        <v>troop</v>
      </c>
      <c r="B13200" s="2" t="str">
        <f ca="1">IFERROR(__xludf.DUMMYFUNCTION("""COMPUTED_VALUE"""),"troop")</f>
        <v>troop</v>
      </c>
      <c r="C13200" s="2" t="str">
        <f ca="1">IFERROR(__xludf.DUMMYFUNCTION("""COMPUTED_VALUE"""),"Troop")</f>
        <v>Troop</v>
      </c>
    </row>
    <row r="13201" spans="1:3" x14ac:dyDescent="0.25">
      <c r="A13201" s="2" t="str">
        <f ca="1">IFERROR(__xludf.DUMMYFUNCTION("""COMPUTED_VALUE"""),"troy")</f>
        <v>troy</v>
      </c>
      <c r="B13201" s="2" t="str">
        <f ca="1">IFERROR(__xludf.DUMMYFUNCTION("""COMPUTED_VALUE"""),"troy")</f>
        <v>troy</v>
      </c>
      <c r="C13201" s="2" t="str">
        <f ca="1">IFERROR(__xludf.DUMMYFUNCTION("""COMPUTED_VALUE"""),"TROY")</f>
        <v>TROY</v>
      </c>
    </row>
    <row r="13202" spans="1:3" x14ac:dyDescent="0.25">
      <c r="A13202" s="2" t="str">
        <f ca="1">IFERROR(__xludf.DUMMYFUNCTION("""COMPUTED_VALUE"""),"trrxitte")</f>
        <v>trrxitte</v>
      </c>
      <c r="B13202" s="2" t="str">
        <f ca="1">IFERROR(__xludf.DUMMYFUNCTION("""COMPUTED_VALUE"""),"trrxitte")</f>
        <v>trrxitte</v>
      </c>
      <c r="C13202" s="2" t="str">
        <f ca="1">IFERROR(__xludf.DUMMYFUNCTION("""COMPUTED_VALUE"""),"TRRXITTE International")</f>
        <v>TRRXITTE International</v>
      </c>
    </row>
    <row r="13203" spans="1:3" x14ac:dyDescent="0.25">
      <c r="A13203" s="2" t="str">
        <f ca="1">IFERROR(__xludf.DUMMYFUNCTION("""COMPUTED_VALUE"""),"trubadger")</f>
        <v>trubadger</v>
      </c>
      <c r="B13203" s="2" t="str">
        <f ca="1">IFERROR(__xludf.DUMMYFUNCTION("""COMPUTED_VALUE"""),"trubgr")</f>
        <v>trubgr</v>
      </c>
      <c r="C13203" s="2" t="str">
        <f ca="1">IFERROR(__xludf.DUMMYFUNCTION("""COMPUTED_VALUE"""),"TruBadger")</f>
        <v>TruBadger</v>
      </c>
    </row>
    <row r="13204" spans="1:3" x14ac:dyDescent="0.25">
      <c r="A13204" s="2" t="str">
        <f ca="1">IFERROR(__xludf.DUMMYFUNCTION("""COMPUTED_VALUE"""),"truebit-protocol")</f>
        <v>truebit-protocol</v>
      </c>
      <c r="B13204" s="2" t="str">
        <f ca="1">IFERROR(__xludf.DUMMYFUNCTION("""COMPUTED_VALUE"""),"tru")</f>
        <v>tru</v>
      </c>
      <c r="C13204" s="2" t="str">
        <f ca="1">IFERROR(__xludf.DUMMYFUNCTION("""COMPUTED_VALUE"""),"Truebit Protocol")</f>
        <v>Truebit Protocol</v>
      </c>
    </row>
    <row r="13205" spans="1:3" x14ac:dyDescent="0.25">
      <c r="A13205" s="2" t="str">
        <f ca="1">IFERROR(__xludf.DUMMYFUNCTION("""COMPUTED_VALUE"""),"truecnh")</f>
        <v>truecnh</v>
      </c>
      <c r="B13205" s="2" t="str">
        <f ca="1">IFERROR(__xludf.DUMMYFUNCTION("""COMPUTED_VALUE"""),"tcnh")</f>
        <v>tcnh</v>
      </c>
      <c r="C13205" s="2" t="str">
        <f ca="1">IFERROR(__xludf.DUMMYFUNCTION("""COMPUTED_VALUE"""),"TrueCNH")</f>
        <v>TrueCNH</v>
      </c>
    </row>
    <row r="13206" spans="1:3" x14ac:dyDescent="0.25">
      <c r="A13206" s="2" t="str">
        <f ca="1">IFERROR(__xludf.DUMMYFUNCTION("""COMPUTED_VALUE"""),"truefeedbackchain")</f>
        <v>truefeedbackchain</v>
      </c>
      <c r="B13206" s="2" t="str">
        <f ca="1">IFERROR(__xludf.DUMMYFUNCTION("""COMPUTED_VALUE"""),"tfbx")</f>
        <v>tfbx</v>
      </c>
      <c r="C13206" s="2" t="str">
        <f ca="1">IFERROR(__xludf.DUMMYFUNCTION("""COMPUTED_VALUE"""),"Truefeedback")</f>
        <v>Truefeedback</v>
      </c>
    </row>
    <row r="13207" spans="1:3" x14ac:dyDescent="0.25">
      <c r="A13207" s="2" t="str">
        <f ca="1">IFERROR(__xludf.DUMMYFUNCTION("""COMPUTED_VALUE"""),"truefi")</f>
        <v>truefi</v>
      </c>
      <c r="B13207" s="2" t="str">
        <f ca="1">IFERROR(__xludf.DUMMYFUNCTION("""COMPUTED_VALUE"""),"tru")</f>
        <v>tru</v>
      </c>
      <c r="C13207" s="2" t="str">
        <f ca="1">IFERROR(__xludf.DUMMYFUNCTION("""COMPUTED_VALUE"""),"TrueFi")</f>
        <v>TrueFi</v>
      </c>
    </row>
    <row r="13208" spans="1:3" x14ac:dyDescent="0.25">
      <c r="A13208" s="2" t="str">
        <f ca="1">IFERROR(__xludf.DUMMYFUNCTION("""COMPUTED_VALUE"""),"true-pnl")</f>
        <v>true-pnl</v>
      </c>
      <c r="B13208" s="2" t="str">
        <f ca="1">IFERROR(__xludf.DUMMYFUNCTION("""COMPUTED_VALUE"""),"pnl")</f>
        <v>pnl</v>
      </c>
      <c r="C13208" s="2" t="str">
        <f ca="1">IFERROR(__xludf.DUMMYFUNCTION("""COMPUTED_VALUE"""),"True PNL")</f>
        <v>True PNL</v>
      </c>
    </row>
    <row r="13209" spans="1:3" x14ac:dyDescent="0.25">
      <c r="A13209" s="2" t="str">
        <f ca="1">IFERROR(__xludf.DUMMYFUNCTION("""COMPUTED_VALUE"""),"truesight-dao-governance-token")</f>
        <v>truesight-dao-governance-token</v>
      </c>
      <c r="B13209" s="2" t="str">
        <f ca="1">IFERROR(__xludf.DUMMYFUNCTION("""COMPUTED_VALUE"""),"tdg")</f>
        <v>tdg</v>
      </c>
      <c r="C13209" s="2" t="str">
        <f ca="1">IFERROR(__xludf.DUMMYFUNCTION("""COMPUTED_VALUE"""),"TrueSight DAO Governance Token")</f>
        <v>TrueSight DAO Governance Token</v>
      </c>
    </row>
    <row r="13210" spans="1:3" x14ac:dyDescent="0.25">
      <c r="A13210" s="2" t="str">
        <f ca="1">IFERROR(__xludf.DUMMYFUNCTION("""COMPUTED_VALUE"""),"true-usd")</f>
        <v>true-usd</v>
      </c>
      <c r="B13210" s="2" t="str">
        <f ca="1">IFERROR(__xludf.DUMMYFUNCTION("""COMPUTED_VALUE"""),"tusd")</f>
        <v>tusd</v>
      </c>
      <c r="C13210" s="2" t="str">
        <f ca="1">IFERROR(__xludf.DUMMYFUNCTION("""COMPUTED_VALUE"""),"TrueUSD")</f>
        <v>TrueUSD</v>
      </c>
    </row>
    <row r="13211" spans="1:3" x14ac:dyDescent="0.25">
      <c r="A13211" s="2" t="str">
        <f ca="1">IFERROR(__xludf.DUMMYFUNCTION("""COMPUTED_VALUE"""),"truffi")</f>
        <v>truffi</v>
      </c>
      <c r="B13211" s="2" t="str">
        <f ca="1">IFERROR(__xludf.DUMMYFUNCTION("""COMPUTED_VALUE"""),"truffi")</f>
        <v>truffi</v>
      </c>
      <c r="C13211" s="2" t="str">
        <f ca="1">IFERROR(__xludf.DUMMYFUNCTION("""COMPUTED_VALUE"""),"Truffi")</f>
        <v>Truffi</v>
      </c>
    </row>
    <row r="13212" spans="1:3" x14ac:dyDescent="0.25">
      <c r="A13212" s="2" t="str">
        <f ca="1">IFERROR(__xludf.DUMMYFUNCTION("""COMPUTED_VALUE"""),"trufin-staked-apt")</f>
        <v>trufin-staked-apt</v>
      </c>
      <c r="B13212" s="2" t="str">
        <f ca="1">IFERROR(__xludf.DUMMYFUNCTION("""COMPUTED_VALUE"""),"truapt")</f>
        <v>truapt</v>
      </c>
      <c r="C13212" s="2" t="str">
        <f ca="1">IFERROR(__xludf.DUMMYFUNCTION("""COMPUTED_VALUE"""),"TruFin Staked APT")</f>
        <v>TruFin Staked APT</v>
      </c>
    </row>
    <row r="13213" spans="1:3" x14ac:dyDescent="0.25">
      <c r="A13213" s="2" t="str">
        <f ca="1">IFERROR(__xludf.DUMMYFUNCTION("""COMPUTED_VALUE"""),"trufin-staked-matic")</f>
        <v>trufin-staked-matic</v>
      </c>
      <c r="B13213" s="2" t="str">
        <f ca="1">IFERROR(__xludf.DUMMYFUNCTION("""COMPUTED_VALUE"""),"trumatic")</f>
        <v>trumatic</v>
      </c>
      <c r="C13213" s="2" t="str">
        <f ca="1">IFERROR(__xludf.DUMMYFUNCTION("""COMPUTED_VALUE"""),"TruFin Staked MATIC")</f>
        <v>TruFin Staked MATIC</v>
      </c>
    </row>
    <row r="13214" spans="1:3" x14ac:dyDescent="0.25">
      <c r="A13214" s="2" t="str">
        <f ca="1">IFERROR(__xludf.DUMMYFUNCTION("""COMPUTED_VALUE"""),"truflation")</f>
        <v>truflation</v>
      </c>
      <c r="B13214" s="2" t="str">
        <f ca="1">IFERROR(__xludf.DUMMYFUNCTION("""COMPUTED_VALUE"""),"truf")</f>
        <v>truf</v>
      </c>
      <c r="C13214" s="2" t="str">
        <f ca="1">IFERROR(__xludf.DUMMYFUNCTION("""COMPUTED_VALUE"""),"Truflation")</f>
        <v>Truflation</v>
      </c>
    </row>
    <row r="13215" spans="1:3" x14ac:dyDescent="0.25">
      <c r="A13215" s="2" t="str">
        <f ca="1">IFERROR(__xludf.DUMMYFUNCTION("""COMPUTED_VALUE"""),"trump-cards-fraction-token")</f>
        <v>trump-cards-fraction-token</v>
      </c>
      <c r="B13215" s="2" t="str">
        <f ca="1">IFERROR(__xludf.DUMMYFUNCTION("""COMPUTED_VALUE"""),"itrump")</f>
        <v>itrump</v>
      </c>
      <c r="C13215" s="2" t="str">
        <f ca="1">IFERROR(__xludf.DUMMYFUNCTION("""COMPUTED_VALUE"""),"Trump Cards Fraction Token")</f>
        <v>Trump Cards Fraction Token</v>
      </c>
    </row>
    <row r="13216" spans="1:3" x14ac:dyDescent="0.25">
      <c r="A13216" s="2" t="str">
        <f ca="1">IFERROR(__xludf.DUMMYFUNCTION("""COMPUTED_VALUE"""),"trumpcoin")</f>
        <v>trumpcoin</v>
      </c>
      <c r="B13216" s="2" t="str">
        <f ca="1">IFERROR(__xludf.DUMMYFUNCTION("""COMPUTED_VALUE"""),"djt")</f>
        <v>djt</v>
      </c>
      <c r="C13216" s="2" t="str">
        <f ca="1">IFERROR(__xludf.DUMMYFUNCTION("""COMPUTED_VALUE"""),"TrumpCoin")</f>
        <v>TrumpCoin</v>
      </c>
    </row>
    <row r="13217" spans="1:3" x14ac:dyDescent="0.25">
      <c r="A13217" s="2" t="str">
        <f ca="1">IFERROR(__xludf.DUMMYFUNCTION("""COMPUTED_VALUE"""),"trumpcoin-709b1637-4ceb-4e9e-878d-2b137bee017d")</f>
        <v>trumpcoin-709b1637-4ceb-4e9e-878d-2b137bee017d</v>
      </c>
      <c r="B13217" s="2" t="str">
        <f ca="1">IFERROR(__xludf.DUMMYFUNCTION("""COMPUTED_VALUE"""),"dtc")</f>
        <v>dtc</v>
      </c>
      <c r="C13217" s="2" t="str">
        <f ca="1">IFERROR(__xludf.DUMMYFUNCTION("""COMPUTED_VALUE"""),"TrumpCoin")</f>
        <v>TrumpCoin</v>
      </c>
    </row>
    <row r="13218" spans="1:3" x14ac:dyDescent="0.25">
      <c r="A13218" s="2" t="str">
        <f ca="1">IFERROR(__xludf.DUMMYFUNCTION("""COMPUTED_VALUE"""),"trumpie")</f>
        <v>trumpie</v>
      </c>
      <c r="B13218" s="2" t="str">
        <f ca="1">IFERROR(__xludf.DUMMYFUNCTION("""COMPUTED_VALUE"""),"trumpie")</f>
        <v>trumpie</v>
      </c>
      <c r="C13218" s="2" t="str">
        <f ca="1">IFERROR(__xludf.DUMMYFUNCTION("""COMPUTED_VALUE"""),"trumpie")</f>
        <v>trumpie</v>
      </c>
    </row>
    <row r="13219" spans="1:3" x14ac:dyDescent="0.25">
      <c r="A13219" s="2" t="str">
        <f ca="1">IFERROR(__xludf.DUMMYFUNCTION("""COMPUTED_VALUE"""),"trumpmaga")</f>
        <v>trumpmaga</v>
      </c>
      <c r="B13219" s="2" t="str">
        <f ca="1">IFERROR(__xludf.DUMMYFUNCTION("""COMPUTED_VALUE"""),"$trumaga")</f>
        <v>$trumaga</v>
      </c>
      <c r="C13219" s="2" t="str">
        <f ca="1">IFERROR(__xludf.DUMMYFUNCTION("""COMPUTED_VALUE"""),"TrumpMAGA")</f>
        <v>TrumpMAGA</v>
      </c>
    </row>
    <row r="13220" spans="1:3" x14ac:dyDescent="0.25">
      <c r="A13220" s="2" t="str">
        <f ca="1">IFERROR(__xludf.DUMMYFUNCTION("""COMPUTED_VALUE"""),"trump-s-tender-tabby")</f>
        <v>trump-s-tender-tabby</v>
      </c>
      <c r="B13220" s="2" t="str">
        <f ca="1">IFERROR(__xludf.DUMMYFUNCTION("""COMPUTED_VALUE"""),"tabby")</f>
        <v>tabby</v>
      </c>
      <c r="C13220" s="2" t="str">
        <f ca="1">IFERROR(__xludf.DUMMYFUNCTION("""COMPUTED_VALUE"""),"Trump's Tender Tabby")</f>
        <v>Trump's Tender Tabby</v>
      </c>
    </row>
    <row r="13221" spans="1:3" x14ac:dyDescent="0.25">
      <c r="A13221" s="2" t="str">
        <f ca="1">IFERROR(__xludf.DUMMYFUNCTION("""COMPUTED_VALUE"""),"trustbase")</f>
        <v>trustbase</v>
      </c>
      <c r="B13221" s="2" t="str">
        <f ca="1">IFERROR(__xludf.DUMMYFUNCTION("""COMPUTED_VALUE"""),"tbe")</f>
        <v>tbe</v>
      </c>
      <c r="C13221" s="2" t="str">
        <f ca="1">IFERROR(__xludf.DUMMYFUNCTION("""COMPUTED_VALUE"""),"TrustBase")</f>
        <v>TrustBase</v>
      </c>
    </row>
    <row r="13222" spans="1:3" x14ac:dyDescent="0.25">
      <c r="A13222" s="2" t="str">
        <f ca="1">IFERROR(__xludf.DUMMYFUNCTION("""COMPUTED_VALUE"""),"trustfi-network-token")</f>
        <v>trustfi-network-token</v>
      </c>
      <c r="B13222" s="2" t="str">
        <f ca="1">IFERROR(__xludf.DUMMYFUNCTION("""COMPUTED_VALUE"""),"tfi")</f>
        <v>tfi</v>
      </c>
      <c r="C13222" s="2" t="str">
        <f ca="1">IFERROR(__xludf.DUMMYFUNCTION("""COMPUTED_VALUE"""),"TrustFi Network")</f>
        <v>TrustFi Network</v>
      </c>
    </row>
    <row r="13223" spans="1:3" x14ac:dyDescent="0.25">
      <c r="A13223" s="2" t="str">
        <f ca="1">IFERROR(__xludf.DUMMYFUNCTION("""COMPUTED_VALUE"""),"trustnft")</f>
        <v>trustnft</v>
      </c>
      <c r="B13223" s="2" t="str">
        <f ca="1">IFERROR(__xludf.DUMMYFUNCTION("""COMPUTED_VALUE"""),"trustnft")</f>
        <v>trustnft</v>
      </c>
      <c r="C13223" s="2" t="str">
        <f ca="1">IFERROR(__xludf.DUMMYFUNCTION("""COMPUTED_VALUE"""),"TrustNFT")</f>
        <v>TrustNFT</v>
      </c>
    </row>
    <row r="13224" spans="1:3" x14ac:dyDescent="0.25">
      <c r="A13224" s="2" t="str">
        <f ca="1">IFERROR(__xludf.DUMMYFUNCTION("""COMPUTED_VALUE"""),"trustpad-2-0")</f>
        <v>trustpad-2-0</v>
      </c>
      <c r="B13224" s="2" t="str">
        <f ca="1">IFERROR(__xludf.DUMMYFUNCTION("""COMPUTED_VALUE"""),"tpad")</f>
        <v>tpad</v>
      </c>
      <c r="C13224" s="2" t="str">
        <f ca="1">IFERROR(__xludf.DUMMYFUNCTION("""COMPUTED_VALUE"""),"TrustPad")</f>
        <v>TrustPad</v>
      </c>
    </row>
    <row r="13225" spans="1:3" x14ac:dyDescent="0.25">
      <c r="A13225" s="2" t="str">
        <f ca="1">IFERROR(__xludf.DUMMYFUNCTION("""COMPUTED_VALUE"""),"trustswap")</f>
        <v>trustswap</v>
      </c>
      <c r="B13225" s="2" t="str">
        <f ca="1">IFERROR(__xludf.DUMMYFUNCTION("""COMPUTED_VALUE"""),"swap")</f>
        <v>swap</v>
      </c>
      <c r="C13225" s="2" t="str">
        <f ca="1">IFERROR(__xludf.DUMMYFUNCTION("""COMPUTED_VALUE"""),"TrustSwap")</f>
        <v>TrustSwap</v>
      </c>
    </row>
    <row r="13226" spans="1:3" x14ac:dyDescent="0.25">
      <c r="A13226" s="2" t="str">
        <f ca="1">IFERROR(__xludf.DUMMYFUNCTION("""COMPUTED_VALUE"""),"trust-trading-group")</f>
        <v>trust-trading-group</v>
      </c>
      <c r="B13226" s="2" t="str">
        <f ca="1">IFERROR(__xludf.DUMMYFUNCTION("""COMPUTED_VALUE"""),"ttg")</f>
        <v>ttg</v>
      </c>
      <c r="C13226" s="2" t="str">
        <f ca="1">IFERROR(__xludf.DUMMYFUNCTION("""COMPUTED_VALUE"""),"Trust Trading Group")</f>
        <v>Trust Trading Group</v>
      </c>
    </row>
    <row r="13227" spans="1:3" x14ac:dyDescent="0.25">
      <c r="A13227" s="2" t="str">
        <f ca="1">IFERROR(__xludf.DUMMYFUNCTION("""COMPUTED_VALUE"""),"trust-wallet-token")</f>
        <v>trust-wallet-token</v>
      </c>
      <c r="B13227" s="2" t="str">
        <f ca="1">IFERROR(__xludf.DUMMYFUNCTION("""COMPUTED_VALUE"""),"twt")</f>
        <v>twt</v>
      </c>
      <c r="C13227" s="2" t="str">
        <f ca="1">IFERROR(__xludf.DUMMYFUNCTION("""COMPUTED_VALUE"""),"Trust Wallet")</f>
        <v>Trust Wallet</v>
      </c>
    </row>
    <row r="13228" spans="1:3" x14ac:dyDescent="0.25">
      <c r="A13228" s="2" t="str">
        <f ca="1">IFERROR(__xludf.DUMMYFUNCTION("""COMPUTED_VALUE"""),"truthgpt")</f>
        <v>truthgpt</v>
      </c>
      <c r="B13228" s="2" t="str">
        <f ca="1">IFERROR(__xludf.DUMMYFUNCTION("""COMPUTED_VALUE"""),"truth")</f>
        <v>truth</v>
      </c>
      <c r="C13228" s="2" t="str">
        <f ca="1">IFERROR(__xludf.DUMMYFUNCTION("""COMPUTED_VALUE"""),"TruthGPT")</f>
        <v>TruthGPT</v>
      </c>
    </row>
    <row r="13229" spans="1:3" x14ac:dyDescent="0.25">
      <c r="A13229" s="2" t="str">
        <f ca="1">IFERROR(__xludf.DUMMYFUNCTION("""COMPUTED_VALUE"""),"truthgpt-bsc")</f>
        <v>truthgpt-bsc</v>
      </c>
      <c r="B13229" s="2" t="str">
        <f ca="1">IFERROR(__xludf.DUMMYFUNCTION("""COMPUTED_VALUE"""),"truth")</f>
        <v>truth</v>
      </c>
      <c r="C13229" s="2" t="str">
        <f ca="1">IFERROR(__xludf.DUMMYFUNCTION("""COMPUTED_VALUE"""),"TruthGPT (BSC)")</f>
        <v>TruthGPT (BSC)</v>
      </c>
    </row>
    <row r="13230" spans="1:3" x14ac:dyDescent="0.25">
      <c r="A13230" s="2" t="str">
        <f ca="1">IFERROR(__xludf.DUMMYFUNCTION("""COMPUTED_VALUE"""),"truth-inu")</f>
        <v>truth-inu</v>
      </c>
      <c r="B13230" s="2" t="str">
        <f ca="1">IFERROR(__xludf.DUMMYFUNCTION("""COMPUTED_VALUE"""),"$truth")</f>
        <v>$truth</v>
      </c>
      <c r="C13230" s="2" t="str">
        <f ca="1">IFERROR(__xludf.DUMMYFUNCTION("""COMPUTED_VALUE"""),"Truth Inu")</f>
        <v>Truth Inu</v>
      </c>
    </row>
    <row r="13231" spans="1:3" x14ac:dyDescent="0.25">
      <c r="A13231" s="2" t="str">
        <f ca="1">IFERROR(__xludf.DUMMYFUNCTION("""COMPUTED_VALUE"""),"truth-pay")</f>
        <v>truth-pay</v>
      </c>
      <c r="B13231" s="2" t="str">
        <f ca="1">IFERROR(__xludf.DUMMYFUNCTION("""COMPUTED_VALUE"""),"trp")</f>
        <v>trp</v>
      </c>
      <c r="C13231" s="2" t="str">
        <f ca="1">IFERROR(__xludf.DUMMYFUNCTION("""COMPUTED_VALUE"""),"Truth Pay")</f>
        <v>Truth Pay</v>
      </c>
    </row>
    <row r="13232" spans="1:3" x14ac:dyDescent="0.25">
      <c r="A13232" s="2" t="str">
        <f ca="1">IFERROR(__xludf.DUMMYFUNCTION("""COMPUTED_VALUE"""),"trxi-tron")</f>
        <v>trxi-tron</v>
      </c>
      <c r="B13232" s="2" t="str">
        <f ca="1">IFERROR(__xludf.DUMMYFUNCTION("""COMPUTED_VALUE"""),"trxi")</f>
        <v>trxi</v>
      </c>
      <c r="C13232" s="2" t="str">
        <f ca="1">IFERROR(__xludf.DUMMYFUNCTION("""COMPUTED_VALUE"""),"TRXI (Tron)")</f>
        <v>TRXI (Tron)</v>
      </c>
    </row>
    <row r="13233" spans="1:3" x14ac:dyDescent="0.25">
      <c r="A13233" s="2" t="str">
        <f ca="1">IFERROR(__xludf.DUMMYFUNCTION("""COMPUTED_VALUE"""),"tryc")</f>
        <v>tryc</v>
      </c>
      <c r="B13233" s="2" t="str">
        <f ca="1">IFERROR(__xludf.DUMMYFUNCTION("""COMPUTED_VALUE"""),"tryc")</f>
        <v>tryc</v>
      </c>
      <c r="C13233" s="2" t="str">
        <f ca="1">IFERROR(__xludf.DUMMYFUNCTION("""COMPUTED_VALUE"""),"TRYC")</f>
        <v>TRYC</v>
      </c>
    </row>
    <row r="13234" spans="1:3" x14ac:dyDescent="0.25">
      <c r="A13234" s="2" t="str">
        <f ca="1">IFERROR(__xludf.DUMMYFUNCTION("""COMPUTED_VALUE"""),"tryhards")</f>
        <v>tryhards</v>
      </c>
      <c r="B13234" s="2" t="str">
        <f ca="1">IFERROR(__xludf.DUMMYFUNCTION("""COMPUTED_VALUE"""),"try")</f>
        <v>try</v>
      </c>
      <c r="C13234" s="2" t="str">
        <f ca="1">IFERROR(__xludf.DUMMYFUNCTION("""COMPUTED_VALUE"""),"TryHards")</f>
        <v>TryHards</v>
      </c>
    </row>
    <row r="13235" spans="1:3" x14ac:dyDescent="0.25">
      <c r="A13235" s="2" t="str">
        <f ca="1">IFERROR(__xludf.DUMMYFUNCTION("""COMPUTED_VALUE"""),"tsilver")</f>
        <v>tsilver</v>
      </c>
      <c r="B13235" s="2" t="str">
        <f ca="1">IFERROR(__xludf.DUMMYFUNCTION("""COMPUTED_VALUE"""),"txag")</f>
        <v>txag</v>
      </c>
      <c r="C13235" s="2" t="str">
        <f ca="1">IFERROR(__xludf.DUMMYFUNCTION("""COMPUTED_VALUE"""),"tSILVER")</f>
        <v>tSILVER</v>
      </c>
    </row>
    <row r="13236" spans="1:3" x14ac:dyDescent="0.25">
      <c r="A13236" s="2" t="str">
        <f ca="1">IFERROR(__xludf.DUMMYFUNCTION("""COMPUTED_VALUE"""),"tsubasa-utilitiy-token")</f>
        <v>tsubasa-utilitiy-token</v>
      </c>
      <c r="B13236" s="2" t="str">
        <f ca="1">IFERROR(__xludf.DUMMYFUNCTION("""COMPUTED_VALUE"""),"tsubasaut")</f>
        <v>tsubasaut</v>
      </c>
      <c r="C13236" s="2" t="str">
        <f ca="1">IFERROR(__xludf.DUMMYFUNCTION("""COMPUTED_VALUE"""),"TSUBASA Utilitiy Token")</f>
        <v>TSUBASA Utilitiy Token</v>
      </c>
    </row>
    <row r="13237" spans="1:3" x14ac:dyDescent="0.25">
      <c r="A13237" s="2" t="str">
        <f ca="1">IFERROR(__xludf.DUMMYFUNCTION("""COMPUTED_VALUE"""),"tsuki")</f>
        <v>tsuki</v>
      </c>
      <c r="B13237" s="2" t="str">
        <f ca="1">IFERROR(__xludf.DUMMYFUNCTION("""COMPUTED_VALUE"""),"tsuki")</f>
        <v>tsuki</v>
      </c>
      <c r="C13237" s="2" t="str">
        <f ca="1">IFERROR(__xludf.DUMMYFUNCTION("""COMPUTED_VALUE"""),"Tsuki")</f>
        <v>Tsuki</v>
      </c>
    </row>
    <row r="13238" spans="1:3" x14ac:dyDescent="0.25">
      <c r="A13238" s="2" t="str">
        <f ca="1">IFERROR(__xludf.DUMMYFUNCTION("""COMPUTED_VALUE"""),"tsuki-inu")</f>
        <v>tsuki-inu</v>
      </c>
      <c r="B13238" s="2" t="str">
        <f ca="1">IFERROR(__xludf.DUMMYFUNCTION("""COMPUTED_VALUE"""),"tkinu")</f>
        <v>tkinu</v>
      </c>
      <c r="C13238" s="2" t="str">
        <f ca="1">IFERROR(__xludf.DUMMYFUNCTION("""COMPUTED_VALUE"""),"Tsuki Inu")</f>
        <v>Tsuki Inu</v>
      </c>
    </row>
    <row r="13239" spans="1:3" x14ac:dyDescent="0.25">
      <c r="A13239" s="2" t="str">
        <f ca="1">IFERROR(__xludf.DUMMYFUNCTION("""COMPUTED_VALUE"""),"tsutsuji")</f>
        <v>tsutsuji</v>
      </c>
      <c r="B13239" s="2" t="str">
        <f ca="1">IFERROR(__xludf.DUMMYFUNCTION("""COMPUTED_VALUE"""),"tsu")</f>
        <v>tsu</v>
      </c>
      <c r="C13239" s="2" t="str">
        <f ca="1">IFERROR(__xludf.DUMMYFUNCTION("""COMPUTED_VALUE"""),"Tsutsuji")</f>
        <v>Tsutsuji</v>
      </c>
    </row>
    <row r="13240" spans="1:3" x14ac:dyDescent="0.25">
      <c r="A13240" s="2" t="str">
        <f ca="1">IFERROR(__xludf.DUMMYFUNCTION("""COMPUTED_VALUE"""),"tsutsuji-doge-s-sister")</f>
        <v>tsutsuji-doge-s-sister</v>
      </c>
      <c r="B13240" s="2" t="str">
        <f ca="1">IFERROR(__xludf.DUMMYFUNCTION("""COMPUTED_VALUE"""),"tsuji")</f>
        <v>tsuji</v>
      </c>
      <c r="C13240" s="2" t="str">
        <f ca="1">IFERROR(__xludf.DUMMYFUNCTION("""COMPUTED_VALUE"""),"Tsutsuji Doge's Sister")</f>
        <v>Tsutsuji Doge's Sister</v>
      </c>
    </row>
    <row r="13241" spans="1:3" x14ac:dyDescent="0.25">
      <c r="A13241" s="2" t="str">
        <f ca="1">IFERROR(__xludf.DUMMYFUNCTION("""COMPUTED_VALUE"""),"ttcoin")</f>
        <v>ttcoin</v>
      </c>
      <c r="B13241" s="2" t="str">
        <f ca="1">IFERROR(__xludf.DUMMYFUNCTION("""COMPUTED_VALUE"""),"tc")</f>
        <v>tc</v>
      </c>
      <c r="C13241" s="2" t="str">
        <f ca="1">IFERROR(__xludf.DUMMYFUNCTION("""COMPUTED_VALUE"""),"TTcoin")</f>
        <v>TTcoin</v>
      </c>
    </row>
    <row r="13242" spans="1:3" x14ac:dyDescent="0.25">
      <c r="A13242" s="2" t="str">
        <f ca="1">IFERROR(__xludf.DUMMYFUNCTION("""COMPUTED_VALUE"""),"ttc-protocol")</f>
        <v>ttc-protocol</v>
      </c>
      <c r="B13242" s="2" t="str">
        <f ca="1">IFERROR(__xludf.DUMMYFUNCTION("""COMPUTED_VALUE"""),"maro")</f>
        <v>maro</v>
      </c>
      <c r="C13242" s="2" t="str">
        <f ca="1">IFERROR(__xludf.DUMMYFUNCTION("""COMPUTED_VALUE"""),"Maro")</f>
        <v>Maro</v>
      </c>
    </row>
    <row r="13243" spans="1:3" x14ac:dyDescent="0.25">
      <c r="A13243" s="2" t="str">
        <f ca="1">IFERROR(__xludf.DUMMYFUNCTION("""COMPUTED_VALUE"""),"tub")</f>
        <v>tub</v>
      </c>
      <c r="B13243" s="2" t="str">
        <f ca="1">IFERROR(__xludf.DUMMYFUNCTION("""COMPUTED_VALUE"""),"tub")</f>
        <v>tub</v>
      </c>
      <c r="C13243" s="2" t="str">
        <f ca="1">IFERROR(__xludf.DUMMYFUNCTION("""COMPUTED_VALUE"""),"tub")</f>
        <v>tub</v>
      </c>
    </row>
    <row r="13244" spans="1:3" x14ac:dyDescent="0.25">
      <c r="A13244" s="2" t="str">
        <f ca="1">IFERROR(__xludf.DUMMYFUNCTION("""COMPUTED_VALUE"""),"tubes")</f>
        <v>tubes</v>
      </c>
      <c r="B13244" s="2" t="str">
        <f ca="1">IFERROR(__xludf.DUMMYFUNCTION("""COMPUTED_VALUE"""),"tubes")</f>
        <v>tubes</v>
      </c>
      <c r="C13244" s="2" t="str">
        <f ca="1">IFERROR(__xludf.DUMMYFUNCTION("""COMPUTED_VALUE"""),"Tubes")</f>
        <v>Tubes</v>
      </c>
    </row>
    <row r="13245" spans="1:3" x14ac:dyDescent="0.25">
      <c r="A13245" s="2" t="str">
        <f ca="1">IFERROR(__xludf.DUMMYFUNCTION("""COMPUTED_VALUE"""),"tucker-carlson")</f>
        <v>tucker-carlson</v>
      </c>
      <c r="B13245" s="2" t="str">
        <f ca="1">IFERROR(__xludf.DUMMYFUNCTION("""COMPUTED_VALUE"""),"tucker")</f>
        <v>tucker</v>
      </c>
      <c r="C13245" s="2" t="str">
        <f ca="1">IFERROR(__xludf.DUMMYFUNCTION("""COMPUTED_VALUE"""),"TUCKER CARLSON")</f>
        <v>TUCKER CARLSON</v>
      </c>
    </row>
    <row r="13246" spans="1:3" x14ac:dyDescent="0.25">
      <c r="A13246" s="2" t="str">
        <f ca="1">IFERROR(__xludf.DUMMYFUNCTION("""COMPUTED_VALUE"""),"tuition-coin")</f>
        <v>tuition-coin</v>
      </c>
      <c r="B13246" s="2" t="str">
        <f ca="1">IFERROR(__xludf.DUMMYFUNCTION("""COMPUTED_VALUE"""),"tuit")</f>
        <v>tuit</v>
      </c>
      <c r="C13246" s="2" t="str">
        <f ca="1">IFERROR(__xludf.DUMMYFUNCTION("""COMPUTED_VALUE"""),"Tuition Coin")</f>
        <v>Tuition Coin</v>
      </c>
    </row>
    <row r="13247" spans="1:3" x14ac:dyDescent="0.25">
      <c r="A13247" s="2" t="str">
        <f ca="1">IFERROR(__xludf.DUMMYFUNCTION("""COMPUTED_VALUE"""),"tunachain")</f>
        <v>tunachain</v>
      </c>
      <c r="B13247" s="2" t="str">
        <f ca="1">IFERROR(__xludf.DUMMYFUNCTION("""COMPUTED_VALUE"""),"tuna")</f>
        <v>tuna</v>
      </c>
      <c r="C13247" s="2" t="str">
        <f ca="1">IFERROR(__xludf.DUMMYFUNCTION("""COMPUTED_VALUE"""),"Tunachain")</f>
        <v>Tunachain</v>
      </c>
    </row>
    <row r="13248" spans="1:3" x14ac:dyDescent="0.25">
      <c r="A13248" s="2" t="str">
        <f ca="1">IFERROR(__xludf.DUMMYFUNCTION("""COMPUTED_VALUE"""),"tune-fm")</f>
        <v>tune-fm</v>
      </c>
      <c r="B13248" s="2" t="str">
        <f ca="1">IFERROR(__xludf.DUMMYFUNCTION("""COMPUTED_VALUE"""),"jam")</f>
        <v>jam</v>
      </c>
      <c r="C13248" s="3" t="str">
        <f ca="1">IFERROR(__xludf.DUMMYFUNCTION("""COMPUTED_VALUE"""),"Tune.Fm")</f>
        <v>Tune.Fm</v>
      </c>
    </row>
    <row r="13249" spans="1:3" x14ac:dyDescent="0.25">
      <c r="A13249" s="2" t="str">
        <f ca="1">IFERROR(__xludf.DUMMYFUNCTION("""COMPUTED_VALUE"""),"tupelothedog")</f>
        <v>tupelothedog</v>
      </c>
      <c r="B13249" s="2" t="str">
        <f ca="1">IFERROR(__xludf.DUMMYFUNCTION("""COMPUTED_VALUE"""),"tupelo")</f>
        <v>tupelo</v>
      </c>
      <c r="C13249" s="2" t="str">
        <f ca="1">IFERROR(__xludf.DUMMYFUNCTION("""COMPUTED_VALUE"""),"tupelothedog")</f>
        <v>tupelothedog</v>
      </c>
    </row>
    <row r="13250" spans="1:3" x14ac:dyDescent="0.25">
      <c r="A13250" s="2" t="str">
        <f ca="1">IFERROR(__xludf.DUMMYFUNCTION("""COMPUTED_VALUE"""),"turbo")</f>
        <v>turbo</v>
      </c>
      <c r="B13250" s="2" t="str">
        <f ca="1">IFERROR(__xludf.DUMMYFUNCTION("""COMPUTED_VALUE"""),"turbo")</f>
        <v>turbo</v>
      </c>
      <c r="C13250" s="2" t="str">
        <f ca="1">IFERROR(__xludf.DUMMYFUNCTION("""COMPUTED_VALUE"""),"Turbo")</f>
        <v>Turbo</v>
      </c>
    </row>
    <row r="13251" spans="1:3" x14ac:dyDescent="0.25">
      <c r="A13251" s="2" t="str">
        <f ca="1">IFERROR(__xludf.DUMMYFUNCTION("""COMPUTED_VALUE"""),"turbo-browser")</f>
        <v>turbo-browser</v>
      </c>
      <c r="B13251" s="2" t="str">
        <f ca="1">IFERROR(__xludf.DUMMYFUNCTION("""COMPUTED_VALUE"""),"turbo")</f>
        <v>turbo</v>
      </c>
      <c r="C13251" s="2" t="str">
        <f ca="1">IFERROR(__xludf.DUMMYFUNCTION("""COMPUTED_VALUE"""),"Turbo Browser")</f>
        <v>Turbo Browser</v>
      </c>
    </row>
    <row r="13252" spans="1:3" x14ac:dyDescent="0.25">
      <c r="A13252" s="2" t="str">
        <f ca="1">IFERROR(__xludf.DUMMYFUNCTION("""COMPUTED_VALUE"""),"turbodex")</f>
        <v>turbodex</v>
      </c>
      <c r="B13252" s="2" t="str">
        <f ca="1">IFERROR(__xludf.DUMMYFUNCTION("""COMPUTED_VALUE"""),"turbo")</f>
        <v>turbo</v>
      </c>
      <c r="C13252" s="2" t="str">
        <f ca="1">IFERROR(__xludf.DUMMYFUNCTION("""COMPUTED_VALUE"""),"TurboDEX")</f>
        <v>TurboDEX</v>
      </c>
    </row>
    <row r="13253" spans="1:3" x14ac:dyDescent="0.25">
      <c r="A13253" s="2" t="str">
        <f ca="1">IFERROR(__xludf.DUMMYFUNCTION("""COMPUTED_VALUE"""),"turbomoon")</f>
        <v>turbomoon</v>
      </c>
      <c r="B13253" s="2" t="str">
        <f ca="1">IFERROR(__xludf.DUMMYFUNCTION("""COMPUTED_VALUE"""),"tmoon")</f>
        <v>tmoon</v>
      </c>
      <c r="C13253" s="2" t="str">
        <f ca="1">IFERROR(__xludf.DUMMYFUNCTION("""COMPUTED_VALUE"""),"TurboMoon")</f>
        <v>TurboMoon</v>
      </c>
    </row>
    <row r="13254" spans="1:3" x14ac:dyDescent="0.25">
      <c r="A13254" s="2" t="str">
        <f ca="1">IFERROR(__xludf.DUMMYFUNCTION("""COMPUTED_VALUE"""),"turbos-finance")</f>
        <v>turbos-finance</v>
      </c>
      <c r="B13254" s="2" t="str">
        <f ca="1">IFERROR(__xludf.DUMMYFUNCTION("""COMPUTED_VALUE"""),"turbos")</f>
        <v>turbos</v>
      </c>
      <c r="C13254" s="2" t="str">
        <f ca="1">IFERROR(__xludf.DUMMYFUNCTION("""COMPUTED_VALUE"""),"Turbos Finance")</f>
        <v>Turbos Finance</v>
      </c>
    </row>
    <row r="13255" spans="1:3" x14ac:dyDescent="0.25">
      <c r="A13255" s="2" t="str">
        <f ca="1">IFERROR(__xludf.DUMMYFUNCTION("""COMPUTED_VALUE"""),"turbo-wallet")</f>
        <v>turbo-wallet</v>
      </c>
      <c r="B13255" s="2" t="str">
        <f ca="1">IFERROR(__xludf.DUMMYFUNCTION("""COMPUTED_VALUE"""),"turbo")</f>
        <v>turbo</v>
      </c>
      <c r="C13255" s="2" t="str">
        <f ca="1">IFERROR(__xludf.DUMMYFUNCTION("""COMPUTED_VALUE"""),"Turbo Wallet")</f>
        <v>Turbo Wallet</v>
      </c>
    </row>
    <row r="13256" spans="1:3" x14ac:dyDescent="0.25">
      <c r="A13256" s="2" t="str">
        <f ca="1">IFERROR(__xludf.DUMMYFUNCTION("""COMPUTED_VALUE"""),"turbox")</f>
        <v>turbox</v>
      </c>
      <c r="B13256" s="2" t="str">
        <f ca="1">IFERROR(__xludf.DUMMYFUNCTION("""COMPUTED_VALUE"""),"tbx")</f>
        <v>tbx</v>
      </c>
      <c r="C13256" s="2" t="str">
        <f ca="1">IFERROR(__xludf.DUMMYFUNCTION("""COMPUTED_VALUE"""),"TurboX")</f>
        <v>TurboX</v>
      </c>
    </row>
    <row r="13257" spans="1:3" x14ac:dyDescent="0.25">
      <c r="A13257" s="2" t="str">
        <f ca="1">IFERROR(__xludf.DUMMYFUNCTION("""COMPUTED_VALUE"""),"turex")</f>
        <v>turex</v>
      </c>
      <c r="B13257" s="2" t="str">
        <f ca="1">IFERROR(__xludf.DUMMYFUNCTION("""COMPUTED_VALUE"""),"tur")</f>
        <v>tur</v>
      </c>
      <c r="C13257" s="2" t="str">
        <f ca="1">IFERROR(__xludf.DUMMYFUNCTION("""COMPUTED_VALUE"""),"Turex")</f>
        <v>Turex</v>
      </c>
    </row>
    <row r="13258" spans="1:3" x14ac:dyDescent="0.25">
      <c r="A13258" s="2" t="str">
        <f ca="1">IFERROR(__xludf.DUMMYFUNCTION("""COMPUTED_VALUE"""),"turingbitchain")</f>
        <v>turingbitchain</v>
      </c>
      <c r="B13258" s="2" t="str">
        <f ca="1">IFERROR(__xludf.DUMMYFUNCTION("""COMPUTED_VALUE"""),"tbc")</f>
        <v>tbc</v>
      </c>
      <c r="C13258" s="2" t="str">
        <f ca="1">IFERROR(__xludf.DUMMYFUNCTION("""COMPUTED_VALUE"""),"Turingbitchain")</f>
        <v>Turingbitchain</v>
      </c>
    </row>
    <row r="13259" spans="1:3" x14ac:dyDescent="0.25">
      <c r="A13259" s="2" t="str">
        <f ca="1">IFERROR(__xludf.DUMMYFUNCTION("""COMPUTED_VALUE"""),"turing-network")</f>
        <v>turing-network</v>
      </c>
      <c r="B13259" s="2" t="str">
        <f ca="1">IFERROR(__xludf.DUMMYFUNCTION("""COMPUTED_VALUE"""),"tur")</f>
        <v>tur</v>
      </c>
      <c r="C13259" s="2" t="str">
        <f ca="1">IFERROR(__xludf.DUMMYFUNCTION("""COMPUTED_VALUE"""),"Turing Network")</f>
        <v>Turing Network</v>
      </c>
    </row>
    <row r="13260" spans="1:3" x14ac:dyDescent="0.25">
      <c r="A13260" s="2" t="str">
        <f ca="1">IFERROR(__xludf.DUMMYFUNCTION("""COMPUTED_VALUE"""),"turkiye-basketbol-federasyonu-token")</f>
        <v>turkiye-basketbol-federasyonu-token</v>
      </c>
      <c r="B13260" s="2" t="str">
        <f ca="1">IFERROR(__xludf.DUMMYFUNCTION("""COMPUTED_VALUE"""),"tbft")</f>
        <v>tbft</v>
      </c>
      <c r="C13260" s="2" t="str">
        <f ca="1">IFERROR(__xludf.DUMMYFUNCTION("""COMPUTED_VALUE"""),"Türkiye Basketbol Federasyonu Fan Token")</f>
        <v>Türkiye Basketbol Federasyonu Fan Token</v>
      </c>
    </row>
    <row r="13261" spans="1:3" x14ac:dyDescent="0.25">
      <c r="A13261" s="2" t="str">
        <f ca="1">IFERROR(__xludf.DUMMYFUNCTION("""COMPUTED_VALUE"""),"turkiye-motosiklet-federasyonu-fan-token")</f>
        <v>turkiye-motosiklet-federasyonu-fan-token</v>
      </c>
      <c r="B13261" s="2" t="str">
        <f ca="1">IFERROR(__xludf.DUMMYFUNCTION("""COMPUTED_VALUE"""),"tmft")</f>
        <v>tmft</v>
      </c>
      <c r="C13261" s="2" t="str">
        <f ca="1">IFERROR(__xludf.DUMMYFUNCTION("""COMPUTED_VALUE"""),"Türkiye Motosiklet Federasyonu Fan Token")</f>
        <v>Türkiye Motosiklet Federasyonu Fan Token</v>
      </c>
    </row>
    <row r="13262" spans="1:3" x14ac:dyDescent="0.25">
      <c r="A13262" s="2" t="str">
        <f ca="1">IFERROR(__xludf.DUMMYFUNCTION("""COMPUTED_VALUE"""),"turtlecoin")</f>
        <v>turtlecoin</v>
      </c>
      <c r="B13262" s="2" t="str">
        <f ca="1">IFERROR(__xludf.DUMMYFUNCTION("""COMPUTED_VALUE"""),"trtl")</f>
        <v>trtl</v>
      </c>
      <c r="C13262" s="2" t="str">
        <f ca="1">IFERROR(__xludf.DUMMYFUNCTION("""COMPUTED_VALUE"""),"TurtleCoin")</f>
        <v>TurtleCoin</v>
      </c>
    </row>
    <row r="13263" spans="1:3" x14ac:dyDescent="0.25">
      <c r="A13263" s="2" t="str">
        <f ca="1">IFERROR(__xludf.DUMMYFUNCTION("""COMPUTED_VALUE"""),"turtsat")</f>
        <v>turtsat</v>
      </c>
      <c r="B13263" s="2" t="str">
        <f ca="1">IFERROR(__xludf.DUMMYFUNCTION("""COMPUTED_VALUE"""),"turt")</f>
        <v>turt</v>
      </c>
      <c r="C13263" s="2" t="str">
        <f ca="1">IFERROR(__xludf.DUMMYFUNCTION("""COMPUTED_VALUE"""),"TurtSat")</f>
        <v>TurtSat</v>
      </c>
    </row>
    <row r="13264" spans="1:3" x14ac:dyDescent="0.25">
      <c r="A13264" s="2" t="str">
        <f ca="1">IFERROR(__xludf.DUMMYFUNCTION("""COMPUTED_VALUE"""),"tusd-yvault")</f>
        <v>tusd-yvault</v>
      </c>
      <c r="B13264" s="2" t="str">
        <f ca="1">IFERROR(__xludf.DUMMYFUNCTION("""COMPUTED_VALUE"""),"yvtusd")</f>
        <v>yvtusd</v>
      </c>
      <c r="C13264" s="2" t="str">
        <f ca="1">IFERROR(__xludf.DUMMYFUNCTION("""COMPUTED_VALUE"""),"TUSD yVault")</f>
        <v>TUSD yVault</v>
      </c>
    </row>
    <row r="13265" spans="1:3" x14ac:dyDescent="0.25">
      <c r="A13265" s="2" t="str">
        <f ca="1">IFERROR(__xludf.DUMMYFUNCTION("""COMPUTED_VALUE"""),"tuske")</f>
        <v>tuske</v>
      </c>
      <c r="B13265" s="2" t="str">
        <f ca="1">IFERROR(__xludf.DUMMYFUNCTION("""COMPUTED_VALUE"""),"tsk")</f>
        <v>tsk</v>
      </c>
      <c r="C13265" s="2" t="str">
        <f ca="1">IFERROR(__xludf.DUMMYFUNCTION("""COMPUTED_VALUE"""),"Tuske")</f>
        <v>Tuske</v>
      </c>
    </row>
    <row r="13266" spans="1:3" x14ac:dyDescent="0.25">
      <c r="A13266" s="2" t="str">
        <f ca="1">IFERROR(__xludf.DUMMYFUNCTION("""COMPUTED_VALUE"""),"tutellus")</f>
        <v>tutellus</v>
      </c>
      <c r="B13266" s="2" t="str">
        <f ca="1">IFERROR(__xludf.DUMMYFUNCTION("""COMPUTED_VALUE"""),"tut")</f>
        <v>tut</v>
      </c>
      <c r="C13266" s="2" t="str">
        <f ca="1">IFERROR(__xludf.DUMMYFUNCTION("""COMPUTED_VALUE"""),"Tutellus")</f>
        <v>Tutellus</v>
      </c>
    </row>
    <row r="13267" spans="1:3" x14ac:dyDescent="0.25">
      <c r="A13267" s="2" t="str">
        <f ca="1">IFERROR(__xludf.DUMMYFUNCTION("""COMPUTED_VALUE"""),"tux-project")</f>
        <v>tux-project</v>
      </c>
      <c r="B13267" s="2" t="str">
        <f ca="1">IFERROR(__xludf.DUMMYFUNCTION("""COMPUTED_VALUE"""),"tuxc")</f>
        <v>tuxc</v>
      </c>
      <c r="C13267" s="2" t="str">
        <f ca="1">IFERROR(__xludf.DUMMYFUNCTION("""COMPUTED_VALUE"""),"TUX Project")</f>
        <v>TUX Project</v>
      </c>
    </row>
    <row r="13268" spans="1:3" x14ac:dyDescent="0.25">
      <c r="A13268" s="2" t="str">
        <f ca="1">IFERROR(__xludf.DUMMYFUNCTION("""COMPUTED_VALUE"""),"tuzki")</f>
        <v>tuzki</v>
      </c>
      <c r="B13268" s="2" t="str">
        <f ca="1">IFERROR(__xludf.DUMMYFUNCTION("""COMPUTED_VALUE"""),"tuzki")</f>
        <v>tuzki</v>
      </c>
      <c r="C13268" s="2" t="str">
        <f ca="1">IFERROR(__xludf.DUMMYFUNCTION("""COMPUTED_VALUE"""),"Tuzki")</f>
        <v>Tuzki</v>
      </c>
    </row>
    <row r="13269" spans="1:3" x14ac:dyDescent="0.25">
      <c r="A13269" s="2" t="str">
        <f ca="1">IFERROR(__xludf.DUMMYFUNCTION("""COMPUTED_VALUE"""),"tvs")</f>
        <v>tvs</v>
      </c>
      <c r="B13269" s="2" t="str">
        <f ca="1">IFERROR(__xludf.DUMMYFUNCTION("""COMPUTED_VALUE"""),"tvs")</f>
        <v>tvs</v>
      </c>
      <c r="C13269" s="2" t="str">
        <f ca="1">IFERROR(__xludf.DUMMYFUNCTION("""COMPUTED_VALUE"""),"TVS")</f>
        <v>TVS</v>
      </c>
    </row>
    <row r="13270" spans="1:3" x14ac:dyDescent="0.25">
      <c r="A13270" s="2" t="str">
        <f ca="1">IFERROR(__xludf.DUMMYFUNCTION("""COMPUTED_VALUE"""),"tweety")</f>
        <v>tweety</v>
      </c>
      <c r="B13270" s="2" t="str">
        <f ca="1">IFERROR(__xludf.DUMMYFUNCTION("""COMPUTED_VALUE"""),"tweety")</f>
        <v>tweety</v>
      </c>
      <c r="C13270" s="2" t="str">
        <f ca="1">IFERROR(__xludf.DUMMYFUNCTION("""COMPUTED_VALUE"""),"Tweety")</f>
        <v>Tweety</v>
      </c>
    </row>
    <row r="13271" spans="1:3" x14ac:dyDescent="0.25">
      <c r="A13271" s="2" t="str">
        <f ca="1">IFERROR(__xludf.DUMMYFUNCTION("""COMPUTED_VALUE"""),"twelve-legions")</f>
        <v>twelve-legions</v>
      </c>
      <c r="B13271" s="2" t="str">
        <f ca="1">IFERROR(__xludf.DUMMYFUNCTION("""COMPUTED_VALUE"""),"ctl")</f>
        <v>ctl</v>
      </c>
      <c r="C13271" s="2" t="str">
        <f ca="1">IFERROR(__xludf.DUMMYFUNCTION("""COMPUTED_VALUE"""),"Twelve Legions")</f>
        <v>Twelve Legions</v>
      </c>
    </row>
    <row r="13272" spans="1:3" x14ac:dyDescent="0.25">
      <c r="A13272" s="2" t="str">
        <f ca="1">IFERROR(__xludf.DUMMYFUNCTION("""COMPUTED_VALUE"""),"twelve-zodiac")</f>
        <v>twelve-zodiac</v>
      </c>
      <c r="B13272" s="2" t="str">
        <f ca="1">IFERROR(__xludf.DUMMYFUNCTION("""COMPUTED_VALUE"""),"twelve")</f>
        <v>twelve</v>
      </c>
      <c r="C13272" s="2" t="str">
        <f ca="1">IFERROR(__xludf.DUMMYFUNCTION("""COMPUTED_VALUE"""),"Twelve Zodiac")</f>
        <v>Twelve Zodiac</v>
      </c>
    </row>
    <row r="13273" spans="1:3" x14ac:dyDescent="0.25">
      <c r="A13273" s="2" t="str">
        <f ca="1">IFERROR(__xludf.DUMMYFUNCTION("""COMPUTED_VALUE"""),"twinby")</f>
        <v>twinby</v>
      </c>
      <c r="B13273" s="2" t="str">
        <f ca="1">IFERROR(__xludf.DUMMYFUNCTION("""COMPUTED_VALUE"""),"twb")</f>
        <v>twb</v>
      </c>
      <c r="C13273" s="2" t="str">
        <f ca="1">IFERROR(__xludf.DUMMYFUNCTION("""COMPUTED_VALUE"""),"Twinby")</f>
        <v>Twinby</v>
      </c>
    </row>
    <row r="13274" spans="1:3" x14ac:dyDescent="0.25">
      <c r="A13274" s="2" t="str">
        <f ca="1">IFERROR(__xludf.DUMMYFUNCTION("""COMPUTED_VALUE"""),"twinny")</f>
        <v>twinny</v>
      </c>
      <c r="B13274" s="2" t="str">
        <f ca="1">IFERROR(__xludf.DUMMYFUNCTION("""COMPUTED_VALUE"""),"twinny")</f>
        <v>twinny</v>
      </c>
      <c r="C13274" s="2" t="str">
        <f ca="1">IFERROR(__xludf.DUMMYFUNCTION("""COMPUTED_VALUE"""),"Twinny")</f>
        <v>Twinny</v>
      </c>
    </row>
    <row r="13275" spans="1:3" x14ac:dyDescent="0.25">
      <c r="A13275" s="2" t="str">
        <f ca="1">IFERROR(__xludf.DUMMYFUNCTION("""COMPUTED_VALUE"""),"twood")</f>
        <v>twood</v>
      </c>
      <c r="B13275" s="2" t="str">
        <f ca="1">IFERROR(__xludf.DUMMYFUNCTION("""COMPUTED_VALUE"""),"twood")</f>
        <v>twood</v>
      </c>
      <c r="C13275" s="2" t="str">
        <f ca="1">IFERROR(__xludf.DUMMYFUNCTION("""COMPUTED_VALUE"""),"TWOOD")</f>
        <v>TWOOD</v>
      </c>
    </row>
    <row r="13276" spans="1:3" x14ac:dyDescent="0.25">
      <c r="A13276" s="2" t="str">
        <f ca="1">IFERROR(__xludf.DUMMYFUNCTION("""COMPUTED_VALUE"""),"twotalkingcats")</f>
        <v>twotalkingcats</v>
      </c>
      <c r="B13276" s="2" t="str">
        <f ca="1">IFERROR(__xludf.DUMMYFUNCTION("""COMPUTED_VALUE"""),"twocat")</f>
        <v>twocat</v>
      </c>
      <c r="C13276" s="2" t="str">
        <f ca="1">IFERROR(__xludf.DUMMYFUNCTION("""COMPUTED_VALUE"""),"TwoTalkingCats")</f>
        <v>TwoTalkingCats</v>
      </c>
    </row>
    <row r="13277" spans="1:3" x14ac:dyDescent="0.25">
      <c r="A13277" s="2" t="str">
        <f ca="1">IFERROR(__xludf.DUMMYFUNCTION("""COMPUTED_VALUE"""),"twtr-fun")</f>
        <v>twtr-fun</v>
      </c>
      <c r="B13277" s="2" t="str">
        <f ca="1">IFERROR(__xludf.DUMMYFUNCTION("""COMPUTED_VALUE"""),"twtr")</f>
        <v>twtr</v>
      </c>
      <c r="C13277" s="2" t="str">
        <f ca="1">IFERROR(__xludf.DUMMYFUNCTION("""COMPUTED_VALUE"""),"TWTR.fun")</f>
        <v>TWTR.fun</v>
      </c>
    </row>
    <row r="13278" spans="1:3" x14ac:dyDescent="0.25">
      <c r="A13278" s="2" t="str">
        <f ca="1">IFERROR(__xludf.DUMMYFUNCTION("""COMPUTED_VALUE"""),"tx24")</f>
        <v>tx24</v>
      </c>
      <c r="B13278" s="2" t="str">
        <f ca="1">IFERROR(__xludf.DUMMYFUNCTION("""COMPUTED_VALUE"""),"txt")</f>
        <v>txt</v>
      </c>
      <c r="C13278" s="2" t="str">
        <f ca="1">IFERROR(__xludf.DUMMYFUNCTION("""COMPUTED_VALUE"""),"Tx24")</f>
        <v>Tx24</v>
      </c>
    </row>
    <row r="13279" spans="1:3" x14ac:dyDescent="0.25">
      <c r="A13279" s="2" t="str">
        <f ca="1">IFERROR(__xludf.DUMMYFUNCTION("""COMPUTED_VALUE"""),"txa")</f>
        <v>txa</v>
      </c>
      <c r="B13279" s="2" t="str">
        <f ca="1">IFERROR(__xludf.DUMMYFUNCTION("""COMPUTED_VALUE"""),"txa")</f>
        <v>txa</v>
      </c>
      <c r="C13279" s="2" t="str">
        <f ca="1">IFERROR(__xludf.DUMMYFUNCTION("""COMPUTED_VALUE"""),"TXA")</f>
        <v>TXA</v>
      </c>
    </row>
    <row r="13280" spans="1:3" x14ac:dyDescent="0.25">
      <c r="A13280" s="2" t="str">
        <f ca="1">IFERROR(__xludf.DUMMYFUNCTION("""COMPUTED_VALUE"""),"txn-club")</f>
        <v>txn-club</v>
      </c>
      <c r="B13280" s="2" t="str">
        <f ca="1">IFERROR(__xludf.DUMMYFUNCTION("""COMPUTED_VALUE"""),"txn")</f>
        <v>txn</v>
      </c>
      <c r="C13280" s="2" t="str">
        <f ca="1">IFERROR(__xludf.DUMMYFUNCTION("""COMPUTED_VALUE"""),"TXN Club")</f>
        <v>TXN Club</v>
      </c>
    </row>
    <row r="13281" spans="1:3" x14ac:dyDescent="0.25">
      <c r="A13281" s="2" t="str">
        <f ca="1">IFERROR(__xludf.DUMMYFUNCTION("""COMPUTED_VALUE"""),"tyche-protocol")</f>
        <v>tyche-protocol</v>
      </c>
      <c r="B13281" s="2" t="str">
        <f ca="1">IFERROR(__xludf.DUMMYFUNCTION("""COMPUTED_VALUE"""),"tyche")</f>
        <v>tyche</v>
      </c>
      <c r="C13281" s="2" t="str">
        <f ca="1">IFERROR(__xludf.DUMMYFUNCTION("""COMPUTED_VALUE"""),"Tyche Protocol")</f>
        <v>Tyche Protocol</v>
      </c>
    </row>
    <row r="13282" spans="1:3" x14ac:dyDescent="0.25">
      <c r="A13282" s="2" t="str">
        <f ca="1">IFERROR(__xludf.DUMMYFUNCTION("""COMPUTED_VALUE"""),"typeai")</f>
        <v>typeai</v>
      </c>
      <c r="B13282" s="2" t="str">
        <f ca="1">IFERROR(__xludf.DUMMYFUNCTION("""COMPUTED_VALUE"""),"type")</f>
        <v>type</v>
      </c>
      <c r="C13282" s="2" t="str">
        <f ca="1">IFERROR(__xludf.DUMMYFUNCTION("""COMPUTED_VALUE"""),"TypeAI")</f>
        <v>TypeAI</v>
      </c>
    </row>
    <row r="13283" spans="1:3" x14ac:dyDescent="0.25">
      <c r="A13283" s="2" t="str">
        <f ca="1">IFERROR(__xludf.DUMMYFUNCTION("""COMPUTED_VALUE"""),"typeit")</f>
        <v>typeit</v>
      </c>
      <c r="B13283" s="2" t="str">
        <f ca="1">IFERROR(__xludf.DUMMYFUNCTION("""COMPUTED_VALUE"""),"type")</f>
        <v>type</v>
      </c>
      <c r="C13283" s="2" t="str">
        <f ca="1">IFERROR(__xludf.DUMMYFUNCTION("""COMPUTED_VALUE"""),"TypeIt")</f>
        <v>TypeIt</v>
      </c>
    </row>
    <row r="13284" spans="1:3" x14ac:dyDescent="0.25">
      <c r="A13284" s="2" t="str">
        <f ca="1">IFERROR(__xludf.DUMMYFUNCTION("""COMPUTED_VALUE"""),"typerium")</f>
        <v>typerium</v>
      </c>
      <c r="B13284" s="2" t="str">
        <f ca="1">IFERROR(__xludf.DUMMYFUNCTION("""COMPUTED_VALUE"""),"type")</f>
        <v>type</v>
      </c>
      <c r="C13284" s="2" t="str">
        <f ca="1">IFERROR(__xludf.DUMMYFUNCTION("""COMPUTED_VALUE"""),"Typerium")</f>
        <v>Typerium</v>
      </c>
    </row>
    <row r="13285" spans="1:3" x14ac:dyDescent="0.25">
      <c r="A13285" s="2" t="str">
        <f ca="1">IFERROR(__xludf.DUMMYFUNCTION("""COMPUTED_VALUE"""),"tyrel-derpden")</f>
        <v>tyrel-derpden</v>
      </c>
      <c r="B13285" s="2" t="str">
        <f ca="1">IFERROR(__xludf.DUMMYFUNCTION("""COMPUTED_VALUE"""),"tyrel")</f>
        <v>tyrel</v>
      </c>
      <c r="C13285" s="2" t="str">
        <f ca="1">IFERROR(__xludf.DUMMYFUNCTION("""COMPUTED_VALUE"""),"Tyrel Derpden")</f>
        <v>Tyrel Derpden</v>
      </c>
    </row>
    <row r="13286" spans="1:3" x14ac:dyDescent="0.25">
      <c r="A13286" s="2" t="str">
        <f ca="1">IFERROR(__xludf.DUMMYFUNCTION("""COMPUTED_VALUE"""),"tyz-token")</f>
        <v>tyz-token</v>
      </c>
      <c r="B13286" s="2" t="str">
        <f ca="1">IFERROR(__xludf.DUMMYFUNCTION("""COMPUTED_VALUE"""),"tyz")</f>
        <v>tyz</v>
      </c>
      <c r="C13286" s="2" t="str">
        <f ca="1">IFERROR(__xludf.DUMMYFUNCTION("""COMPUTED_VALUE"""),"TYZ Token")</f>
        <v>TYZ Token</v>
      </c>
    </row>
    <row r="13287" spans="1:3" x14ac:dyDescent="0.25">
      <c r="A13287" s="2" t="str">
        <f ca="1">IFERROR(__xludf.DUMMYFUNCTION("""COMPUTED_VALUE"""),"tzbtc")</f>
        <v>tzbtc</v>
      </c>
      <c r="B13287" s="2" t="str">
        <f ca="1">IFERROR(__xludf.DUMMYFUNCTION("""COMPUTED_VALUE"""),"tzbtc")</f>
        <v>tzbtc</v>
      </c>
      <c r="C13287" s="2" t="str">
        <f ca="1">IFERROR(__xludf.DUMMYFUNCTION("""COMPUTED_VALUE"""),"tzBTC")</f>
        <v>tzBTC</v>
      </c>
    </row>
    <row r="13288" spans="1:3" x14ac:dyDescent="0.25">
      <c r="A13288" s="2" t="str">
        <f ca="1">IFERROR(__xludf.DUMMYFUNCTION("""COMPUTED_VALUE"""),"uahg")</f>
        <v>uahg</v>
      </c>
      <c r="B13288" s="2" t="str">
        <f ca="1">IFERROR(__xludf.DUMMYFUNCTION("""COMPUTED_VALUE"""),"uahg")</f>
        <v>uahg</v>
      </c>
      <c r="C13288" s="2" t="str">
        <f ca="1">IFERROR(__xludf.DUMMYFUNCTION("""COMPUTED_VALUE"""),"UAHg")</f>
        <v>UAHg</v>
      </c>
    </row>
    <row r="13289" spans="1:3" x14ac:dyDescent="0.25">
      <c r="A13289" s="2" t="str">
        <f ca="1">IFERROR(__xludf.DUMMYFUNCTION("""COMPUTED_VALUE"""),"ubd-network")</f>
        <v>ubd-network</v>
      </c>
      <c r="B13289" s="2" t="str">
        <f ca="1">IFERROR(__xludf.DUMMYFUNCTION("""COMPUTED_VALUE"""),"ubdn")</f>
        <v>ubdn</v>
      </c>
      <c r="C13289" s="2" t="str">
        <f ca="1">IFERROR(__xludf.DUMMYFUNCTION("""COMPUTED_VALUE"""),"UBD Network")</f>
        <v>UBD Network</v>
      </c>
    </row>
    <row r="13290" spans="1:3" x14ac:dyDescent="0.25">
      <c r="A13290" s="2" t="str">
        <f ca="1">IFERROR(__xludf.DUMMYFUNCTION("""COMPUTED_VALUE"""),"ubeswap")</f>
        <v>ubeswap</v>
      </c>
      <c r="B13290" s="2" t="str">
        <f ca="1">IFERROR(__xludf.DUMMYFUNCTION("""COMPUTED_VALUE"""),"ube")</f>
        <v>ube</v>
      </c>
      <c r="C13290" s="2" t="str">
        <f ca="1">IFERROR(__xludf.DUMMYFUNCTION("""COMPUTED_VALUE"""),"Ubeswap (OLD)")</f>
        <v>Ubeswap (OLD)</v>
      </c>
    </row>
    <row r="13291" spans="1:3" x14ac:dyDescent="0.25">
      <c r="A13291" s="2" t="str">
        <f ca="1">IFERROR(__xludf.DUMMYFUNCTION("""COMPUTED_VALUE"""),"ubeswap-2")</f>
        <v>ubeswap-2</v>
      </c>
      <c r="B13291" s="2" t="str">
        <f ca="1">IFERROR(__xludf.DUMMYFUNCTION("""COMPUTED_VALUE"""),"ube")</f>
        <v>ube</v>
      </c>
      <c r="C13291" s="2" t="str">
        <f ca="1">IFERROR(__xludf.DUMMYFUNCTION("""COMPUTED_VALUE"""),"Ubeswap")</f>
        <v>Ubeswap</v>
      </c>
    </row>
    <row r="13292" spans="1:3" x14ac:dyDescent="0.25">
      <c r="A13292" s="2" t="str">
        <f ca="1">IFERROR(__xludf.DUMMYFUNCTION("""COMPUTED_VALUE"""),"ubit")</f>
        <v>ubit</v>
      </c>
      <c r="B13292" s="2" t="str">
        <f ca="1">IFERROR(__xludf.DUMMYFUNCTION("""COMPUTED_VALUE"""),"ubit")</f>
        <v>ubit</v>
      </c>
      <c r="C13292" s="2" t="str">
        <f ca="1">IFERROR(__xludf.DUMMYFUNCTION("""COMPUTED_VALUE"""),"UBIT")</f>
        <v>UBIT</v>
      </c>
    </row>
    <row r="13293" spans="1:3" x14ac:dyDescent="0.25">
      <c r="A13293" s="2" t="str">
        <f ca="1">IFERROR(__xludf.DUMMYFUNCTION("""COMPUTED_VALUE"""),"ubitex-platform")</f>
        <v>ubitex-platform</v>
      </c>
      <c r="B13293" s="2" t="str">
        <f ca="1">IFERROR(__xludf.DUMMYFUNCTION("""COMPUTED_VALUE"""),"ub")</f>
        <v>ub</v>
      </c>
      <c r="C13293" s="2" t="str">
        <f ca="1">IFERROR(__xludf.DUMMYFUNCTION("""COMPUTED_VALUE"""),"UbitEX Platform")</f>
        <v>UbitEX Platform</v>
      </c>
    </row>
    <row r="13294" spans="1:3" x14ac:dyDescent="0.25">
      <c r="A13294" s="2" t="str">
        <f ca="1">IFERROR(__xludf.DUMMYFUNCTION("""COMPUTED_VALUE"""),"ubix-network")</f>
        <v>ubix-network</v>
      </c>
      <c r="B13294" s="2" t="str">
        <f ca="1">IFERROR(__xludf.DUMMYFUNCTION("""COMPUTED_VALUE"""),"ubx")</f>
        <v>ubx</v>
      </c>
      <c r="C13294" s="2" t="str">
        <f ca="1">IFERROR(__xludf.DUMMYFUNCTION("""COMPUTED_VALUE"""),"UBIX Network")</f>
        <v>UBIX Network</v>
      </c>
    </row>
    <row r="13295" spans="1:3" x14ac:dyDescent="0.25">
      <c r="A13295" s="2" t="str">
        <f ca="1">IFERROR(__xludf.DUMMYFUNCTION("""COMPUTED_VALUE"""),"ubxs-token")</f>
        <v>ubxs-token</v>
      </c>
      <c r="B13295" s="2" t="str">
        <f ca="1">IFERROR(__xludf.DUMMYFUNCTION("""COMPUTED_VALUE"""),"ubxs")</f>
        <v>ubxs</v>
      </c>
      <c r="C13295" s="2" t="str">
        <f ca="1">IFERROR(__xludf.DUMMYFUNCTION("""COMPUTED_VALUE"""),"UBXS")</f>
        <v>UBXS</v>
      </c>
    </row>
    <row r="13296" spans="1:3" x14ac:dyDescent="0.25">
      <c r="A13296" s="2" t="str">
        <f ca="1">IFERROR(__xludf.DUMMYFUNCTION("""COMPUTED_VALUE"""),"uca")</f>
        <v>uca</v>
      </c>
      <c r="B13296" s="2" t="str">
        <f ca="1">IFERROR(__xludf.DUMMYFUNCTION("""COMPUTED_VALUE"""),"uca")</f>
        <v>uca</v>
      </c>
      <c r="C13296" s="2" t="str">
        <f ca="1">IFERROR(__xludf.DUMMYFUNCTION("""COMPUTED_VALUE"""),"UCA Coin")</f>
        <v>UCA Coin</v>
      </c>
    </row>
    <row r="13297" spans="1:3" x14ac:dyDescent="0.25">
      <c r="A13297" s="2" t="str">
        <f ca="1">IFERROR(__xludf.DUMMYFUNCTION("""COMPUTED_VALUE"""),"ucash")</f>
        <v>ucash</v>
      </c>
      <c r="B13297" s="2" t="str">
        <f ca="1">IFERROR(__xludf.DUMMYFUNCTION("""COMPUTED_VALUE"""),"ucash")</f>
        <v>ucash</v>
      </c>
      <c r="C13297" s="2" t="str">
        <f ca="1">IFERROR(__xludf.DUMMYFUNCTION("""COMPUTED_VALUE"""),"U.CASH")</f>
        <v>U.CASH</v>
      </c>
    </row>
    <row r="13298" spans="1:3" x14ac:dyDescent="0.25">
      <c r="A13298" s="2" t="str">
        <f ca="1">IFERROR(__xludf.DUMMYFUNCTION("""COMPUTED_VALUE"""),"ucit")</f>
        <v>ucit</v>
      </c>
      <c r="B13298" s="2" t="str">
        <f ca="1">IFERROR(__xludf.DUMMYFUNCTION("""COMPUTED_VALUE"""),"ucit")</f>
        <v>ucit</v>
      </c>
      <c r="C13298" s="2" t="str">
        <f ca="1">IFERROR(__xludf.DUMMYFUNCTION("""COMPUTED_VALUE"""),"UCIT")</f>
        <v>UCIT</v>
      </c>
    </row>
    <row r="13299" spans="1:3" x14ac:dyDescent="0.25">
      <c r="A13299" s="2" t="str">
        <f ca="1">IFERROR(__xludf.DUMMYFUNCTION("""COMPUTED_VALUE"""),"ucon-social")</f>
        <v>ucon-social</v>
      </c>
      <c r="B13299" s="2" t="str">
        <f ca="1">IFERROR(__xludf.DUMMYFUNCTION("""COMPUTED_VALUE"""),"ucon")</f>
        <v>ucon</v>
      </c>
      <c r="C13299" s="2" t="str">
        <f ca="1">IFERROR(__xludf.DUMMYFUNCTION("""COMPUTED_VALUE"""),"Ucon Social")</f>
        <v>Ucon Social</v>
      </c>
    </row>
    <row r="13300" spans="1:3" x14ac:dyDescent="0.25">
      <c r="A13300" s="2" t="str">
        <f ca="1">IFERROR(__xludf.DUMMYFUNCTION("""COMPUTED_VALUE"""),"ucrowdme")</f>
        <v>ucrowdme</v>
      </c>
      <c r="B13300" s="2" t="str">
        <f ca="1">IFERROR(__xludf.DUMMYFUNCTION("""COMPUTED_VALUE"""),"ucm")</f>
        <v>ucm</v>
      </c>
      <c r="C13300" s="2" t="str">
        <f ca="1">IFERROR(__xludf.DUMMYFUNCTION("""COMPUTED_VALUE"""),"UCROWDME")</f>
        <v>UCROWDME</v>
      </c>
    </row>
    <row r="13301" spans="1:3" x14ac:dyDescent="0.25">
      <c r="A13301" s="2" t="str">
        <f ca="1">IFERROR(__xludf.DUMMYFUNCTION("""COMPUTED_VALUE"""),"ucx")</f>
        <v>ucx</v>
      </c>
      <c r="B13301" s="2" t="str">
        <f ca="1">IFERROR(__xludf.DUMMYFUNCTION("""COMPUTED_VALUE"""),"ucx")</f>
        <v>ucx</v>
      </c>
      <c r="C13301" s="2" t="str">
        <f ca="1">IFERROR(__xludf.DUMMYFUNCTION("""COMPUTED_VALUE"""),"UCX")</f>
        <v>UCX</v>
      </c>
    </row>
    <row r="13302" spans="1:3" x14ac:dyDescent="0.25">
      <c r="A13302" s="2" t="str">
        <f ca="1">IFERROR(__xludf.DUMMYFUNCTION("""COMPUTED_VALUE"""),"udao")</f>
        <v>udao</v>
      </c>
      <c r="B13302" s="2" t="str">
        <f ca="1">IFERROR(__xludf.DUMMYFUNCTION("""COMPUTED_VALUE"""),"udao")</f>
        <v>udao</v>
      </c>
      <c r="C13302" s="2" t="str">
        <f ca="1">IFERROR(__xludf.DUMMYFUNCTION("""COMPUTED_VALUE"""),"UDAO")</f>
        <v>UDAO</v>
      </c>
    </row>
    <row r="13303" spans="1:3" x14ac:dyDescent="0.25">
      <c r="A13303" s="2" t="str">
        <f ca="1">IFERROR(__xludf.DUMMYFUNCTION("""COMPUTED_VALUE"""),"udder-chaos-milk")</f>
        <v>udder-chaos-milk</v>
      </c>
      <c r="B13303" s="2" t="str">
        <f ca="1">IFERROR(__xludf.DUMMYFUNCTION("""COMPUTED_VALUE"""),"milk")</f>
        <v>milk</v>
      </c>
      <c r="C13303" s="2" t="str">
        <f ca="1">IFERROR(__xludf.DUMMYFUNCTION("""COMPUTED_VALUE"""),"MILK")</f>
        <v>MILK</v>
      </c>
    </row>
    <row r="13304" spans="1:3" x14ac:dyDescent="0.25">
      <c r="A13304" s="2" t="str">
        <f ca="1">IFERROR(__xludf.DUMMYFUNCTION("""COMPUTED_VALUE"""),"udinese-calcio-fan-token")</f>
        <v>udinese-calcio-fan-token</v>
      </c>
      <c r="B13304" s="2" t="str">
        <f ca="1">IFERROR(__xludf.DUMMYFUNCTION("""COMPUTED_VALUE"""),"udi")</f>
        <v>udi</v>
      </c>
      <c r="C13304" s="2" t="str">
        <f ca="1">IFERROR(__xludf.DUMMYFUNCTION("""COMPUTED_VALUE"""),"Udinese Calcio Fan Token")</f>
        <v>Udinese Calcio Fan Token</v>
      </c>
    </row>
    <row r="13305" spans="1:3" x14ac:dyDescent="0.25">
      <c r="A13305" s="2" t="str">
        <f ca="1">IFERROR(__xludf.DUMMYFUNCTION("""COMPUTED_VALUE"""),"uerii")</f>
        <v>uerii</v>
      </c>
      <c r="B13305" s="2" t="str">
        <f ca="1">IFERROR(__xludf.DUMMYFUNCTION("""COMPUTED_VALUE"""),"uerii")</f>
        <v>uerii</v>
      </c>
      <c r="C13305" s="2" t="str">
        <f ca="1">IFERROR(__xludf.DUMMYFUNCTION("""COMPUTED_VALUE"""),"UERII")</f>
        <v>UERII</v>
      </c>
    </row>
    <row r="13306" spans="1:3" x14ac:dyDescent="0.25">
      <c r="A13306" s="2" t="str">
        <f ca="1">IFERROR(__xludf.DUMMYFUNCTION("""COMPUTED_VALUE"""),"ufc-fan-token")</f>
        <v>ufc-fan-token</v>
      </c>
      <c r="B13306" s="2" t="str">
        <f ca="1">IFERROR(__xludf.DUMMYFUNCTION("""COMPUTED_VALUE"""),"ufc")</f>
        <v>ufc</v>
      </c>
      <c r="C13306" s="2" t="str">
        <f ca="1">IFERROR(__xludf.DUMMYFUNCTION("""COMPUTED_VALUE"""),"UFC Fan Token")</f>
        <v>UFC Fan Token</v>
      </c>
    </row>
    <row r="13307" spans="1:3" x14ac:dyDescent="0.25">
      <c r="A13307" s="2" t="str">
        <f ca="1">IFERROR(__xludf.DUMMYFUNCTION("""COMPUTED_VALUE"""),"ufocoin")</f>
        <v>ufocoin</v>
      </c>
      <c r="B13307" s="2" t="str">
        <f ca="1">IFERROR(__xludf.DUMMYFUNCTION("""COMPUTED_VALUE"""),"ufo")</f>
        <v>ufo</v>
      </c>
      <c r="C13307" s="2" t="str">
        <f ca="1">IFERROR(__xludf.DUMMYFUNCTION("""COMPUTED_VALUE"""),"Uniform Fiscal Object")</f>
        <v>Uniform Fiscal Object</v>
      </c>
    </row>
    <row r="13308" spans="1:3" x14ac:dyDescent="0.25">
      <c r="A13308" s="2" t="str">
        <f ca="1">IFERROR(__xludf.DUMMYFUNCTION("""COMPUTED_VALUE"""),"ufo-gaming")</f>
        <v>ufo-gaming</v>
      </c>
      <c r="B13308" s="2" t="str">
        <f ca="1">IFERROR(__xludf.DUMMYFUNCTION("""COMPUTED_VALUE"""),"ufo")</f>
        <v>ufo</v>
      </c>
      <c r="C13308" s="2" t="str">
        <f ca="1">IFERROR(__xludf.DUMMYFUNCTION("""COMPUTED_VALUE"""),"UFO Gaming")</f>
        <v>UFO Gaming</v>
      </c>
    </row>
    <row r="13309" spans="1:3" x14ac:dyDescent="0.25">
      <c r="A13309" s="2" t="str">
        <f ca="1">IFERROR(__xludf.DUMMYFUNCTION("""COMPUTED_VALUE"""),"ufopepe")</f>
        <v>ufopepe</v>
      </c>
      <c r="B13309" s="2" t="str">
        <f ca="1">IFERROR(__xludf.DUMMYFUNCTION("""COMPUTED_VALUE"""),"ufo")</f>
        <v>ufo</v>
      </c>
      <c r="C13309" s="2" t="str">
        <f ca="1">IFERROR(__xludf.DUMMYFUNCTION("""COMPUTED_VALUE"""),"UFOPEPE")</f>
        <v>UFOPEPE</v>
      </c>
    </row>
    <row r="13310" spans="1:3" x14ac:dyDescent="0.25">
      <c r="A13310" s="2" t="str">
        <f ca="1">IFERROR(__xludf.DUMMYFUNCTION("""COMPUTED_VALUE"""),"uforika")</f>
        <v>uforika</v>
      </c>
      <c r="B13310" s="2" t="str">
        <f ca="1">IFERROR(__xludf.DUMMYFUNCTION("""COMPUTED_VALUE"""),"fora")</f>
        <v>fora</v>
      </c>
      <c r="C13310" s="2" t="str">
        <f ca="1">IFERROR(__xludf.DUMMYFUNCTION("""COMPUTED_VALUE"""),"UFORIKA")</f>
        <v>UFORIKA</v>
      </c>
    </row>
    <row r="13311" spans="1:3" x14ac:dyDescent="0.25">
      <c r="A13311" s="2" t="str">
        <f ca="1">IFERROR(__xludf.DUMMYFUNCTION("""COMPUTED_VALUE"""),"ufo-token")</f>
        <v>ufo-token</v>
      </c>
      <c r="B13311" s="2" t="str">
        <f ca="1">IFERROR(__xludf.DUMMYFUNCTION("""COMPUTED_VALUE"""),"ufo")</f>
        <v>ufo</v>
      </c>
      <c r="C13311" s="2" t="str">
        <f ca="1">IFERROR(__xludf.DUMMYFUNCTION("""COMPUTED_VALUE"""),"UFO Token")</f>
        <v>UFO Token</v>
      </c>
    </row>
    <row r="13312" spans="1:3" x14ac:dyDescent="0.25">
      <c r="A13312" s="2" t="str">
        <f ca="1">IFERROR(__xludf.DUMMYFUNCTION("""COMPUTED_VALUE"""),"ugold-inc")</f>
        <v>ugold-inc</v>
      </c>
      <c r="B13312" s="2" t="str">
        <f ca="1">IFERROR(__xludf.DUMMYFUNCTION("""COMPUTED_VALUE"""),"ugold")</f>
        <v>ugold</v>
      </c>
      <c r="C13312" s="2" t="str">
        <f ca="1">IFERROR(__xludf.DUMMYFUNCTION("""COMPUTED_VALUE"""),"UGOLD Inc.")</f>
        <v>UGOLD Inc.</v>
      </c>
    </row>
    <row r="13313" spans="1:3" x14ac:dyDescent="0.25">
      <c r="A13313" s="2" t="str">
        <f ca="1">IFERROR(__xludf.DUMMYFUNCTION("""COMPUTED_VALUE"""),"uhive")</f>
        <v>uhive</v>
      </c>
      <c r="B13313" s="2" t="str">
        <f ca="1">IFERROR(__xludf.DUMMYFUNCTION("""COMPUTED_VALUE"""),"hve2")</f>
        <v>hve2</v>
      </c>
      <c r="C13313" s="2" t="str">
        <f ca="1">IFERROR(__xludf.DUMMYFUNCTION("""COMPUTED_VALUE"""),"Uhive")</f>
        <v>Uhive</v>
      </c>
    </row>
    <row r="13314" spans="1:3" x14ac:dyDescent="0.25">
      <c r="A13314" s="2" t="str">
        <f ca="1">IFERROR(__xludf.DUMMYFUNCTION("""COMPUTED_VALUE"""),"uk-real-estate")</f>
        <v>uk-real-estate</v>
      </c>
      <c r="B13314" s="2" t="str">
        <f ca="1">IFERROR(__xludf.DUMMYFUNCTION("""COMPUTED_VALUE"""),"ukre")</f>
        <v>ukre</v>
      </c>
      <c r="C13314" s="2" t="str">
        <f ca="1">IFERROR(__xludf.DUMMYFUNCTION("""COMPUTED_VALUE"""),"UK Real Estate")</f>
        <v>UK Real Estate</v>
      </c>
    </row>
    <row r="13315" spans="1:3" x14ac:dyDescent="0.25">
      <c r="A13315" s="2" t="str">
        <f ca="1">IFERROR(__xludf.DUMMYFUNCTION("""COMPUTED_VALUE"""),"ulord")</f>
        <v>ulord</v>
      </c>
      <c r="B13315" s="2" t="str">
        <f ca="1">IFERROR(__xludf.DUMMYFUNCTION("""COMPUTED_VALUE"""),"ut")</f>
        <v>ut</v>
      </c>
      <c r="C13315" s="2" t="str">
        <f ca="1">IFERROR(__xludf.DUMMYFUNCTION("""COMPUTED_VALUE"""),"Ulord")</f>
        <v>Ulord</v>
      </c>
    </row>
    <row r="13316" spans="1:3" x14ac:dyDescent="0.25">
      <c r="A13316" s="2" t="str">
        <f ca="1">IFERROR(__xludf.DUMMYFUNCTION("""COMPUTED_VALUE"""),"ultima")</f>
        <v>ultima</v>
      </c>
      <c r="B13316" s="2" t="str">
        <f ca="1">IFERROR(__xludf.DUMMYFUNCTION("""COMPUTED_VALUE"""),"ultima")</f>
        <v>ultima</v>
      </c>
      <c r="C13316" s="2" t="str">
        <f ca="1">IFERROR(__xludf.DUMMYFUNCTION("""COMPUTED_VALUE"""),"Ultima")</f>
        <v>Ultima</v>
      </c>
    </row>
    <row r="13317" spans="1:3" x14ac:dyDescent="0.25">
      <c r="A13317" s="2" t="str">
        <f ca="1">IFERROR(__xludf.DUMMYFUNCTION("""COMPUTED_VALUE"""),"ultiverse")</f>
        <v>ultiverse</v>
      </c>
      <c r="B13317" s="2" t="str">
        <f ca="1">IFERROR(__xludf.DUMMYFUNCTION("""COMPUTED_VALUE"""),"ulti")</f>
        <v>ulti</v>
      </c>
      <c r="C13317" s="2" t="str">
        <f ca="1">IFERROR(__xludf.DUMMYFUNCTION("""COMPUTED_VALUE"""),"Ultiverse")</f>
        <v>Ultiverse</v>
      </c>
    </row>
    <row r="13318" spans="1:3" x14ac:dyDescent="0.25">
      <c r="A13318" s="2" t="str">
        <f ca="1">IFERROR(__xludf.DUMMYFUNCTION("""COMPUTED_VALUE"""),"ultra")</f>
        <v>ultra</v>
      </c>
      <c r="B13318" s="2" t="str">
        <f ca="1">IFERROR(__xludf.DUMMYFUNCTION("""COMPUTED_VALUE"""),"uos")</f>
        <v>uos</v>
      </c>
      <c r="C13318" s="2" t="str">
        <f ca="1">IFERROR(__xludf.DUMMYFUNCTION("""COMPUTED_VALUE"""),"Ultra")</f>
        <v>Ultra</v>
      </c>
    </row>
    <row r="13319" spans="1:3" x14ac:dyDescent="0.25">
      <c r="A13319" s="2" t="str">
        <f ca="1">IFERROR(__xludf.DUMMYFUNCTION("""COMPUTED_VALUE"""),"ultra-2")</f>
        <v>ultra-2</v>
      </c>
      <c r="B13319" s="2" t="str">
        <f ca="1">IFERROR(__xludf.DUMMYFUNCTION("""COMPUTED_VALUE"""),"ultra")</f>
        <v>ultra</v>
      </c>
      <c r="C13319" s="2" t="str">
        <f ca="1">IFERROR(__xludf.DUMMYFUNCTION("""COMPUTED_VALUE"""),"ULTRA")</f>
        <v>ULTRA</v>
      </c>
    </row>
    <row r="13320" spans="1:3" x14ac:dyDescent="0.25">
      <c r="A13320" s="2" t="str">
        <f ca="1">IFERROR(__xludf.DUMMYFUNCTION("""COMPUTED_VALUE"""),"ultra-clear")</f>
        <v>ultra-clear</v>
      </c>
      <c r="B13320" s="2" t="str">
        <f ca="1">IFERROR(__xludf.DUMMYFUNCTION("""COMPUTED_VALUE"""),"ucr")</f>
        <v>ucr</v>
      </c>
      <c r="C13320" s="2" t="str">
        <f ca="1">IFERROR(__xludf.DUMMYFUNCTION("""COMPUTED_VALUE"""),"Ultra Clear")</f>
        <v>Ultra Clear</v>
      </c>
    </row>
    <row r="13321" spans="1:3" x14ac:dyDescent="0.25">
      <c r="A13321" s="2" t="str">
        <f ca="1">IFERROR(__xludf.DUMMYFUNCTION("""COMPUTED_VALUE"""),"ultragate")</f>
        <v>ultragate</v>
      </c>
      <c r="B13321" s="2" t="str">
        <f ca="1">IFERROR(__xludf.DUMMYFUNCTION("""COMPUTED_VALUE"""),"ulg")</f>
        <v>ulg</v>
      </c>
      <c r="C13321" s="2" t="str">
        <f ca="1">IFERROR(__xludf.DUMMYFUNCTION("""COMPUTED_VALUE"""),"Ultragate")</f>
        <v>Ultragate</v>
      </c>
    </row>
    <row r="13322" spans="1:3" x14ac:dyDescent="0.25">
      <c r="A13322" s="2" t="str">
        <f ca="1">IFERROR(__xludf.DUMMYFUNCTION("""COMPUTED_VALUE"""),"ultramoc")</f>
        <v>ultramoc</v>
      </c>
      <c r="B13322" s="2" t="str">
        <f ca="1">IFERROR(__xludf.DUMMYFUNCTION("""COMPUTED_VALUE"""),"umc")</f>
        <v>umc</v>
      </c>
      <c r="C13322" s="2" t="str">
        <f ca="1">IFERROR(__xludf.DUMMYFUNCTION("""COMPUTED_VALUE"""),"Ultramoc")</f>
        <v>Ultramoc</v>
      </c>
    </row>
    <row r="13323" spans="1:3" x14ac:dyDescent="0.25">
      <c r="A13323" s="2" t="str">
        <f ca="1">IFERROR(__xludf.DUMMYFUNCTION("""COMPUTED_VALUE"""),"ultra-nft")</f>
        <v>ultra-nft</v>
      </c>
      <c r="B13323" s="2" t="str">
        <f ca="1">IFERROR(__xludf.DUMMYFUNCTION("""COMPUTED_VALUE"""),"unft")</f>
        <v>unft</v>
      </c>
      <c r="C13323" s="2" t="str">
        <f ca="1">IFERROR(__xludf.DUMMYFUNCTION("""COMPUTED_VALUE"""),"Ultra NFT")</f>
        <v>Ultra NFT</v>
      </c>
    </row>
    <row r="13324" spans="1:3" x14ac:dyDescent="0.25">
      <c r="A13324" s="2" t="str">
        <f ca="1">IFERROR(__xludf.DUMMYFUNCTION("""COMPUTED_VALUE"""),"ultrapro")</f>
        <v>ultrapro</v>
      </c>
      <c r="B13324" s="2" t="str">
        <f ca="1">IFERROR(__xludf.DUMMYFUNCTION("""COMPUTED_VALUE"""),"upro")</f>
        <v>upro</v>
      </c>
      <c r="C13324" s="2" t="str">
        <f ca="1">IFERROR(__xludf.DUMMYFUNCTION("""COMPUTED_VALUE"""),"Ultrapro")</f>
        <v>Ultrapro</v>
      </c>
    </row>
    <row r="13325" spans="1:3" x14ac:dyDescent="0.25">
      <c r="A13325" s="2" t="str">
        <f ca="1">IFERROR(__xludf.DUMMYFUNCTION("""COMPUTED_VALUE"""),"ultrasafe")</f>
        <v>ultrasafe</v>
      </c>
      <c r="B13325" s="2" t="str">
        <f ca="1">IFERROR(__xludf.DUMMYFUNCTION("""COMPUTED_VALUE"""),"ultra")</f>
        <v>ultra</v>
      </c>
      <c r="C13325" s="2" t="str">
        <f ca="1">IFERROR(__xludf.DUMMYFUNCTION("""COMPUTED_VALUE"""),"UltraSafe")</f>
        <v>UltraSafe</v>
      </c>
    </row>
    <row r="13326" spans="1:3" x14ac:dyDescent="0.25">
      <c r="A13326" s="2" t="str">
        <f ca="1">IFERROR(__xludf.DUMMYFUNCTION("""COMPUTED_VALUE"""),"ultron")</f>
        <v>ultron</v>
      </c>
      <c r="B13326" s="2" t="str">
        <f ca="1">IFERROR(__xludf.DUMMYFUNCTION("""COMPUTED_VALUE"""),"ulx")</f>
        <v>ulx</v>
      </c>
      <c r="C13326" s="2" t="str">
        <f ca="1">IFERROR(__xludf.DUMMYFUNCTION("""COMPUTED_VALUE"""),"ULTRON")</f>
        <v>ULTRON</v>
      </c>
    </row>
    <row r="13327" spans="1:3" x14ac:dyDescent="0.25">
      <c r="A13327" s="2" t="str">
        <f ca="1">IFERROR(__xludf.DUMMYFUNCTION("""COMPUTED_VALUE"""),"uma")</f>
        <v>uma</v>
      </c>
      <c r="B13327" s="2" t="str">
        <f ca="1">IFERROR(__xludf.DUMMYFUNCTION("""COMPUTED_VALUE"""),"uma")</f>
        <v>uma</v>
      </c>
      <c r="C13327" s="2" t="str">
        <f ca="1">IFERROR(__xludf.DUMMYFUNCTION("""COMPUTED_VALUE"""),"UMA")</f>
        <v>UMA</v>
      </c>
    </row>
    <row r="13328" spans="1:3" x14ac:dyDescent="0.25">
      <c r="A13328" s="2" t="str">
        <f ca="1">IFERROR(__xludf.DUMMYFUNCTION("""COMPUTED_VALUE"""),"umami-finance")</f>
        <v>umami-finance</v>
      </c>
      <c r="B13328" s="2" t="str">
        <f ca="1">IFERROR(__xludf.DUMMYFUNCTION("""COMPUTED_VALUE"""),"umami")</f>
        <v>umami</v>
      </c>
      <c r="C13328" s="2" t="str">
        <f ca="1">IFERROR(__xludf.DUMMYFUNCTION("""COMPUTED_VALUE"""),"Umami")</f>
        <v>Umami</v>
      </c>
    </row>
    <row r="13329" spans="1:3" x14ac:dyDescent="0.25">
      <c r="A13329" s="2" t="str">
        <f ca="1">IFERROR(__xludf.DUMMYFUNCTION("""COMPUTED_VALUE"""),"umareum")</f>
        <v>umareum</v>
      </c>
      <c r="B13329" s="2" t="str">
        <f ca="1">IFERROR(__xludf.DUMMYFUNCTION("""COMPUTED_VALUE"""),"umareum")</f>
        <v>umareum</v>
      </c>
      <c r="C13329" s="2" t="str">
        <f ca="1">IFERROR(__xludf.DUMMYFUNCTION("""COMPUTED_VALUE"""),"UMAREUM")</f>
        <v>UMAREUM</v>
      </c>
    </row>
    <row r="13330" spans="1:3" x14ac:dyDescent="0.25">
      <c r="A13330" s="2" t="str">
        <f ca="1">IFERROR(__xludf.DUMMYFUNCTION("""COMPUTED_VALUE"""),"umbrella-network")</f>
        <v>umbrella-network</v>
      </c>
      <c r="B13330" s="2" t="str">
        <f ca="1">IFERROR(__xludf.DUMMYFUNCTION("""COMPUTED_VALUE"""),"umb")</f>
        <v>umb</v>
      </c>
      <c r="C13330" s="2" t="str">
        <f ca="1">IFERROR(__xludf.DUMMYFUNCTION("""COMPUTED_VALUE"""),"Umbrella Network")</f>
        <v>Umbrella Network</v>
      </c>
    </row>
    <row r="13331" spans="1:3" x14ac:dyDescent="0.25">
      <c r="A13331" s="2" t="str">
        <f ca="1">IFERROR(__xludf.DUMMYFUNCTION("""COMPUTED_VALUE"""),"umee")</f>
        <v>umee</v>
      </c>
      <c r="B13331" s="2" t="str">
        <f ca="1">IFERROR(__xludf.DUMMYFUNCTION("""COMPUTED_VALUE"""),"ux")</f>
        <v>ux</v>
      </c>
      <c r="C13331" s="2" t="str">
        <f ca="1">IFERROR(__xludf.DUMMYFUNCTION("""COMPUTED_VALUE"""),"UX Chain")</f>
        <v>UX Chain</v>
      </c>
    </row>
    <row r="13332" spans="1:3" x14ac:dyDescent="0.25">
      <c r="A13332" s="2" t="str">
        <f ca="1">IFERROR(__xludf.DUMMYFUNCTION("""COMPUTED_VALUE"""),"umi-digital")</f>
        <v>umi-digital</v>
      </c>
      <c r="B13332" s="2" t="str">
        <f ca="1">IFERROR(__xludf.DUMMYFUNCTION("""COMPUTED_VALUE"""),"umi")</f>
        <v>umi</v>
      </c>
      <c r="C13332" s="2" t="str">
        <f ca="1">IFERROR(__xludf.DUMMYFUNCTION("""COMPUTED_VALUE"""),"Umi Digital")</f>
        <v>Umi Digital</v>
      </c>
    </row>
    <row r="13333" spans="1:3" x14ac:dyDescent="0.25">
      <c r="A13333" s="2" t="str">
        <f ca="1">IFERROR(__xludf.DUMMYFUNCTION("""COMPUTED_VALUE"""),"umi-s-friends-unity")</f>
        <v>umi-s-friends-unity</v>
      </c>
      <c r="B13333" s="2" t="str">
        <f ca="1">IFERROR(__xludf.DUMMYFUNCTION("""COMPUTED_VALUE"""),"unt")</f>
        <v>unt</v>
      </c>
      <c r="C13333" s="2" t="str">
        <f ca="1">IFERROR(__xludf.DUMMYFUNCTION("""COMPUTED_VALUE"""),"Umi's Friends Unity")</f>
        <v>Umi's Friends Unity</v>
      </c>
    </row>
    <row r="13334" spans="1:3" x14ac:dyDescent="0.25">
      <c r="A13334" s="2" t="str">
        <f ca="1">IFERROR(__xludf.DUMMYFUNCTION("""COMPUTED_VALUE"""),"umma-token")</f>
        <v>umma-token</v>
      </c>
      <c r="B13334" s="2" t="str">
        <f ca="1">IFERROR(__xludf.DUMMYFUNCTION("""COMPUTED_VALUE"""),"umma")</f>
        <v>umma</v>
      </c>
      <c r="C13334" s="2" t="str">
        <f ca="1">IFERROR(__xludf.DUMMYFUNCTION("""COMPUTED_VALUE"""),"Umma Token")</f>
        <v>Umma Token</v>
      </c>
    </row>
    <row r="13335" spans="1:3" x14ac:dyDescent="0.25">
      <c r="A13335" s="2" t="str">
        <f ca="1">IFERROR(__xludf.DUMMYFUNCTION("""COMPUTED_VALUE"""),"umoja")</f>
        <v>umoja</v>
      </c>
      <c r="B13335" s="2" t="str">
        <f ca="1">IFERROR(__xludf.DUMMYFUNCTION("""COMPUTED_VALUE"""),"umja")</f>
        <v>umja</v>
      </c>
      <c r="C13335" s="2" t="str">
        <f ca="1">IFERROR(__xludf.DUMMYFUNCTION("""COMPUTED_VALUE"""),"Umoja")</f>
        <v>Umoja</v>
      </c>
    </row>
    <row r="13336" spans="1:3" x14ac:dyDescent="0.25">
      <c r="A13336" s="2" t="str">
        <f ca="1">IFERROR(__xludf.DUMMYFUNCTION("""COMPUTED_VALUE"""),"umoja-ybtc")</f>
        <v>umoja-ybtc</v>
      </c>
      <c r="B13336" s="2" t="str">
        <f ca="1">IFERROR(__xludf.DUMMYFUNCTION("""COMPUTED_VALUE"""),"ybtc")</f>
        <v>ybtc</v>
      </c>
      <c r="C13336" s="2" t="str">
        <f ca="1">IFERROR(__xludf.DUMMYFUNCTION("""COMPUTED_VALUE"""),"Umoja yBTC")</f>
        <v>Umoja yBTC</v>
      </c>
    </row>
    <row r="13337" spans="1:3" x14ac:dyDescent="0.25">
      <c r="A13337" s="2" t="str">
        <f ca="1">IFERROR(__xludf.DUMMYFUNCTION("""COMPUTED_VALUE"""),"unagii-dai")</f>
        <v>unagii-dai</v>
      </c>
      <c r="B13337" s="2" t="str">
        <f ca="1">IFERROR(__xludf.DUMMYFUNCTION("""COMPUTED_VALUE"""),"udai")</f>
        <v>udai</v>
      </c>
      <c r="C13337" s="2" t="str">
        <f ca="1">IFERROR(__xludf.DUMMYFUNCTION("""COMPUTED_VALUE"""),"Unagii Dai")</f>
        <v>Unagii Dai</v>
      </c>
    </row>
    <row r="13338" spans="1:3" x14ac:dyDescent="0.25">
      <c r="A13338" s="2" t="str">
        <f ca="1">IFERROR(__xludf.DUMMYFUNCTION("""COMPUTED_VALUE"""),"unagii-eth")</f>
        <v>unagii-eth</v>
      </c>
      <c r="B13338" s="2" t="str">
        <f ca="1">IFERROR(__xludf.DUMMYFUNCTION("""COMPUTED_VALUE"""),"ueth")</f>
        <v>ueth</v>
      </c>
      <c r="C13338" s="2" t="str">
        <f ca="1">IFERROR(__xludf.DUMMYFUNCTION("""COMPUTED_VALUE"""),"Unagii ETH")</f>
        <v>Unagii ETH</v>
      </c>
    </row>
    <row r="13339" spans="1:3" x14ac:dyDescent="0.25">
      <c r="A13339" s="2" t="str">
        <f ca="1">IFERROR(__xludf.DUMMYFUNCTION("""COMPUTED_VALUE"""),"unagii-tether-usd")</f>
        <v>unagii-tether-usd</v>
      </c>
      <c r="B13339" s="2" t="str">
        <f ca="1">IFERROR(__xludf.DUMMYFUNCTION("""COMPUTED_VALUE"""),"uusdt")</f>
        <v>uusdt</v>
      </c>
      <c r="C13339" s="2" t="str">
        <f ca="1">IFERROR(__xludf.DUMMYFUNCTION("""COMPUTED_VALUE"""),"Unagii Tether USD")</f>
        <v>Unagii Tether USD</v>
      </c>
    </row>
    <row r="13340" spans="1:3" x14ac:dyDescent="0.25">
      <c r="A13340" s="2" t="str">
        <f ca="1">IFERROR(__xludf.DUMMYFUNCTION("""COMPUTED_VALUE"""),"unagii-usd-coin")</f>
        <v>unagii-usd-coin</v>
      </c>
      <c r="B13340" s="2" t="str">
        <f ca="1">IFERROR(__xludf.DUMMYFUNCTION("""COMPUTED_VALUE"""),"uusdc")</f>
        <v>uusdc</v>
      </c>
      <c r="C13340" s="2" t="str">
        <f ca="1">IFERROR(__xludf.DUMMYFUNCTION("""COMPUTED_VALUE"""),"Unagii USD Coin")</f>
        <v>Unagii USD Coin</v>
      </c>
    </row>
    <row r="13341" spans="1:3" x14ac:dyDescent="0.25">
      <c r="A13341" s="2" t="str">
        <f ca="1">IFERROR(__xludf.DUMMYFUNCTION("""COMPUTED_VALUE"""),"unagii-wrapped-bitcoin")</f>
        <v>unagii-wrapped-bitcoin</v>
      </c>
      <c r="B13341" s="2" t="str">
        <f ca="1">IFERROR(__xludf.DUMMYFUNCTION("""COMPUTED_VALUE"""),"uwbtc")</f>
        <v>uwbtc</v>
      </c>
      <c r="C13341" s="2" t="str">
        <f ca="1">IFERROR(__xludf.DUMMYFUNCTION("""COMPUTED_VALUE"""),"Unagii Wrapped Bitcoin")</f>
        <v>Unagii Wrapped Bitcoin</v>
      </c>
    </row>
    <row r="13342" spans="1:3" x14ac:dyDescent="0.25">
      <c r="A13342" s="2" t="str">
        <f ca="1">IFERROR(__xludf.DUMMYFUNCTION("""COMPUTED_VALUE"""),"unagi-token")</f>
        <v>unagi-token</v>
      </c>
      <c r="B13342" s="2" t="str">
        <f ca="1">IFERROR(__xludf.DUMMYFUNCTION("""COMPUTED_VALUE"""),"una")</f>
        <v>una</v>
      </c>
      <c r="C13342" s="2" t="str">
        <f ca="1">IFERROR(__xludf.DUMMYFUNCTION("""COMPUTED_VALUE"""),"Unagi Token")</f>
        <v>Unagi Token</v>
      </c>
    </row>
    <row r="13343" spans="1:3" x14ac:dyDescent="0.25">
      <c r="A13343" s="2" t="str">
        <f ca="1">IFERROR(__xludf.DUMMYFUNCTION("""COMPUTED_VALUE"""),"unamano")</f>
        <v>unamano</v>
      </c>
      <c r="B13343" s="2" t="str">
        <f ca="1">IFERROR(__xludf.DUMMYFUNCTION("""COMPUTED_VALUE"""),"whypad")</f>
        <v>whypad</v>
      </c>
      <c r="C13343" s="2" t="str">
        <f ca="1">IFERROR(__xludf.DUMMYFUNCTION("""COMPUTED_VALUE"""),"Unamano")</f>
        <v>Unamano</v>
      </c>
    </row>
    <row r="13344" spans="1:3" x14ac:dyDescent="0.25">
      <c r="A13344" s="2" t="str">
        <f ca="1">IFERROR(__xludf.DUMMYFUNCTION("""COMPUTED_VALUE"""),"unbanked")</f>
        <v>unbanked</v>
      </c>
      <c r="B13344" s="2" t="str">
        <f ca="1">IFERROR(__xludf.DUMMYFUNCTION("""COMPUTED_VALUE"""),"unbnk")</f>
        <v>unbnk</v>
      </c>
      <c r="C13344" s="2" t="str">
        <f ca="1">IFERROR(__xludf.DUMMYFUNCTION("""COMPUTED_VALUE"""),"Unbanked")</f>
        <v>Unbanked</v>
      </c>
    </row>
    <row r="13345" spans="1:3" x14ac:dyDescent="0.25">
      <c r="A13345" s="2" t="str">
        <f ca="1">IFERROR(__xludf.DUMMYFUNCTION("""COMPUTED_VALUE"""),"unbound-finance")</f>
        <v>unbound-finance</v>
      </c>
      <c r="B13345" s="2" t="str">
        <f ca="1">IFERROR(__xludf.DUMMYFUNCTION("""COMPUTED_VALUE"""),"unb")</f>
        <v>unb</v>
      </c>
      <c r="C13345" s="2" t="str">
        <f ca="1">IFERROR(__xludf.DUMMYFUNCTION("""COMPUTED_VALUE"""),"Unbound Finance")</f>
        <v>Unbound Finance</v>
      </c>
    </row>
    <row r="13346" spans="1:3" x14ac:dyDescent="0.25">
      <c r="A13346" s="2" t="str">
        <f ca="1">IFERROR(__xludf.DUMMYFUNCTION("""COMPUTED_VALUE"""),"uncharted")</f>
        <v>uncharted</v>
      </c>
      <c r="B13346" s="2" t="str">
        <f ca="1">IFERROR(__xludf.DUMMYFUNCTION("""COMPUTED_VALUE"""),"u")</f>
        <v>u</v>
      </c>
      <c r="C13346" s="2" t="str">
        <f ca="1">IFERROR(__xludf.DUMMYFUNCTION("""COMPUTED_VALUE"""),"Uncharted")</f>
        <v>Uncharted</v>
      </c>
    </row>
    <row r="13347" spans="1:3" x14ac:dyDescent="0.25">
      <c r="A13347" s="2" t="str">
        <f ca="1">IFERROR(__xludf.DUMMYFUNCTION("""COMPUTED_VALUE"""),"uncharted-lands-x")</f>
        <v>uncharted-lands-x</v>
      </c>
      <c r="B13347" s="2" t="str">
        <f ca="1">IFERROR(__xludf.DUMMYFUNCTION("""COMPUTED_VALUE"""),"uclx")</f>
        <v>uclx</v>
      </c>
      <c r="C13347" s="2" t="str">
        <f ca="1">IFERROR(__xludf.DUMMYFUNCTION("""COMPUTED_VALUE"""),"Uncharted Lands X")</f>
        <v>Uncharted Lands X</v>
      </c>
    </row>
    <row r="13348" spans="1:3" x14ac:dyDescent="0.25">
      <c r="A13348" s="2" t="str">
        <f ca="1">IFERROR(__xludf.DUMMYFUNCTION("""COMPUTED_VALUE"""),"uncommon-goods")</f>
        <v>uncommon-goods</v>
      </c>
      <c r="B13348" s="2" t="str">
        <f ca="1">IFERROR(__xludf.DUMMYFUNCTION("""COMPUTED_VALUE"""),"uncommongoods")</f>
        <v>uncommongoods</v>
      </c>
      <c r="C13348" s="2" t="str">
        <f ca="1">IFERROR(__xludf.DUMMYFUNCTION("""COMPUTED_VALUE"""),"UNCOMMON•GOODS")</f>
        <v>UNCOMMON•GOODS</v>
      </c>
    </row>
    <row r="13349" spans="1:3" x14ac:dyDescent="0.25">
      <c r="A13349" s="2" t="str">
        <f ca="1">IFERROR(__xludf.DUMMYFUNCTION("""COMPUTED_VALUE"""),"undead-blocks")</f>
        <v>undead-blocks</v>
      </c>
      <c r="B13349" s="2" t="str">
        <f ca="1">IFERROR(__xludf.DUMMYFUNCTION("""COMPUTED_VALUE"""),"undead")</f>
        <v>undead</v>
      </c>
      <c r="C13349" s="2" t="str">
        <f ca="1">IFERROR(__xludf.DUMMYFUNCTION("""COMPUTED_VALUE"""),"Undead Blocks")</f>
        <v>Undead Blocks</v>
      </c>
    </row>
    <row r="13350" spans="1:3" x14ac:dyDescent="0.25">
      <c r="A13350" s="2" t="str">
        <f ca="1">IFERROR(__xludf.DUMMYFUNCTION("""COMPUTED_VALUE"""),"undeads-games")</f>
        <v>undeads-games</v>
      </c>
      <c r="B13350" s="2" t="str">
        <f ca="1">IFERROR(__xludf.DUMMYFUNCTION("""COMPUTED_VALUE"""),"uds")</f>
        <v>uds</v>
      </c>
      <c r="C13350" s="2" t="str">
        <f ca="1">IFERROR(__xludf.DUMMYFUNCTION("""COMPUTED_VALUE"""),"Undeads Games")</f>
        <v>Undeads Games</v>
      </c>
    </row>
    <row r="13351" spans="1:3" x14ac:dyDescent="0.25">
      <c r="A13351" s="2" t="str">
        <f ca="1">IFERROR(__xludf.DUMMYFUNCTION("""COMPUTED_VALUE"""),"underworld")</f>
        <v>underworld</v>
      </c>
      <c r="B13351" s="2" t="str">
        <f ca="1">IFERROR(__xludf.DUMMYFUNCTION("""COMPUTED_VALUE"""),"udw")</f>
        <v>udw</v>
      </c>
      <c r="C13351" s="2" t="str">
        <f ca="1">IFERROR(__xludf.DUMMYFUNCTION("""COMPUTED_VALUE"""),"Underworld")</f>
        <v>Underworld</v>
      </c>
    </row>
    <row r="13352" spans="1:3" x14ac:dyDescent="0.25">
      <c r="A13352" s="2" t="str">
        <f ca="1">IFERROR(__xludf.DUMMYFUNCTION("""COMPUTED_VALUE"""),"unfederalreserve")</f>
        <v>unfederalreserve</v>
      </c>
      <c r="B13352" s="2" t="str">
        <f ca="1">IFERROR(__xludf.DUMMYFUNCTION("""COMPUTED_VALUE"""),"ersdl")</f>
        <v>ersdl</v>
      </c>
      <c r="C13352" s="2" t="str">
        <f ca="1">IFERROR(__xludf.DUMMYFUNCTION("""COMPUTED_VALUE"""),"Residual Token")</f>
        <v>Residual Token</v>
      </c>
    </row>
    <row r="13353" spans="1:3" x14ac:dyDescent="0.25">
      <c r="A13353" s="2" t="str">
        <f ca="1">IFERROR(__xludf.DUMMYFUNCTION("""COMPUTED_VALUE"""),"unibit")</f>
        <v>unibit</v>
      </c>
      <c r="B13353" s="2" t="str">
        <f ca="1">IFERROR(__xludf.DUMMYFUNCTION("""COMPUTED_VALUE"""),"uibt")</f>
        <v>uibt</v>
      </c>
      <c r="C13353" s="2" t="str">
        <f ca="1">IFERROR(__xludf.DUMMYFUNCTION("""COMPUTED_VALUE"""),"Unibit")</f>
        <v>Unibit</v>
      </c>
    </row>
    <row r="13354" spans="1:3" x14ac:dyDescent="0.25">
      <c r="A13354" s="2" t="str">
        <f ca="1">IFERROR(__xludf.DUMMYFUNCTION("""COMPUTED_VALUE"""),"unibot")</f>
        <v>unibot</v>
      </c>
      <c r="B13354" s="2" t="str">
        <f ca="1">IFERROR(__xludf.DUMMYFUNCTION("""COMPUTED_VALUE"""),"unibot")</f>
        <v>unibot</v>
      </c>
      <c r="C13354" s="2" t="str">
        <f ca="1">IFERROR(__xludf.DUMMYFUNCTION("""COMPUTED_VALUE"""),"Unibot")</f>
        <v>Unibot</v>
      </c>
    </row>
    <row r="13355" spans="1:3" x14ac:dyDescent="0.25">
      <c r="A13355" s="2" t="str">
        <f ca="1">IFERROR(__xludf.DUMMYFUNCTION("""COMPUTED_VALUE"""),"unibright")</f>
        <v>unibright</v>
      </c>
      <c r="B13355" s="2" t="str">
        <f ca="1">IFERROR(__xludf.DUMMYFUNCTION("""COMPUTED_VALUE"""),"ubt")</f>
        <v>ubt</v>
      </c>
      <c r="C13355" s="2" t="str">
        <f ca="1">IFERROR(__xludf.DUMMYFUNCTION("""COMPUTED_VALUE"""),"Unibright")</f>
        <v>Unibright</v>
      </c>
    </row>
    <row r="13356" spans="1:3" x14ac:dyDescent="0.25">
      <c r="A13356" s="2" t="str">
        <f ca="1">IFERROR(__xludf.DUMMYFUNCTION("""COMPUTED_VALUE"""),"unice")</f>
        <v>unice</v>
      </c>
      <c r="B13356" s="2" t="str">
        <f ca="1">IFERROR(__xludf.DUMMYFUNCTION("""COMPUTED_VALUE"""),"unice")</f>
        <v>unice</v>
      </c>
      <c r="C13356" s="2" t="str">
        <f ca="1">IFERROR(__xludf.DUMMYFUNCTION("""COMPUTED_VALUE"""),"UNICE")</f>
        <v>UNICE</v>
      </c>
    </row>
    <row r="13357" spans="1:3" x14ac:dyDescent="0.25">
      <c r="A13357" s="2" t="str">
        <f ca="1">IFERROR(__xludf.DUMMYFUNCTION("""COMPUTED_VALUE"""),"unicorn-3")</f>
        <v>unicorn-3</v>
      </c>
      <c r="B13357" s="2" t="str">
        <f ca="1">IFERROR(__xludf.DUMMYFUNCTION("""COMPUTED_VALUE"""),"uwu")</f>
        <v>uwu</v>
      </c>
      <c r="C13357" s="2" t="str">
        <f ca="1">IFERROR(__xludf.DUMMYFUNCTION("""COMPUTED_VALUE"""),"Unicorn")</f>
        <v>Unicorn</v>
      </c>
    </row>
    <row r="13358" spans="1:3" x14ac:dyDescent="0.25">
      <c r="A13358" s="2" t="str">
        <f ca="1">IFERROR(__xludf.DUMMYFUNCTION("""COMPUTED_VALUE"""),"unicorn-metaverse")</f>
        <v>unicorn-metaverse</v>
      </c>
      <c r="B13358" s="2" t="str">
        <f ca="1">IFERROR(__xludf.DUMMYFUNCTION("""COMPUTED_VALUE"""),"universe")</f>
        <v>universe</v>
      </c>
      <c r="C13358" s="2" t="str">
        <f ca="1">IFERROR(__xludf.DUMMYFUNCTION("""COMPUTED_VALUE"""),"Unicorn Metaverse")</f>
        <v>Unicorn Metaverse</v>
      </c>
    </row>
    <row r="13359" spans="1:3" x14ac:dyDescent="0.25">
      <c r="A13359" s="2" t="str">
        <f ca="1">IFERROR(__xludf.DUMMYFUNCTION("""COMPUTED_VALUE"""),"unicorn-token")</f>
        <v>unicorn-token</v>
      </c>
      <c r="B13359" s="2" t="str">
        <f ca="1">IFERROR(__xludf.DUMMYFUNCTION("""COMPUTED_VALUE"""),"uni")</f>
        <v>uni</v>
      </c>
      <c r="C13359" s="2" t="str">
        <f ca="1">IFERROR(__xludf.DUMMYFUNCTION("""COMPUTED_VALUE"""),"UNICORN")</f>
        <v>UNICORN</v>
      </c>
    </row>
    <row r="13360" spans="1:3" x14ac:dyDescent="0.25">
      <c r="A13360" s="2" t="str">
        <f ca="1">IFERROR(__xludf.DUMMYFUNCTION("""COMPUTED_VALUE"""),"unicorn-ultra")</f>
        <v>unicorn-ultra</v>
      </c>
      <c r="B13360" s="2" t="str">
        <f ca="1">IFERROR(__xludf.DUMMYFUNCTION("""COMPUTED_VALUE"""),"u2u")</f>
        <v>u2u</v>
      </c>
      <c r="C13360" s="2" t="str">
        <f ca="1">IFERROR(__xludf.DUMMYFUNCTION("""COMPUTED_VALUE"""),"U2U Network")</f>
        <v>U2U Network</v>
      </c>
    </row>
    <row r="13361" spans="1:3" x14ac:dyDescent="0.25">
      <c r="A13361" s="2" t="str">
        <f ca="1">IFERROR(__xludf.DUMMYFUNCTION("""COMPUTED_VALUE"""),"unicrypt-2")</f>
        <v>unicrypt-2</v>
      </c>
      <c r="B13361" s="2" t="str">
        <f ca="1">IFERROR(__xludf.DUMMYFUNCTION("""COMPUTED_VALUE"""),"uncx")</f>
        <v>uncx</v>
      </c>
      <c r="C13361" s="2" t="str">
        <f ca="1">IFERROR(__xludf.DUMMYFUNCTION("""COMPUTED_VALUE"""),"UNCX Network")</f>
        <v>UNCX Network</v>
      </c>
    </row>
    <row r="13362" spans="1:3" x14ac:dyDescent="0.25">
      <c r="A13362" s="2" t="str">
        <f ca="1">IFERROR(__xludf.DUMMYFUNCTION("""COMPUTED_VALUE"""),"unidex")</f>
        <v>unidex</v>
      </c>
      <c r="B13362" s="2" t="str">
        <f ca="1">IFERROR(__xludf.DUMMYFUNCTION("""COMPUTED_VALUE"""),"unidx")</f>
        <v>unidx</v>
      </c>
      <c r="C13362" s="2" t="str">
        <f ca="1">IFERROR(__xludf.DUMMYFUNCTION("""COMPUTED_VALUE"""),"UniDex")</f>
        <v>UniDex</v>
      </c>
    </row>
    <row r="13363" spans="1:3" x14ac:dyDescent="0.25">
      <c r="A13363" s="2" t="str">
        <f ca="1">IFERROR(__xludf.DUMMYFUNCTION("""COMPUTED_VALUE"""),"unido-ep")</f>
        <v>unido-ep</v>
      </c>
      <c r="B13363" s="2" t="str">
        <f ca="1">IFERROR(__xludf.DUMMYFUNCTION("""COMPUTED_VALUE"""),"udo")</f>
        <v>udo</v>
      </c>
      <c r="C13363" s="2" t="str">
        <f ca="1">IFERROR(__xludf.DUMMYFUNCTION("""COMPUTED_VALUE"""),"Unido")</f>
        <v>Unido</v>
      </c>
    </row>
    <row r="13364" spans="1:3" x14ac:dyDescent="0.25">
      <c r="A13364" s="2" t="str">
        <f ca="1">IFERROR(__xludf.DUMMYFUNCTION("""COMPUTED_VALUE"""),"unielon")</f>
        <v>unielon</v>
      </c>
      <c r="B13364" s="2" t="str">
        <f ca="1">IFERROR(__xludf.DUMMYFUNCTION("""COMPUTED_VALUE"""),"unix")</f>
        <v>unix</v>
      </c>
      <c r="C13364" s="2" t="str">
        <f ca="1">IFERROR(__xludf.DUMMYFUNCTION("""COMPUTED_VALUE"""),"Unielon (DRC-20)")</f>
        <v>Unielon (DRC-20)</v>
      </c>
    </row>
    <row r="13365" spans="1:3" x14ac:dyDescent="0.25">
      <c r="A13365" s="2" t="str">
        <f ca="1">IFERROR(__xludf.DUMMYFUNCTION("""COMPUTED_VALUE"""),"unifarm")</f>
        <v>unifarm</v>
      </c>
      <c r="B13365" s="2" t="str">
        <f ca="1">IFERROR(__xludf.DUMMYFUNCTION("""COMPUTED_VALUE"""),"ufarm")</f>
        <v>ufarm</v>
      </c>
      <c r="C13365" s="2" t="str">
        <f ca="1">IFERROR(__xludf.DUMMYFUNCTION("""COMPUTED_VALUE"""),"UniFarm")</f>
        <v>UniFarm</v>
      </c>
    </row>
    <row r="13366" spans="1:3" x14ac:dyDescent="0.25">
      <c r="A13366" s="2" t="str">
        <f ca="1">IFERROR(__xludf.DUMMYFUNCTION("""COMPUTED_VALUE"""),"unifi")</f>
        <v>unifi</v>
      </c>
      <c r="B13366" s="2" t="str">
        <f ca="1">IFERROR(__xludf.DUMMYFUNCTION("""COMPUTED_VALUE"""),"unifi")</f>
        <v>unifi</v>
      </c>
      <c r="C13366" s="2" t="str">
        <f ca="1">IFERROR(__xludf.DUMMYFUNCTION("""COMPUTED_VALUE"""),"Covenants")</f>
        <v>Covenants</v>
      </c>
    </row>
    <row r="13367" spans="1:3" x14ac:dyDescent="0.25">
      <c r="A13367" s="2" t="str">
        <f ca="1">IFERROR(__xludf.DUMMYFUNCTION("""COMPUTED_VALUE"""),"unifi-2")</f>
        <v>unifi-2</v>
      </c>
      <c r="B13367" s="2" t="str">
        <f ca="1">IFERROR(__xludf.DUMMYFUNCTION("""COMPUTED_VALUE"""),"unifi")</f>
        <v>unifi</v>
      </c>
      <c r="C13367" s="2" t="str">
        <f ca="1">IFERROR(__xludf.DUMMYFUNCTION("""COMPUTED_VALUE"""),"UNIFI")</f>
        <v>UNIFI</v>
      </c>
    </row>
    <row r="13368" spans="1:3" x14ac:dyDescent="0.25">
      <c r="A13368" s="2" t="str">
        <f ca="1">IFERROR(__xludf.DUMMYFUNCTION("""COMPUTED_VALUE"""),"unification")</f>
        <v>unification</v>
      </c>
      <c r="B13368" s="2" t="str">
        <f ca="1">IFERROR(__xludf.DUMMYFUNCTION("""COMPUTED_VALUE"""),"fund")</f>
        <v>fund</v>
      </c>
      <c r="C13368" s="2" t="str">
        <f ca="1">IFERROR(__xludf.DUMMYFUNCTION("""COMPUTED_VALUE"""),"Unification")</f>
        <v>Unification</v>
      </c>
    </row>
    <row r="13369" spans="1:3" x14ac:dyDescent="0.25">
      <c r="A13369" s="2" t="str">
        <f ca="1">IFERROR(__xludf.DUMMYFUNCTION("""COMPUTED_VALUE"""),"unifi-protocol-dao")</f>
        <v>unifi-protocol-dao</v>
      </c>
      <c r="B13369" s="2" t="str">
        <f ca="1">IFERROR(__xludf.DUMMYFUNCTION("""COMPUTED_VALUE"""),"unfi")</f>
        <v>unfi</v>
      </c>
      <c r="C13369" s="2" t="str">
        <f ca="1">IFERROR(__xludf.DUMMYFUNCTION("""COMPUTED_VALUE"""),"Unifi Protocol DAO")</f>
        <v>Unifi Protocol DAO</v>
      </c>
    </row>
    <row r="13370" spans="1:3" x14ac:dyDescent="0.25">
      <c r="A13370" s="2" t="str">
        <f ca="1">IFERROR(__xludf.DUMMYFUNCTION("""COMPUTED_VALUE"""),"unigraph-ordinals")</f>
        <v>unigraph-ordinals</v>
      </c>
      <c r="B13370" s="2" t="str">
        <f ca="1">IFERROR(__xludf.DUMMYFUNCTION("""COMPUTED_VALUE"""),"grph")</f>
        <v>grph</v>
      </c>
      <c r="C13370" s="2" t="str">
        <f ca="1">IFERROR(__xludf.DUMMYFUNCTION("""COMPUTED_VALUE"""),"Unigraph (Ordinals)")</f>
        <v>Unigraph (Ordinals)</v>
      </c>
    </row>
    <row r="13371" spans="1:3" x14ac:dyDescent="0.25">
      <c r="A13371" s="2" t="str">
        <f ca="1">IFERROR(__xludf.DUMMYFUNCTION("""COMPUTED_VALUE"""),"unilab-network")</f>
        <v>unilab-network</v>
      </c>
      <c r="B13371" s="2" t="str">
        <f ca="1">IFERROR(__xludf.DUMMYFUNCTION("""COMPUTED_VALUE"""),"ulab")</f>
        <v>ulab</v>
      </c>
      <c r="C13371" s="2" t="str">
        <f ca="1">IFERROR(__xludf.DUMMYFUNCTION("""COMPUTED_VALUE"""),"Unilab")</f>
        <v>Unilab</v>
      </c>
    </row>
    <row r="13372" spans="1:3" x14ac:dyDescent="0.25">
      <c r="A13372" s="2" t="str">
        <f ca="1">IFERROR(__xludf.DUMMYFUNCTION("""COMPUTED_VALUE"""),"unilapse")</f>
        <v>unilapse</v>
      </c>
      <c r="B13372" s="2" t="str">
        <f ca="1">IFERROR(__xludf.DUMMYFUNCTION("""COMPUTED_VALUE"""),"uni")</f>
        <v>uni</v>
      </c>
      <c r="C13372" s="2" t="str">
        <f ca="1">IFERROR(__xludf.DUMMYFUNCTION("""COMPUTED_VALUE"""),"UNILAPSE")</f>
        <v>UNILAPSE</v>
      </c>
    </row>
    <row r="13373" spans="1:3" x14ac:dyDescent="0.25">
      <c r="A13373" s="2" t="str">
        <f ca="1">IFERROR(__xludf.DUMMYFUNCTION("""COMPUTED_VALUE"""),"unilayer")</f>
        <v>unilayer</v>
      </c>
      <c r="B13373" s="2" t="str">
        <f ca="1">IFERROR(__xludf.DUMMYFUNCTION("""COMPUTED_VALUE"""),"layer")</f>
        <v>layer</v>
      </c>
      <c r="C13373" s="2" t="str">
        <f ca="1">IFERROR(__xludf.DUMMYFUNCTION("""COMPUTED_VALUE"""),"UniLayer")</f>
        <v>UniLayer</v>
      </c>
    </row>
    <row r="13374" spans="1:3" x14ac:dyDescent="0.25">
      <c r="A13374" s="2" t="str">
        <f ca="1">IFERROR(__xludf.DUMMYFUNCTION("""COMPUTED_VALUE"""),"unio-coin")</f>
        <v>unio-coin</v>
      </c>
      <c r="B13374" s="2" t="str">
        <f ca="1">IFERROR(__xludf.DUMMYFUNCTION("""COMPUTED_VALUE"""),"unio")</f>
        <v>unio</v>
      </c>
      <c r="C13374" s="2" t="str">
        <f ca="1">IFERROR(__xludf.DUMMYFUNCTION("""COMPUTED_VALUE"""),"Unio Coin")</f>
        <v>Unio Coin</v>
      </c>
    </row>
    <row r="13375" spans="1:3" x14ac:dyDescent="0.25">
      <c r="A13375" s="2" t="str">
        <f ca="1">IFERROR(__xludf.DUMMYFUNCTION("""COMPUTED_VALUE"""),"union-finance")</f>
        <v>union-finance</v>
      </c>
      <c r="B13375" s="2" t="str">
        <f ca="1">IFERROR(__xludf.DUMMYFUNCTION("""COMPUTED_VALUE"""),"union")</f>
        <v>union</v>
      </c>
      <c r="C13375" s="2" t="str">
        <f ca="1">IFERROR(__xludf.DUMMYFUNCTION("""COMPUTED_VALUE"""),"Union Finance")</f>
        <v>Union Finance</v>
      </c>
    </row>
    <row r="13376" spans="1:3" x14ac:dyDescent="0.25">
      <c r="A13376" s="2" t="str">
        <f ca="1">IFERROR(__xludf.DUMMYFUNCTION("""COMPUTED_VALUE"""),"union-protocol-governance-token")</f>
        <v>union-protocol-governance-token</v>
      </c>
      <c r="B13376" s="2" t="str">
        <f ca="1">IFERROR(__xludf.DUMMYFUNCTION("""COMPUTED_VALUE"""),"unn")</f>
        <v>unn</v>
      </c>
      <c r="C13376" s="2" t="str">
        <f ca="1">IFERROR(__xludf.DUMMYFUNCTION("""COMPUTED_VALUE"""),"UNION Protocol Governance")</f>
        <v>UNION Protocol Governance</v>
      </c>
    </row>
    <row r="13377" spans="1:3" x14ac:dyDescent="0.25">
      <c r="A13377" s="2" t="str">
        <f ca="1">IFERROR(__xludf.DUMMYFUNCTION("""COMPUTED_VALUE"""),"unipoly")</f>
        <v>unipoly</v>
      </c>
      <c r="B13377" s="2" t="str">
        <f ca="1">IFERROR(__xludf.DUMMYFUNCTION("""COMPUTED_VALUE"""),"unp")</f>
        <v>unp</v>
      </c>
      <c r="C13377" s="2" t="str">
        <f ca="1">IFERROR(__xludf.DUMMYFUNCTION("""COMPUTED_VALUE"""),"Unipoly")</f>
        <v>Unipoly</v>
      </c>
    </row>
    <row r="13378" spans="1:3" x14ac:dyDescent="0.25">
      <c r="A13378" s="2" t="str">
        <f ca="1">IFERROR(__xludf.DUMMYFUNCTION("""COMPUTED_VALUE"""),"uniq-digital-coin")</f>
        <v>uniq-digital-coin</v>
      </c>
      <c r="B13378" s="2" t="str">
        <f ca="1">IFERROR(__xludf.DUMMYFUNCTION("""COMPUTED_VALUE"""),"udc")</f>
        <v>udc</v>
      </c>
      <c r="C13378" s="2" t="str">
        <f ca="1">IFERROR(__xludf.DUMMYFUNCTION("""COMPUTED_VALUE"""),"Uniq Digital Coin")</f>
        <v>Uniq Digital Coin</v>
      </c>
    </row>
    <row r="13379" spans="1:3" x14ac:dyDescent="0.25">
      <c r="A13379" s="2" t="str">
        <f ca="1">IFERROR(__xludf.DUMMYFUNCTION("""COMPUTED_VALUE"""),"unique-network")</f>
        <v>unique-network</v>
      </c>
      <c r="B13379" s="2" t="str">
        <f ca="1">IFERROR(__xludf.DUMMYFUNCTION("""COMPUTED_VALUE"""),"unq")</f>
        <v>unq</v>
      </c>
      <c r="C13379" s="2" t="str">
        <f ca="1">IFERROR(__xludf.DUMMYFUNCTION("""COMPUTED_VALUE"""),"Unique Network")</f>
        <v>Unique Network</v>
      </c>
    </row>
    <row r="13380" spans="1:3" x14ac:dyDescent="0.25">
      <c r="A13380" s="2" t="str">
        <f ca="1">IFERROR(__xludf.DUMMYFUNCTION("""COMPUTED_VALUE"""),"unique-one")</f>
        <v>unique-one</v>
      </c>
      <c r="B13380" s="2" t="str">
        <f ca="1">IFERROR(__xludf.DUMMYFUNCTION("""COMPUTED_VALUE"""),"rare")</f>
        <v>rare</v>
      </c>
      <c r="C13380" s="2" t="str">
        <f ca="1">IFERROR(__xludf.DUMMYFUNCTION("""COMPUTED_VALUE"""),"Unique One")</f>
        <v>Unique One</v>
      </c>
    </row>
    <row r="13381" spans="1:3" x14ac:dyDescent="0.25">
      <c r="A13381" s="2" t="str">
        <f ca="1">IFERROR(__xludf.DUMMYFUNCTION("""COMPUTED_VALUE"""),"unique-utility-token")</f>
        <v>unique-utility-token</v>
      </c>
      <c r="B13381" s="2" t="str">
        <f ca="1">IFERROR(__xludf.DUMMYFUNCTION("""COMPUTED_VALUE"""),"unqt")</f>
        <v>unqt</v>
      </c>
      <c r="C13381" s="2" t="str">
        <f ca="1">IFERROR(__xludf.DUMMYFUNCTION("""COMPUTED_VALUE"""),"Unique Utility")</f>
        <v>Unique Utility</v>
      </c>
    </row>
    <row r="13382" spans="1:3" x14ac:dyDescent="0.25">
      <c r="A13382" s="2" t="str">
        <f ca="1">IFERROR(__xludf.DUMMYFUNCTION("""COMPUTED_VALUE"""),"unisocks")</f>
        <v>unisocks</v>
      </c>
      <c r="B13382" s="2" t="str">
        <f ca="1">IFERROR(__xludf.DUMMYFUNCTION("""COMPUTED_VALUE"""),"socks")</f>
        <v>socks</v>
      </c>
      <c r="C13382" s="2" t="str">
        <f ca="1">IFERROR(__xludf.DUMMYFUNCTION("""COMPUTED_VALUE"""),"Unisocks")</f>
        <v>Unisocks</v>
      </c>
    </row>
    <row r="13383" spans="1:3" x14ac:dyDescent="0.25">
      <c r="A13383" s="2" t="str">
        <f ca="1">IFERROR(__xludf.DUMMYFUNCTION("""COMPUTED_VALUE"""),"unistake")</f>
        <v>unistake</v>
      </c>
      <c r="B13383" s="2" t="str">
        <f ca="1">IFERROR(__xludf.DUMMYFUNCTION("""COMPUTED_VALUE"""),"unistake")</f>
        <v>unistake</v>
      </c>
      <c r="C13383" s="2" t="str">
        <f ca="1">IFERROR(__xludf.DUMMYFUNCTION("""COMPUTED_VALUE"""),"Unistake")</f>
        <v>Unistake</v>
      </c>
    </row>
    <row r="13384" spans="1:3" x14ac:dyDescent="0.25">
      <c r="A13384" s="2" t="str">
        <f ca="1">IFERROR(__xludf.DUMMYFUNCTION("""COMPUTED_VALUE"""),"uniswap")</f>
        <v>uniswap</v>
      </c>
      <c r="B13384" s="2" t="str">
        <f ca="1">IFERROR(__xludf.DUMMYFUNCTION("""COMPUTED_VALUE"""),"uni")</f>
        <v>uni</v>
      </c>
      <c r="C13384" s="2" t="str">
        <f ca="1">IFERROR(__xludf.DUMMYFUNCTION("""COMPUTED_VALUE"""),"Uniswap")</f>
        <v>Uniswap</v>
      </c>
    </row>
    <row r="13385" spans="1:3" x14ac:dyDescent="0.25">
      <c r="A13385" s="2" t="str">
        <f ca="1">IFERROR(__xludf.DUMMYFUNCTION("""COMPUTED_VALUE"""),"uniswap-wormhole")</f>
        <v>uniswap-wormhole</v>
      </c>
      <c r="B13385" s="2" t="str">
        <f ca="1">IFERROR(__xludf.DUMMYFUNCTION("""COMPUTED_VALUE"""),"uni")</f>
        <v>uni</v>
      </c>
      <c r="C13385" s="2" t="str">
        <f ca="1">IFERROR(__xludf.DUMMYFUNCTION("""COMPUTED_VALUE"""),"Uniswap (Wormhole)")</f>
        <v>Uniswap (Wormhole)</v>
      </c>
    </row>
    <row r="13386" spans="1:3" x14ac:dyDescent="0.25">
      <c r="A13386" s="2" t="str">
        <f ca="1">IFERROR(__xludf.DUMMYFUNCTION("""COMPUTED_VALUE"""),"unitao")</f>
        <v>unitao</v>
      </c>
      <c r="B13386" s="2" t="str">
        <f ca="1">IFERROR(__xludf.DUMMYFUNCTION("""COMPUTED_VALUE"""),"unitao")</f>
        <v>unitao</v>
      </c>
      <c r="C13386" s="2" t="str">
        <f ca="1">IFERROR(__xludf.DUMMYFUNCTION("""COMPUTED_VALUE"""),"UNITAO")</f>
        <v>UNITAO</v>
      </c>
    </row>
    <row r="13387" spans="1:3" x14ac:dyDescent="0.25">
      <c r="A13387" s="2" t="str">
        <f ca="1">IFERROR(__xludf.DUMMYFUNCTION("""COMPUTED_VALUE"""),"unit-dao")</f>
        <v>unit-dao</v>
      </c>
      <c r="B13387" s="2" t="str">
        <f ca="1">IFERROR(__xludf.DUMMYFUNCTION("""COMPUTED_VALUE"""),"un")</f>
        <v>un</v>
      </c>
      <c r="C13387" s="2" t="str">
        <f ca="1">IFERROR(__xludf.DUMMYFUNCTION("""COMPUTED_VALUE"""),"UNIT DAO")</f>
        <v>UNIT DAO</v>
      </c>
    </row>
    <row r="13388" spans="1:3" x14ac:dyDescent="0.25">
      <c r="A13388" s="2" t="str">
        <f ca="1">IFERROR(__xludf.DUMMYFUNCTION("""COMPUTED_VALUE"""),"united-base-postal")</f>
        <v>united-base-postal</v>
      </c>
      <c r="B13388" s="2" t="str">
        <f ca="1">IFERROR(__xludf.DUMMYFUNCTION("""COMPUTED_VALUE"""),"ubps")</f>
        <v>ubps</v>
      </c>
      <c r="C13388" s="2" t="str">
        <f ca="1">IFERROR(__xludf.DUMMYFUNCTION("""COMPUTED_VALUE"""),"United Base Postal")</f>
        <v>United Base Postal</v>
      </c>
    </row>
    <row r="13389" spans="1:3" x14ac:dyDescent="0.25">
      <c r="A13389" s="2" t="str">
        <f ca="1">IFERROR(__xludf.DUMMYFUNCTION("""COMPUTED_VALUE"""),"united-emirates-of-fun")</f>
        <v>united-emirates-of-fun</v>
      </c>
      <c r="B13389" s="2" t="str">
        <f ca="1">IFERROR(__xludf.DUMMYFUNCTION("""COMPUTED_VALUE"""),"$uefn")</f>
        <v>$uefn</v>
      </c>
      <c r="C13389" s="2" t="str">
        <f ca="1">IFERROR(__xludf.DUMMYFUNCTION("""COMPUTED_VALUE"""),"United Emirates Of Fun")</f>
        <v>United Emirates Of Fun</v>
      </c>
    </row>
    <row r="13390" spans="1:3" x14ac:dyDescent="0.25">
      <c r="A13390" s="2" t="str">
        <f ca="1">IFERROR(__xludf.DUMMYFUNCTION("""COMPUTED_VALUE"""),"united-states-property-coin")</f>
        <v>united-states-property-coin</v>
      </c>
      <c r="B13390" s="2" t="str">
        <f ca="1">IFERROR(__xludf.DUMMYFUNCTION("""COMPUTED_VALUE"""),"usp")</f>
        <v>usp</v>
      </c>
      <c r="C13390" s="2" t="str">
        <f ca="1">IFERROR(__xludf.DUMMYFUNCTION("""COMPUTED_VALUE"""),"USP Token")</f>
        <v>USP Token</v>
      </c>
    </row>
    <row r="13391" spans="1:3" x14ac:dyDescent="0.25">
      <c r="A13391" s="2" t="str">
        <f ca="1">IFERROR(__xludf.DUMMYFUNCTION("""COMPUTED_VALUE"""),"uniton-token")</f>
        <v>uniton-token</v>
      </c>
      <c r="B13391" s="2" t="str">
        <f ca="1">IFERROR(__xludf.DUMMYFUNCTION("""COMPUTED_VALUE"""),"utn")</f>
        <v>utn</v>
      </c>
      <c r="C13391" s="2" t="str">
        <f ca="1">IFERROR(__xludf.DUMMYFUNCTION("""COMPUTED_VALUE"""),"Uniton Token")</f>
        <v>Uniton Token</v>
      </c>
    </row>
    <row r="13392" spans="1:3" x14ac:dyDescent="0.25">
      <c r="A13392" s="2" t="str">
        <f ca="1">IFERROR(__xludf.DUMMYFUNCTION("""COMPUTED_VALUE"""),"unit-protocol-duck")</f>
        <v>unit-protocol-duck</v>
      </c>
      <c r="B13392" s="2" t="str">
        <f ca="1">IFERROR(__xludf.DUMMYFUNCTION("""COMPUTED_VALUE"""),"duck")</f>
        <v>duck</v>
      </c>
      <c r="C13392" s="2" t="str">
        <f ca="1">IFERROR(__xludf.DUMMYFUNCTION("""COMPUTED_VALUE"""),"Unit Protocol")</f>
        <v>Unit Protocol</v>
      </c>
    </row>
    <row r="13393" spans="1:3" x14ac:dyDescent="0.25">
      <c r="A13393" s="2" t="str">
        <f ca="1">IFERROR(__xludf.DUMMYFUNCTION("""COMPUTED_VALUE"""),"unitrade")</f>
        <v>unitrade</v>
      </c>
      <c r="B13393" s="2" t="str">
        <f ca="1">IFERROR(__xludf.DUMMYFUNCTION("""COMPUTED_VALUE"""),"trade")</f>
        <v>trade</v>
      </c>
      <c r="C13393" s="2" t="str">
        <f ca="1">IFERROR(__xludf.DUMMYFUNCTION("""COMPUTED_VALUE"""),"Unitrade")</f>
        <v>Unitrade</v>
      </c>
    </row>
    <row r="13394" spans="1:3" x14ac:dyDescent="0.25">
      <c r="A13394" s="2" t="str">
        <f ca="1">IFERROR(__xludf.DUMMYFUNCTION("""COMPUTED_VALUE"""),"unitus")</f>
        <v>unitus</v>
      </c>
      <c r="B13394" s="2" t="str">
        <f ca="1">IFERROR(__xludf.DUMMYFUNCTION("""COMPUTED_VALUE"""),"uis")</f>
        <v>uis</v>
      </c>
      <c r="C13394" s="2" t="str">
        <f ca="1">IFERROR(__xludf.DUMMYFUNCTION("""COMPUTED_VALUE"""),"Unitus")</f>
        <v>Unitus</v>
      </c>
    </row>
    <row r="13395" spans="1:3" x14ac:dyDescent="0.25">
      <c r="A13395" s="2" t="str">
        <f ca="1">IFERROR(__xludf.DUMMYFUNCTION("""COMPUTED_VALUE"""),"unitus-2")</f>
        <v>unitus-2</v>
      </c>
      <c r="B13395" s="2" t="str">
        <f ca="1">IFERROR(__xludf.DUMMYFUNCTION("""COMPUTED_VALUE"""),"uts")</f>
        <v>uts</v>
      </c>
      <c r="C13395" s="2" t="str">
        <f ca="1">IFERROR(__xludf.DUMMYFUNCTION("""COMPUTED_VALUE"""),"Unitus")</f>
        <v>Unitus</v>
      </c>
    </row>
    <row r="13396" spans="1:3" x14ac:dyDescent="0.25">
      <c r="A13396" s="2" t="str">
        <f ca="1">IFERROR(__xludf.DUMMYFUNCTION("""COMPUTED_VALUE"""),"unitycore")</f>
        <v>unitycore</v>
      </c>
      <c r="B13396" s="2" t="str">
        <f ca="1">IFERROR(__xludf.DUMMYFUNCTION("""COMPUTED_VALUE"""),"ucore")</f>
        <v>ucore</v>
      </c>
      <c r="C13396" s="2" t="str">
        <f ca="1">IFERROR(__xludf.DUMMYFUNCTION("""COMPUTED_VALUE"""),"UnityCore")</f>
        <v>UnityCore</v>
      </c>
    </row>
    <row r="13397" spans="1:3" x14ac:dyDescent="0.25">
      <c r="A13397" s="2" t="str">
        <f ca="1">IFERROR(__xludf.DUMMYFUNCTION("""COMPUTED_VALUE"""),"unitymeta-token")</f>
        <v>unitymeta-token</v>
      </c>
      <c r="B13397" s="2" t="str">
        <f ca="1">IFERROR(__xludf.DUMMYFUNCTION("""COMPUTED_VALUE"""),"umt")</f>
        <v>umt</v>
      </c>
      <c r="C13397" s="2" t="str">
        <f ca="1">IFERROR(__xludf.DUMMYFUNCTION("""COMPUTED_VALUE"""),"UnityMeta Token")</f>
        <v>UnityMeta Token</v>
      </c>
    </row>
    <row r="13398" spans="1:3" x14ac:dyDescent="0.25">
      <c r="A13398" s="2" t="str">
        <f ca="1">IFERROR(__xludf.DUMMYFUNCTION("""COMPUTED_VALUE"""),"unityventures")</f>
        <v>unityventures</v>
      </c>
      <c r="B13398" s="2" t="str">
        <f ca="1">IFERROR(__xludf.DUMMYFUNCTION("""COMPUTED_VALUE"""),"uv")</f>
        <v>uv</v>
      </c>
      <c r="C13398" s="2" t="str">
        <f ca="1">IFERROR(__xludf.DUMMYFUNCTION("""COMPUTED_VALUE"""),"Unityventures")</f>
        <v>Unityventures</v>
      </c>
    </row>
    <row r="13399" spans="1:3" x14ac:dyDescent="0.25">
      <c r="A13399" s="2" t="str">
        <f ca="1">IFERROR(__xludf.DUMMYFUNCTION("""COMPUTED_VALUE"""),"unityx")</f>
        <v>unityx</v>
      </c>
      <c r="B13399" s="2" t="str">
        <f ca="1">IFERROR(__xludf.DUMMYFUNCTION("""COMPUTED_VALUE"""),"utx")</f>
        <v>utx</v>
      </c>
      <c r="C13399" s="2" t="str">
        <f ca="1">IFERROR(__xludf.DUMMYFUNCTION("""COMPUTED_VALUE"""),"UNITYX")</f>
        <v>UNITYX</v>
      </c>
    </row>
    <row r="13400" spans="1:3" x14ac:dyDescent="0.25">
      <c r="A13400" s="2" t="str">
        <f ca="1">IFERROR(__xludf.DUMMYFUNCTION("""COMPUTED_VALUE"""),"unium")</f>
        <v>unium</v>
      </c>
      <c r="B13400" s="2" t="str">
        <f ca="1">IFERROR(__xludf.DUMMYFUNCTION("""COMPUTED_VALUE"""),"unm")</f>
        <v>unm</v>
      </c>
      <c r="C13400" s="2" t="str">
        <f ca="1">IFERROR(__xludf.DUMMYFUNCTION("""COMPUTED_VALUE"""),"UNIUM")</f>
        <v>UNIUM</v>
      </c>
    </row>
    <row r="13401" spans="1:3" x14ac:dyDescent="0.25">
      <c r="A13401" s="2" t="str">
        <f ca="1">IFERROR(__xludf.DUMMYFUNCTION("""COMPUTED_VALUE"""),"universal-basic-income")</f>
        <v>universal-basic-income</v>
      </c>
      <c r="B13401" s="2" t="str">
        <f ca="1">IFERROR(__xludf.DUMMYFUNCTION("""COMPUTED_VALUE"""),"ubi")</f>
        <v>ubi</v>
      </c>
      <c r="C13401" s="2" t="str">
        <f ca="1">IFERROR(__xludf.DUMMYFUNCTION("""COMPUTED_VALUE"""),"Universal Basic Income")</f>
        <v>Universal Basic Income</v>
      </c>
    </row>
    <row r="13402" spans="1:3" x14ac:dyDescent="0.25">
      <c r="A13402" s="2" t="str">
        <f ca="1">IFERROR(__xludf.DUMMYFUNCTION("""COMPUTED_VALUE"""),"universal-blockchan")</f>
        <v>universal-blockchan</v>
      </c>
      <c r="B13402" s="2" t="str">
        <f ca="1">IFERROR(__xludf.DUMMYFUNCTION("""COMPUTED_VALUE"""),"usbt")</f>
        <v>usbt</v>
      </c>
      <c r="C13402" s="2" t="str">
        <f ca="1">IFERROR(__xludf.DUMMYFUNCTION("""COMPUTED_VALUE"""),"Universal Blockchain")</f>
        <v>Universal Blockchain</v>
      </c>
    </row>
    <row r="13403" spans="1:3" x14ac:dyDescent="0.25">
      <c r="A13403" s="2" t="str">
        <f ca="1">IFERROR(__xludf.DUMMYFUNCTION("""COMPUTED_VALUE"""),"universal-btc")</f>
        <v>universal-btc</v>
      </c>
      <c r="B13403" s="2" t="str">
        <f ca="1">IFERROR(__xludf.DUMMYFUNCTION("""COMPUTED_VALUE"""),"unibtc")</f>
        <v>unibtc</v>
      </c>
      <c r="C13403" s="2" t="str">
        <f ca="1">IFERROR(__xludf.DUMMYFUNCTION("""COMPUTED_VALUE"""),"Universal BTC")</f>
        <v>Universal BTC</v>
      </c>
    </row>
    <row r="13404" spans="1:3" x14ac:dyDescent="0.25">
      <c r="A13404" s="2" t="str">
        <f ca="1">IFERROR(__xludf.DUMMYFUNCTION("""COMPUTED_VALUE"""),"universal-contact")</f>
        <v>universal-contact</v>
      </c>
      <c r="B13404" s="2" t="str">
        <f ca="1">IFERROR(__xludf.DUMMYFUNCTION("""COMPUTED_VALUE"""),"cwf")</f>
        <v>cwf</v>
      </c>
      <c r="C13404" s="2" t="str">
        <f ca="1">IFERROR(__xludf.DUMMYFUNCTION("""COMPUTED_VALUE"""),"Universal Contact")</f>
        <v>Universal Contact</v>
      </c>
    </row>
    <row r="13405" spans="1:3" x14ac:dyDescent="0.25">
      <c r="A13405" s="2" t="str">
        <f ca="1">IFERROR(__xludf.DUMMYFUNCTION("""COMPUTED_VALUE"""),"universal-eth")</f>
        <v>universal-eth</v>
      </c>
      <c r="B13405" s="2" t="str">
        <f ca="1">IFERROR(__xludf.DUMMYFUNCTION("""COMPUTED_VALUE"""),"unieth")</f>
        <v>unieth</v>
      </c>
      <c r="C13405" s="2" t="str">
        <f ca="1">IFERROR(__xludf.DUMMYFUNCTION("""COMPUTED_VALUE"""),"Universal ETH")</f>
        <v>Universal ETH</v>
      </c>
    </row>
    <row r="13406" spans="1:3" x14ac:dyDescent="0.25">
      <c r="A13406" s="2" t="str">
        <f ca="1">IFERROR(__xludf.DUMMYFUNCTION("""COMPUTED_VALUE"""),"universal-liquidity-union")</f>
        <v>universal-liquidity-union</v>
      </c>
      <c r="B13406" s="2" t="str">
        <f ca="1">IFERROR(__xludf.DUMMYFUNCTION("""COMPUTED_VALUE"""),"ulu")</f>
        <v>ulu</v>
      </c>
      <c r="C13406" s="2" t="str">
        <f ca="1">IFERROR(__xludf.DUMMYFUNCTION("""COMPUTED_VALUE"""),"Universal Liquidity Union")</f>
        <v>Universal Liquidity Union</v>
      </c>
    </row>
    <row r="13407" spans="1:3" x14ac:dyDescent="0.25">
      <c r="A13407" s="2" t="str">
        <f ca="1">IFERROR(__xludf.DUMMYFUNCTION("""COMPUTED_VALUE"""),"universe-xyz")</f>
        <v>universe-xyz</v>
      </c>
      <c r="B13407" s="2" t="str">
        <f ca="1">IFERROR(__xludf.DUMMYFUNCTION("""COMPUTED_VALUE"""),"xyz")</f>
        <v>xyz</v>
      </c>
      <c r="C13407" s="3" t="str">
        <f ca="1">IFERROR(__xludf.DUMMYFUNCTION("""COMPUTED_VALUE"""),"Universe.XYZ")</f>
        <v>Universe.XYZ</v>
      </c>
    </row>
    <row r="13408" spans="1:3" x14ac:dyDescent="0.25">
      <c r="A13408" s="2" t="str">
        <f ca="1">IFERROR(__xludf.DUMMYFUNCTION("""COMPUTED_VALUE"""),"universidad-de-chile-fan-token")</f>
        <v>universidad-de-chile-fan-token</v>
      </c>
      <c r="B13408" s="2" t="str">
        <f ca="1">IFERROR(__xludf.DUMMYFUNCTION("""COMPUTED_VALUE"""),"uch")</f>
        <v>uch</v>
      </c>
      <c r="C13408" s="2" t="str">
        <f ca="1">IFERROR(__xludf.DUMMYFUNCTION("""COMPUTED_VALUE"""),"Universidad de Chile Fan Token")</f>
        <v>Universidad de Chile Fan Token</v>
      </c>
    </row>
    <row r="13409" spans="1:3" x14ac:dyDescent="0.25">
      <c r="A13409" s="2" t="str">
        <f ca="1">IFERROR(__xludf.DUMMYFUNCTION("""COMPUTED_VALUE"""),"uniwhale")</f>
        <v>uniwhale</v>
      </c>
      <c r="B13409" s="2" t="str">
        <f ca="1">IFERROR(__xludf.DUMMYFUNCTION("""COMPUTED_VALUE"""),"unw")</f>
        <v>unw</v>
      </c>
      <c r="C13409" s="2" t="str">
        <f ca="1">IFERROR(__xludf.DUMMYFUNCTION("""COMPUTED_VALUE"""),"Uniwhale")</f>
        <v>Uniwhale</v>
      </c>
    </row>
    <row r="13410" spans="1:3" x14ac:dyDescent="0.25">
      <c r="A13410" s="2" t="str">
        <f ca="1">IFERROR(__xludf.DUMMYFUNCTION("""COMPUTED_VALUE"""),"uniwswap")</f>
        <v>uniwswap</v>
      </c>
      <c r="B13410" s="2" t="str">
        <f ca="1">IFERROR(__xludf.DUMMYFUNCTION("""COMPUTED_VALUE"""),"uniw")</f>
        <v>uniw</v>
      </c>
      <c r="C13410" s="2" t="str">
        <f ca="1">IFERROR(__xludf.DUMMYFUNCTION("""COMPUTED_VALUE"""),"UniWswap")</f>
        <v>UniWswap</v>
      </c>
    </row>
    <row r="13411" spans="1:3" x14ac:dyDescent="0.25">
      <c r="A13411" s="2" t="str">
        <f ca="1">IFERROR(__xludf.DUMMYFUNCTION("""COMPUTED_VALUE"""),"unix")</f>
        <v>unix</v>
      </c>
      <c r="B13411" s="2" t="str">
        <f ca="1">IFERROR(__xludf.DUMMYFUNCTION("""COMPUTED_VALUE"""),"unix")</f>
        <v>unix</v>
      </c>
      <c r="C13411" s="2" t="str">
        <f ca="1">IFERROR(__xludf.DUMMYFUNCTION("""COMPUTED_VALUE"""),"UniX")</f>
        <v>UniX</v>
      </c>
    </row>
    <row r="13412" spans="1:3" x14ac:dyDescent="0.25">
      <c r="A13412" s="2" t="str">
        <f ca="1">IFERROR(__xludf.DUMMYFUNCTION("""COMPUTED_VALUE"""),"uni-yvault")</f>
        <v>uni-yvault</v>
      </c>
      <c r="B13412" s="2" t="str">
        <f ca="1">IFERROR(__xludf.DUMMYFUNCTION("""COMPUTED_VALUE"""),"yvuni")</f>
        <v>yvuni</v>
      </c>
      <c r="C13412" s="2" t="str">
        <f ca="1">IFERROR(__xludf.DUMMYFUNCTION("""COMPUTED_VALUE"""),"UNI yVault")</f>
        <v>UNI yVault</v>
      </c>
    </row>
    <row r="13413" spans="1:3" x14ac:dyDescent="0.25">
      <c r="A13413" s="2" t="str">
        <f ca="1">IFERROR(__xludf.DUMMYFUNCTION("""COMPUTED_VALUE"""),"unizen")</f>
        <v>unizen</v>
      </c>
      <c r="B13413" s="2" t="str">
        <f ca="1">IFERROR(__xludf.DUMMYFUNCTION("""COMPUTED_VALUE"""),"zcx")</f>
        <v>zcx</v>
      </c>
      <c r="C13413" s="2" t="str">
        <f ca="1">IFERROR(__xludf.DUMMYFUNCTION("""COMPUTED_VALUE"""),"Unizen")</f>
        <v>Unizen</v>
      </c>
    </row>
    <row r="13414" spans="1:3" x14ac:dyDescent="0.25">
      <c r="A13414" s="2" t="str">
        <f ca="1">IFERROR(__xludf.DUMMYFUNCTION("""COMPUTED_VALUE"""),"unknown-ai")</f>
        <v>unknown-ai</v>
      </c>
      <c r="B13414" s="2" t="str">
        <f ca="1">IFERROR(__xludf.DUMMYFUNCTION("""COMPUTED_VALUE"""),"unai")</f>
        <v>unai</v>
      </c>
      <c r="C13414" s="2" t="str">
        <f ca="1">IFERROR(__xludf.DUMMYFUNCTION("""COMPUTED_VALUE"""),"Unknown AI")</f>
        <v>Unknown AI</v>
      </c>
    </row>
    <row r="13415" spans="1:3" x14ac:dyDescent="0.25">
      <c r="A13415" s="2" t="str">
        <f ca="1">IFERROR(__xludf.DUMMYFUNCTION("""COMPUTED_VALUE"""),"unleashclub")</f>
        <v>unleashclub</v>
      </c>
      <c r="B13415" s="2" t="str">
        <f ca="1">IFERROR(__xludf.DUMMYFUNCTION("""COMPUTED_VALUE"""),"unleash")</f>
        <v>unleash</v>
      </c>
      <c r="C13415" s="2" t="str">
        <f ca="1">IFERROR(__xludf.DUMMYFUNCTION("""COMPUTED_VALUE"""),"UnleashClub")</f>
        <v>UnleashClub</v>
      </c>
    </row>
    <row r="13416" spans="1:3" x14ac:dyDescent="0.25">
      <c r="A13416" s="2" t="str">
        <f ca="1">IFERROR(__xludf.DUMMYFUNCTION("""COMPUTED_VALUE"""),"unlend-finance")</f>
        <v>unlend-finance</v>
      </c>
      <c r="B13416" s="2" t="str">
        <f ca="1">IFERROR(__xludf.DUMMYFUNCTION("""COMPUTED_VALUE"""),"uft")</f>
        <v>uft</v>
      </c>
      <c r="C13416" s="2" t="str">
        <f ca="1">IFERROR(__xludf.DUMMYFUNCTION("""COMPUTED_VALUE"""),"UniLend Finance")</f>
        <v>UniLend Finance</v>
      </c>
    </row>
    <row r="13417" spans="1:3" x14ac:dyDescent="0.25">
      <c r="A13417" s="2" t="str">
        <f ca="1">IFERROR(__xludf.DUMMYFUNCTION("""COMPUTED_VALUE"""),"unlighted")</f>
        <v>unlighted</v>
      </c>
      <c r="B13417" s="2" t="str">
        <f ca="1">IFERROR(__xludf.DUMMYFUNCTION("""COMPUTED_VALUE"""),"uld")</f>
        <v>uld</v>
      </c>
      <c r="C13417" s="2" t="str">
        <f ca="1">IFERROR(__xludf.DUMMYFUNCTION("""COMPUTED_VALUE"""),"Unlighted")</f>
        <v>Unlighted</v>
      </c>
    </row>
    <row r="13418" spans="1:3" x14ac:dyDescent="0.25">
      <c r="A13418" s="2" t="str">
        <f ca="1">IFERROR(__xludf.DUMMYFUNCTION("""COMPUTED_VALUE"""),"unlock-protocol")</f>
        <v>unlock-protocol</v>
      </c>
      <c r="B13418" s="2" t="str">
        <f ca="1">IFERROR(__xludf.DUMMYFUNCTION("""COMPUTED_VALUE"""),"udt")</f>
        <v>udt</v>
      </c>
      <c r="C13418" s="2" t="str">
        <f ca="1">IFERROR(__xludf.DUMMYFUNCTION("""COMPUTED_VALUE"""),"Unlock Protocol")</f>
        <v>Unlock Protocol</v>
      </c>
    </row>
    <row r="13419" spans="1:3" x14ac:dyDescent="0.25">
      <c r="A13419" s="2" t="str">
        <f ca="1">IFERROR(__xludf.DUMMYFUNCTION("""COMPUTED_VALUE"""),"unlucky")</f>
        <v>unlucky</v>
      </c>
      <c r="B13419" s="2" t="str">
        <f ca="1">IFERROR(__xludf.DUMMYFUNCTION("""COMPUTED_VALUE"""),"unlucky")</f>
        <v>unlucky</v>
      </c>
      <c r="C13419" s="2" t="str">
        <f ca="1">IFERROR(__xludf.DUMMYFUNCTION("""COMPUTED_VALUE"""),"UNLUCKY [OLD]")</f>
        <v>UNLUCKY [OLD]</v>
      </c>
    </row>
    <row r="13420" spans="1:3" x14ac:dyDescent="0.25">
      <c r="A13420" s="2" t="str">
        <f ca="1">IFERROR(__xludf.DUMMYFUNCTION("""COMPUTED_VALUE"""),"unlucky-2")</f>
        <v>unlucky-2</v>
      </c>
      <c r="B13420" s="2" t="str">
        <f ca="1">IFERROR(__xludf.DUMMYFUNCTION("""COMPUTED_VALUE"""),"unlucky")</f>
        <v>unlucky</v>
      </c>
      <c r="C13420" s="2" t="str">
        <f ca="1">IFERROR(__xludf.DUMMYFUNCTION("""COMPUTED_VALUE"""),"UNLUCKY")</f>
        <v>UNLUCKY</v>
      </c>
    </row>
    <row r="13421" spans="1:3" x14ac:dyDescent="0.25">
      <c r="A13421" s="2" t="str">
        <f ca="1">IFERROR(__xludf.DUMMYFUNCTION("""COMPUTED_VALUE"""),"unmarshal")</f>
        <v>unmarshal</v>
      </c>
      <c r="B13421" s="2" t="str">
        <f ca="1">IFERROR(__xludf.DUMMYFUNCTION("""COMPUTED_VALUE"""),"marsh")</f>
        <v>marsh</v>
      </c>
      <c r="C13421" s="2" t="str">
        <f ca="1">IFERROR(__xludf.DUMMYFUNCTION("""COMPUTED_VALUE"""),"Unmarshal")</f>
        <v>Unmarshal</v>
      </c>
    </row>
    <row r="13422" spans="1:3" x14ac:dyDescent="0.25">
      <c r="A13422" s="2" t="str">
        <f ca="1">IFERROR(__xludf.DUMMYFUNCTION("""COMPUTED_VALUE"""),"unobtanium")</f>
        <v>unobtanium</v>
      </c>
      <c r="B13422" s="2" t="str">
        <f ca="1">IFERROR(__xludf.DUMMYFUNCTION("""COMPUTED_VALUE"""),"uno")</f>
        <v>uno</v>
      </c>
      <c r="C13422" s="2" t="str">
        <f ca="1">IFERROR(__xludf.DUMMYFUNCTION("""COMPUTED_VALUE"""),"Unobtanium")</f>
        <v>Unobtanium</v>
      </c>
    </row>
    <row r="13423" spans="1:3" x14ac:dyDescent="0.25">
      <c r="A13423" s="2" t="str">
        <f ca="1">IFERROR(__xludf.DUMMYFUNCTION("""COMPUTED_VALUE"""),"unodex")</f>
        <v>unodex</v>
      </c>
      <c r="B13423" s="2" t="str">
        <f ca="1">IFERROR(__xludf.DUMMYFUNCTION("""COMPUTED_VALUE"""),"undx")</f>
        <v>undx</v>
      </c>
      <c r="C13423" s="2" t="str">
        <f ca="1">IFERROR(__xludf.DUMMYFUNCTION("""COMPUTED_VALUE"""),"UNODEX")</f>
        <v>UNODEX</v>
      </c>
    </row>
    <row r="13424" spans="1:3" x14ac:dyDescent="0.25">
      <c r="A13424" s="2" t="str">
        <f ca="1">IFERROR(__xludf.DUMMYFUNCTION("""COMPUTED_VALUE"""),"uno-re")</f>
        <v>uno-re</v>
      </c>
      <c r="B13424" s="2" t="str">
        <f ca="1">IFERROR(__xludf.DUMMYFUNCTION("""COMPUTED_VALUE"""),"uno")</f>
        <v>uno</v>
      </c>
      <c r="C13424" s="2" t="str">
        <f ca="1">IFERROR(__xludf.DUMMYFUNCTION("""COMPUTED_VALUE"""),"Uno Re")</f>
        <v>Uno Re</v>
      </c>
    </row>
    <row r="13425" spans="1:3" x14ac:dyDescent="0.25">
      <c r="A13425" s="2" t="str">
        <f ca="1">IFERROR(__xludf.DUMMYFUNCTION("""COMPUTED_VALUE"""),"unq")</f>
        <v>unq</v>
      </c>
      <c r="B13425" s="2" t="str">
        <f ca="1">IFERROR(__xludf.DUMMYFUNCTION("""COMPUTED_VALUE"""),"unq")</f>
        <v>unq</v>
      </c>
      <c r="C13425" s="2" t="str">
        <f ca="1">IFERROR(__xludf.DUMMYFUNCTION("""COMPUTED_VALUE"""),"Unique Venture clubs")</f>
        <v>Unique Venture clubs</v>
      </c>
    </row>
    <row r="13426" spans="1:3" x14ac:dyDescent="0.25">
      <c r="A13426" s="2" t="str">
        <f ca="1">IFERROR(__xludf.DUMMYFUNCTION("""COMPUTED_VALUE"""),"unreal-ai")</f>
        <v>unreal-ai</v>
      </c>
      <c r="B13426" s="2" t="str">
        <f ca="1">IFERROR(__xludf.DUMMYFUNCTION("""COMPUTED_VALUE"""),"unreal")</f>
        <v>unreal</v>
      </c>
      <c r="C13426" s="2" t="str">
        <f ca="1">IFERROR(__xludf.DUMMYFUNCTION("""COMPUTED_VALUE"""),"Unreal AI")</f>
        <v>Unreal AI</v>
      </c>
    </row>
    <row r="13427" spans="1:3" x14ac:dyDescent="0.25">
      <c r="A13427" s="2" t="str">
        <f ca="1">IFERROR(__xludf.DUMMYFUNCTION("""COMPUTED_VALUE"""),"unreal-finance")</f>
        <v>unreal-finance</v>
      </c>
      <c r="B13427" s="2" t="str">
        <f ca="1">IFERROR(__xludf.DUMMYFUNCTION("""COMPUTED_VALUE"""),"ugt")</f>
        <v>ugt</v>
      </c>
      <c r="C13427" s="2" t="str">
        <f ca="1">IFERROR(__xludf.DUMMYFUNCTION("""COMPUTED_VALUE"""),"Unreal Finance")</f>
        <v>Unreal Finance</v>
      </c>
    </row>
    <row r="13428" spans="1:3" x14ac:dyDescent="0.25">
      <c r="A13428" s="2" t="str">
        <f ca="1">IFERROR(__xludf.DUMMYFUNCTION("""COMPUTED_VALUE"""),"unseen")</f>
        <v>unseen</v>
      </c>
      <c r="B13428" s="2" t="str">
        <f ca="1">IFERROR(__xludf.DUMMYFUNCTION("""COMPUTED_VALUE"""),"uncn")</f>
        <v>uncn</v>
      </c>
      <c r="C13428" s="2" t="str">
        <f ca="1">IFERROR(__xludf.DUMMYFUNCTION("""COMPUTED_VALUE"""),"Unseen")</f>
        <v>Unseen</v>
      </c>
    </row>
    <row r="13429" spans="1:3" x14ac:dyDescent="0.25">
      <c r="A13429" s="2" t="str">
        <f ca="1">IFERROR(__xludf.DUMMYFUNCTION("""COMPUTED_VALUE"""),"unsheth")</f>
        <v>unsheth</v>
      </c>
      <c r="B13429" s="2" t="str">
        <f ca="1">IFERROR(__xludf.DUMMYFUNCTION("""COMPUTED_VALUE"""),"ush")</f>
        <v>ush</v>
      </c>
      <c r="C13429" s="2" t="str">
        <f ca="1">IFERROR(__xludf.DUMMYFUNCTION("""COMPUTED_VALUE"""),"unshETHing_Token")</f>
        <v>unshETHing_Token</v>
      </c>
    </row>
    <row r="13430" spans="1:3" x14ac:dyDescent="0.25">
      <c r="A13430" s="2" t="str">
        <f ca="1">IFERROR(__xludf.DUMMYFUNCTION("""COMPUTED_VALUE"""),"unsheth-unsheth")</f>
        <v>unsheth-unsheth</v>
      </c>
      <c r="B13430" s="2" t="str">
        <f ca="1">IFERROR(__xludf.DUMMYFUNCTION("""COMPUTED_VALUE"""),"unsheth")</f>
        <v>unsheth</v>
      </c>
      <c r="C13430" s="2" t="str">
        <f ca="1">IFERROR(__xludf.DUMMYFUNCTION("""COMPUTED_VALUE"""),"unshETH Ether")</f>
        <v>unshETH Ether</v>
      </c>
    </row>
    <row r="13431" spans="1:3" x14ac:dyDescent="0.25">
      <c r="A13431" s="2" t="str">
        <f ca="1">IFERROR(__xludf.DUMMYFUNCTION("""COMPUTED_VALUE"""),"unstake-fi")</f>
        <v>unstake-fi</v>
      </c>
      <c r="B13431" s="2" t="str">
        <f ca="1">IFERROR(__xludf.DUMMYFUNCTION("""COMPUTED_VALUE"""),"nstk")</f>
        <v>nstk</v>
      </c>
      <c r="C13431" s="2" t="str">
        <f ca="1">IFERROR(__xludf.DUMMYFUNCTION("""COMPUTED_VALUE"""),"Unstake")</f>
        <v>Unstake</v>
      </c>
    </row>
    <row r="13432" spans="1:3" x14ac:dyDescent="0.25">
      <c r="A13432" s="2" t="str">
        <f ca="1">IFERROR(__xludf.DUMMYFUNCTION("""COMPUTED_VALUE"""),"uns-token")</f>
        <v>uns-token</v>
      </c>
      <c r="B13432" s="2" t="str">
        <f ca="1">IFERROR(__xludf.DUMMYFUNCTION("""COMPUTED_VALUE"""),"uns")</f>
        <v>uns</v>
      </c>
      <c r="C13432" s="2" t="str">
        <f ca="1">IFERROR(__xludf.DUMMYFUNCTION("""COMPUTED_VALUE"""),"UNS Token")</f>
        <v>UNS Token</v>
      </c>
    </row>
    <row r="13433" spans="1:3" x14ac:dyDescent="0.25">
      <c r="A13433" s="2" t="str">
        <f ca="1">IFERROR(__xludf.DUMMYFUNCTION("""COMPUTED_VALUE"""),"unstoppable-defi")</f>
        <v>unstoppable-defi</v>
      </c>
      <c r="B13433" s="2" t="str">
        <f ca="1">IFERROR(__xludf.DUMMYFUNCTION("""COMPUTED_VALUE"""),"und")</f>
        <v>und</v>
      </c>
      <c r="C13433" s="2" t="str">
        <f ca="1">IFERROR(__xludf.DUMMYFUNCTION("""COMPUTED_VALUE"""),"Unstoppable DeFi")</f>
        <v>Unstoppable DeFi</v>
      </c>
    </row>
    <row r="13434" spans="1:3" x14ac:dyDescent="0.25">
      <c r="A13434" s="2" t="str">
        <f ca="1">IFERROR(__xludf.DUMMYFUNCTION("""COMPUTED_VALUE"""),"unvaxxed-sperm")</f>
        <v>unvaxxed-sperm</v>
      </c>
      <c r="B13434" s="2" t="str">
        <f ca="1">IFERROR(__xludf.DUMMYFUNCTION("""COMPUTED_VALUE"""),"nubtc")</f>
        <v>nubtc</v>
      </c>
      <c r="C13434" s="2" t="str">
        <f ca="1">IFERROR(__xludf.DUMMYFUNCTION("""COMPUTED_VALUE"""),"Unvaxxed Sperm")</f>
        <v>Unvaxxed Sperm</v>
      </c>
    </row>
    <row r="13435" spans="1:3" x14ac:dyDescent="0.25">
      <c r="A13435" s="2" t="str">
        <f ca="1">IFERROR(__xludf.DUMMYFUNCTION("""COMPUTED_VALUE"""),"unvaxxed-sperm-2")</f>
        <v>unvaxxed-sperm-2</v>
      </c>
      <c r="B13435" s="2" t="str">
        <f ca="1">IFERROR(__xludf.DUMMYFUNCTION("""COMPUTED_VALUE"""),"unvaxsperm")</f>
        <v>unvaxsperm</v>
      </c>
      <c r="C13435" s="2" t="str">
        <f ca="1">IFERROR(__xludf.DUMMYFUNCTION("""COMPUTED_VALUE"""),"Unvaxxed Sperm")</f>
        <v>Unvaxxed Sperm</v>
      </c>
    </row>
    <row r="13436" spans="1:3" x14ac:dyDescent="0.25">
      <c r="A13436" s="2" t="str">
        <f ca="1">IFERROR(__xludf.DUMMYFUNCTION("""COMPUTED_VALUE"""),"unvest")</f>
        <v>unvest</v>
      </c>
      <c r="B13436" s="2" t="str">
        <f ca="1">IFERROR(__xludf.DUMMYFUNCTION("""COMPUTED_VALUE"""),"unv")</f>
        <v>unv</v>
      </c>
      <c r="C13436" s="2" t="str">
        <f ca="1">IFERROR(__xludf.DUMMYFUNCTION("""COMPUTED_VALUE"""),"Unvest")</f>
        <v>Unvest</v>
      </c>
    </row>
    <row r="13437" spans="1:3" x14ac:dyDescent="0.25">
      <c r="A13437" s="2" t="str">
        <f ca="1">IFERROR(__xludf.DUMMYFUNCTION("""COMPUTED_VALUE"""),"unwa")</f>
        <v>unwa</v>
      </c>
      <c r="B13437" s="2" t="str">
        <f ca="1">IFERROR(__xludf.DUMMYFUNCTION("""COMPUTED_VALUE"""),"unwa")</f>
        <v>unwa</v>
      </c>
      <c r="C13437" s="2" t="str">
        <f ca="1">IFERROR(__xludf.DUMMYFUNCTION("""COMPUTED_VALUE"""),"unwa")</f>
        <v>unwa</v>
      </c>
    </row>
    <row r="13438" spans="1:3" x14ac:dyDescent="0.25">
      <c r="A13438" s="2" t="str">
        <f ca="1">IFERROR(__xludf.DUMMYFUNCTION("""COMPUTED_VALUE"""),"up")</f>
        <v>up</v>
      </c>
      <c r="B13438" s="2" t="str">
        <f ca="1">IFERROR(__xludf.DUMMYFUNCTION("""COMPUTED_VALUE"""),"up")</f>
        <v>up</v>
      </c>
      <c r="C13438" s="2" t="str">
        <f ca="1">IFERROR(__xludf.DUMMYFUNCTION("""COMPUTED_VALUE"""),"TonUP")</f>
        <v>TonUP</v>
      </c>
    </row>
    <row r="13439" spans="1:3" x14ac:dyDescent="0.25">
      <c r="A13439" s="2" t="str">
        <f ca="1">IFERROR(__xludf.DUMMYFUNCTION("""COMPUTED_VALUE"""),"upbots")</f>
        <v>upbots</v>
      </c>
      <c r="B13439" s="2" t="str">
        <f ca="1">IFERROR(__xludf.DUMMYFUNCTION("""COMPUTED_VALUE"""),"mbxn")</f>
        <v>mbxn</v>
      </c>
      <c r="C13439" s="2" t="str">
        <f ca="1">IFERROR(__xludf.DUMMYFUNCTION("""COMPUTED_VALUE"""),"UpBots Token")</f>
        <v>UpBots Token</v>
      </c>
    </row>
    <row r="13440" spans="1:3" x14ac:dyDescent="0.25">
      <c r="A13440" s="2" t="str">
        <f ca="1">IFERROR(__xludf.DUMMYFUNCTION("""COMPUTED_VALUE"""),"upcx")</f>
        <v>upcx</v>
      </c>
      <c r="B13440" s="2" t="str">
        <f ca="1">IFERROR(__xludf.DUMMYFUNCTION("""COMPUTED_VALUE"""),"upc")</f>
        <v>upc</v>
      </c>
      <c r="C13440" s="2" t="str">
        <f ca="1">IFERROR(__xludf.DUMMYFUNCTION("""COMPUTED_VALUE"""),"UPCX")</f>
        <v>UPCX</v>
      </c>
    </row>
    <row r="13441" spans="1:3" x14ac:dyDescent="0.25">
      <c r="A13441" s="2" t="str">
        <f ca="1">IFERROR(__xludf.DUMMYFUNCTION("""COMPUTED_VALUE"""),"updog")</f>
        <v>updog</v>
      </c>
      <c r="B13441" s="2" t="str">
        <f ca="1">IFERROR(__xludf.DUMMYFUNCTION("""COMPUTED_VALUE"""),"updog")</f>
        <v>updog</v>
      </c>
      <c r="C13441" s="2" t="str">
        <f ca="1">IFERROR(__xludf.DUMMYFUNCTION("""COMPUTED_VALUE"""),"UpDog")</f>
        <v>UpDog</v>
      </c>
    </row>
    <row r="13442" spans="1:3" x14ac:dyDescent="0.25">
      <c r="A13442" s="2" t="str">
        <f ca="1">IFERROR(__xludf.DUMMYFUNCTION("""COMPUTED_VALUE"""),"upfi-network")</f>
        <v>upfi-network</v>
      </c>
      <c r="B13442" s="2" t="str">
        <f ca="1">IFERROR(__xludf.DUMMYFUNCTION("""COMPUTED_VALUE"""),"ups")</f>
        <v>ups</v>
      </c>
      <c r="C13442" s="2" t="str">
        <f ca="1">IFERROR(__xludf.DUMMYFUNCTION("""COMPUTED_VALUE"""),"UPFI Network")</f>
        <v>UPFI Network</v>
      </c>
    </row>
    <row r="13443" spans="1:3" x14ac:dyDescent="0.25">
      <c r="A13443" s="2" t="str">
        <f ca="1">IFERROR(__xludf.DUMMYFUNCTION("""COMPUTED_VALUE"""),"upfront-protocol")</f>
        <v>upfront-protocol</v>
      </c>
      <c r="B13443" s="2" t="str">
        <f ca="1">IFERROR(__xludf.DUMMYFUNCTION("""COMPUTED_VALUE"""),"up")</f>
        <v>up</v>
      </c>
      <c r="C13443" s="2" t="str">
        <f ca="1">IFERROR(__xludf.DUMMYFUNCTION("""COMPUTED_VALUE"""),"Upfront Protocol")</f>
        <v>Upfront Protocol</v>
      </c>
    </row>
    <row r="13444" spans="1:3" x14ac:dyDescent="0.25">
      <c r="A13444" s="2" t="str">
        <f ca="1">IFERROR(__xludf.DUMMYFUNCTION("""COMPUTED_VALUE"""),"upland")</f>
        <v>upland</v>
      </c>
      <c r="B13444" s="2" t="str">
        <f ca="1">IFERROR(__xludf.DUMMYFUNCTION("""COMPUTED_VALUE"""),"sparklet")</f>
        <v>sparklet</v>
      </c>
      <c r="C13444" s="2" t="str">
        <f ca="1">IFERROR(__xludf.DUMMYFUNCTION("""COMPUTED_VALUE"""),"Upland")</f>
        <v>Upland</v>
      </c>
    </row>
    <row r="13445" spans="1:3" x14ac:dyDescent="0.25">
      <c r="A13445" s="2" t="str">
        <f ca="1">IFERROR(__xludf.DUMMYFUNCTION("""COMPUTED_VALUE"""),"uplexa")</f>
        <v>uplexa</v>
      </c>
      <c r="B13445" s="2" t="str">
        <f ca="1">IFERROR(__xludf.DUMMYFUNCTION("""COMPUTED_VALUE"""),"upx")</f>
        <v>upx</v>
      </c>
      <c r="C13445" s="2" t="str">
        <f ca="1">IFERROR(__xludf.DUMMYFUNCTION("""COMPUTED_VALUE"""),"uPlexa")</f>
        <v>uPlexa</v>
      </c>
    </row>
    <row r="13446" spans="1:3" x14ac:dyDescent="0.25">
      <c r="A13446" s="2" t="str">
        <f ca="1">IFERROR(__xludf.DUMMYFUNCTION("""COMPUTED_VALUE"""),"uplift")</f>
        <v>uplift</v>
      </c>
      <c r="B13446" s="2" t="str">
        <f ca="1">IFERROR(__xludf.DUMMYFUNCTION("""COMPUTED_VALUE"""),"lift")</f>
        <v>lift</v>
      </c>
      <c r="C13446" s="2" t="str">
        <f ca="1">IFERROR(__xludf.DUMMYFUNCTION("""COMPUTED_VALUE"""),"Uplift")</f>
        <v>Uplift</v>
      </c>
    </row>
    <row r="13447" spans="1:3" x14ac:dyDescent="0.25">
      <c r="A13447" s="2" t="str">
        <f ca="1">IFERROR(__xludf.DUMMYFUNCTION("""COMPUTED_VALUE"""),"upload")</f>
        <v>upload</v>
      </c>
      <c r="B13447" s="2" t="str">
        <f ca="1">IFERROR(__xludf.DUMMYFUNCTION("""COMPUTED_VALUE"""),"upload")</f>
        <v>upload</v>
      </c>
      <c r="C13447" s="2" t="str">
        <f ca="1">IFERROR(__xludf.DUMMYFUNCTION("""COMPUTED_VALUE"""),"UPLOAD")</f>
        <v>UPLOAD</v>
      </c>
    </row>
    <row r="13448" spans="1:3" x14ac:dyDescent="0.25">
      <c r="A13448" s="2" t="str">
        <f ca="1">IFERROR(__xludf.DUMMYFUNCTION("""COMPUTED_VALUE"""),"upmax")</f>
        <v>upmax</v>
      </c>
      <c r="B13448" s="2" t="str">
        <f ca="1">IFERROR(__xludf.DUMMYFUNCTION("""COMPUTED_VALUE"""),"max")</f>
        <v>max</v>
      </c>
      <c r="C13448" s="2" t="str">
        <f ca="1">IFERROR(__xludf.DUMMYFUNCTION("""COMPUTED_VALUE"""),"UPMAX")</f>
        <v>UPMAX</v>
      </c>
    </row>
    <row r="13449" spans="1:3" x14ac:dyDescent="0.25">
      <c r="A13449" s="2" t="str">
        <f ca="1">IFERROR(__xludf.DUMMYFUNCTION("""COMPUTED_VALUE"""),"uponly-token")</f>
        <v>uponly-token</v>
      </c>
      <c r="B13449" s="2" t="str">
        <f ca="1">IFERROR(__xludf.DUMMYFUNCTION("""COMPUTED_VALUE"""),"upo")</f>
        <v>upo</v>
      </c>
      <c r="C13449" s="2" t="str">
        <f ca="1">IFERROR(__xludf.DUMMYFUNCTION("""COMPUTED_VALUE"""),"UpOnly")</f>
        <v>UpOnly</v>
      </c>
    </row>
    <row r="13450" spans="1:3" x14ac:dyDescent="0.25">
      <c r="A13450" s="2" t="str">
        <f ca="1">IFERROR(__xludf.DUMMYFUNCTION("""COMPUTED_VALUE"""),"uprock")</f>
        <v>uprock</v>
      </c>
      <c r="B13450" s="2" t="str">
        <f ca="1">IFERROR(__xludf.DUMMYFUNCTION("""COMPUTED_VALUE"""),"upt")</f>
        <v>upt</v>
      </c>
      <c r="C13450" s="2" t="str">
        <f ca="1">IFERROR(__xludf.DUMMYFUNCTION("""COMPUTED_VALUE"""),"UpRock")</f>
        <v>UpRock</v>
      </c>
    </row>
    <row r="13451" spans="1:3" x14ac:dyDescent="0.25">
      <c r="A13451" s="2" t="str">
        <f ca="1">IFERROR(__xludf.DUMMYFUNCTION("""COMPUTED_VALUE"""),"u-protocol")</f>
        <v>u-protocol</v>
      </c>
      <c r="B13451" s="2" t="str">
        <f ca="1">IFERROR(__xludf.DUMMYFUNCTION("""COMPUTED_VALUE"""),"you")</f>
        <v>you</v>
      </c>
      <c r="C13451" s="2" t="str">
        <f ca="1">IFERROR(__xludf.DUMMYFUNCTION("""COMPUTED_VALUE"""),"U Protocol")</f>
        <v>U Protocol</v>
      </c>
    </row>
    <row r="13452" spans="1:3" x14ac:dyDescent="0.25">
      <c r="A13452" s="2" t="str">
        <f ca="1">IFERROR(__xludf.DUMMYFUNCTION("""COMPUTED_VALUE"""),"upsidedowncat-2")</f>
        <v>upsidedowncat-2</v>
      </c>
      <c r="B13452" s="2" t="str">
        <f ca="1">IFERROR(__xludf.DUMMYFUNCTION("""COMPUTED_VALUE"""),"usdcat")</f>
        <v>usdcat</v>
      </c>
      <c r="C13452" s="2" t="str">
        <f ca="1">IFERROR(__xludf.DUMMYFUNCTION("""COMPUTED_VALUE"""),"upsidedowncat")</f>
        <v>upsidedowncat</v>
      </c>
    </row>
    <row r="13453" spans="1:3" x14ac:dyDescent="0.25">
      <c r="A13453" s="2" t="str">
        <f ca="1">IFERROR(__xludf.DUMMYFUNCTION("""COMPUTED_VALUE"""),"upside-down-meme")</f>
        <v>upside-down-meme</v>
      </c>
      <c r="B13453" s="2" t="str">
        <f ca="1">IFERROR(__xludf.DUMMYFUNCTION("""COMPUTED_VALUE"""),"wewe")</f>
        <v>wewe</v>
      </c>
      <c r="C13453" s="2" t="str">
        <f ca="1">IFERROR(__xludf.DUMMYFUNCTION("""COMPUTED_VALUE"""),"WEWECOIN")</f>
        <v>WEWECOIN</v>
      </c>
    </row>
    <row r="13454" spans="1:3" x14ac:dyDescent="0.25">
      <c r="A13454" s="2" t="str">
        <f ca="1">IFERROR(__xludf.DUMMYFUNCTION("""COMPUTED_VALUE"""),"upsorber")</f>
        <v>upsorber</v>
      </c>
      <c r="B13454" s="2" t="str">
        <f ca="1">IFERROR(__xludf.DUMMYFUNCTION("""COMPUTED_VALUE"""),"up")</f>
        <v>up</v>
      </c>
      <c r="C13454" s="2" t="str">
        <f ca="1">IFERROR(__xludf.DUMMYFUNCTION("""COMPUTED_VALUE"""),"Upsorber")</f>
        <v>Upsorber</v>
      </c>
    </row>
    <row r="13455" spans="1:3" x14ac:dyDescent="0.25">
      <c r="A13455" s="2" t="str">
        <f ca="1">IFERROR(__xludf.DUMMYFUNCTION("""COMPUTED_VALUE"""),"upstabletoken")</f>
        <v>upstabletoken</v>
      </c>
      <c r="B13455" s="2" t="str">
        <f ca="1">IFERROR(__xludf.DUMMYFUNCTION("""COMPUTED_VALUE"""),"ustx")</f>
        <v>ustx</v>
      </c>
      <c r="C13455" s="2" t="str">
        <f ca="1">IFERROR(__xludf.DUMMYFUNCTION("""COMPUTED_VALUE"""),"UpStable")</f>
        <v>UpStable</v>
      </c>
    </row>
    <row r="13456" spans="1:3" x14ac:dyDescent="0.25">
      <c r="A13456" s="2" t="str">
        <f ca="1">IFERROR(__xludf.DUMMYFUNCTION("""COMPUTED_VALUE"""),"up-token-2")</f>
        <v>up-token-2</v>
      </c>
      <c r="B13456" s="2" t="str">
        <f ca="1">IFERROR(__xludf.DUMMYFUNCTION("""COMPUTED_VALUE"""),"up")</f>
        <v>up</v>
      </c>
      <c r="C13456" s="2" t="str">
        <f ca="1">IFERROR(__xludf.DUMMYFUNCTION("""COMPUTED_VALUE"""),"uP Token")</f>
        <v>uP Token</v>
      </c>
    </row>
    <row r="13457" spans="1:3" x14ac:dyDescent="0.25">
      <c r="A13457" s="2" t="str">
        <f ca="1">IFERROR(__xludf.DUMMYFUNCTION("""COMPUTED_VALUE"""),"uptos")</f>
        <v>uptos</v>
      </c>
      <c r="B13457" s="2" t="str">
        <f ca="1">IFERROR(__xludf.DUMMYFUNCTION("""COMPUTED_VALUE"""),"uptos")</f>
        <v>uptos</v>
      </c>
      <c r="C13457" s="2" t="str">
        <f ca="1">IFERROR(__xludf.DUMMYFUNCTION("""COMPUTED_VALUE"""),"UPTOS")</f>
        <v>UPTOS</v>
      </c>
    </row>
    <row r="13458" spans="1:3" x14ac:dyDescent="0.25">
      <c r="A13458" s="2" t="str">
        <f ca="1">IFERROR(__xludf.DUMMYFUNCTION("""COMPUTED_VALUE"""),"upup-token")</f>
        <v>upup-token</v>
      </c>
      <c r="B13458" s="2" t="str">
        <f ca="1">IFERROR(__xludf.DUMMYFUNCTION("""COMPUTED_VALUE"""),"upup")</f>
        <v>upup</v>
      </c>
      <c r="C13458" s="2" t="str">
        <f ca="1">IFERROR(__xludf.DUMMYFUNCTION("""COMPUTED_VALUE"""),"UPUP TOKEN")</f>
        <v>UPUP TOKEN</v>
      </c>
    </row>
    <row r="13459" spans="1:3" x14ac:dyDescent="0.25">
      <c r="A13459" s="2" t="str">
        <f ca="1">IFERROR(__xludf.DUMMYFUNCTION("""COMPUTED_VALUE"""),"upx")</f>
        <v>upx</v>
      </c>
      <c r="B13459" s="2" t="str">
        <f ca="1">IFERROR(__xludf.DUMMYFUNCTION("""COMPUTED_VALUE"""),"upx")</f>
        <v>upx</v>
      </c>
      <c r="C13459" s="2" t="str">
        <f ca="1">IFERROR(__xludf.DUMMYFUNCTION("""COMPUTED_VALUE"""),"uPX")</f>
        <v>uPX</v>
      </c>
    </row>
    <row r="13460" spans="1:3" x14ac:dyDescent="0.25">
      <c r="A13460" s="2" t="str">
        <f ca="1">IFERROR(__xludf.DUMMYFUNCTION("""COMPUTED_VALUE"""),"uquid-coin")</f>
        <v>uquid-coin</v>
      </c>
      <c r="B13460" s="2" t="str">
        <f ca="1">IFERROR(__xludf.DUMMYFUNCTION("""COMPUTED_VALUE"""),"uqc")</f>
        <v>uqc</v>
      </c>
      <c r="C13460" s="2" t="str">
        <f ca="1">IFERROR(__xludf.DUMMYFUNCTION("""COMPUTED_VALUE"""),"Uquid Coin")</f>
        <v>Uquid Coin</v>
      </c>
    </row>
    <row r="13461" spans="1:3" x14ac:dyDescent="0.25">
      <c r="A13461" s="2" t="str">
        <f ca="1">IFERROR(__xludf.DUMMYFUNCTION("""COMPUTED_VALUE"""),"ura-dex")</f>
        <v>ura-dex</v>
      </c>
      <c r="B13461" s="2" t="str">
        <f ca="1">IFERROR(__xludf.DUMMYFUNCTION("""COMPUTED_VALUE"""),"ura")</f>
        <v>ura</v>
      </c>
      <c r="C13461" s="2" t="str">
        <f ca="1">IFERROR(__xludf.DUMMYFUNCTION("""COMPUTED_VALUE"""),"Ura")</f>
        <v>Ura</v>
      </c>
    </row>
    <row r="13462" spans="1:3" x14ac:dyDescent="0.25">
      <c r="A13462" s="2" t="str">
        <f ca="1">IFERROR(__xludf.DUMMYFUNCTION("""COMPUTED_VALUE"""),"uranium3o8")</f>
        <v>uranium3o8</v>
      </c>
      <c r="B13462" s="2" t="str">
        <f ca="1">IFERROR(__xludf.DUMMYFUNCTION("""COMPUTED_VALUE"""),"u")</f>
        <v>u</v>
      </c>
      <c r="C13462" s="2" t="str">
        <f ca="1">IFERROR(__xludf.DUMMYFUNCTION("""COMPUTED_VALUE"""),"Uranium3o8")</f>
        <v>Uranium3o8</v>
      </c>
    </row>
    <row r="13463" spans="1:3" x14ac:dyDescent="0.25">
      <c r="A13463" s="2" t="str">
        <f ca="1">IFERROR(__xludf.DUMMYFUNCTION("""COMPUTED_VALUE"""),"uraniumx")</f>
        <v>uraniumx</v>
      </c>
      <c r="B13463" s="2" t="str">
        <f ca="1">IFERROR(__xludf.DUMMYFUNCTION("""COMPUTED_VALUE"""),"urx")</f>
        <v>urx</v>
      </c>
      <c r="C13463" s="2" t="str">
        <f ca="1">IFERROR(__xludf.DUMMYFUNCTION("""COMPUTED_VALUE"""),"UraniumX")</f>
        <v>UraniumX</v>
      </c>
    </row>
    <row r="13464" spans="1:3" x14ac:dyDescent="0.25">
      <c r="A13464" s="2" t="str">
        <f ca="1">IFERROR(__xludf.DUMMYFUNCTION("""COMPUTED_VALUE"""),"uranus-2")</f>
        <v>uranus-2</v>
      </c>
      <c r="B13464" s="2" t="str">
        <f ca="1">IFERROR(__xludf.DUMMYFUNCTION("""COMPUTED_VALUE"""),"uranus")</f>
        <v>uranus</v>
      </c>
      <c r="C13464" s="2" t="str">
        <f ca="1">IFERROR(__xludf.DUMMYFUNCTION("""COMPUTED_VALUE"""),"URANUS")</f>
        <v>URANUS</v>
      </c>
    </row>
    <row r="13465" spans="1:3" x14ac:dyDescent="0.25">
      <c r="A13465" s="2" t="str">
        <f ca="1">IFERROR(__xludf.DUMMYFUNCTION("""COMPUTED_VALUE"""),"uranus-3")</f>
        <v>uranus-3</v>
      </c>
      <c r="B13465" s="2" t="str">
        <f ca="1">IFERROR(__xludf.DUMMYFUNCTION("""COMPUTED_VALUE"""),"urs")</f>
        <v>urs</v>
      </c>
      <c r="C13465" s="2" t="str">
        <f ca="1">IFERROR(__xludf.DUMMYFUNCTION("""COMPUTED_VALUE"""),"Uranus")</f>
        <v>Uranus</v>
      </c>
    </row>
    <row r="13466" spans="1:3" x14ac:dyDescent="0.25">
      <c r="A13466" s="2" t="str">
        <f ca="1">IFERROR(__xludf.DUMMYFUNCTION("""COMPUTED_VALUE"""),"uranus-sol")</f>
        <v>uranus-sol</v>
      </c>
      <c r="B13466" s="2" t="str">
        <f ca="1">IFERROR(__xludf.DUMMYFUNCTION("""COMPUTED_VALUE"""),"anus")</f>
        <v>anus</v>
      </c>
      <c r="C13466" s="2" t="str">
        <f ca="1">IFERROR(__xludf.DUMMYFUNCTION("""COMPUTED_VALUE"""),"URANUS (SOL)")</f>
        <v>URANUS (SOL)</v>
      </c>
    </row>
    <row r="13467" spans="1:3" x14ac:dyDescent="0.25">
      <c r="A13467" s="2" t="str">
        <f ca="1">IFERROR(__xludf.DUMMYFUNCTION("""COMPUTED_VALUE"""),"urdex-finance")</f>
        <v>urdex-finance</v>
      </c>
      <c r="B13467" s="2" t="str">
        <f ca="1">IFERROR(__xludf.DUMMYFUNCTION("""COMPUTED_VALUE"""),"urd")</f>
        <v>urd</v>
      </c>
      <c r="C13467" s="2" t="str">
        <f ca="1">IFERROR(__xludf.DUMMYFUNCTION("""COMPUTED_VALUE"""),"UrDEX Finance")</f>
        <v>UrDEX Finance</v>
      </c>
    </row>
    <row r="13468" spans="1:3" x14ac:dyDescent="0.25">
      <c r="A13468" s="2" t="str">
        <f ca="1">IFERROR(__xludf.DUMMYFUNCTION("""COMPUTED_VALUE"""),"ureeqa")</f>
        <v>ureeqa</v>
      </c>
      <c r="B13468" s="2" t="str">
        <f ca="1">IFERROR(__xludf.DUMMYFUNCTION("""COMPUTED_VALUE"""),"urqa")</f>
        <v>urqa</v>
      </c>
      <c r="C13468" s="2" t="str">
        <f ca="1">IFERROR(__xludf.DUMMYFUNCTION("""COMPUTED_VALUE"""),"UREEQA")</f>
        <v>UREEQA</v>
      </c>
    </row>
    <row r="13469" spans="1:3" x14ac:dyDescent="0.25">
      <c r="A13469" s="2" t="str">
        <f ca="1">IFERROR(__xludf.DUMMYFUNCTION("""COMPUTED_VALUE"""),"urmom")</f>
        <v>urmom</v>
      </c>
      <c r="B13469" s="2" t="str">
        <f ca="1">IFERROR(__xludf.DUMMYFUNCTION("""COMPUTED_VALUE"""),"urmom")</f>
        <v>urmom</v>
      </c>
      <c r="C13469" s="2" t="str">
        <f ca="1">IFERROR(__xludf.DUMMYFUNCTION("""COMPUTED_VALUE"""),"URMOM")</f>
        <v>URMOM</v>
      </c>
    </row>
    <row r="13470" spans="1:3" x14ac:dyDescent="0.25">
      <c r="A13470" s="2" t="str">
        <f ca="1">IFERROR(__xludf.DUMMYFUNCTION("""COMPUTED_VALUE"""),"urus-token")</f>
        <v>urus-token</v>
      </c>
      <c r="B13470" s="2" t="str">
        <f ca="1">IFERROR(__xludf.DUMMYFUNCTION("""COMPUTED_VALUE"""),"urus")</f>
        <v>urus</v>
      </c>
      <c r="C13470" s="2" t="str">
        <f ca="1">IFERROR(__xludf.DUMMYFUNCTION("""COMPUTED_VALUE"""),"Aurox")</f>
        <v>Aurox</v>
      </c>
    </row>
    <row r="13471" spans="1:3" x14ac:dyDescent="0.25">
      <c r="A13471" s="2" t="str">
        <f ca="1">IFERROR(__xludf.DUMMYFUNCTION("""COMPUTED_VALUE"""),"usc-2")</f>
        <v>usc-2</v>
      </c>
      <c r="B13471" s="2" t="str">
        <f ca="1">IFERROR(__xludf.DUMMYFUNCTION("""COMPUTED_VALUE"""),"usc")</f>
        <v>usc</v>
      </c>
      <c r="C13471" s="2" t="str">
        <f ca="1">IFERROR(__xludf.DUMMYFUNCTION("""COMPUTED_VALUE"""),"USC")</f>
        <v>USC</v>
      </c>
    </row>
    <row r="13472" spans="1:3" x14ac:dyDescent="0.25">
      <c r="A13472" s="2" t="str">
        <f ca="1">IFERROR(__xludf.DUMMYFUNCTION("""COMPUTED_VALUE"""),"usd")</f>
        <v>usd</v>
      </c>
      <c r="B13472" s="2" t="str">
        <f ca="1">IFERROR(__xludf.DUMMYFUNCTION("""COMPUTED_VALUE"""),"usd+")</f>
        <v>usd+</v>
      </c>
      <c r="C13472" s="2" t="str">
        <f ca="1">IFERROR(__xludf.DUMMYFUNCTION("""COMPUTED_VALUE"""),"Overnight.fi USD+")</f>
        <v>Overnight.fi USD+</v>
      </c>
    </row>
    <row r="13473" spans="1:3" x14ac:dyDescent="0.25">
      <c r="A13473" s="2" t="str">
        <f ca="1">IFERROR(__xludf.DUMMYFUNCTION("""COMPUTED_VALUE"""),"usd0-liquid-bond")</f>
        <v>usd0-liquid-bond</v>
      </c>
      <c r="B13473" s="2" t="str">
        <f ca="1">IFERROR(__xludf.DUMMYFUNCTION("""COMPUTED_VALUE"""),"usd0++")</f>
        <v>usd0++</v>
      </c>
      <c r="C13473" s="2" t="str">
        <f ca="1">IFERROR(__xludf.DUMMYFUNCTION("""COMPUTED_VALUE"""),"USD0 Liquid Bond")</f>
        <v>USD0 Liquid Bond</v>
      </c>
    </row>
    <row r="13474" spans="1:3" x14ac:dyDescent="0.25">
      <c r="A13474" s="2" t="str">
        <f ca="1">IFERROR(__xludf.DUMMYFUNCTION("""COMPUTED_VALUE"""),"usdb")</f>
        <v>usdb</v>
      </c>
      <c r="B13474" s="2" t="str">
        <f ca="1">IFERROR(__xludf.DUMMYFUNCTION("""COMPUTED_VALUE"""),"usdb")</f>
        <v>usdb</v>
      </c>
      <c r="C13474" s="2" t="str">
        <f ca="1">IFERROR(__xludf.DUMMYFUNCTION("""COMPUTED_VALUE"""),"USDB")</f>
        <v>USDB</v>
      </c>
    </row>
    <row r="13475" spans="1:3" x14ac:dyDescent="0.25">
      <c r="A13475" s="2" t="str">
        <f ca="1">IFERROR(__xludf.DUMMYFUNCTION("""COMPUTED_VALUE"""),"usd-coin")</f>
        <v>usd-coin</v>
      </c>
      <c r="B13475" s="2" t="str">
        <f ca="1">IFERROR(__xludf.DUMMYFUNCTION("""COMPUTED_VALUE"""),"usdc")</f>
        <v>usdc</v>
      </c>
      <c r="C13475" s="2" t="str">
        <f ca="1">IFERROR(__xludf.DUMMYFUNCTION("""COMPUTED_VALUE"""),"USDC")</f>
        <v>USDC</v>
      </c>
    </row>
    <row r="13476" spans="1:3" x14ac:dyDescent="0.25">
      <c r="A13476" s="2" t="str">
        <f ca="1">IFERROR(__xludf.DUMMYFUNCTION("""COMPUTED_VALUE"""),"usd-coin-avalanche-bridged-usdc-e")</f>
        <v>usd-coin-avalanche-bridged-usdc-e</v>
      </c>
      <c r="B13476" s="2" t="str">
        <f ca="1">IFERROR(__xludf.DUMMYFUNCTION("""COMPUTED_VALUE"""),"usdc.e")</f>
        <v>usdc.e</v>
      </c>
      <c r="C13476" s="2" t="str">
        <f ca="1">IFERROR(__xludf.DUMMYFUNCTION("""COMPUTED_VALUE"""),"Avalanche Bridged USDC (Avalanche)")</f>
        <v>Avalanche Bridged USDC (Avalanche)</v>
      </c>
    </row>
    <row r="13477" spans="1:3" x14ac:dyDescent="0.25">
      <c r="A13477" s="2" t="str">
        <f ca="1">IFERROR(__xludf.DUMMYFUNCTION("""COMPUTED_VALUE"""),"usd-coin-bridged-zed20")</f>
        <v>usd-coin-bridged-zed20</v>
      </c>
      <c r="B13477" s="2" t="str">
        <f ca="1">IFERROR(__xludf.DUMMYFUNCTION("""COMPUTED_VALUE"""),"usdc.z")</f>
        <v>usdc.z</v>
      </c>
      <c r="C13477" s="2" t="str">
        <f ca="1">IFERROR(__xludf.DUMMYFUNCTION("""COMPUTED_VALUE"""),"USD Coin Bridged ZED20")</f>
        <v>USD Coin Bridged ZED20</v>
      </c>
    </row>
    <row r="13478" spans="1:3" x14ac:dyDescent="0.25">
      <c r="A13478" s="2" t="str">
        <f ca="1">IFERROR(__xludf.DUMMYFUNCTION("""COMPUTED_VALUE"""),"usd-coin-celer")</f>
        <v>usd-coin-celer</v>
      </c>
      <c r="B13478" s="2" t="str">
        <f ca="1">IFERROR(__xludf.DUMMYFUNCTION("""COMPUTED_VALUE"""),"ceusdc")</f>
        <v>ceusdc</v>
      </c>
      <c r="C13478" s="2" t="str">
        <f ca="1">IFERROR(__xludf.DUMMYFUNCTION("""COMPUTED_VALUE"""),"Bridged USD Coin (Celer)")</f>
        <v>Bridged USD Coin (Celer)</v>
      </c>
    </row>
    <row r="13479" spans="1:3" x14ac:dyDescent="0.25">
      <c r="A13479" s="2" t="str">
        <f ca="1">IFERROR(__xludf.DUMMYFUNCTION("""COMPUTED_VALUE"""),"usd-coin-ethereum-bridged")</f>
        <v>usd-coin-ethereum-bridged</v>
      </c>
      <c r="B13479" s="2" t="str">
        <f ca="1">IFERROR(__xludf.DUMMYFUNCTION("""COMPUTED_VALUE"""),"usdc.e")</f>
        <v>usdc.e</v>
      </c>
      <c r="C13479" s="2" t="str">
        <f ca="1">IFERROR(__xludf.DUMMYFUNCTION("""COMPUTED_VALUE"""),"Arbitrum Bridged USDC (Arbitrum)")</f>
        <v>Arbitrum Bridged USDC (Arbitrum)</v>
      </c>
    </row>
    <row r="13480" spans="1:3" x14ac:dyDescent="0.25">
      <c r="A13480" s="2" t="str">
        <f ca="1">IFERROR(__xludf.DUMMYFUNCTION("""COMPUTED_VALUE"""),"usd-coin-plenty-bridge")</f>
        <v>usd-coin-plenty-bridge</v>
      </c>
      <c r="B13480" s="2" t="str">
        <f ca="1">IFERROR(__xludf.DUMMYFUNCTION("""COMPUTED_VALUE"""),"usdc.e")</f>
        <v>usdc.e</v>
      </c>
      <c r="C13480" s="2" t="str">
        <f ca="1">IFERROR(__xludf.DUMMYFUNCTION("""COMPUTED_VALUE"""),"Plenty Bridged USDC (Tezos)")</f>
        <v>Plenty Bridged USDC (Tezos)</v>
      </c>
    </row>
    <row r="13481" spans="1:3" x14ac:dyDescent="0.25">
      <c r="A13481" s="2" t="str">
        <f ca="1">IFERROR(__xludf.DUMMYFUNCTION("""COMPUTED_VALUE"""),"usd-coin-pos-wormhole")</f>
        <v>usd-coin-pos-wormhole</v>
      </c>
      <c r="B13481" s="2" t="str">
        <f ca="1">IFERROR(__xludf.DUMMYFUNCTION("""COMPUTED_VALUE"""),"usdcpo")</f>
        <v>usdcpo</v>
      </c>
      <c r="C13481" s="2" t="str">
        <f ca="1">IFERROR(__xludf.DUMMYFUNCTION("""COMPUTED_VALUE"""),"Bridged USD Coin (Wormhole POS)")</f>
        <v>Bridged USD Coin (Wormhole POS)</v>
      </c>
    </row>
    <row r="13482" spans="1:3" x14ac:dyDescent="0.25">
      <c r="A13482" s="2" t="str">
        <f ca="1">IFERROR(__xludf.DUMMYFUNCTION("""COMPUTED_VALUE"""),"usd-coin-pulsechain")</f>
        <v>usd-coin-pulsechain</v>
      </c>
      <c r="B13482" s="2" t="str">
        <f ca="1">IFERROR(__xludf.DUMMYFUNCTION("""COMPUTED_VALUE"""),"usdc")</f>
        <v>usdc</v>
      </c>
      <c r="C13482" s="2" t="str">
        <f ca="1">IFERROR(__xludf.DUMMYFUNCTION("""COMPUTED_VALUE"""),"Bridged USD Coin (PulseChain)")</f>
        <v>Bridged USD Coin (PulseChain)</v>
      </c>
    </row>
    <row r="13483" spans="1:3" x14ac:dyDescent="0.25">
      <c r="A13483" s="2" t="str">
        <f ca="1">IFERROR(__xludf.DUMMYFUNCTION("""COMPUTED_VALUE"""),"usd-coin-wormhole-arb")</f>
        <v>usd-coin-wormhole-arb</v>
      </c>
      <c r="B13483" s="2" t="str">
        <f ca="1">IFERROR(__xludf.DUMMYFUNCTION("""COMPUTED_VALUE"""),"usdcarb")</f>
        <v>usdcarb</v>
      </c>
      <c r="C13483" s="2" t="str">
        <f ca="1">IFERROR(__xludf.DUMMYFUNCTION("""COMPUTED_VALUE"""),"Bridged USD Coin (Wormhole Arbitrum)")</f>
        <v>Bridged USD Coin (Wormhole Arbitrum)</v>
      </c>
    </row>
    <row r="13484" spans="1:3" x14ac:dyDescent="0.25">
      <c r="A13484" s="2" t="str">
        <f ca="1">IFERROR(__xludf.DUMMYFUNCTION("""COMPUTED_VALUE"""),"usd-coin-wormhole-bnb")</f>
        <v>usd-coin-wormhole-bnb</v>
      </c>
      <c r="B13484" s="2" t="str">
        <f ca="1">IFERROR(__xludf.DUMMYFUNCTION("""COMPUTED_VALUE"""),"usdcbnb")</f>
        <v>usdcbnb</v>
      </c>
      <c r="C13484" s="2" t="str">
        <f ca="1">IFERROR(__xludf.DUMMYFUNCTION("""COMPUTED_VALUE"""),"Bridged USD Coin (Wormhole BNB)")</f>
        <v>Bridged USD Coin (Wormhole BNB)</v>
      </c>
    </row>
    <row r="13485" spans="1:3" x14ac:dyDescent="0.25">
      <c r="A13485" s="2" t="str">
        <f ca="1">IFERROR(__xludf.DUMMYFUNCTION("""COMPUTED_VALUE"""),"usd-coin-wormhole-from-ethereum")</f>
        <v>usd-coin-wormhole-from-ethereum</v>
      </c>
      <c r="B13485" s="2" t="str">
        <f ca="1">IFERROR(__xludf.DUMMYFUNCTION("""COMPUTED_VALUE"""),"usdcet")</f>
        <v>usdcet</v>
      </c>
      <c r="C13485" s="2" t="str">
        <f ca="1">IFERROR(__xludf.DUMMYFUNCTION("""COMPUTED_VALUE"""),"Bridged USD Coin (Wormhole Ethereum)")</f>
        <v>Bridged USD Coin (Wormhole Ethereum)</v>
      </c>
    </row>
    <row r="13486" spans="1:3" x14ac:dyDescent="0.25">
      <c r="A13486" s="2" t="str">
        <f ca="1">IFERROR(__xludf.DUMMYFUNCTION("""COMPUTED_VALUE"""),"usdc-plus-overnight")</f>
        <v>usdc-plus-overnight</v>
      </c>
      <c r="B13486" s="2" t="str">
        <f ca="1">IFERROR(__xludf.DUMMYFUNCTION("""COMPUTED_VALUE"""),"usdc+")</f>
        <v>usdc+</v>
      </c>
      <c r="C13486" s="2" t="str">
        <f ca="1">IFERROR(__xludf.DUMMYFUNCTION("""COMPUTED_VALUE"""),"Overnight.fi USDC+")</f>
        <v>Overnight.fi USDC+</v>
      </c>
    </row>
    <row r="13487" spans="1:3" x14ac:dyDescent="0.25">
      <c r="A13487" s="2" t="str">
        <f ca="1">IFERROR(__xludf.DUMMYFUNCTION("""COMPUTED_VALUE"""),"usdc-rainbow-bridge")</f>
        <v>usdc-rainbow-bridge</v>
      </c>
      <c r="B13487" s="2" t="str">
        <f ca="1">IFERROR(__xludf.DUMMYFUNCTION("""COMPUTED_VALUE"""),"usdc.e")</f>
        <v>usdc.e</v>
      </c>
      <c r="C13487" s="2" t="str">
        <f ca="1">IFERROR(__xludf.DUMMYFUNCTION("""COMPUTED_VALUE"""),"Rainbow Bridged USDC (Near)")</f>
        <v>Rainbow Bridged USDC (Near)</v>
      </c>
    </row>
    <row r="13488" spans="1:3" x14ac:dyDescent="0.25">
      <c r="A13488" s="2" t="str">
        <f ca="1">IFERROR(__xludf.DUMMYFUNCTION("""COMPUTED_VALUE"""),"usdc-yvault")</f>
        <v>usdc-yvault</v>
      </c>
      <c r="B13488" s="2" t="str">
        <f ca="1">IFERROR(__xludf.DUMMYFUNCTION("""COMPUTED_VALUE"""),"yvusdc")</f>
        <v>yvusdc</v>
      </c>
      <c r="C13488" s="2" t="str">
        <f ca="1">IFERROR(__xludf.DUMMYFUNCTION("""COMPUTED_VALUE"""),"USDC yVault")</f>
        <v>USDC yVault</v>
      </c>
    </row>
    <row r="13489" spans="1:3" x14ac:dyDescent="0.25">
      <c r="A13489" s="2" t="str">
        <f ca="1">IFERROR(__xludf.DUMMYFUNCTION("""COMPUTED_VALUE"""),"usdd")</f>
        <v>usdd</v>
      </c>
      <c r="B13489" s="2" t="str">
        <f ca="1">IFERROR(__xludf.DUMMYFUNCTION("""COMPUTED_VALUE"""),"usdd")</f>
        <v>usdd</v>
      </c>
      <c r="C13489" s="2" t="str">
        <f ca="1">IFERROR(__xludf.DUMMYFUNCTION("""COMPUTED_VALUE"""),"USDD")</f>
        <v>USDD</v>
      </c>
    </row>
    <row r="13490" spans="1:3" x14ac:dyDescent="0.25">
      <c r="A13490" s="2" t="str">
        <f ca="1">IFERROR(__xludf.DUMMYFUNCTION("""COMPUTED_VALUE"""),"usde-2")</f>
        <v>usde-2</v>
      </c>
      <c r="B13490" s="2" t="str">
        <f ca="1">IFERROR(__xludf.DUMMYFUNCTION("""COMPUTED_VALUE"""),"usde")</f>
        <v>usde</v>
      </c>
      <c r="C13490" s="2" t="str">
        <f ca="1">IFERROR(__xludf.DUMMYFUNCTION("""COMPUTED_VALUE"""),"USDE (ERD)")</f>
        <v>USDE (ERD)</v>
      </c>
    </row>
    <row r="13491" spans="1:3" x14ac:dyDescent="0.25">
      <c r="A13491" s="2" t="str">
        <f ca="1">IFERROR(__xludf.DUMMYFUNCTION("""COMPUTED_VALUE"""),"usdebt")</f>
        <v>usdebt</v>
      </c>
      <c r="B13491" s="2" t="str">
        <f ca="1">IFERROR(__xludf.DUMMYFUNCTION("""COMPUTED_VALUE"""),"usdebt")</f>
        <v>usdebt</v>
      </c>
      <c r="C13491" s="2" t="str">
        <f ca="1">IFERROR(__xludf.DUMMYFUNCTION("""COMPUTED_VALUE"""),"USDEBT")</f>
        <v>USDEBT</v>
      </c>
    </row>
    <row r="13492" spans="1:3" x14ac:dyDescent="0.25">
      <c r="A13492" s="2" t="str">
        <f ca="1">IFERROR(__xludf.DUMMYFUNCTION("""COMPUTED_VALUE"""),"us-degen-index-6900")</f>
        <v>us-degen-index-6900</v>
      </c>
      <c r="B13492" s="2" t="str">
        <f ca="1">IFERROR(__xludf.DUMMYFUNCTION("""COMPUTED_VALUE"""),"dxy")</f>
        <v>dxy</v>
      </c>
      <c r="C13492" s="2" t="str">
        <f ca="1">IFERROR(__xludf.DUMMYFUNCTION("""COMPUTED_VALUE"""),"US Degen Index 6900")</f>
        <v>US Degen Index 6900</v>
      </c>
    </row>
    <row r="13493" spans="1:3" x14ac:dyDescent="0.25">
      <c r="A13493" s="2" t="str">
        <f ca="1">IFERROR(__xludf.DUMMYFUNCTION("""COMPUTED_VALUE"""),"usdex-8136b88a-eceb-4eaf-b910-9578cbc70136")</f>
        <v>usdex-8136b88a-eceb-4eaf-b910-9578cbc70136</v>
      </c>
      <c r="B13493" s="2" t="str">
        <f ca="1">IFERROR(__xludf.DUMMYFUNCTION("""COMPUTED_VALUE"""),"usdex+")</f>
        <v>usdex+</v>
      </c>
      <c r="C13493" s="2" t="str">
        <f ca="1">IFERROR(__xludf.DUMMYFUNCTION("""COMPUTED_VALUE"""),"USDEX+")</f>
        <v>USDEX+</v>
      </c>
    </row>
    <row r="13494" spans="1:3" x14ac:dyDescent="0.25">
      <c r="A13494" s="2" t="str">
        <f ca="1">IFERROR(__xludf.DUMMYFUNCTION("""COMPUTED_VALUE"""),"usdfi")</f>
        <v>usdfi</v>
      </c>
      <c r="B13494" s="2" t="str">
        <f ca="1">IFERROR(__xludf.DUMMYFUNCTION("""COMPUTED_VALUE"""),"usdfi")</f>
        <v>usdfi</v>
      </c>
      <c r="C13494" s="2" t="str">
        <f ca="1">IFERROR(__xludf.DUMMYFUNCTION("""COMPUTED_VALUE"""),"USDFI")</f>
        <v>USDFI</v>
      </c>
    </row>
    <row r="13495" spans="1:3" x14ac:dyDescent="0.25">
      <c r="A13495" s="2" t="str">
        <f ca="1">IFERROR(__xludf.DUMMYFUNCTION("""COMPUTED_VALUE"""),"usdfi-stable")</f>
        <v>usdfi-stable</v>
      </c>
      <c r="B13495" s="2" t="str">
        <f ca="1">IFERROR(__xludf.DUMMYFUNCTION("""COMPUTED_VALUE"""),"stable")</f>
        <v>stable</v>
      </c>
      <c r="C13495" s="2" t="str">
        <f ca="1">IFERROR(__xludf.DUMMYFUNCTION("""COMPUTED_VALUE"""),"Stable")</f>
        <v>Stable</v>
      </c>
    </row>
    <row r="13496" spans="1:3" x14ac:dyDescent="0.25">
      <c r="A13496" s="2" t="str">
        <f ca="1">IFERROR(__xludf.DUMMYFUNCTION("""COMPUTED_VALUE"""),"usdh")</f>
        <v>usdh</v>
      </c>
      <c r="B13496" s="2" t="str">
        <f ca="1">IFERROR(__xludf.DUMMYFUNCTION("""COMPUTED_VALUE"""),"usdh")</f>
        <v>usdh</v>
      </c>
      <c r="C13496" s="2" t="str">
        <f ca="1">IFERROR(__xludf.DUMMYFUNCTION("""COMPUTED_VALUE"""),"USDH")</f>
        <v>USDH</v>
      </c>
    </row>
    <row r="13497" spans="1:3" x14ac:dyDescent="0.25">
      <c r="A13497" s="2" t="str">
        <f ca="1">IFERROR(__xludf.DUMMYFUNCTION("""COMPUTED_VALUE"""),"usdm-2")</f>
        <v>usdm-2</v>
      </c>
      <c r="B13497" s="2" t="str">
        <f ca="1">IFERROR(__xludf.DUMMYFUNCTION("""COMPUTED_VALUE"""),"usdm")</f>
        <v>usdm</v>
      </c>
      <c r="C13497" s="2" t="str">
        <f ca="1">IFERROR(__xludf.DUMMYFUNCTION("""COMPUTED_VALUE"""),"USDM")</f>
        <v>USDM</v>
      </c>
    </row>
    <row r="13498" spans="1:3" x14ac:dyDescent="0.25">
      <c r="A13498" s="2" t="str">
        <f ca="1">IFERROR(__xludf.DUMMYFUNCTION("""COMPUTED_VALUE"""),"usd-mapped-token")</f>
        <v>usd-mapped-token</v>
      </c>
      <c r="B13498" s="2" t="str">
        <f ca="1">IFERROR(__xludf.DUMMYFUNCTION("""COMPUTED_VALUE"""),"usdm")</f>
        <v>usdm</v>
      </c>
      <c r="C13498" s="2" t="str">
        <f ca="1">IFERROR(__xludf.DUMMYFUNCTION("""COMPUTED_VALUE"""),"USD Mapped Token")</f>
        <v>USD Mapped Token</v>
      </c>
    </row>
    <row r="13499" spans="1:3" x14ac:dyDescent="0.25">
      <c r="A13499" s="2" t="str">
        <f ca="1">IFERROR(__xludf.DUMMYFUNCTION("""COMPUTED_VALUE"""),"usd-mars")</f>
        <v>usd-mars</v>
      </c>
      <c r="B13499" s="2" t="str">
        <f ca="1">IFERROR(__xludf.DUMMYFUNCTION("""COMPUTED_VALUE"""),"usdm")</f>
        <v>usdm</v>
      </c>
      <c r="C13499" s="2" t="str">
        <f ca="1">IFERROR(__xludf.DUMMYFUNCTION("""COMPUTED_VALUE"""),"USD Mars")</f>
        <v>USD Mars</v>
      </c>
    </row>
    <row r="13500" spans="1:3" x14ac:dyDescent="0.25">
      <c r="A13500" s="2" t="str">
        <f ca="1">IFERROR(__xludf.DUMMYFUNCTION("""COMPUTED_VALUE"""),"usds")</f>
        <v>usds</v>
      </c>
      <c r="B13500" s="2" t="str">
        <f ca="1">IFERROR(__xludf.DUMMYFUNCTION("""COMPUTED_VALUE"""),"usds")</f>
        <v>usds</v>
      </c>
      <c r="C13500" s="2" t="str">
        <f ca="1">IFERROR(__xludf.DUMMYFUNCTION("""COMPUTED_VALUE"""),"USDS")</f>
        <v>USDS</v>
      </c>
    </row>
    <row r="13501" spans="1:3" x14ac:dyDescent="0.25">
      <c r="A13501" s="2" t="str">
        <f ca="1">IFERROR(__xludf.DUMMYFUNCTION("""COMPUTED_VALUE"""),"usdtez")</f>
        <v>usdtez</v>
      </c>
      <c r="B13501" s="2" t="str">
        <f ca="1">IFERROR(__xludf.DUMMYFUNCTION("""COMPUTED_VALUE"""),"usdtz")</f>
        <v>usdtz</v>
      </c>
      <c r="C13501" s="2" t="str">
        <f ca="1">IFERROR(__xludf.DUMMYFUNCTION("""COMPUTED_VALUE"""),"USDtez")</f>
        <v>USDtez</v>
      </c>
    </row>
    <row r="13502" spans="1:3" x14ac:dyDescent="0.25">
      <c r="A13502" s="2" t="str">
        <f ca="1">IFERROR(__xludf.DUMMYFUNCTION("""COMPUTED_VALUE"""),"usdtplus")</f>
        <v>usdtplus</v>
      </c>
      <c r="B13502" s="2" t="str">
        <f ca="1">IFERROR(__xludf.DUMMYFUNCTION("""COMPUTED_VALUE"""),"usdt+")</f>
        <v>usdt+</v>
      </c>
      <c r="C13502" s="2" t="str">
        <f ca="1">IFERROR(__xludf.DUMMYFUNCTION("""COMPUTED_VALUE"""),"Overnight.fi USDT+")</f>
        <v>Overnight.fi USDT+</v>
      </c>
    </row>
    <row r="13503" spans="1:3" x14ac:dyDescent="0.25">
      <c r="A13503" s="2" t="str">
        <f ca="1">IFERROR(__xludf.DUMMYFUNCTION("""COMPUTED_VALUE"""),"usdt-yvault")</f>
        <v>usdt-yvault</v>
      </c>
      <c r="B13503" s="2" t="str">
        <f ca="1">IFERROR(__xludf.DUMMYFUNCTION("""COMPUTED_VALUE"""),"yvusdt")</f>
        <v>yvusdt</v>
      </c>
      <c r="C13503" s="2" t="str">
        <f ca="1">IFERROR(__xludf.DUMMYFUNCTION("""COMPUTED_VALUE"""),"USDT yVault")</f>
        <v>USDT yVault</v>
      </c>
    </row>
    <row r="13504" spans="1:3" x14ac:dyDescent="0.25">
      <c r="A13504" s="2" t="str">
        <f ca="1">IFERROR(__xludf.DUMMYFUNCTION("""COMPUTED_VALUE"""),"usdv-2")</f>
        <v>usdv-2</v>
      </c>
      <c r="B13504" s="2" t="str">
        <f ca="1">IFERROR(__xludf.DUMMYFUNCTION("""COMPUTED_VALUE"""),"usdv")</f>
        <v>usdv</v>
      </c>
      <c r="C13504" s="2" t="str">
        <f ca="1">IFERROR(__xludf.DUMMYFUNCTION("""COMPUTED_VALUE"""),"USDV")</f>
        <v>USDV</v>
      </c>
    </row>
    <row r="13505" spans="1:3" x14ac:dyDescent="0.25">
      <c r="A13505" s="2" t="str">
        <f ca="1">IFERROR(__xludf.DUMMYFUNCTION("""COMPUTED_VALUE"""),"usdx")</f>
        <v>usdx</v>
      </c>
      <c r="B13505" s="2" t="str">
        <f ca="1">IFERROR(__xludf.DUMMYFUNCTION("""COMPUTED_VALUE"""),"usdx")</f>
        <v>usdx</v>
      </c>
      <c r="C13505" s="2" t="str">
        <f ca="1">IFERROR(__xludf.DUMMYFUNCTION("""COMPUTED_VALUE"""),"USDX")</f>
        <v>USDX</v>
      </c>
    </row>
    <row r="13506" spans="1:3" x14ac:dyDescent="0.25">
      <c r="A13506" s="2" t="str">
        <f ca="1">IFERROR(__xludf.DUMMYFUNCTION("""COMPUTED_VALUE"""),"usdx-money-usdx")</f>
        <v>usdx-money-usdx</v>
      </c>
      <c r="B13506" s="2" t="str">
        <f ca="1">IFERROR(__xludf.DUMMYFUNCTION("""COMPUTED_VALUE"""),"usdx")</f>
        <v>usdx</v>
      </c>
      <c r="C13506" s="2" t="str">
        <f ca="1">IFERROR(__xludf.DUMMYFUNCTION("""COMPUTED_VALUE"""),"usdx.money USDX")</f>
        <v>usdx.money USDX</v>
      </c>
    </row>
    <row r="13507" spans="1:3" x14ac:dyDescent="0.25">
      <c r="A13507" s="2" t="str">
        <f ca="1">IFERROR(__xludf.DUMMYFUNCTION("""COMPUTED_VALUE"""),"usd-zee")</f>
        <v>usd-zee</v>
      </c>
      <c r="B13507" s="2" t="str">
        <f ca="1">IFERROR(__xludf.DUMMYFUNCTION("""COMPUTED_VALUE"""),"usdz")</f>
        <v>usdz</v>
      </c>
      <c r="C13507" s="2" t="str">
        <f ca="1">IFERROR(__xludf.DUMMYFUNCTION("""COMPUTED_VALUE"""),"USD ZEE")</f>
        <v>USD ZEE</v>
      </c>
    </row>
    <row r="13508" spans="1:3" x14ac:dyDescent="0.25">
      <c r="A13508" s="2" t="str">
        <f ca="1">IFERROR(__xludf.DUMMYFUNCTION("""COMPUTED_VALUE"""),"ushark")</f>
        <v>ushark</v>
      </c>
      <c r="B13508" s="2" t="str">
        <f ca="1">IFERROR(__xludf.DUMMYFUNCTION("""COMPUTED_VALUE"""),"ushark")</f>
        <v>ushark</v>
      </c>
      <c r="C13508" s="2" t="str">
        <f ca="1">IFERROR(__xludf.DUMMYFUNCTION("""COMPUTED_VALUE"""),"uShark Token")</f>
        <v>uShark Token</v>
      </c>
    </row>
    <row r="13509" spans="1:3" x14ac:dyDescent="0.25">
      <c r="A13509" s="2" t="str">
        <f ca="1">IFERROR(__xludf.DUMMYFUNCTION("""COMPUTED_VALUE"""),"ushi")</f>
        <v>ushi</v>
      </c>
      <c r="B13509" s="2" t="str">
        <f ca="1">IFERROR(__xludf.DUMMYFUNCTION("""COMPUTED_VALUE"""),"ushi")</f>
        <v>ushi</v>
      </c>
      <c r="C13509" s="2" t="str">
        <f ca="1">IFERROR(__xludf.DUMMYFUNCTION("""COMPUTED_VALUE"""),"Ushi")</f>
        <v>Ushi</v>
      </c>
    </row>
    <row r="13510" spans="1:3" x14ac:dyDescent="0.25">
      <c r="A13510" s="2" t="str">
        <f ca="1">IFERROR(__xludf.DUMMYFUNCTION("""COMPUTED_VALUE"""),"usk")</f>
        <v>usk</v>
      </c>
      <c r="B13510" s="2" t="str">
        <f ca="1">IFERROR(__xludf.DUMMYFUNCTION("""COMPUTED_VALUE"""),"usk")</f>
        <v>usk</v>
      </c>
      <c r="C13510" s="2" t="str">
        <f ca="1">IFERROR(__xludf.DUMMYFUNCTION("""COMPUTED_VALUE"""),"USK")</f>
        <v>USK</v>
      </c>
    </row>
    <row r="13511" spans="1:3" x14ac:dyDescent="0.25">
      <c r="A13511" s="2" t="str">
        <f ca="1">IFERROR(__xludf.DUMMYFUNCTION("""COMPUTED_VALUE"""),"usmeme")</f>
        <v>usmeme</v>
      </c>
      <c r="B13511" s="2" t="str">
        <f ca="1">IFERROR(__xludf.DUMMYFUNCTION("""COMPUTED_VALUE"""),"usm")</f>
        <v>usm</v>
      </c>
      <c r="C13511" s="2" t="str">
        <f ca="1">IFERROR(__xludf.DUMMYFUNCTION("""COMPUTED_VALUE"""),"USMeme")</f>
        <v>USMeme</v>
      </c>
    </row>
    <row r="13512" spans="1:3" x14ac:dyDescent="0.25">
      <c r="A13512" s="2" t="str">
        <f ca="1">IFERROR(__xludf.DUMMYFUNCTION("""COMPUTED_VALUE"""),"usual-usd")</f>
        <v>usual-usd</v>
      </c>
      <c r="B13512" s="2" t="str">
        <f ca="1">IFERROR(__xludf.DUMMYFUNCTION("""COMPUTED_VALUE"""),"usd0")</f>
        <v>usd0</v>
      </c>
      <c r="C13512" s="2" t="str">
        <f ca="1">IFERROR(__xludf.DUMMYFUNCTION("""COMPUTED_VALUE"""),"Usual USD")</f>
        <v>Usual USD</v>
      </c>
    </row>
    <row r="13513" spans="1:3" x14ac:dyDescent="0.25">
      <c r="A13513" s="2" t="str">
        <f ca="1">IFERROR(__xludf.DUMMYFUNCTION("""COMPUTED_VALUE"""),"utility-ape")</f>
        <v>utility-ape</v>
      </c>
      <c r="B13513" s="2" t="str">
        <f ca="1">IFERROR(__xludf.DUMMYFUNCTION("""COMPUTED_VALUE"""),"$banana")</f>
        <v>$banana</v>
      </c>
      <c r="C13513" s="2" t="str">
        <f ca="1">IFERROR(__xludf.DUMMYFUNCTION("""COMPUTED_VALUE"""),"Utility Ape")</f>
        <v>Utility Ape</v>
      </c>
    </row>
    <row r="13514" spans="1:3" x14ac:dyDescent="0.25">
      <c r="A13514" s="2" t="str">
        <f ca="1">IFERROR(__xludf.DUMMYFUNCTION("""COMPUTED_VALUE"""),"utility-net")</f>
        <v>utility-net</v>
      </c>
      <c r="B13514" s="2" t="str">
        <f ca="1">IFERROR(__xludf.DUMMYFUNCTION("""COMPUTED_VALUE"""),"unc")</f>
        <v>unc</v>
      </c>
      <c r="C13514" s="2" t="str">
        <f ca="1">IFERROR(__xludf.DUMMYFUNCTION("""COMPUTED_VALUE"""),"Utility Net")</f>
        <v>Utility Net</v>
      </c>
    </row>
    <row r="13515" spans="1:3" x14ac:dyDescent="0.25">
      <c r="A13515" s="2" t="str">
        <f ca="1">IFERROR(__xludf.DUMMYFUNCTION("""COMPUTED_VALUE"""),"utility-nexusmind")</f>
        <v>utility-nexusmind</v>
      </c>
      <c r="B13515" s="2" t="str">
        <f ca="1">IFERROR(__xludf.DUMMYFUNCTION("""COMPUTED_VALUE"""),"unmd")</f>
        <v>unmd</v>
      </c>
      <c r="C13515" s="2" t="str">
        <f ca="1">IFERROR(__xludf.DUMMYFUNCTION("""COMPUTED_VALUE"""),"Utility NexusMind")</f>
        <v>Utility NexusMind</v>
      </c>
    </row>
    <row r="13516" spans="1:3" x14ac:dyDescent="0.25">
      <c r="A13516" s="2" t="str">
        <f ca="1">IFERROR(__xludf.DUMMYFUNCTION("""COMPUTED_VALUE"""),"utility-web3shot")</f>
        <v>utility-web3shot</v>
      </c>
      <c r="B13516" s="2" t="str">
        <f ca="1">IFERROR(__xludf.DUMMYFUNCTION("""COMPUTED_VALUE"""),"uw3s")</f>
        <v>uw3s</v>
      </c>
      <c r="C13516" s="2" t="str">
        <f ca="1">IFERROR(__xludf.DUMMYFUNCTION("""COMPUTED_VALUE"""),"Utility Web3Shot")</f>
        <v>Utility Web3Shot</v>
      </c>
    </row>
    <row r="13517" spans="1:3" x14ac:dyDescent="0.25">
      <c r="A13517" s="2" t="str">
        <f ca="1">IFERROR(__xludf.DUMMYFUNCTION("""COMPUTED_VALUE"""),"utix")</f>
        <v>utix</v>
      </c>
      <c r="B13517" s="2" t="str">
        <f ca="1">IFERROR(__xludf.DUMMYFUNCTION("""COMPUTED_VALUE"""),"utx")</f>
        <v>utx</v>
      </c>
      <c r="C13517" s="2" t="str">
        <f ca="1">IFERROR(__xludf.DUMMYFUNCTION("""COMPUTED_VALUE"""),"UTIX")</f>
        <v>UTIX</v>
      </c>
    </row>
    <row r="13518" spans="1:3" x14ac:dyDescent="0.25">
      <c r="A13518" s="2" t="str">
        <f ca="1">IFERROR(__xludf.DUMMYFUNCTION("""COMPUTED_VALUE"""),"utopia")</f>
        <v>utopia</v>
      </c>
      <c r="B13518" s="2" t="str">
        <f ca="1">IFERROR(__xludf.DUMMYFUNCTION("""COMPUTED_VALUE"""),"crp")</f>
        <v>crp</v>
      </c>
      <c r="C13518" s="2" t="str">
        <f ca="1">IFERROR(__xludf.DUMMYFUNCTION("""COMPUTED_VALUE"""),"Crypton")</f>
        <v>Crypton</v>
      </c>
    </row>
    <row r="13519" spans="1:3" x14ac:dyDescent="0.25">
      <c r="A13519" s="2" t="str">
        <f ca="1">IFERROR(__xludf.DUMMYFUNCTION("""COMPUTED_VALUE"""),"utopia-bot")</f>
        <v>utopia-bot</v>
      </c>
      <c r="B13519" s="2" t="str">
        <f ca="1">IFERROR(__xludf.DUMMYFUNCTION("""COMPUTED_VALUE"""),"ub")</f>
        <v>ub</v>
      </c>
      <c r="C13519" s="2" t="str">
        <f ca="1">IFERROR(__xludf.DUMMYFUNCTION("""COMPUTED_VALUE"""),"Utopia Bot")</f>
        <v>Utopia Bot</v>
      </c>
    </row>
    <row r="13520" spans="1:3" x14ac:dyDescent="0.25">
      <c r="A13520" s="2" t="str">
        <f ca="1">IFERROR(__xludf.DUMMYFUNCTION("""COMPUTED_VALUE"""),"utopia-usd")</f>
        <v>utopia-usd</v>
      </c>
      <c r="B13520" s="2" t="str">
        <f ca="1">IFERROR(__xludf.DUMMYFUNCTION("""COMPUTED_VALUE"""),"uusd")</f>
        <v>uusd</v>
      </c>
      <c r="C13520" s="2" t="str">
        <f ca="1">IFERROR(__xludf.DUMMYFUNCTION("""COMPUTED_VALUE"""),"Utopia USD")</f>
        <v>Utopia USD</v>
      </c>
    </row>
    <row r="13521" spans="1:3" x14ac:dyDescent="0.25">
      <c r="A13521" s="2" t="str">
        <f ca="1">IFERROR(__xludf.DUMMYFUNCTION("""COMPUTED_VALUE"""),"utrust")</f>
        <v>utrust</v>
      </c>
      <c r="B13521" s="2" t="str">
        <f ca="1">IFERROR(__xludf.DUMMYFUNCTION("""COMPUTED_VALUE"""),"utk")</f>
        <v>utk</v>
      </c>
      <c r="C13521" s="2" t="str">
        <f ca="1">IFERROR(__xludf.DUMMYFUNCTION("""COMPUTED_VALUE"""),"xMoney")</f>
        <v>xMoney</v>
      </c>
    </row>
    <row r="13522" spans="1:3" x14ac:dyDescent="0.25">
      <c r="A13522" s="2" t="str">
        <f ca="1">IFERROR(__xludf.DUMMYFUNCTION("""COMPUTED_VALUE"""),"utu-coin")</f>
        <v>utu-coin</v>
      </c>
      <c r="B13522" s="2" t="str">
        <f ca="1">IFERROR(__xludf.DUMMYFUNCTION("""COMPUTED_VALUE"""),"utu")</f>
        <v>utu</v>
      </c>
      <c r="C13522" s="2" t="str">
        <f ca="1">IFERROR(__xludf.DUMMYFUNCTION("""COMPUTED_VALUE"""),"UTU Coin")</f>
        <v>UTU Coin</v>
      </c>
    </row>
    <row r="13523" spans="1:3" x14ac:dyDescent="0.25">
      <c r="A13523" s="2" t="str">
        <f ca="1">IFERROR(__xludf.DUMMYFUNCTION("""COMPUTED_VALUE"""),"utxo")</f>
        <v>utxo</v>
      </c>
      <c r="B13523" s="2" t="str">
        <f ca="1">IFERROR(__xludf.DUMMYFUNCTION("""COMPUTED_VALUE"""),"utxo")</f>
        <v>utxo</v>
      </c>
      <c r="C13523" s="2" t="str">
        <f ca="1">IFERROR(__xludf.DUMMYFUNCTION("""COMPUTED_VALUE"""),"UTXO")</f>
        <v>UTXO</v>
      </c>
    </row>
    <row r="13524" spans="1:3" x14ac:dyDescent="0.25">
      <c r="A13524" s="2" t="str">
        <f ca="1">IFERROR(__xludf.DUMMYFUNCTION("""COMPUTED_VALUE"""),"utya")</f>
        <v>utya</v>
      </c>
      <c r="B13524" s="2" t="str">
        <f ca="1">IFERROR(__xludf.DUMMYFUNCTION("""COMPUTED_VALUE"""),"utya")</f>
        <v>utya</v>
      </c>
      <c r="C13524" s="2" t="str">
        <f ca="1">IFERROR(__xludf.DUMMYFUNCTION("""COMPUTED_VALUE"""),"Utya")</f>
        <v>Utya</v>
      </c>
    </row>
    <row r="13525" spans="1:3" x14ac:dyDescent="0.25">
      <c r="A13525" s="2" t="str">
        <f ca="1">IFERROR(__xludf.DUMMYFUNCTION("""COMPUTED_VALUE"""),"utya-black")</f>
        <v>utya-black</v>
      </c>
      <c r="B13525" s="2" t="str">
        <f ca="1">IFERROR(__xludf.DUMMYFUNCTION("""COMPUTED_VALUE"""),"utyab")</f>
        <v>utyab</v>
      </c>
      <c r="C13525" s="2" t="str">
        <f ca="1">IFERROR(__xludf.DUMMYFUNCTION("""COMPUTED_VALUE"""),"UTYABSWAP")</f>
        <v>UTYABSWAP</v>
      </c>
    </row>
    <row r="13526" spans="1:3" x14ac:dyDescent="0.25">
      <c r="A13526" s="2" t="str">
        <f ca="1">IFERROR(__xludf.DUMMYFUNCTION("""COMPUTED_VALUE"""),"uwon")</f>
        <v>uwon</v>
      </c>
      <c r="B13526" s="2" t="str">
        <f ca="1">IFERROR(__xludf.DUMMYFUNCTION("""COMPUTED_VALUE"""),"uwon")</f>
        <v>uwon</v>
      </c>
      <c r="C13526" s="2" t="str">
        <f ca="1">IFERROR(__xludf.DUMMYFUNCTION("""COMPUTED_VALUE"""),"UWON")</f>
        <v>UWON</v>
      </c>
    </row>
    <row r="13527" spans="1:3" x14ac:dyDescent="0.25">
      <c r="A13527" s="2" t="str">
        <f ca="1">IFERROR(__xludf.DUMMYFUNCTION("""COMPUTED_VALUE"""),"uwu-lend")</f>
        <v>uwu-lend</v>
      </c>
      <c r="B13527" s="2" t="str">
        <f ca="1">IFERROR(__xludf.DUMMYFUNCTION("""COMPUTED_VALUE"""),"uwu")</f>
        <v>uwu</v>
      </c>
      <c r="C13527" s="2" t="str">
        <f ca="1">IFERROR(__xludf.DUMMYFUNCTION("""COMPUTED_VALUE"""),"UwU Lend")</f>
        <v>UwU Lend</v>
      </c>
    </row>
    <row r="13528" spans="1:3" x14ac:dyDescent="0.25">
      <c r="A13528" s="2" t="str">
        <f ca="1">IFERROR(__xludf.DUMMYFUNCTION("""COMPUTED_VALUE"""),"uxd-protocol-token")</f>
        <v>uxd-protocol-token</v>
      </c>
      <c r="B13528" s="2" t="str">
        <f ca="1">IFERROR(__xludf.DUMMYFUNCTION("""COMPUTED_VALUE"""),"uxp")</f>
        <v>uxp</v>
      </c>
      <c r="C13528" s="2" t="str">
        <f ca="1">IFERROR(__xludf.DUMMYFUNCTION("""COMPUTED_VALUE"""),"UXD Protocol")</f>
        <v>UXD Protocol</v>
      </c>
    </row>
    <row r="13529" spans="1:3" x14ac:dyDescent="0.25">
      <c r="A13529" s="2" t="str">
        <f ca="1">IFERROR(__xludf.DUMMYFUNCTION("""COMPUTED_VALUE"""),"uxd-stablecoin")</f>
        <v>uxd-stablecoin</v>
      </c>
      <c r="B13529" s="2" t="str">
        <f ca="1">IFERROR(__xludf.DUMMYFUNCTION("""COMPUTED_VALUE"""),"uxd")</f>
        <v>uxd</v>
      </c>
      <c r="C13529" s="2" t="str">
        <f ca="1">IFERROR(__xludf.DUMMYFUNCTION("""COMPUTED_VALUE"""),"UXD Stablecoin")</f>
        <v>UXD Stablecoin</v>
      </c>
    </row>
    <row r="13530" spans="1:3" x14ac:dyDescent="0.25">
      <c r="A13530" s="2" t="str">
        <f ca="1">IFERROR(__xludf.DUMMYFUNCTION("""COMPUTED_VALUE"""),"uxlink")</f>
        <v>uxlink</v>
      </c>
      <c r="B13530" s="2" t="str">
        <f ca="1">IFERROR(__xludf.DUMMYFUNCTION("""COMPUTED_VALUE"""),"uxlink")</f>
        <v>uxlink</v>
      </c>
      <c r="C13530" s="2" t="str">
        <f ca="1">IFERROR(__xludf.DUMMYFUNCTION("""COMPUTED_VALUE"""),"UXLINK")</f>
        <v>UXLINK</v>
      </c>
    </row>
    <row r="13531" spans="1:3" x14ac:dyDescent="0.25">
      <c r="A13531" s="2" t="str">
        <f ca="1">IFERROR(__xludf.DUMMYFUNCTION("""COMPUTED_VALUE"""),"v3s-share")</f>
        <v>v3s-share</v>
      </c>
      <c r="B13531" s="2" t="str">
        <f ca="1">IFERROR(__xludf.DUMMYFUNCTION("""COMPUTED_VALUE"""),"vshare")</f>
        <v>vshare</v>
      </c>
      <c r="C13531" s="2" t="str">
        <f ca="1">IFERROR(__xludf.DUMMYFUNCTION("""COMPUTED_VALUE"""),"V3S Share")</f>
        <v>V3S Share</v>
      </c>
    </row>
    <row r="13532" spans="1:3" x14ac:dyDescent="0.25">
      <c r="A13532" s="2" t="str">
        <f ca="1">IFERROR(__xludf.DUMMYFUNCTION("""COMPUTED_VALUE"""),"vabble")</f>
        <v>vabble</v>
      </c>
      <c r="B13532" s="2" t="str">
        <f ca="1">IFERROR(__xludf.DUMMYFUNCTION("""COMPUTED_VALUE"""),"vab")</f>
        <v>vab</v>
      </c>
      <c r="C13532" s="2" t="str">
        <f ca="1">IFERROR(__xludf.DUMMYFUNCTION("""COMPUTED_VALUE"""),"Vabble")</f>
        <v>Vabble</v>
      </c>
    </row>
    <row r="13533" spans="1:3" x14ac:dyDescent="0.25">
      <c r="A13533" s="2" t="str">
        <f ca="1">IFERROR(__xludf.DUMMYFUNCTION("""COMPUTED_VALUE"""),"vader-protocol")</f>
        <v>vader-protocol</v>
      </c>
      <c r="B13533" s="2" t="str">
        <f ca="1">IFERROR(__xludf.DUMMYFUNCTION("""COMPUTED_VALUE"""),"vader")</f>
        <v>vader</v>
      </c>
      <c r="C13533" s="2" t="str">
        <f ca="1">IFERROR(__xludf.DUMMYFUNCTION("""COMPUTED_VALUE"""),"Vader Protocol")</f>
        <v>Vader Protocol</v>
      </c>
    </row>
    <row r="13534" spans="1:3" x14ac:dyDescent="0.25">
      <c r="A13534" s="2" t="str">
        <f ca="1">IFERROR(__xludf.DUMMYFUNCTION("""COMPUTED_VALUE"""),"vai")</f>
        <v>vai</v>
      </c>
      <c r="B13534" s="2" t="str">
        <f ca="1">IFERROR(__xludf.DUMMYFUNCTION("""COMPUTED_VALUE"""),"vai")</f>
        <v>vai</v>
      </c>
      <c r="C13534" s="2" t="str">
        <f ca="1">IFERROR(__xludf.DUMMYFUNCTION("""COMPUTED_VALUE"""),"Vai")</f>
        <v>Vai</v>
      </c>
    </row>
    <row r="13535" spans="1:3" x14ac:dyDescent="0.25">
      <c r="A13535" s="2" t="str">
        <f ca="1">IFERROR(__xludf.DUMMYFUNCTION("""COMPUTED_VALUE"""),"vaiot")</f>
        <v>vaiot</v>
      </c>
      <c r="B13535" s="2" t="str">
        <f ca="1">IFERROR(__xludf.DUMMYFUNCTION("""COMPUTED_VALUE"""),"vai")</f>
        <v>vai</v>
      </c>
      <c r="C13535" s="2" t="str">
        <f ca="1">IFERROR(__xludf.DUMMYFUNCTION("""COMPUTED_VALUE"""),"Vaiot")</f>
        <v>Vaiot</v>
      </c>
    </row>
    <row r="13536" spans="1:3" x14ac:dyDescent="0.25">
      <c r="A13536" s="2" t="str">
        <f ca="1">IFERROR(__xludf.DUMMYFUNCTION("""COMPUTED_VALUE"""),"valencia-cf-fan-token")</f>
        <v>valencia-cf-fan-token</v>
      </c>
      <c r="B13536" s="2" t="str">
        <f ca="1">IFERROR(__xludf.DUMMYFUNCTION("""COMPUTED_VALUE"""),"vcf")</f>
        <v>vcf</v>
      </c>
      <c r="C13536" s="2" t="str">
        <f ca="1">IFERROR(__xludf.DUMMYFUNCTION("""COMPUTED_VALUE"""),"Valencia CF Fan Token")</f>
        <v>Valencia CF Fan Token</v>
      </c>
    </row>
    <row r="13537" spans="1:3" x14ac:dyDescent="0.25">
      <c r="A13537" s="2" t="str">
        <f ca="1">IFERROR(__xludf.DUMMYFUNCTION("""COMPUTED_VALUE"""),"valentine-floki")</f>
        <v>valentine-floki</v>
      </c>
      <c r="B13537" s="2" t="str">
        <f ca="1">IFERROR(__xludf.DUMMYFUNCTION("""COMPUTED_VALUE"""),"toshe")</f>
        <v>toshe</v>
      </c>
      <c r="C13537" s="2" t="str">
        <f ca="1">IFERROR(__xludf.DUMMYFUNCTION("""COMPUTED_VALUE"""),"TOSHE")</f>
        <v>TOSHE</v>
      </c>
    </row>
    <row r="13538" spans="1:3" x14ac:dyDescent="0.25">
      <c r="A13538" s="2" t="str">
        <f ca="1">IFERROR(__xludf.DUMMYFUNCTION("""COMPUTED_VALUE"""),"valeria")</f>
        <v>valeria</v>
      </c>
      <c r="B13538" s="2" t="str">
        <f ca="1">IFERROR(__xludf.DUMMYFUNCTION("""COMPUTED_VALUE"""),"val")</f>
        <v>val</v>
      </c>
      <c r="C13538" s="2" t="str">
        <f ca="1">IFERROR(__xludf.DUMMYFUNCTION("""COMPUTED_VALUE"""),"Valeria")</f>
        <v>Valeria</v>
      </c>
    </row>
    <row r="13539" spans="1:3" x14ac:dyDescent="0.25">
      <c r="A13539" s="2" t="str">
        <f ca="1">IFERROR(__xludf.DUMMYFUNCTION("""COMPUTED_VALUE"""),"validao")</f>
        <v>validao</v>
      </c>
      <c r="B13539" s="2" t="str">
        <f ca="1">IFERROR(__xludf.DUMMYFUNCTION("""COMPUTED_VALUE"""),"vdo")</f>
        <v>vdo</v>
      </c>
      <c r="C13539" s="2" t="str">
        <f ca="1">IFERROR(__xludf.DUMMYFUNCTION("""COMPUTED_VALUE"""),"ValiDAO")</f>
        <v>ValiDAO</v>
      </c>
    </row>
    <row r="13540" spans="1:3" x14ac:dyDescent="0.25">
      <c r="A13540" s="2" t="str">
        <f ca="1">IFERROR(__xludf.DUMMYFUNCTION("""COMPUTED_VALUE"""),"valinity")</f>
        <v>valinity</v>
      </c>
      <c r="B13540" s="2" t="str">
        <f ca="1">IFERROR(__xludf.DUMMYFUNCTION("""COMPUTED_VALUE"""),"vy")</f>
        <v>vy</v>
      </c>
      <c r="C13540" s="2" t="str">
        <f ca="1">IFERROR(__xludf.DUMMYFUNCTION("""COMPUTED_VALUE"""),"Valinity")</f>
        <v>Valinity</v>
      </c>
    </row>
    <row r="13541" spans="1:3" x14ac:dyDescent="0.25">
      <c r="A13541" s="2" t="str">
        <f ca="1">IFERROR(__xludf.DUMMYFUNCTION("""COMPUTED_VALUE"""),"valleydao")</f>
        <v>valleydao</v>
      </c>
      <c r="B13541" s="2" t="str">
        <f ca="1">IFERROR(__xludf.DUMMYFUNCTION("""COMPUTED_VALUE"""),"grow")</f>
        <v>grow</v>
      </c>
      <c r="C13541" s="2" t="str">
        <f ca="1">IFERROR(__xludf.DUMMYFUNCTION("""COMPUTED_VALUE"""),"ValleyDAO")</f>
        <v>ValleyDAO</v>
      </c>
    </row>
    <row r="13542" spans="1:3" x14ac:dyDescent="0.25">
      <c r="A13542" s="2" t="str">
        <f ca="1">IFERROR(__xludf.DUMMYFUNCTION("""COMPUTED_VALUE"""),"valobit")</f>
        <v>valobit</v>
      </c>
      <c r="B13542" s="2" t="str">
        <f ca="1">IFERROR(__xludf.DUMMYFUNCTION("""COMPUTED_VALUE"""),"vbit")</f>
        <v>vbit</v>
      </c>
      <c r="C13542" s="2" t="str">
        <f ca="1">IFERROR(__xludf.DUMMYFUNCTION("""COMPUTED_VALUE"""),"VALOBIT")</f>
        <v>VALOBIT</v>
      </c>
    </row>
    <row r="13543" spans="1:3" x14ac:dyDescent="0.25">
      <c r="A13543" s="2" t="str">
        <f ca="1">IFERROR(__xludf.DUMMYFUNCTION("""COMPUTED_VALUE"""),"value")</f>
        <v>value</v>
      </c>
      <c r="B13543" s="2" t="str">
        <f ca="1">IFERROR(__xludf.DUMMYFUNCTION("""COMPUTED_VALUE"""),"valu")</f>
        <v>valu</v>
      </c>
      <c r="C13543" s="2" t="str">
        <f ca="1">IFERROR(__xludf.DUMMYFUNCTION("""COMPUTED_VALUE"""),"Value")</f>
        <v>Value</v>
      </c>
    </row>
    <row r="13544" spans="1:3" x14ac:dyDescent="0.25">
      <c r="A13544" s="2" t="str">
        <f ca="1">IFERROR(__xludf.DUMMYFUNCTION("""COMPUTED_VALUE"""),"value-liquidity")</f>
        <v>value-liquidity</v>
      </c>
      <c r="B13544" s="2" t="str">
        <f ca="1">IFERROR(__xludf.DUMMYFUNCTION("""COMPUTED_VALUE"""),"value")</f>
        <v>value</v>
      </c>
      <c r="C13544" s="2" t="str">
        <f ca="1">IFERROR(__xludf.DUMMYFUNCTION("""COMPUTED_VALUE"""),"Value DeFi")</f>
        <v>Value DeFi</v>
      </c>
    </row>
    <row r="13545" spans="1:3" x14ac:dyDescent="0.25">
      <c r="A13545" s="2" t="str">
        <f ca="1">IFERROR(__xludf.DUMMYFUNCTION("""COMPUTED_VALUE"""),"vanar-chain")</f>
        <v>vanar-chain</v>
      </c>
      <c r="B13545" s="2" t="str">
        <f ca="1">IFERROR(__xludf.DUMMYFUNCTION("""COMPUTED_VALUE"""),"vanry")</f>
        <v>vanry</v>
      </c>
      <c r="C13545" s="2" t="str">
        <f ca="1">IFERROR(__xludf.DUMMYFUNCTION("""COMPUTED_VALUE"""),"Vanar Chain")</f>
        <v>Vanar Chain</v>
      </c>
    </row>
    <row r="13546" spans="1:3" x14ac:dyDescent="0.25">
      <c r="A13546" s="2" t="str">
        <f ca="1">IFERROR(__xludf.DUMMYFUNCTION("""COMPUTED_VALUE"""),"vana-world")</f>
        <v>vana-world</v>
      </c>
      <c r="B13546" s="2" t="str">
        <f ca="1">IFERROR(__xludf.DUMMYFUNCTION("""COMPUTED_VALUE"""),"vana")</f>
        <v>vana</v>
      </c>
      <c r="C13546" s="2" t="str">
        <f ca="1">IFERROR(__xludf.DUMMYFUNCTION("""COMPUTED_VALUE"""),"NIRVANA")</f>
        <v>NIRVANA</v>
      </c>
    </row>
    <row r="13547" spans="1:3" x14ac:dyDescent="0.25">
      <c r="A13547" s="2" t="str">
        <f ca="1">IFERROR(__xludf.DUMMYFUNCTION("""COMPUTED_VALUE"""),"vanguard-embedding-solutions")</f>
        <v>vanguard-embedding-solutions</v>
      </c>
      <c r="B13547" s="2" t="str">
        <f ca="1">IFERROR(__xludf.DUMMYFUNCTION("""COMPUTED_VALUE"""),"ves")</f>
        <v>ves</v>
      </c>
      <c r="C13547" s="2" t="str">
        <f ca="1">IFERROR(__xludf.DUMMYFUNCTION("""COMPUTED_VALUE"""),"Vanguard Embedding Solutions")</f>
        <v>Vanguard Embedding Solutions</v>
      </c>
    </row>
    <row r="13548" spans="1:3" x14ac:dyDescent="0.25">
      <c r="A13548" s="2" t="str">
        <f ca="1">IFERROR(__xludf.DUMMYFUNCTION("""COMPUTED_VALUE"""),"vanguard-real-estate-tokenized-stock-defichain")</f>
        <v>vanguard-real-estate-tokenized-stock-defichain</v>
      </c>
      <c r="B13548" s="2" t="str">
        <f ca="1">IFERROR(__xludf.DUMMYFUNCTION("""COMPUTED_VALUE"""),"dvnq")</f>
        <v>dvnq</v>
      </c>
      <c r="C13548" s="2" t="str">
        <f ca="1">IFERROR(__xludf.DUMMYFUNCTION("""COMPUTED_VALUE"""),"Vanguard Real Estate Tokenized Stock Defichain")</f>
        <v>Vanguard Real Estate Tokenized Stock Defichain</v>
      </c>
    </row>
    <row r="13549" spans="1:3" x14ac:dyDescent="0.25">
      <c r="A13549" s="2" t="str">
        <f ca="1">IFERROR(__xludf.DUMMYFUNCTION("""COMPUTED_VALUE"""),"vanguard-sp-500-etf-tokenized-stock-defichain")</f>
        <v>vanguard-sp-500-etf-tokenized-stock-defichain</v>
      </c>
      <c r="B13549" s="2" t="str">
        <f ca="1">IFERROR(__xludf.DUMMYFUNCTION("""COMPUTED_VALUE"""),"dvoo")</f>
        <v>dvoo</v>
      </c>
      <c r="C13549" s="2" t="str">
        <f ca="1">IFERROR(__xludf.DUMMYFUNCTION("""COMPUTED_VALUE"""),"Vanguard S&amp;P 500 ETF Tokenized Stock Defichain")</f>
        <v>Vanguard S&amp;P 500 ETF Tokenized Stock Defichain</v>
      </c>
    </row>
    <row r="13550" spans="1:3" x14ac:dyDescent="0.25">
      <c r="A13550" s="2" t="str">
        <f ca="1">IFERROR(__xludf.DUMMYFUNCTION("""COMPUTED_VALUE"""),"vanilla-2")</f>
        <v>vanilla-2</v>
      </c>
      <c r="B13550" s="2" t="str">
        <f ca="1">IFERROR(__xludf.DUMMYFUNCTION("""COMPUTED_VALUE"""),"bum")</f>
        <v>bum</v>
      </c>
      <c r="C13550" s="2" t="str">
        <f ca="1">IFERROR(__xludf.DUMMYFUNCTION("""COMPUTED_VALUE"""),"Vanilla")</f>
        <v>Vanilla</v>
      </c>
    </row>
    <row r="13551" spans="1:3" x14ac:dyDescent="0.25">
      <c r="A13551" s="2" t="str">
        <f ca="1">IFERROR(__xludf.DUMMYFUNCTION("""COMPUTED_VALUE"""),"vanity")</f>
        <v>vanity</v>
      </c>
      <c r="B13551" s="2" t="str">
        <f ca="1">IFERROR(__xludf.DUMMYFUNCTION("""COMPUTED_VALUE"""),"vny")</f>
        <v>vny</v>
      </c>
      <c r="C13551" s="2" t="str">
        <f ca="1">IFERROR(__xludf.DUMMYFUNCTION("""COMPUTED_VALUE"""),"Vanity")</f>
        <v>Vanity</v>
      </c>
    </row>
    <row r="13552" spans="1:3" x14ac:dyDescent="0.25">
      <c r="A13552" s="2" t="str">
        <f ca="1">IFERROR(__xludf.DUMMYFUNCTION("""COMPUTED_VALUE"""),"vape")</f>
        <v>vape</v>
      </c>
      <c r="B13552" s="2" t="str">
        <f ca="1">IFERROR(__xludf.DUMMYFUNCTION("""COMPUTED_VALUE"""),"vape")</f>
        <v>vape</v>
      </c>
      <c r="C13552" s="2" t="str">
        <f ca="1">IFERROR(__xludf.DUMMYFUNCTION("""COMPUTED_VALUE"""),"VAPE")</f>
        <v>VAPE</v>
      </c>
    </row>
    <row r="13553" spans="1:3" x14ac:dyDescent="0.25">
      <c r="A13553" s="2" t="str">
        <f ca="1">IFERROR(__xludf.DUMMYFUNCTION("""COMPUTED_VALUE"""),"vaporfi")</f>
        <v>vaporfi</v>
      </c>
      <c r="B13553" s="2" t="str">
        <f ca="1">IFERROR(__xludf.DUMMYFUNCTION("""COMPUTED_VALUE"""),"vape")</f>
        <v>vape</v>
      </c>
      <c r="C13553" s="2" t="str">
        <f ca="1">IFERROR(__xludf.DUMMYFUNCTION("""COMPUTED_VALUE"""),"VAPE")</f>
        <v>VAPE</v>
      </c>
    </row>
    <row r="13554" spans="1:3" x14ac:dyDescent="0.25">
      <c r="A13554" s="2" t="str">
        <f ca="1">IFERROR(__xludf.DUMMYFUNCTION("""COMPUTED_VALUE"""),"vapornodes")</f>
        <v>vapornodes</v>
      </c>
      <c r="B13554" s="2" t="str">
        <f ca="1">IFERROR(__xludf.DUMMYFUNCTION("""COMPUTED_VALUE"""),"vpnd")</f>
        <v>vpnd</v>
      </c>
      <c r="C13554" s="2" t="str">
        <f ca="1">IFERROR(__xludf.DUMMYFUNCTION("""COMPUTED_VALUE"""),"VaporNodes")</f>
        <v>VaporNodes</v>
      </c>
    </row>
    <row r="13555" spans="1:3" x14ac:dyDescent="0.25">
      <c r="A13555" s="2" t="str">
        <f ca="1">IFERROR(__xludf.DUMMYFUNCTION("""COMPUTED_VALUE"""),"vaporum-coin")</f>
        <v>vaporum-coin</v>
      </c>
      <c r="B13555" s="2" t="str">
        <f ca="1">IFERROR(__xludf.DUMMYFUNCTION("""COMPUTED_VALUE"""),"vprm")</f>
        <v>vprm</v>
      </c>
      <c r="C13555" s="2" t="str">
        <f ca="1">IFERROR(__xludf.DUMMYFUNCTION("""COMPUTED_VALUE"""),"Vaporum Coin")</f>
        <v>Vaporum Coin</v>
      </c>
    </row>
    <row r="13556" spans="1:3" x14ac:dyDescent="0.25">
      <c r="A13556" s="2" t="str">
        <f ca="1">IFERROR(__xludf.DUMMYFUNCTION("""COMPUTED_VALUE"""),"vapor-wallet")</f>
        <v>vapor-wallet</v>
      </c>
      <c r="B13556" s="2" t="str">
        <f ca="1">IFERROR(__xludf.DUMMYFUNCTION("""COMPUTED_VALUE"""),"vpr")</f>
        <v>vpr</v>
      </c>
      <c r="C13556" s="2" t="str">
        <f ca="1">IFERROR(__xludf.DUMMYFUNCTION("""COMPUTED_VALUE"""),"VaporFund")</f>
        <v>VaporFund</v>
      </c>
    </row>
    <row r="13557" spans="1:3" x14ac:dyDescent="0.25">
      <c r="A13557" s="2" t="str">
        <f ca="1">IFERROR(__xludf.DUMMYFUNCTION("""COMPUTED_VALUE"""),"vaporwave")</f>
        <v>vaporwave</v>
      </c>
      <c r="B13557" s="2" t="str">
        <f ca="1">IFERROR(__xludf.DUMMYFUNCTION("""COMPUTED_VALUE"""),"vwave")</f>
        <v>vwave</v>
      </c>
      <c r="C13557" s="2" t="str">
        <f ca="1">IFERROR(__xludf.DUMMYFUNCTION("""COMPUTED_VALUE"""),"Vaporwave")</f>
        <v>Vaporwave</v>
      </c>
    </row>
    <row r="13558" spans="1:3" x14ac:dyDescent="0.25">
      <c r="A13558" s="2" t="str">
        <f ca="1">IFERROR(__xludf.DUMMYFUNCTION("""COMPUTED_VALUE"""),"vara-network")</f>
        <v>vara-network</v>
      </c>
      <c r="B13558" s="2" t="str">
        <f ca="1">IFERROR(__xludf.DUMMYFUNCTION("""COMPUTED_VALUE"""),"vara")</f>
        <v>vara</v>
      </c>
      <c r="C13558" s="2" t="str">
        <f ca="1">IFERROR(__xludf.DUMMYFUNCTION("""COMPUTED_VALUE"""),"Vara Network")</f>
        <v>Vara Network</v>
      </c>
    </row>
    <row r="13559" spans="1:3" x14ac:dyDescent="0.25">
      <c r="A13559" s="2" t="str">
        <f ca="1">IFERROR(__xludf.DUMMYFUNCTION("""COMPUTED_VALUE"""),"varen")</f>
        <v>varen</v>
      </c>
      <c r="B13559" s="2" t="str">
        <f ca="1">IFERROR(__xludf.DUMMYFUNCTION("""COMPUTED_VALUE"""),"vrn")</f>
        <v>vrn</v>
      </c>
      <c r="C13559" s="2" t="str">
        <f ca="1">IFERROR(__xludf.DUMMYFUNCTION("""COMPUTED_VALUE"""),"Varen")</f>
        <v>Varen</v>
      </c>
    </row>
    <row r="13560" spans="1:3" x14ac:dyDescent="0.25">
      <c r="A13560" s="2" t="str">
        <f ca="1">IFERROR(__xludf.DUMMYFUNCTION("""COMPUTED_VALUE"""),"vasco-da-gama-fan-token")</f>
        <v>vasco-da-gama-fan-token</v>
      </c>
      <c r="B13560" s="2" t="str">
        <f ca="1">IFERROR(__xludf.DUMMYFUNCTION("""COMPUTED_VALUE"""),"vasco")</f>
        <v>vasco</v>
      </c>
      <c r="C13560" s="2" t="str">
        <f ca="1">IFERROR(__xludf.DUMMYFUNCTION("""COMPUTED_VALUE"""),"Vasco da Gama Fan Token")</f>
        <v>Vasco da Gama Fan Token</v>
      </c>
    </row>
    <row r="13561" spans="1:3" x14ac:dyDescent="0.25">
      <c r="A13561" s="2" t="str">
        <f ca="1">IFERROR(__xludf.DUMMYFUNCTION("""COMPUTED_VALUE"""),"vatra-inu")</f>
        <v>vatra-inu</v>
      </c>
      <c r="B13561" s="2" t="str">
        <f ca="1">IFERROR(__xludf.DUMMYFUNCTION("""COMPUTED_VALUE"""),"vatr")</f>
        <v>vatr</v>
      </c>
      <c r="C13561" s="2" t="str">
        <f ca="1">IFERROR(__xludf.DUMMYFUNCTION("""COMPUTED_VALUE"""),"Vatra INU")</f>
        <v>Vatra INU</v>
      </c>
    </row>
    <row r="13562" spans="1:3" x14ac:dyDescent="0.25">
      <c r="A13562" s="2" t="str">
        <f ca="1">IFERROR(__xludf.DUMMYFUNCTION("""COMPUTED_VALUE"""),"vaultcraft")</f>
        <v>vaultcraft</v>
      </c>
      <c r="B13562" s="2" t="str">
        <f ca="1">IFERROR(__xludf.DUMMYFUNCTION("""COMPUTED_VALUE"""),"vcx")</f>
        <v>vcx</v>
      </c>
      <c r="C13562" s="2" t="str">
        <f ca="1">IFERROR(__xludf.DUMMYFUNCTION("""COMPUTED_VALUE"""),"VaultCraft")</f>
        <v>VaultCraft</v>
      </c>
    </row>
    <row r="13563" spans="1:3" x14ac:dyDescent="0.25">
      <c r="A13563" s="2" t="str">
        <f ca="1">IFERROR(__xludf.DUMMYFUNCTION("""COMPUTED_VALUE"""),"vaultka")</f>
        <v>vaultka</v>
      </c>
      <c r="B13563" s="2" t="str">
        <f ca="1">IFERROR(__xludf.DUMMYFUNCTION("""COMPUTED_VALUE"""),"vka")</f>
        <v>vka</v>
      </c>
      <c r="C13563" s="2" t="str">
        <f ca="1">IFERROR(__xludf.DUMMYFUNCTION("""COMPUTED_VALUE"""),"Vaultka")</f>
        <v>Vaultka</v>
      </c>
    </row>
    <row r="13564" spans="1:3" x14ac:dyDescent="0.25">
      <c r="A13564" s="2" t="str">
        <f ca="1">IFERROR(__xludf.DUMMYFUNCTION("""COMPUTED_VALUE"""),"vaulttech")</f>
        <v>vaulttech</v>
      </c>
      <c r="B13564" s="2" t="str">
        <f ca="1">IFERROR(__xludf.DUMMYFUNCTION("""COMPUTED_VALUE"""),"$vault")</f>
        <v>$vault</v>
      </c>
      <c r="C13564" s="2" t="str">
        <f ca="1">IFERROR(__xludf.DUMMYFUNCTION("""COMPUTED_VALUE"""),"Vault AI")</f>
        <v>Vault AI</v>
      </c>
    </row>
    <row r="13565" spans="1:3" x14ac:dyDescent="0.25">
      <c r="A13565" s="2" t="str">
        <f ca="1">IFERROR(__xludf.DUMMYFUNCTION("""COMPUTED_VALUE"""),"vbswap")</f>
        <v>vbswap</v>
      </c>
      <c r="B13565" s="2" t="str">
        <f ca="1">IFERROR(__xludf.DUMMYFUNCTION("""COMPUTED_VALUE"""),"vbswap")</f>
        <v>vbswap</v>
      </c>
      <c r="C13565" s="2" t="str">
        <f ca="1">IFERROR(__xludf.DUMMYFUNCTION("""COMPUTED_VALUE"""),"vBSWAP")</f>
        <v>vBSWAP</v>
      </c>
    </row>
    <row r="13566" spans="1:3" x14ac:dyDescent="0.25">
      <c r="A13566" s="2" t="str">
        <f ca="1">IFERROR(__xludf.DUMMYFUNCTION("""COMPUTED_VALUE"""),"vcash")</f>
        <v>vcash</v>
      </c>
      <c r="B13566" s="2" t="str">
        <f ca="1">IFERROR(__xludf.DUMMYFUNCTION("""COMPUTED_VALUE"""),"xvc")</f>
        <v>xvc</v>
      </c>
      <c r="C13566" s="2" t="str">
        <f ca="1">IFERROR(__xludf.DUMMYFUNCTION("""COMPUTED_VALUE"""),"Vcash")</f>
        <v>Vcash</v>
      </c>
    </row>
    <row r="13567" spans="1:3" x14ac:dyDescent="0.25">
      <c r="A13567" s="2" t="str">
        <f ca="1">IFERROR(__xludf.DUMMYFUNCTION("""COMPUTED_VALUE"""),"vcgamers")</f>
        <v>vcgamers</v>
      </c>
      <c r="B13567" s="2" t="str">
        <f ca="1">IFERROR(__xludf.DUMMYFUNCTION("""COMPUTED_VALUE"""),"vcg")</f>
        <v>vcg</v>
      </c>
      <c r="C13567" s="2" t="str">
        <f ca="1">IFERROR(__xludf.DUMMYFUNCTION("""COMPUTED_VALUE"""),"VCGamers")</f>
        <v>VCGamers</v>
      </c>
    </row>
    <row r="13568" spans="1:3" x14ac:dyDescent="0.25">
      <c r="A13568" s="2" t="str">
        <f ca="1">IFERROR(__xludf.DUMMYFUNCTION("""COMPUTED_VALUE"""),"vcore")</f>
        <v>vcore</v>
      </c>
      <c r="B13568" s="2" t="str">
        <f ca="1">IFERROR(__xludf.DUMMYFUNCTION("""COMPUTED_VALUE"""),"vcore")</f>
        <v>vcore</v>
      </c>
      <c r="C13568" s="2" t="str">
        <f ca="1">IFERROR(__xludf.DUMMYFUNCTION("""COMPUTED_VALUE"""),"IMVU")</f>
        <v>IMVU</v>
      </c>
    </row>
    <row r="13569" spans="1:3" x14ac:dyDescent="0.25">
      <c r="A13569" s="2" t="str">
        <f ca="1">IFERROR(__xludf.DUMMYFUNCTION("""COMPUTED_VALUE"""),"veax")</f>
        <v>veax</v>
      </c>
      <c r="B13569" s="2" t="str">
        <f ca="1">IFERROR(__xludf.DUMMYFUNCTION("""COMPUTED_VALUE"""),"veax")</f>
        <v>veax</v>
      </c>
      <c r="C13569" s="2" t="str">
        <f ca="1">IFERROR(__xludf.DUMMYFUNCTION("""COMPUTED_VALUE"""),"Veax")</f>
        <v>Veax</v>
      </c>
    </row>
    <row r="13570" spans="1:3" x14ac:dyDescent="0.25">
      <c r="A13570" s="2" t="str">
        <f ca="1">IFERROR(__xludf.DUMMYFUNCTION("""COMPUTED_VALUE"""),"vechain")</f>
        <v>vechain</v>
      </c>
      <c r="B13570" s="2" t="str">
        <f ca="1">IFERROR(__xludf.DUMMYFUNCTION("""COMPUTED_VALUE"""),"vet")</f>
        <v>vet</v>
      </c>
      <c r="C13570" s="2" t="str">
        <f ca="1">IFERROR(__xludf.DUMMYFUNCTION("""COMPUTED_VALUE"""),"VeChain")</f>
        <v>VeChain</v>
      </c>
    </row>
    <row r="13571" spans="1:3" x14ac:dyDescent="0.25">
      <c r="A13571" s="2" t="str">
        <f ca="1">IFERROR(__xludf.DUMMYFUNCTION("""COMPUTED_VALUE"""),"veco")</f>
        <v>veco</v>
      </c>
      <c r="B13571" s="2" t="str">
        <f ca="1">IFERROR(__xludf.DUMMYFUNCTION("""COMPUTED_VALUE"""),"veco")</f>
        <v>veco</v>
      </c>
      <c r="C13571" s="2" t="str">
        <f ca="1">IFERROR(__xludf.DUMMYFUNCTION("""COMPUTED_VALUE"""),"Veco")</f>
        <v>Veco</v>
      </c>
    </row>
    <row r="13572" spans="1:3" x14ac:dyDescent="0.25">
      <c r="A13572" s="2" t="str">
        <f ca="1">IFERROR(__xludf.DUMMYFUNCTION("""COMPUTED_VALUE"""),"vecrv-dao-yvault")</f>
        <v>vecrv-dao-yvault</v>
      </c>
      <c r="B13572" s="2" t="str">
        <f ca="1">IFERROR(__xludf.DUMMYFUNCTION("""COMPUTED_VALUE"""),"yve-crvdao")</f>
        <v>yve-crvdao</v>
      </c>
      <c r="C13572" s="2" t="str">
        <f ca="1">IFERROR(__xludf.DUMMYFUNCTION("""COMPUTED_VALUE"""),"veCRV-DAO yVault")</f>
        <v>veCRV-DAO yVault</v>
      </c>
    </row>
    <row r="13573" spans="1:3" x14ac:dyDescent="0.25">
      <c r="A13573" s="2" t="str">
        <f ca="1">IFERROR(__xludf.DUMMYFUNCTION("""COMPUTED_VALUE"""),"vectorchat-ai")</f>
        <v>vectorchat-ai</v>
      </c>
      <c r="B13573" s="2" t="str">
        <f ca="1">IFERROR(__xludf.DUMMYFUNCTION("""COMPUTED_VALUE"""),"chat")</f>
        <v>chat</v>
      </c>
      <c r="C13573" s="3" t="str">
        <f ca="1">IFERROR(__xludf.DUMMYFUNCTION("""COMPUTED_VALUE"""),"VectorChat.ai")</f>
        <v>VectorChat.ai</v>
      </c>
    </row>
    <row r="13574" spans="1:3" x14ac:dyDescent="0.25">
      <c r="A13574" s="2" t="str">
        <f ca="1">IFERROR(__xludf.DUMMYFUNCTION("""COMPUTED_VALUE"""),"vector-eth")</f>
        <v>vector-eth</v>
      </c>
      <c r="B13574" s="2" t="str">
        <f ca="1">IFERROR(__xludf.DUMMYFUNCTION("""COMPUTED_VALUE"""),"veth")</f>
        <v>veth</v>
      </c>
      <c r="C13574" s="2" t="str">
        <f ca="1">IFERROR(__xludf.DUMMYFUNCTION("""COMPUTED_VALUE"""),"Vector ETH")</f>
        <v>Vector ETH</v>
      </c>
    </row>
    <row r="13575" spans="1:3" x14ac:dyDescent="0.25">
      <c r="A13575" s="2" t="str">
        <f ca="1">IFERROR(__xludf.DUMMYFUNCTION("""COMPUTED_VALUE"""),"vector-finance")</f>
        <v>vector-finance</v>
      </c>
      <c r="B13575" s="2" t="str">
        <f ca="1">IFERROR(__xludf.DUMMYFUNCTION("""COMPUTED_VALUE"""),"vtx")</f>
        <v>vtx</v>
      </c>
      <c r="C13575" s="2" t="str">
        <f ca="1">IFERROR(__xludf.DUMMYFUNCTION("""COMPUTED_VALUE"""),"Vector Finance")</f>
        <v>Vector Finance</v>
      </c>
    </row>
    <row r="13576" spans="1:3" x14ac:dyDescent="0.25">
      <c r="A13576" s="2" t="str">
        <f ca="1">IFERROR(__xludf.DUMMYFUNCTION("""COMPUTED_VALUE"""),"vector-reserve")</f>
        <v>vector-reserve</v>
      </c>
      <c r="B13576" s="2" t="str">
        <f ca="1">IFERROR(__xludf.DUMMYFUNCTION("""COMPUTED_VALUE"""),"vec")</f>
        <v>vec</v>
      </c>
      <c r="C13576" s="2" t="str">
        <f ca="1">IFERROR(__xludf.DUMMYFUNCTION("""COMPUTED_VALUE"""),"Vector Reserve")</f>
        <v>Vector Reserve</v>
      </c>
    </row>
    <row r="13577" spans="1:3" x14ac:dyDescent="0.25">
      <c r="A13577" s="2" t="str">
        <f ca="1">IFERROR(__xludf.DUMMYFUNCTION("""COMPUTED_VALUE"""),"vectorspace")</f>
        <v>vectorspace</v>
      </c>
      <c r="B13577" s="2" t="str">
        <f ca="1">IFERROR(__xludf.DUMMYFUNCTION("""COMPUTED_VALUE"""),"vxv")</f>
        <v>vxv</v>
      </c>
      <c r="C13577" s="2" t="str">
        <f ca="1">IFERROR(__xludf.DUMMYFUNCTION("""COMPUTED_VALUE"""),"Vectorspace AI")</f>
        <v>Vectorspace AI</v>
      </c>
    </row>
    <row r="13578" spans="1:3" x14ac:dyDescent="0.25">
      <c r="A13578" s="2" t="str">
        <f ca="1">IFERROR(__xludf.DUMMYFUNCTION("""COMPUTED_VALUE"""),"vector-space-biosciences-inc")</f>
        <v>vector-space-biosciences-inc</v>
      </c>
      <c r="B13578" s="2" t="str">
        <f ca="1">IFERROR(__xludf.DUMMYFUNCTION("""COMPUTED_VALUE"""),"sbio")</f>
        <v>sbio</v>
      </c>
      <c r="C13578" s="2" t="str">
        <f ca="1">IFERROR(__xludf.DUMMYFUNCTION("""COMPUTED_VALUE"""),"Vector Space Biosciences, Inc.")</f>
        <v>Vector Space Biosciences, Inc.</v>
      </c>
    </row>
    <row r="13579" spans="1:3" x14ac:dyDescent="0.25">
      <c r="A13579" s="2" t="str">
        <f ca="1">IFERROR(__xludf.DUMMYFUNCTION("""COMPUTED_VALUE"""),"vedao")</f>
        <v>vedao</v>
      </c>
      <c r="B13579" s="2" t="str">
        <f ca="1">IFERROR(__xludf.DUMMYFUNCTION("""COMPUTED_VALUE"""),"weve")</f>
        <v>weve</v>
      </c>
      <c r="C13579" s="2" t="str">
        <f ca="1">IFERROR(__xludf.DUMMYFUNCTION("""COMPUTED_VALUE"""),"veDAO")</f>
        <v>veDAO</v>
      </c>
    </row>
    <row r="13580" spans="1:3" x14ac:dyDescent="0.25">
      <c r="A13580" s="2" t="str">
        <f ca="1">IFERROR(__xludf.DUMMYFUNCTION("""COMPUTED_VALUE"""),"vee-finance")</f>
        <v>vee-finance</v>
      </c>
      <c r="B13580" s="2" t="str">
        <f ca="1">IFERROR(__xludf.DUMMYFUNCTION("""COMPUTED_VALUE"""),"vee")</f>
        <v>vee</v>
      </c>
      <c r="C13580" s="2" t="str">
        <f ca="1">IFERROR(__xludf.DUMMYFUNCTION("""COMPUTED_VALUE"""),"Vee Finance")</f>
        <v>Vee Finance</v>
      </c>
    </row>
    <row r="13581" spans="1:3" x14ac:dyDescent="0.25">
      <c r="A13581" s="2" t="str">
        <f ca="1">IFERROR(__xludf.DUMMYFUNCTION("""COMPUTED_VALUE"""),"vega-2")</f>
        <v>vega-2</v>
      </c>
      <c r="B13581" s="2" t="str">
        <f ca="1">IFERROR(__xludf.DUMMYFUNCTION("""COMPUTED_VALUE"""),"vega")</f>
        <v>vega</v>
      </c>
      <c r="C13581" s="2" t="str">
        <f ca="1">IFERROR(__xludf.DUMMYFUNCTION("""COMPUTED_VALUE"""),"VEGA")</f>
        <v>VEGA</v>
      </c>
    </row>
    <row r="13582" spans="1:3" x14ac:dyDescent="0.25">
      <c r="A13582" s="2" t="str">
        <f ca="1">IFERROR(__xludf.DUMMYFUNCTION("""COMPUTED_VALUE"""),"vega-protocol")</f>
        <v>vega-protocol</v>
      </c>
      <c r="B13582" s="2" t="str">
        <f ca="1">IFERROR(__xludf.DUMMYFUNCTION("""COMPUTED_VALUE"""),"vega")</f>
        <v>vega</v>
      </c>
      <c r="C13582" s="2" t="str">
        <f ca="1">IFERROR(__xludf.DUMMYFUNCTION("""COMPUTED_VALUE"""),"Vega Protocol")</f>
        <v>Vega Protocol</v>
      </c>
    </row>
    <row r="13583" spans="1:3" x14ac:dyDescent="0.25">
      <c r="A13583" s="2" t="str">
        <f ca="1">IFERROR(__xludf.DUMMYFUNCTION("""COMPUTED_VALUE"""),"vegas")</f>
        <v>vegas</v>
      </c>
      <c r="B13583" s="2" t="str">
        <f ca="1">IFERROR(__xludf.DUMMYFUNCTION("""COMPUTED_VALUE"""),"vegas")</f>
        <v>vegas</v>
      </c>
      <c r="C13583" s="2" t="str">
        <f ca="1">IFERROR(__xludf.DUMMYFUNCTION("""COMPUTED_VALUE"""),"Vegas")</f>
        <v>Vegas</v>
      </c>
    </row>
    <row r="13584" spans="1:3" x14ac:dyDescent="0.25">
      <c r="A13584" s="2" t="str">
        <f ca="1">IFERROR(__xludf.DUMMYFUNCTION("""COMPUTED_VALUE"""),"vegasino")</f>
        <v>vegasino</v>
      </c>
      <c r="B13584" s="2" t="str">
        <f ca="1">IFERROR(__xludf.DUMMYFUNCTION("""COMPUTED_VALUE"""),"vegas")</f>
        <v>vegas</v>
      </c>
      <c r="C13584" s="2" t="str">
        <f ca="1">IFERROR(__xludf.DUMMYFUNCTION("""COMPUTED_VALUE"""),"Vegasino")</f>
        <v>Vegasino</v>
      </c>
    </row>
    <row r="13585" spans="1:3" x14ac:dyDescent="0.25">
      <c r="A13585" s="2" t="str">
        <f ca="1">IFERROR(__xludf.DUMMYFUNCTION("""COMPUTED_VALUE"""),"veil")</f>
        <v>veil</v>
      </c>
      <c r="B13585" s="2" t="str">
        <f ca="1">IFERROR(__xludf.DUMMYFUNCTION("""COMPUTED_VALUE"""),"veil")</f>
        <v>veil</v>
      </c>
      <c r="C13585" s="2" t="str">
        <f ca="1">IFERROR(__xludf.DUMMYFUNCTION("""COMPUTED_VALUE"""),"VEIL")</f>
        <v>VEIL</v>
      </c>
    </row>
    <row r="13586" spans="1:3" x14ac:dyDescent="0.25">
      <c r="A13586" s="2" t="str">
        <f ca="1">IFERROR(__xludf.DUMMYFUNCTION("""COMPUTED_VALUE"""),"veil-exchange")</f>
        <v>veil-exchange</v>
      </c>
      <c r="B13586" s="2" t="str">
        <f ca="1">IFERROR(__xludf.DUMMYFUNCTION("""COMPUTED_VALUE"""),"veil")</f>
        <v>veil</v>
      </c>
      <c r="C13586" s="2" t="str">
        <f ca="1">IFERROR(__xludf.DUMMYFUNCTION("""COMPUTED_VALUE"""),"Veil Exchange")</f>
        <v>Veil Exchange</v>
      </c>
    </row>
    <row r="13587" spans="1:3" x14ac:dyDescent="0.25">
      <c r="A13587" s="2" t="str">
        <f ca="1">IFERROR(__xludf.DUMMYFUNCTION("""COMPUTED_VALUE"""),"velar")</f>
        <v>velar</v>
      </c>
      <c r="B13587" s="2" t="str">
        <f ca="1">IFERROR(__xludf.DUMMYFUNCTION("""COMPUTED_VALUE"""),"velar")</f>
        <v>velar</v>
      </c>
      <c r="C13587" s="2" t="str">
        <f ca="1">IFERROR(__xludf.DUMMYFUNCTION("""COMPUTED_VALUE"""),"Velar")</f>
        <v>Velar</v>
      </c>
    </row>
    <row r="13588" spans="1:3" x14ac:dyDescent="0.25">
      <c r="A13588" s="2" t="str">
        <f ca="1">IFERROR(__xludf.DUMMYFUNCTION("""COMPUTED_VALUE"""),"velas")</f>
        <v>velas</v>
      </c>
      <c r="B13588" s="2" t="str">
        <f ca="1">IFERROR(__xludf.DUMMYFUNCTION("""COMPUTED_VALUE"""),"vlx")</f>
        <v>vlx</v>
      </c>
      <c r="C13588" s="2" t="str">
        <f ca="1">IFERROR(__xludf.DUMMYFUNCTION("""COMPUTED_VALUE"""),"Velas")</f>
        <v>Velas</v>
      </c>
    </row>
    <row r="13589" spans="1:3" x14ac:dyDescent="0.25">
      <c r="A13589" s="2" t="str">
        <f ca="1">IFERROR(__xludf.DUMMYFUNCTION("""COMPUTED_VALUE"""),"velaspad")</f>
        <v>velaspad</v>
      </c>
      <c r="B13589" s="2" t="str">
        <f ca="1">IFERROR(__xludf.DUMMYFUNCTION("""COMPUTED_VALUE"""),"vlxpad")</f>
        <v>vlxpad</v>
      </c>
      <c r="C13589" s="2" t="str">
        <f ca="1">IFERROR(__xludf.DUMMYFUNCTION("""COMPUTED_VALUE"""),"VelasPad")</f>
        <v>VelasPad</v>
      </c>
    </row>
    <row r="13590" spans="1:3" x14ac:dyDescent="0.25">
      <c r="A13590" s="2" t="str">
        <f ca="1">IFERROR(__xludf.DUMMYFUNCTION("""COMPUTED_VALUE"""),"vela-token")</f>
        <v>vela-token</v>
      </c>
      <c r="B13590" s="2" t="str">
        <f ca="1">IFERROR(__xludf.DUMMYFUNCTION("""COMPUTED_VALUE"""),"vela")</f>
        <v>vela</v>
      </c>
      <c r="C13590" s="2" t="str">
        <f ca="1">IFERROR(__xludf.DUMMYFUNCTION("""COMPUTED_VALUE"""),"Vela Token")</f>
        <v>Vela Token</v>
      </c>
    </row>
    <row r="13591" spans="1:3" x14ac:dyDescent="0.25">
      <c r="A13591" s="2" t="str">
        <f ca="1">IFERROR(__xludf.DUMMYFUNCTION("""COMPUTED_VALUE"""),"velhalla")</f>
        <v>velhalla</v>
      </c>
      <c r="B13591" s="2" t="str">
        <f ca="1">IFERROR(__xludf.DUMMYFUNCTION("""COMPUTED_VALUE"""),"scar")</f>
        <v>scar</v>
      </c>
      <c r="C13591" s="2" t="str">
        <f ca="1">IFERROR(__xludf.DUMMYFUNCTION("""COMPUTED_VALUE"""),"ScarQuest")</f>
        <v>ScarQuest</v>
      </c>
    </row>
    <row r="13592" spans="1:3" x14ac:dyDescent="0.25">
      <c r="A13592" s="2" t="str">
        <f ca="1">IFERROR(__xludf.DUMMYFUNCTION("""COMPUTED_VALUE"""),"velo")</f>
        <v>velo</v>
      </c>
      <c r="B13592" s="2" t="str">
        <f ca="1">IFERROR(__xludf.DUMMYFUNCTION("""COMPUTED_VALUE"""),"velo")</f>
        <v>velo</v>
      </c>
      <c r="C13592" s="2" t="str">
        <f ca="1">IFERROR(__xludf.DUMMYFUNCTION("""COMPUTED_VALUE"""),"Velo")</f>
        <v>Velo</v>
      </c>
    </row>
    <row r="13593" spans="1:3" x14ac:dyDescent="0.25">
      <c r="A13593" s="2" t="str">
        <f ca="1">IFERROR(__xludf.DUMMYFUNCTION("""COMPUTED_VALUE"""),"veloce-vext")</f>
        <v>veloce-vext</v>
      </c>
      <c r="B13593" s="2" t="str">
        <f ca="1">IFERROR(__xludf.DUMMYFUNCTION("""COMPUTED_VALUE"""),"vext")</f>
        <v>vext</v>
      </c>
      <c r="C13593" s="2" t="str">
        <f ca="1">IFERROR(__xludf.DUMMYFUNCTION("""COMPUTED_VALUE"""),"Veloce")</f>
        <v>Veloce</v>
      </c>
    </row>
    <row r="13594" spans="1:3" x14ac:dyDescent="0.25">
      <c r="A13594" s="2" t="str">
        <f ca="1">IFERROR(__xludf.DUMMYFUNCTION("""COMPUTED_VALUE"""),"velocimeter-flow")</f>
        <v>velocimeter-flow</v>
      </c>
      <c r="B13594" s="2" t="str">
        <f ca="1">IFERROR(__xludf.DUMMYFUNCTION("""COMPUTED_VALUE"""),"flow")</f>
        <v>flow</v>
      </c>
      <c r="C13594" s="2" t="str">
        <f ca="1">IFERROR(__xludf.DUMMYFUNCTION("""COMPUTED_VALUE"""),"Velocimeter FLOW")</f>
        <v>Velocimeter FLOW</v>
      </c>
    </row>
    <row r="13595" spans="1:3" x14ac:dyDescent="0.25">
      <c r="A13595" s="2" t="str">
        <f ca="1">IFERROR(__xludf.DUMMYFUNCTION("""COMPUTED_VALUE"""),"velocore")</f>
        <v>velocore</v>
      </c>
      <c r="B13595" s="2" t="str">
        <f ca="1">IFERROR(__xludf.DUMMYFUNCTION("""COMPUTED_VALUE"""),"vc")</f>
        <v>vc</v>
      </c>
      <c r="C13595" s="2" t="str">
        <f ca="1">IFERROR(__xludf.DUMMYFUNCTION("""COMPUTED_VALUE"""),"Velocore")</f>
        <v>Velocore</v>
      </c>
    </row>
    <row r="13596" spans="1:3" x14ac:dyDescent="0.25">
      <c r="A13596" s="2" t="str">
        <f ca="1">IFERROR(__xludf.DUMMYFUNCTION("""COMPUTED_VALUE"""),"velodrome-finance")</f>
        <v>velodrome-finance</v>
      </c>
      <c r="B13596" s="2" t="str">
        <f ca="1">IFERROR(__xludf.DUMMYFUNCTION("""COMPUTED_VALUE"""),"velo")</f>
        <v>velo</v>
      </c>
      <c r="C13596" s="2" t="str">
        <f ca="1">IFERROR(__xludf.DUMMYFUNCTION("""COMPUTED_VALUE"""),"Velodrome Finance")</f>
        <v>Velodrome Finance</v>
      </c>
    </row>
    <row r="13597" spans="1:3" x14ac:dyDescent="0.25">
      <c r="A13597" s="2" t="str">
        <f ca="1">IFERROR(__xludf.DUMMYFUNCTION("""COMPUTED_VALUE"""),"velorex")</f>
        <v>velorex</v>
      </c>
      <c r="B13597" s="2" t="str">
        <f ca="1">IFERROR(__xludf.DUMMYFUNCTION("""COMPUTED_VALUE"""),"vex")</f>
        <v>vex</v>
      </c>
      <c r="C13597" s="2" t="str">
        <f ca="1">IFERROR(__xludf.DUMMYFUNCTION("""COMPUTED_VALUE"""),"Velorex")</f>
        <v>Velorex</v>
      </c>
    </row>
    <row r="13598" spans="1:3" x14ac:dyDescent="0.25">
      <c r="A13598" s="2" t="str">
        <f ca="1">IFERROR(__xludf.DUMMYFUNCTION("""COMPUTED_VALUE"""),"velta-token")</f>
        <v>velta-token</v>
      </c>
      <c r="B13598" s="2" t="str">
        <f ca="1">IFERROR(__xludf.DUMMYFUNCTION("""COMPUTED_VALUE"""),"vta")</f>
        <v>vta</v>
      </c>
      <c r="C13598" s="2" t="str">
        <f ca="1">IFERROR(__xludf.DUMMYFUNCTION("""COMPUTED_VALUE"""),"VELTA Token")</f>
        <v>VELTA Token</v>
      </c>
    </row>
    <row r="13599" spans="1:3" x14ac:dyDescent="0.25">
      <c r="A13599" s="2" t="str">
        <f ca="1">IFERROR(__xludf.DUMMYFUNCTION("""COMPUTED_VALUE"""),"vemate")</f>
        <v>vemate</v>
      </c>
      <c r="B13599" s="2" t="str">
        <f ca="1">IFERROR(__xludf.DUMMYFUNCTION("""COMPUTED_VALUE"""),"vmt")</f>
        <v>vmt</v>
      </c>
      <c r="C13599" s="2" t="str">
        <f ca="1">IFERROR(__xludf.DUMMYFUNCTION("""COMPUTED_VALUE"""),"Vemate")</f>
        <v>Vemate</v>
      </c>
    </row>
    <row r="13600" spans="1:3" x14ac:dyDescent="0.25">
      <c r="A13600" s="2" t="str">
        <f ca="1">IFERROR(__xludf.DUMMYFUNCTION("""COMPUTED_VALUE"""),"vempire-ddao")</f>
        <v>vempire-ddao</v>
      </c>
      <c r="B13600" s="2" t="str">
        <f ca="1">IFERROR(__xludf.DUMMYFUNCTION("""COMPUTED_VALUE"""),"vemp")</f>
        <v>vemp</v>
      </c>
      <c r="C13600" s="2" t="str">
        <f ca="1">IFERROR(__xludf.DUMMYFUNCTION("""COMPUTED_VALUE"""),"VEMP")</f>
        <v>VEMP</v>
      </c>
    </row>
    <row r="13601" spans="1:3" x14ac:dyDescent="0.25">
      <c r="A13601" s="2" t="str">
        <f ca="1">IFERROR(__xludf.DUMMYFUNCTION("""COMPUTED_VALUE"""),"vendetta")</f>
        <v>vendetta</v>
      </c>
      <c r="B13601" s="2" t="str">
        <f ca="1">IFERROR(__xludf.DUMMYFUNCTION("""COMPUTED_VALUE"""),"vdt")</f>
        <v>vdt</v>
      </c>
      <c r="C13601" s="2" t="str">
        <f ca="1">IFERROR(__xludf.DUMMYFUNCTION("""COMPUTED_VALUE"""),"Vendetta")</f>
        <v>Vendetta</v>
      </c>
    </row>
    <row r="13602" spans="1:3" x14ac:dyDescent="0.25">
      <c r="A13602" s="2" t="str">
        <f ca="1">IFERROR(__xludf.DUMMYFUNCTION("""COMPUTED_VALUE"""),"venium")</f>
        <v>venium</v>
      </c>
      <c r="B13602" s="2" t="str">
        <f ca="1">IFERROR(__xludf.DUMMYFUNCTION("""COMPUTED_VALUE"""),"venium")</f>
        <v>venium</v>
      </c>
      <c r="C13602" s="2" t="str">
        <f ca="1">IFERROR(__xludf.DUMMYFUNCTION("""COMPUTED_VALUE"""),"Venium")</f>
        <v>Venium</v>
      </c>
    </row>
    <row r="13603" spans="1:3" x14ac:dyDescent="0.25">
      <c r="A13603" s="2" t="str">
        <f ca="1">IFERROR(__xludf.DUMMYFUNCTION("""COMPUTED_VALUE"""),"venko")</f>
        <v>venko</v>
      </c>
      <c r="B13603" s="2" t="str">
        <f ca="1">IFERROR(__xludf.DUMMYFUNCTION("""COMPUTED_VALUE"""),"$venko")</f>
        <v>$venko</v>
      </c>
      <c r="C13603" s="2" t="str">
        <f ca="1">IFERROR(__xludf.DUMMYFUNCTION("""COMPUTED_VALUE"""),"VENKO")</f>
        <v>VENKO</v>
      </c>
    </row>
    <row r="13604" spans="1:3" x14ac:dyDescent="0.25">
      <c r="A13604" s="2" t="str">
        <f ca="1">IFERROR(__xludf.DUMMYFUNCTION("""COMPUTED_VALUE"""),"veno-bridged-ybusd")</f>
        <v>veno-bridged-ybusd</v>
      </c>
      <c r="B13604" s="2" t="str">
        <f ca="1">IFERROR(__xludf.DUMMYFUNCTION("""COMPUTED_VALUE"""),"ybusd")</f>
        <v>ybusd</v>
      </c>
      <c r="C13604" s="2" t="str">
        <f ca="1">IFERROR(__xludf.DUMMYFUNCTION("""COMPUTED_VALUE"""),"Veno Yield Bearing USD")</f>
        <v>Veno Yield Bearing USD</v>
      </c>
    </row>
    <row r="13605" spans="1:3" x14ac:dyDescent="0.25">
      <c r="A13605" s="2" t="str">
        <f ca="1">IFERROR(__xludf.DUMMYFUNCTION("""COMPUTED_VALUE"""),"veno-eth")</f>
        <v>veno-eth</v>
      </c>
      <c r="B13605" s="2" t="str">
        <f ca="1">IFERROR(__xludf.DUMMYFUNCTION("""COMPUTED_VALUE"""),"veth")</f>
        <v>veth</v>
      </c>
      <c r="C13605" s="2" t="str">
        <f ca="1">IFERROR(__xludf.DUMMYFUNCTION("""COMPUTED_VALUE"""),"Veno ETH")</f>
        <v>Veno ETH</v>
      </c>
    </row>
    <row r="13606" spans="1:3" x14ac:dyDescent="0.25">
      <c r="A13606" s="2" t="str">
        <f ca="1">IFERROR(__xludf.DUMMYFUNCTION("""COMPUTED_VALUE"""),"veno-finance")</f>
        <v>veno-finance</v>
      </c>
      <c r="B13606" s="2" t="str">
        <f ca="1">IFERROR(__xludf.DUMMYFUNCTION("""COMPUTED_VALUE"""),"vno")</f>
        <v>vno</v>
      </c>
      <c r="C13606" s="2" t="str">
        <f ca="1">IFERROR(__xludf.DUMMYFUNCTION("""COMPUTED_VALUE"""),"Veno Finance")</f>
        <v>Veno Finance</v>
      </c>
    </row>
    <row r="13607" spans="1:3" x14ac:dyDescent="0.25">
      <c r="A13607" s="2" t="str">
        <f ca="1">IFERROR(__xludf.DUMMYFUNCTION("""COMPUTED_VALUE"""),"veno-finance-staked-eth")</f>
        <v>veno-finance-staked-eth</v>
      </c>
      <c r="B13607" s="2" t="str">
        <f ca="1">IFERROR(__xludf.DUMMYFUNCTION("""COMPUTED_VALUE"""),"leth")</f>
        <v>leth</v>
      </c>
      <c r="C13607" s="2" t="str">
        <f ca="1">IFERROR(__xludf.DUMMYFUNCTION("""COMPUTED_VALUE"""),"Veno Finance Staked ETH")</f>
        <v>Veno Finance Staked ETH</v>
      </c>
    </row>
    <row r="13608" spans="1:3" x14ac:dyDescent="0.25">
      <c r="A13608" s="2" t="str">
        <f ca="1">IFERROR(__xludf.DUMMYFUNCTION("""COMPUTED_VALUE"""),"venom")</f>
        <v>venom</v>
      </c>
      <c r="B13608" s="2" t="str">
        <f ca="1">IFERROR(__xludf.DUMMYFUNCTION("""COMPUTED_VALUE"""),"venom")</f>
        <v>venom</v>
      </c>
      <c r="C13608" s="2" t="str">
        <f ca="1">IFERROR(__xludf.DUMMYFUNCTION("""COMPUTED_VALUE"""),"Venom")</f>
        <v>Venom</v>
      </c>
    </row>
    <row r="13609" spans="1:3" x14ac:dyDescent="0.25">
      <c r="A13609" s="2" t="str">
        <f ca="1">IFERROR(__xludf.DUMMYFUNCTION("""COMPUTED_VALUE"""),"veno-staked-tia")</f>
        <v>veno-staked-tia</v>
      </c>
      <c r="B13609" s="2" t="str">
        <f ca="1">IFERROR(__xludf.DUMMYFUNCTION("""COMPUTED_VALUE"""),"ltia")</f>
        <v>ltia</v>
      </c>
      <c r="C13609" s="2" t="str">
        <f ca="1">IFERROR(__xludf.DUMMYFUNCTION("""COMPUTED_VALUE"""),"Veno Staked TIA")</f>
        <v>Veno Staked TIA</v>
      </c>
    </row>
    <row r="13610" spans="1:3" x14ac:dyDescent="0.25">
      <c r="A13610" s="2" t="str">
        <f ca="1">IFERROR(__xludf.DUMMYFUNCTION("""COMPUTED_VALUE"""),"veno-usd")</f>
        <v>veno-usd</v>
      </c>
      <c r="B13610" s="2" t="str">
        <f ca="1">IFERROR(__xludf.DUMMYFUNCTION("""COMPUTED_VALUE"""),"vusd")</f>
        <v>vusd</v>
      </c>
      <c r="C13610" s="2" t="str">
        <f ca="1">IFERROR(__xludf.DUMMYFUNCTION("""COMPUTED_VALUE"""),"Veno USD")</f>
        <v>Veno USD</v>
      </c>
    </row>
    <row r="13611" spans="1:3" x14ac:dyDescent="0.25">
      <c r="A13611" s="2" t="str">
        <f ca="1">IFERROR(__xludf.DUMMYFUNCTION("""COMPUTED_VALUE"""),"veno-yield-bearing-eth")</f>
        <v>veno-yield-bearing-eth</v>
      </c>
      <c r="B13611" s="2" t="str">
        <f ca="1">IFERROR(__xludf.DUMMYFUNCTION("""COMPUTED_VALUE"""),"ybeth")</f>
        <v>ybeth</v>
      </c>
      <c r="C13611" s="2" t="str">
        <f ca="1">IFERROR(__xludf.DUMMYFUNCTION("""COMPUTED_VALUE"""),"Veno Yield Bearing ETH")</f>
        <v>Veno Yield Bearing ETH</v>
      </c>
    </row>
    <row r="13612" spans="1:3" x14ac:dyDescent="0.25">
      <c r="A13612" s="2" t="str">
        <f ca="1">IFERROR(__xludf.DUMMYFUNCTION("""COMPUTED_VALUE"""),"vent-finance")</f>
        <v>vent-finance</v>
      </c>
      <c r="B13612" s="2" t="str">
        <f ca="1">IFERROR(__xludf.DUMMYFUNCTION("""COMPUTED_VALUE"""),"vent")</f>
        <v>vent</v>
      </c>
      <c r="C13612" s="2" t="str">
        <f ca="1">IFERROR(__xludf.DUMMYFUNCTION("""COMPUTED_VALUE"""),"Vent Finance")</f>
        <v>Vent Finance</v>
      </c>
    </row>
    <row r="13613" spans="1:3" x14ac:dyDescent="0.25">
      <c r="A13613" s="2" t="str">
        <f ca="1">IFERROR(__xludf.DUMMYFUNCTION("""COMPUTED_VALUE"""),"vention")</f>
        <v>vention</v>
      </c>
      <c r="B13613" s="2" t="str">
        <f ca="1">IFERROR(__xludf.DUMMYFUNCTION("""COMPUTED_VALUE"""),"vention")</f>
        <v>vention</v>
      </c>
      <c r="C13613" s="2" t="str">
        <f ca="1">IFERROR(__xludf.DUMMYFUNCTION("""COMPUTED_VALUE"""),"Vention")</f>
        <v>Vention</v>
      </c>
    </row>
    <row r="13614" spans="1:3" x14ac:dyDescent="0.25">
      <c r="A13614" s="2" t="str">
        <f ca="1">IFERROR(__xludf.DUMMYFUNCTION("""COMPUTED_VALUE"""),"venture-coin-2")</f>
        <v>venture-coin-2</v>
      </c>
      <c r="B13614" s="2" t="str">
        <f ca="1">IFERROR(__xludf.DUMMYFUNCTION("""COMPUTED_VALUE"""),"vc")</f>
        <v>vc</v>
      </c>
      <c r="C13614" s="2" t="str">
        <f ca="1">IFERROR(__xludf.DUMMYFUNCTION("""COMPUTED_VALUE"""),"Venture Coin")</f>
        <v>Venture Coin</v>
      </c>
    </row>
    <row r="13615" spans="1:3" x14ac:dyDescent="0.25">
      <c r="A13615" s="2" t="str">
        <f ca="1">IFERROR(__xludf.DUMMYFUNCTION("""COMPUTED_VALUE"""),"venus")</f>
        <v>venus</v>
      </c>
      <c r="B13615" s="2" t="str">
        <f ca="1">IFERROR(__xludf.DUMMYFUNCTION("""COMPUTED_VALUE"""),"xvs")</f>
        <v>xvs</v>
      </c>
      <c r="C13615" s="2" t="str">
        <f ca="1">IFERROR(__xludf.DUMMYFUNCTION("""COMPUTED_VALUE"""),"Venus")</f>
        <v>Venus</v>
      </c>
    </row>
    <row r="13616" spans="1:3" x14ac:dyDescent="0.25">
      <c r="A13616" s="2" t="str">
        <f ca="1">IFERROR(__xludf.DUMMYFUNCTION("""COMPUTED_VALUE"""),"venus-bch")</f>
        <v>venus-bch</v>
      </c>
      <c r="B13616" s="2" t="str">
        <f ca="1">IFERROR(__xludf.DUMMYFUNCTION("""COMPUTED_VALUE"""),"vbch")</f>
        <v>vbch</v>
      </c>
      <c r="C13616" s="2" t="str">
        <f ca="1">IFERROR(__xludf.DUMMYFUNCTION("""COMPUTED_VALUE"""),"Venus BCH")</f>
        <v>Venus BCH</v>
      </c>
    </row>
    <row r="13617" spans="1:3" x14ac:dyDescent="0.25">
      <c r="A13617" s="2" t="str">
        <f ca="1">IFERROR(__xludf.DUMMYFUNCTION("""COMPUTED_VALUE"""),"venus-beth")</f>
        <v>venus-beth</v>
      </c>
      <c r="B13617" s="2" t="str">
        <f ca="1">IFERROR(__xludf.DUMMYFUNCTION("""COMPUTED_VALUE"""),"vbeth")</f>
        <v>vbeth</v>
      </c>
      <c r="C13617" s="2" t="str">
        <f ca="1">IFERROR(__xludf.DUMMYFUNCTION("""COMPUTED_VALUE"""),"Venus BETH")</f>
        <v>Venus BETH</v>
      </c>
    </row>
    <row r="13618" spans="1:3" x14ac:dyDescent="0.25">
      <c r="A13618" s="2" t="str">
        <f ca="1">IFERROR(__xludf.DUMMYFUNCTION("""COMPUTED_VALUE"""),"venus-btc")</f>
        <v>venus-btc</v>
      </c>
      <c r="B13618" s="2" t="str">
        <f ca="1">IFERROR(__xludf.DUMMYFUNCTION("""COMPUTED_VALUE"""),"vbtc")</f>
        <v>vbtc</v>
      </c>
      <c r="C13618" s="2" t="str">
        <f ca="1">IFERROR(__xludf.DUMMYFUNCTION("""COMPUTED_VALUE"""),"Venus BTC")</f>
        <v>Venus BTC</v>
      </c>
    </row>
    <row r="13619" spans="1:3" x14ac:dyDescent="0.25">
      <c r="A13619" s="2" t="str">
        <f ca="1">IFERROR(__xludf.DUMMYFUNCTION("""COMPUTED_VALUE"""),"venus-busd")</f>
        <v>venus-busd</v>
      </c>
      <c r="B13619" s="2" t="str">
        <f ca="1">IFERROR(__xludf.DUMMYFUNCTION("""COMPUTED_VALUE"""),"vbusd")</f>
        <v>vbusd</v>
      </c>
      <c r="C13619" s="2" t="str">
        <f ca="1">IFERROR(__xludf.DUMMYFUNCTION("""COMPUTED_VALUE"""),"Venus BUSD")</f>
        <v>Venus BUSD</v>
      </c>
    </row>
    <row r="13620" spans="1:3" x14ac:dyDescent="0.25">
      <c r="A13620" s="2" t="str">
        <f ca="1">IFERROR(__xludf.DUMMYFUNCTION("""COMPUTED_VALUE"""),"venus-dai")</f>
        <v>venus-dai</v>
      </c>
      <c r="B13620" s="2" t="str">
        <f ca="1">IFERROR(__xludf.DUMMYFUNCTION("""COMPUTED_VALUE"""),"vdai")</f>
        <v>vdai</v>
      </c>
      <c r="C13620" s="2" t="str">
        <f ca="1">IFERROR(__xludf.DUMMYFUNCTION("""COMPUTED_VALUE"""),"Venus DAI")</f>
        <v>Venus DAI</v>
      </c>
    </row>
    <row r="13621" spans="1:3" x14ac:dyDescent="0.25">
      <c r="A13621" s="2" t="str">
        <f ca="1">IFERROR(__xludf.DUMMYFUNCTION("""COMPUTED_VALUE"""),"venus-doge")</f>
        <v>venus-doge</v>
      </c>
      <c r="B13621" s="2" t="str">
        <f ca="1">IFERROR(__xludf.DUMMYFUNCTION("""COMPUTED_VALUE"""),"vdoge")</f>
        <v>vdoge</v>
      </c>
      <c r="C13621" s="2" t="str">
        <f ca="1">IFERROR(__xludf.DUMMYFUNCTION("""COMPUTED_VALUE"""),"Venus DOGE")</f>
        <v>Venus DOGE</v>
      </c>
    </row>
    <row r="13622" spans="1:3" x14ac:dyDescent="0.25">
      <c r="A13622" s="2" t="str">
        <f ca="1">IFERROR(__xludf.DUMMYFUNCTION("""COMPUTED_VALUE"""),"venus-dot")</f>
        <v>venus-dot</v>
      </c>
      <c r="B13622" s="2" t="str">
        <f ca="1">IFERROR(__xludf.DUMMYFUNCTION("""COMPUTED_VALUE"""),"vdot")</f>
        <v>vdot</v>
      </c>
      <c r="C13622" s="2" t="str">
        <f ca="1">IFERROR(__xludf.DUMMYFUNCTION("""COMPUTED_VALUE"""),"Venus DOT")</f>
        <v>Venus DOT</v>
      </c>
    </row>
    <row r="13623" spans="1:3" x14ac:dyDescent="0.25">
      <c r="A13623" s="2" t="str">
        <f ca="1">IFERROR(__xludf.DUMMYFUNCTION("""COMPUTED_VALUE"""),"venus-eth")</f>
        <v>venus-eth</v>
      </c>
      <c r="B13623" s="2" t="str">
        <f ca="1">IFERROR(__xludf.DUMMYFUNCTION("""COMPUTED_VALUE"""),"veth")</f>
        <v>veth</v>
      </c>
      <c r="C13623" s="2" t="str">
        <f ca="1">IFERROR(__xludf.DUMMYFUNCTION("""COMPUTED_VALUE"""),"Venus ETH")</f>
        <v>Venus ETH</v>
      </c>
    </row>
    <row r="13624" spans="1:3" x14ac:dyDescent="0.25">
      <c r="A13624" s="2" t="str">
        <f ca="1">IFERROR(__xludf.DUMMYFUNCTION("""COMPUTED_VALUE"""),"venus-fil")</f>
        <v>venus-fil</v>
      </c>
      <c r="B13624" s="2" t="str">
        <f ca="1">IFERROR(__xludf.DUMMYFUNCTION("""COMPUTED_VALUE"""),"vfil")</f>
        <v>vfil</v>
      </c>
      <c r="C13624" s="2" t="str">
        <f ca="1">IFERROR(__xludf.DUMMYFUNCTION("""COMPUTED_VALUE"""),"Venus FIL")</f>
        <v>Venus FIL</v>
      </c>
    </row>
    <row r="13625" spans="1:3" x14ac:dyDescent="0.25">
      <c r="A13625" s="2" t="str">
        <f ca="1">IFERROR(__xludf.DUMMYFUNCTION("""COMPUTED_VALUE"""),"venus-link")</f>
        <v>venus-link</v>
      </c>
      <c r="B13625" s="2" t="str">
        <f ca="1">IFERROR(__xludf.DUMMYFUNCTION("""COMPUTED_VALUE"""),"vlink")</f>
        <v>vlink</v>
      </c>
      <c r="C13625" s="2" t="str">
        <f ca="1">IFERROR(__xludf.DUMMYFUNCTION("""COMPUTED_VALUE"""),"Venus LINK")</f>
        <v>Venus LINK</v>
      </c>
    </row>
    <row r="13626" spans="1:3" x14ac:dyDescent="0.25">
      <c r="A13626" s="2" t="str">
        <f ca="1">IFERROR(__xludf.DUMMYFUNCTION("""COMPUTED_VALUE"""),"venus-ltc")</f>
        <v>venus-ltc</v>
      </c>
      <c r="B13626" s="2" t="str">
        <f ca="1">IFERROR(__xludf.DUMMYFUNCTION("""COMPUTED_VALUE"""),"vltc")</f>
        <v>vltc</v>
      </c>
      <c r="C13626" s="2" t="str">
        <f ca="1">IFERROR(__xludf.DUMMYFUNCTION("""COMPUTED_VALUE"""),"Venus LTC")</f>
        <v>Venus LTC</v>
      </c>
    </row>
    <row r="13627" spans="1:3" x14ac:dyDescent="0.25">
      <c r="A13627" s="2" t="str">
        <f ca="1">IFERROR(__xludf.DUMMYFUNCTION("""COMPUTED_VALUE"""),"venus-reward-token")</f>
        <v>venus-reward-token</v>
      </c>
      <c r="B13627" s="2" t="str">
        <f ca="1">IFERROR(__xludf.DUMMYFUNCTION("""COMPUTED_VALUE"""),"vrt")</f>
        <v>vrt</v>
      </c>
      <c r="C13627" s="2" t="str">
        <f ca="1">IFERROR(__xludf.DUMMYFUNCTION("""COMPUTED_VALUE"""),"Venus Reward")</f>
        <v>Venus Reward</v>
      </c>
    </row>
    <row r="13628" spans="1:3" x14ac:dyDescent="0.25">
      <c r="A13628" s="2" t="str">
        <f ca="1">IFERROR(__xludf.DUMMYFUNCTION("""COMPUTED_VALUE"""),"venus-sxp")</f>
        <v>venus-sxp</v>
      </c>
      <c r="B13628" s="2" t="str">
        <f ca="1">IFERROR(__xludf.DUMMYFUNCTION("""COMPUTED_VALUE"""),"vsxp")</f>
        <v>vsxp</v>
      </c>
      <c r="C13628" s="2" t="str">
        <f ca="1">IFERROR(__xludf.DUMMYFUNCTION("""COMPUTED_VALUE"""),"Venus SXP")</f>
        <v>Venus SXP</v>
      </c>
    </row>
    <row r="13629" spans="1:3" x14ac:dyDescent="0.25">
      <c r="A13629" s="2" t="str">
        <f ca="1">IFERROR(__xludf.DUMMYFUNCTION("""COMPUTED_VALUE"""),"venus-usdc")</f>
        <v>venus-usdc</v>
      </c>
      <c r="B13629" s="2" t="str">
        <f ca="1">IFERROR(__xludf.DUMMYFUNCTION("""COMPUTED_VALUE"""),"vusdc")</f>
        <v>vusdc</v>
      </c>
      <c r="C13629" s="2" t="str">
        <f ca="1">IFERROR(__xludf.DUMMYFUNCTION("""COMPUTED_VALUE"""),"Venus USDC")</f>
        <v>Venus USDC</v>
      </c>
    </row>
    <row r="13630" spans="1:3" x14ac:dyDescent="0.25">
      <c r="A13630" s="2" t="str">
        <f ca="1">IFERROR(__xludf.DUMMYFUNCTION("""COMPUTED_VALUE"""),"venus-usdt")</f>
        <v>venus-usdt</v>
      </c>
      <c r="B13630" s="2" t="str">
        <f ca="1">IFERROR(__xludf.DUMMYFUNCTION("""COMPUTED_VALUE"""),"vusdt")</f>
        <v>vusdt</v>
      </c>
      <c r="C13630" s="2" t="str">
        <f ca="1">IFERROR(__xludf.DUMMYFUNCTION("""COMPUTED_VALUE"""),"Venus USDT")</f>
        <v>Venus USDT</v>
      </c>
    </row>
    <row r="13631" spans="1:3" x14ac:dyDescent="0.25">
      <c r="A13631" s="2" t="str">
        <f ca="1">IFERROR(__xludf.DUMMYFUNCTION("""COMPUTED_VALUE"""),"venus-xrp")</f>
        <v>venus-xrp</v>
      </c>
      <c r="B13631" s="2" t="str">
        <f ca="1">IFERROR(__xludf.DUMMYFUNCTION("""COMPUTED_VALUE"""),"vxrp")</f>
        <v>vxrp</v>
      </c>
      <c r="C13631" s="2" t="str">
        <f ca="1">IFERROR(__xludf.DUMMYFUNCTION("""COMPUTED_VALUE"""),"Venus XRP")</f>
        <v>Venus XRP</v>
      </c>
    </row>
    <row r="13632" spans="1:3" x14ac:dyDescent="0.25">
      <c r="A13632" s="2" t="str">
        <f ca="1">IFERROR(__xludf.DUMMYFUNCTION("""COMPUTED_VALUE"""),"venus-xvs")</f>
        <v>venus-xvs</v>
      </c>
      <c r="B13632" s="2" t="str">
        <f ca="1">IFERROR(__xludf.DUMMYFUNCTION("""COMPUTED_VALUE"""),"vxvs")</f>
        <v>vxvs</v>
      </c>
      <c r="C13632" s="2" t="str">
        <f ca="1">IFERROR(__xludf.DUMMYFUNCTION("""COMPUTED_VALUE"""),"Venus XVS")</f>
        <v>Venus XVS</v>
      </c>
    </row>
    <row r="13633" spans="1:3" x14ac:dyDescent="0.25">
      <c r="A13633" s="2" t="str">
        <f ca="1">IFERROR(__xludf.DUMMYFUNCTION("""COMPUTED_VALUE"""),"vera")</f>
        <v>vera</v>
      </c>
      <c r="B13633" s="2" t="str">
        <f ca="1">IFERROR(__xludf.DUMMYFUNCTION("""COMPUTED_VALUE"""),"vera")</f>
        <v>vera</v>
      </c>
      <c r="C13633" s="2" t="str">
        <f ca="1">IFERROR(__xludf.DUMMYFUNCTION("""COMPUTED_VALUE"""),"Vera")</f>
        <v>Vera</v>
      </c>
    </row>
    <row r="13634" spans="1:3" x14ac:dyDescent="0.25">
      <c r="A13634" s="2" t="str">
        <f ca="1">IFERROR(__xludf.DUMMYFUNCTION("""COMPUTED_VALUE"""),"veraone")</f>
        <v>veraone</v>
      </c>
      <c r="B13634" s="2" t="str">
        <f ca="1">IFERROR(__xludf.DUMMYFUNCTION("""COMPUTED_VALUE"""),"vro")</f>
        <v>vro</v>
      </c>
      <c r="C13634" s="2" t="str">
        <f ca="1">IFERROR(__xludf.DUMMYFUNCTION("""COMPUTED_VALUE"""),"VeraOne")</f>
        <v>VeraOne</v>
      </c>
    </row>
    <row r="13635" spans="1:3" x14ac:dyDescent="0.25">
      <c r="A13635" s="2" t="str">
        <f ca="1">IFERROR(__xludf.DUMMYFUNCTION("""COMPUTED_VALUE"""),"verasity")</f>
        <v>verasity</v>
      </c>
      <c r="B13635" s="2" t="str">
        <f ca="1">IFERROR(__xludf.DUMMYFUNCTION("""COMPUTED_VALUE"""),"vra")</f>
        <v>vra</v>
      </c>
      <c r="C13635" s="2" t="str">
        <f ca="1">IFERROR(__xludf.DUMMYFUNCTION("""COMPUTED_VALUE"""),"Verasity")</f>
        <v>Verasity</v>
      </c>
    </row>
    <row r="13636" spans="1:3" x14ac:dyDescent="0.25">
      <c r="A13636" s="2" t="str">
        <f ca="1">IFERROR(__xludf.DUMMYFUNCTION("""COMPUTED_VALUE"""),"verge")</f>
        <v>verge</v>
      </c>
      <c r="B13636" s="2" t="str">
        <f ca="1">IFERROR(__xludf.DUMMYFUNCTION("""COMPUTED_VALUE"""),"xvg")</f>
        <v>xvg</v>
      </c>
      <c r="C13636" s="2" t="str">
        <f ca="1">IFERROR(__xludf.DUMMYFUNCTION("""COMPUTED_VALUE"""),"Verge")</f>
        <v>Verge</v>
      </c>
    </row>
    <row r="13637" spans="1:3" x14ac:dyDescent="0.25">
      <c r="A13637" s="2" t="str">
        <f ca="1">IFERROR(__xludf.DUMMYFUNCTION("""COMPUTED_VALUE"""),"verge-eth")</f>
        <v>verge-eth</v>
      </c>
      <c r="B13637" s="2" t="str">
        <f ca="1">IFERROR(__xludf.DUMMYFUNCTION("""COMPUTED_VALUE"""),"xvg")</f>
        <v>xvg</v>
      </c>
      <c r="C13637" s="2" t="str">
        <f ca="1">IFERROR(__xludf.DUMMYFUNCTION("""COMPUTED_VALUE"""),"Verge (ETH)")</f>
        <v>Verge (ETH)</v>
      </c>
    </row>
    <row r="13638" spans="1:3" x14ac:dyDescent="0.25">
      <c r="A13638" s="2" t="str">
        <f ca="1">IFERROR(__xludf.DUMMYFUNCTION("""COMPUTED_VALUE"""),"verida")</f>
        <v>verida</v>
      </c>
      <c r="B13638" s="2" t="str">
        <f ca="1">IFERROR(__xludf.DUMMYFUNCTION("""COMPUTED_VALUE"""),"vda")</f>
        <v>vda</v>
      </c>
      <c r="C13638" s="2" t="str">
        <f ca="1">IFERROR(__xludf.DUMMYFUNCTION("""COMPUTED_VALUE"""),"Verida")</f>
        <v>Verida</v>
      </c>
    </row>
    <row r="13639" spans="1:3" x14ac:dyDescent="0.25">
      <c r="A13639" s="2" t="str">
        <f ca="1">IFERROR(__xludf.DUMMYFUNCTION("""COMPUTED_VALUE"""),"verified-usd-foundation-usdv")</f>
        <v>verified-usd-foundation-usdv</v>
      </c>
      <c r="B13639" s="2" t="str">
        <f ca="1">IFERROR(__xludf.DUMMYFUNCTION("""COMPUTED_VALUE"""),"usdv")</f>
        <v>usdv</v>
      </c>
      <c r="C13639" s="2" t="str">
        <f ca="1">IFERROR(__xludf.DUMMYFUNCTION("""COMPUTED_VALUE"""),"Verified USD")</f>
        <v>Verified USD</v>
      </c>
    </row>
    <row r="13640" spans="1:3" x14ac:dyDescent="0.25">
      <c r="A13640" s="2" t="str">
        <f ca="1">IFERROR(__xludf.DUMMYFUNCTION("""COMPUTED_VALUE"""),"veritaseum")</f>
        <v>veritaseum</v>
      </c>
      <c r="B13640" s="2" t="str">
        <f ca="1">IFERROR(__xludf.DUMMYFUNCTION("""COMPUTED_VALUE"""),"veri")</f>
        <v>veri</v>
      </c>
      <c r="C13640" s="2" t="str">
        <f ca="1">IFERROR(__xludf.DUMMYFUNCTION("""COMPUTED_VALUE"""),"Veritaseum")</f>
        <v>Veritaseum</v>
      </c>
    </row>
    <row r="13641" spans="1:3" x14ac:dyDescent="0.25">
      <c r="A13641" s="2" t="str">
        <f ca="1">IFERROR(__xludf.DUMMYFUNCTION("""COMPUTED_VALUE"""),"veritise")</f>
        <v>veritise</v>
      </c>
      <c r="B13641" s="2" t="str">
        <f ca="1">IFERROR(__xludf.DUMMYFUNCTION("""COMPUTED_VALUE"""),"vts")</f>
        <v>vts</v>
      </c>
      <c r="C13641" s="2" t="str">
        <f ca="1">IFERROR(__xludf.DUMMYFUNCTION("""COMPUTED_VALUE"""),"Veritise")</f>
        <v>Veritise</v>
      </c>
    </row>
    <row r="13642" spans="1:3" x14ac:dyDescent="0.25">
      <c r="A13642" s="2" t="str">
        <f ca="1">IFERROR(__xludf.DUMMYFUNCTION("""COMPUTED_VALUE"""),"veropad")</f>
        <v>veropad</v>
      </c>
      <c r="B13642" s="2" t="str">
        <f ca="1">IFERROR(__xludf.DUMMYFUNCTION("""COMPUTED_VALUE"""),"$vpad")</f>
        <v>$vpad</v>
      </c>
      <c r="C13642" s="2" t="str">
        <f ca="1">IFERROR(__xludf.DUMMYFUNCTION("""COMPUTED_VALUE"""),"VEROPAD")</f>
        <v>VEROPAD</v>
      </c>
    </row>
    <row r="13643" spans="1:3" x14ac:dyDescent="0.25">
      <c r="A13643" s="2" t="str">
        <f ca="1">IFERROR(__xludf.DUMMYFUNCTION("""COMPUTED_VALUE"""),"verox")</f>
        <v>verox</v>
      </c>
      <c r="B13643" s="2" t="str">
        <f ca="1">IFERROR(__xludf.DUMMYFUNCTION("""COMPUTED_VALUE"""),"vrx")</f>
        <v>vrx</v>
      </c>
      <c r="C13643" s="2" t="str">
        <f ca="1">IFERROR(__xludf.DUMMYFUNCTION("""COMPUTED_VALUE"""),"Verox")</f>
        <v>Verox</v>
      </c>
    </row>
    <row r="13644" spans="1:3" x14ac:dyDescent="0.25">
      <c r="A13644" s="2" t="str">
        <f ca="1">IFERROR(__xludf.DUMMYFUNCTION("""COMPUTED_VALUE"""),"versagames")</f>
        <v>versagames</v>
      </c>
      <c r="B13644" s="2" t="str">
        <f ca="1">IFERROR(__xludf.DUMMYFUNCTION("""COMPUTED_VALUE"""),"versa")</f>
        <v>versa</v>
      </c>
      <c r="C13644" s="2" t="str">
        <f ca="1">IFERROR(__xludf.DUMMYFUNCTION("""COMPUTED_VALUE"""),"VersaGames")</f>
        <v>VersaGames</v>
      </c>
    </row>
    <row r="13645" spans="1:3" x14ac:dyDescent="0.25">
      <c r="A13645" s="2" t="str">
        <f ca="1">IFERROR(__xludf.DUMMYFUNCTION("""COMPUTED_VALUE"""),"verse-bitcoin")</f>
        <v>verse-bitcoin</v>
      </c>
      <c r="B13645" s="2" t="str">
        <f ca="1">IFERROR(__xludf.DUMMYFUNCTION("""COMPUTED_VALUE"""),"verse")</f>
        <v>verse</v>
      </c>
      <c r="C13645" s="2" t="str">
        <f ca="1">IFERROR(__xludf.DUMMYFUNCTION("""COMPUTED_VALUE"""),"Verse")</f>
        <v>Verse</v>
      </c>
    </row>
    <row r="13646" spans="1:3" x14ac:dyDescent="0.25">
      <c r="A13646" s="2" t="str">
        <f ca="1">IFERROR(__xludf.DUMMYFUNCTION("""COMPUTED_VALUE"""),"versity")</f>
        <v>versity</v>
      </c>
      <c r="B13646" s="2" t="str">
        <f ca="1">IFERROR(__xludf.DUMMYFUNCTION("""COMPUTED_VALUE"""),"sity")</f>
        <v>sity</v>
      </c>
      <c r="C13646" s="2" t="str">
        <f ca="1">IFERROR(__xludf.DUMMYFUNCTION("""COMPUTED_VALUE"""),"Versity [OLD]")</f>
        <v>Versity [OLD]</v>
      </c>
    </row>
    <row r="13647" spans="1:3" x14ac:dyDescent="0.25">
      <c r="A13647" s="2" t="str">
        <f ca="1">IFERROR(__xludf.DUMMYFUNCTION("""COMPUTED_VALUE"""),"versity-2")</f>
        <v>versity-2</v>
      </c>
      <c r="B13647" s="2" t="str">
        <f ca="1">IFERROR(__xludf.DUMMYFUNCTION("""COMPUTED_VALUE"""),"sity")</f>
        <v>sity</v>
      </c>
      <c r="C13647" s="2" t="str">
        <f ca="1">IFERROR(__xludf.DUMMYFUNCTION("""COMPUTED_VALUE"""),"Versity")</f>
        <v>Versity</v>
      </c>
    </row>
    <row r="13648" spans="1:3" x14ac:dyDescent="0.25">
      <c r="A13648" s="2" t="str">
        <f ca="1">IFERROR(__xludf.DUMMYFUNCTION("""COMPUTED_VALUE"""),"verso")</f>
        <v>verso</v>
      </c>
      <c r="B13648" s="2" t="str">
        <f ca="1">IFERROR(__xludf.DUMMYFUNCTION("""COMPUTED_VALUE"""),"vso")</f>
        <v>vso</v>
      </c>
      <c r="C13648" s="2" t="str">
        <f ca="1">IFERROR(__xludf.DUMMYFUNCTION("""COMPUTED_VALUE"""),"Verso")</f>
        <v>Verso</v>
      </c>
    </row>
    <row r="13649" spans="1:3" x14ac:dyDescent="0.25">
      <c r="A13649" s="2" t="str">
        <f ca="1">IFERROR(__xludf.DUMMYFUNCTION("""COMPUTED_VALUE"""),"versus-x")</f>
        <v>versus-x</v>
      </c>
      <c r="B13649" s="2" t="str">
        <f ca="1">IFERROR(__xludf.DUMMYFUNCTION("""COMPUTED_VALUE"""),"vsx")</f>
        <v>vsx</v>
      </c>
      <c r="C13649" s="2" t="str">
        <f ca="1">IFERROR(__xludf.DUMMYFUNCTION("""COMPUTED_VALUE"""),"Versus-X")</f>
        <v>Versus-X</v>
      </c>
    </row>
    <row r="13650" spans="1:3" x14ac:dyDescent="0.25">
      <c r="A13650" s="2" t="str">
        <f ca="1">IFERROR(__xludf.DUMMYFUNCTION("""COMPUTED_VALUE"""),"vertcoin")</f>
        <v>vertcoin</v>
      </c>
      <c r="B13650" s="2" t="str">
        <f ca="1">IFERROR(__xludf.DUMMYFUNCTION("""COMPUTED_VALUE"""),"vtc")</f>
        <v>vtc</v>
      </c>
      <c r="C13650" s="2" t="str">
        <f ca="1">IFERROR(__xludf.DUMMYFUNCTION("""COMPUTED_VALUE"""),"Vertcoin")</f>
        <v>Vertcoin</v>
      </c>
    </row>
    <row r="13651" spans="1:3" x14ac:dyDescent="0.25">
      <c r="A13651" s="2" t="str">
        <f ca="1">IFERROR(__xludf.DUMMYFUNCTION("""COMPUTED_VALUE"""),"vertek")</f>
        <v>vertek</v>
      </c>
      <c r="B13651" s="2" t="str">
        <f ca="1">IFERROR(__xludf.DUMMYFUNCTION("""COMPUTED_VALUE"""),"vrtk")</f>
        <v>vrtk</v>
      </c>
      <c r="C13651" s="2" t="str">
        <f ca="1">IFERROR(__xludf.DUMMYFUNCTION("""COMPUTED_VALUE"""),"Vertek")</f>
        <v>Vertek</v>
      </c>
    </row>
    <row r="13652" spans="1:3" x14ac:dyDescent="0.25">
      <c r="A13652" s="2" t="str">
        <f ca="1">IFERROR(__xludf.DUMMYFUNCTION("""COMPUTED_VALUE"""),"vertex-protocol")</f>
        <v>vertex-protocol</v>
      </c>
      <c r="B13652" s="2" t="str">
        <f ca="1">IFERROR(__xludf.DUMMYFUNCTION("""COMPUTED_VALUE"""),"vrtx")</f>
        <v>vrtx</v>
      </c>
      <c r="C13652" s="2" t="str">
        <f ca="1">IFERROR(__xludf.DUMMYFUNCTION("""COMPUTED_VALUE"""),"Vertex")</f>
        <v>Vertex</v>
      </c>
    </row>
    <row r="13653" spans="1:3" x14ac:dyDescent="0.25">
      <c r="A13653" s="2" t="str">
        <f ca="1">IFERROR(__xludf.DUMMYFUNCTION("""COMPUTED_VALUE"""),"verum-coin")</f>
        <v>verum-coin</v>
      </c>
      <c r="B13653" s="2" t="str">
        <f ca="1">IFERROR(__xludf.DUMMYFUNCTION("""COMPUTED_VALUE"""),"verum")</f>
        <v>verum</v>
      </c>
      <c r="C13653" s="2" t="str">
        <f ca="1">IFERROR(__xludf.DUMMYFUNCTION("""COMPUTED_VALUE"""),"Verum Coin")</f>
        <v>Verum Coin</v>
      </c>
    </row>
    <row r="13654" spans="1:3" x14ac:dyDescent="0.25">
      <c r="A13654" s="2" t="str">
        <f ca="1">IFERROR(__xludf.DUMMYFUNCTION("""COMPUTED_VALUE"""),"verus-coin")</f>
        <v>verus-coin</v>
      </c>
      <c r="B13654" s="2" t="str">
        <f ca="1">IFERROR(__xludf.DUMMYFUNCTION("""COMPUTED_VALUE"""),"vrsc")</f>
        <v>vrsc</v>
      </c>
      <c r="C13654" s="2" t="str">
        <f ca="1">IFERROR(__xludf.DUMMYFUNCTION("""COMPUTED_VALUE"""),"Verus")</f>
        <v>Verus</v>
      </c>
    </row>
    <row r="13655" spans="1:3" x14ac:dyDescent="0.25">
      <c r="A13655" s="2" t="str">
        <f ca="1">IFERROR(__xludf.DUMMYFUNCTION("""COMPUTED_VALUE"""),"vesper-finance")</f>
        <v>vesper-finance</v>
      </c>
      <c r="B13655" s="2" t="str">
        <f ca="1">IFERROR(__xludf.DUMMYFUNCTION("""COMPUTED_VALUE"""),"vsp")</f>
        <v>vsp</v>
      </c>
      <c r="C13655" s="2" t="str">
        <f ca="1">IFERROR(__xludf.DUMMYFUNCTION("""COMPUTED_VALUE"""),"Vesper Finance")</f>
        <v>Vesper Finance</v>
      </c>
    </row>
    <row r="13656" spans="1:3" x14ac:dyDescent="0.25">
      <c r="A13656" s="2" t="str">
        <f ca="1">IFERROR(__xludf.DUMMYFUNCTION("""COMPUTED_VALUE"""),"vesper-vdollar")</f>
        <v>vesper-vdollar</v>
      </c>
      <c r="B13656" s="2" t="str">
        <f ca="1">IFERROR(__xludf.DUMMYFUNCTION("""COMPUTED_VALUE"""),"vusd")</f>
        <v>vusd</v>
      </c>
      <c r="C13656" s="2" t="str">
        <f ca="1">IFERROR(__xludf.DUMMYFUNCTION("""COMPUTED_VALUE"""),"Vesper V-Dollar")</f>
        <v>Vesper V-Dollar</v>
      </c>
    </row>
    <row r="13657" spans="1:3" x14ac:dyDescent="0.25">
      <c r="A13657" s="2" t="str">
        <f ca="1">IFERROR(__xludf.DUMMYFUNCTION("""COMPUTED_VALUE"""),"vesta-finance")</f>
        <v>vesta-finance</v>
      </c>
      <c r="B13657" s="2" t="str">
        <f ca="1">IFERROR(__xludf.DUMMYFUNCTION("""COMPUTED_VALUE"""),"vsta")</f>
        <v>vsta</v>
      </c>
      <c r="C13657" s="2" t="str">
        <f ca="1">IFERROR(__xludf.DUMMYFUNCTION("""COMPUTED_VALUE"""),"Vesta Finance")</f>
        <v>Vesta Finance</v>
      </c>
    </row>
    <row r="13658" spans="1:3" x14ac:dyDescent="0.25">
      <c r="A13658" s="2" t="str">
        <f ca="1">IFERROR(__xludf.DUMMYFUNCTION("""COMPUTED_VALUE"""),"vesta-stable")</f>
        <v>vesta-stable</v>
      </c>
      <c r="B13658" s="2" t="str">
        <f ca="1">IFERROR(__xludf.DUMMYFUNCTION("""COMPUTED_VALUE"""),"vst")</f>
        <v>vst</v>
      </c>
      <c r="C13658" s="2" t="str">
        <f ca="1">IFERROR(__xludf.DUMMYFUNCTION("""COMPUTED_VALUE"""),"Vesta Stable")</f>
        <v>Vesta Stable</v>
      </c>
    </row>
    <row r="13659" spans="1:3" x14ac:dyDescent="0.25">
      <c r="A13659" s="2" t="str">
        <f ca="1">IFERROR(__xludf.DUMMYFUNCTION("""COMPUTED_VALUE"""),"vestate")</f>
        <v>vestate</v>
      </c>
      <c r="B13659" s="2" t="str">
        <f ca="1">IFERROR(__xludf.DUMMYFUNCTION("""COMPUTED_VALUE"""),"ves")</f>
        <v>ves</v>
      </c>
      <c r="C13659" s="2" t="str">
        <f ca="1">IFERROR(__xludf.DUMMYFUNCTION("""COMPUTED_VALUE"""),"Vestate")</f>
        <v>Vestate</v>
      </c>
    </row>
    <row r="13660" spans="1:3" x14ac:dyDescent="0.25">
      <c r="A13660" s="2" t="str">
        <f ca="1">IFERROR(__xludf.DUMMYFUNCTION("""COMPUTED_VALUE"""),"vestige")</f>
        <v>vestige</v>
      </c>
      <c r="B13660" s="2" t="str">
        <f ca="1">IFERROR(__xludf.DUMMYFUNCTION("""COMPUTED_VALUE"""),"vest")</f>
        <v>vest</v>
      </c>
      <c r="C13660" s="2" t="str">
        <f ca="1">IFERROR(__xludf.DUMMYFUNCTION("""COMPUTED_VALUE"""),"Vestige")</f>
        <v>Vestige</v>
      </c>
    </row>
    <row r="13661" spans="1:3" x14ac:dyDescent="0.25">
      <c r="A13661" s="2" t="str">
        <f ca="1">IFERROR(__xludf.DUMMYFUNCTION("""COMPUTED_VALUE"""),"vesync")</f>
        <v>vesync</v>
      </c>
      <c r="B13661" s="2" t="str">
        <f ca="1">IFERROR(__xludf.DUMMYFUNCTION("""COMPUTED_VALUE"""),"vs")</f>
        <v>vs</v>
      </c>
      <c r="C13661" s="2" t="str">
        <f ca="1">IFERROR(__xludf.DUMMYFUNCTION("""COMPUTED_VALUE"""),"veSync")</f>
        <v>veSync</v>
      </c>
    </row>
    <row r="13662" spans="1:3" x14ac:dyDescent="0.25">
      <c r="A13662" s="2" t="str">
        <f ca="1">IFERROR(__xludf.DUMMYFUNCTION("""COMPUTED_VALUE"""),"vethor-token")</f>
        <v>vethor-token</v>
      </c>
      <c r="B13662" s="2" t="str">
        <f ca="1">IFERROR(__xludf.DUMMYFUNCTION("""COMPUTED_VALUE"""),"vtho")</f>
        <v>vtho</v>
      </c>
      <c r="C13662" s="2" t="str">
        <f ca="1">IFERROR(__xludf.DUMMYFUNCTION("""COMPUTED_VALUE"""),"VeThor")</f>
        <v>VeThor</v>
      </c>
    </row>
    <row r="13663" spans="1:3" x14ac:dyDescent="0.25">
      <c r="A13663" s="2" t="str">
        <f ca="1">IFERROR(__xludf.DUMMYFUNCTION("""COMPUTED_VALUE"""),"vetme")</f>
        <v>vetme</v>
      </c>
      <c r="B13663" s="2" t="str">
        <f ca="1">IFERROR(__xludf.DUMMYFUNCTION("""COMPUTED_VALUE"""),"vetme")</f>
        <v>vetme</v>
      </c>
      <c r="C13663" s="2" t="str">
        <f ca="1">IFERROR(__xludf.DUMMYFUNCTION("""COMPUTED_VALUE"""),"VetMe")</f>
        <v>VetMe</v>
      </c>
    </row>
    <row r="13664" spans="1:3" x14ac:dyDescent="0.25">
      <c r="A13664" s="2" t="str">
        <f ca="1">IFERROR(__xludf.DUMMYFUNCTION("""COMPUTED_VALUE"""),"vetter-skylabs")</f>
        <v>vetter-skylabs</v>
      </c>
      <c r="B13664" s="2" t="str">
        <f ca="1">IFERROR(__xludf.DUMMYFUNCTION("""COMPUTED_VALUE"""),"vsl")</f>
        <v>vsl</v>
      </c>
      <c r="C13664" s="2" t="str">
        <f ca="1">IFERROR(__xludf.DUMMYFUNCTION("""COMPUTED_VALUE"""),"Vetter Skylabs")</f>
        <v>Vetter Skylabs</v>
      </c>
    </row>
    <row r="13665" spans="1:3" x14ac:dyDescent="0.25">
      <c r="A13665" s="2" t="str">
        <f ca="1">IFERROR(__xludf.DUMMYFUNCTION("""COMPUTED_VALUE"""),"vetter-token")</f>
        <v>vetter-token</v>
      </c>
      <c r="B13665" s="2" t="str">
        <f ca="1">IFERROR(__xludf.DUMMYFUNCTION("""COMPUTED_VALUE"""),"vetter")</f>
        <v>vetter</v>
      </c>
      <c r="C13665" s="2" t="str">
        <f ca="1">IFERROR(__xludf.DUMMYFUNCTION("""COMPUTED_VALUE"""),"Vetter")</f>
        <v>Vetter</v>
      </c>
    </row>
    <row r="13666" spans="1:3" x14ac:dyDescent="0.25">
      <c r="A13666" s="2" t="str">
        <f ca="1">IFERROR(__xludf.DUMMYFUNCTION("""COMPUTED_VALUE"""),"veve")</f>
        <v>veve</v>
      </c>
      <c r="B13666" s="2" t="str">
        <f ca="1">IFERROR(__xludf.DUMMYFUNCTION("""COMPUTED_VALUE"""),"veve")</f>
        <v>veve</v>
      </c>
      <c r="C13666" s="2" t="str">
        <f ca="1">IFERROR(__xludf.DUMMYFUNCTION("""COMPUTED_VALUE"""),"VEVE")</f>
        <v>VEVE</v>
      </c>
    </row>
    <row r="13667" spans="1:3" x14ac:dyDescent="0.25">
      <c r="A13667" s="2" t="str">
        <f ca="1">IFERROR(__xludf.DUMMYFUNCTION("""COMPUTED_VALUE"""),"vexanium")</f>
        <v>vexanium</v>
      </c>
      <c r="B13667" s="2" t="str">
        <f ca="1">IFERROR(__xludf.DUMMYFUNCTION("""COMPUTED_VALUE"""),"vex")</f>
        <v>vex</v>
      </c>
      <c r="C13667" s="2" t="str">
        <f ca="1">IFERROR(__xludf.DUMMYFUNCTION("""COMPUTED_VALUE"""),"Vexanium")</f>
        <v>Vexanium</v>
      </c>
    </row>
    <row r="13668" spans="1:3" x14ac:dyDescent="0.25">
      <c r="A13668" s="2" t="str">
        <f ca="1">IFERROR(__xludf.DUMMYFUNCTION("""COMPUTED_VALUE"""),"vfox")</f>
        <v>vfox</v>
      </c>
      <c r="B13668" s="2" t="str">
        <f ca="1">IFERROR(__xludf.DUMMYFUNCTION("""COMPUTED_VALUE"""),"vfox")</f>
        <v>vfox</v>
      </c>
      <c r="C13668" s="2" t="str">
        <f ca="1">IFERROR(__xludf.DUMMYFUNCTION("""COMPUTED_VALUE"""),"VFOX")</f>
        <v>VFOX</v>
      </c>
    </row>
    <row r="13669" spans="1:3" x14ac:dyDescent="0.25">
      <c r="A13669" s="2" t="str">
        <f ca="1">IFERROR(__xludf.DUMMYFUNCTION("""COMPUTED_VALUE"""),"viacoin")</f>
        <v>viacoin</v>
      </c>
      <c r="B13669" s="2" t="str">
        <f ca="1">IFERROR(__xludf.DUMMYFUNCTION("""COMPUTED_VALUE"""),"via")</f>
        <v>via</v>
      </c>
      <c r="C13669" s="2" t="str">
        <f ca="1">IFERROR(__xludf.DUMMYFUNCTION("""COMPUTED_VALUE"""),"Viacoin")</f>
        <v>Viacoin</v>
      </c>
    </row>
    <row r="13670" spans="1:3" x14ac:dyDescent="0.25">
      <c r="A13670" s="2" t="str">
        <f ca="1">IFERROR(__xludf.DUMMYFUNCTION("""COMPUTED_VALUE"""),"vibe")</f>
        <v>vibe</v>
      </c>
      <c r="B13670" s="2" t="str">
        <f ca="1">IFERROR(__xludf.DUMMYFUNCTION("""COMPUTED_VALUE"""),"vibe")</f>
        <v>vibe</v>
      </c>
      <c r="C13670" s="2" t="str">
        <f ca="1">IFERROR(__xludf.DUMMYFUNCTION("""COMPUTED_VALUE"""),"VIBE")</f>
        <v>VIBE</v>
      </c>
    </row>
    <row r="13671" spans="1:3" x14ac:dyDescent="0.25">
      <c r="A13671" s="2" t="str">
        <f ca="1">IFERROR(__xludf.DUMMYFUNCTION("""COMPUTED_VALUE"""),"vibe-ai")</f>
        <v>vibe-ai</v>
      </c>
      <c r="B13671" s="2" t="str">
        <f ca="1">IFERROR(__xludf.DUMMYFUNCTION("""COMPUTED_VALUE"""),"vai")</f>
        <v>vai</v>
      </c>
      <c r="C13671" s="2" t="str">
        <f ca="1">IFERROR(__xludf.DUMMYFUNCTION("""COMPUTED_VALUE"""),"Vibe AI")</f>
        <v>Vibe AI</v>
      </c>
    </row>
    <row r="13672" spans="1:3" x14ac:dyDescent="0.25">
      <c r="A13672" s="2" t="str">
        <f ca="1">IFERROR(__xludf.DUMMYFUNCTION("""COMPUTED_VALUE"""),"vibe-cat")</f>
        <v>vibe-cat</v>
      </c>
      <c r="B13672" s="2" t="str">
        <f ca="1">IFERROR(__xludf.DUMMYFUNCTION("""COMPUTED_VALUE"""),"minette")</f>
        <v>minette</v>
      </c>
      <c r="C13672" s="2" t="str">
        <f ca="1">IFERROR(__xludf.DUMMYFUNCTION("""COMPUTED_VALUE"""),"Vibe Cat")</f>
        <v>Vibe Cat</v>
      </c>
    </row>
    <row r="13673" spans="1:3" x14ac:dyDescent="0.25">
      <c r="A13673" s="2" t="str">
        <f ca="1">IFERROR(__xludf.DUMMYFUNCTION("""COMPUTED_VALUE"""),"viberate")</f>
        <v>viberate</v>
      </c>
      <c r="B13673" s="2" t="str">
        <f ca="1">IFERROR(__xludf.DUMMYFUNCTION("""COMPUTED_VALUE"""),"vib")</f>
        <v>vib</v>
      </c>
      <c r="C13673" s="2" t="str">
        <f ca="1">IFERROR(__xludf.DUMMYFUNCTION("""COMPUTED_VALUE"""),"Viberate")</f>
        <v>Viberate</v>
      </c>
    </row>
    <row r="13674" spans="1:3" x14ac:dyDescent="0.25">
      <c r="A13674" s="2" t="str">
        <f ca="1">IFERROR(__xludf.DUMMYFUNCTION("""COMPUTED_VALUE"""),"vibe-shift")</f>
        <v>vibe-shift</v>
      </c>
      <c r="B13674" s="2" t="str">
        <f ca="1">IFERROR(__xludf.DUMMYFUNCTION("""COMPUTED_VALUE"""),"vibes")</f>
        <v>vibes</v>
      </c>
      <c r="C13674" s="2" t="str">
        <f ca="1">IFERROR(__xludf.DUMMYFUNCTION("""COMPUTED_VALUE"""),"vibe shift")</f>
        <v>vibe shift</v>
      </c>
    </row>
    <row r="13675" spans="1:3" x14ac:dyDescent="0.25">
      <c r="A13675" s="2" t="str">
        <f ca="1">IFERROR(__xludf.DUMMYFUNCTION("""COMPUTED_VALUE"""),"vibing")</f>
        <v>vibing</v>
      </c>
      <c r="B13675" s="2" t="str">
        <f ca="1">IFERROR(__xludf.DUMMYFUNCTION("""COMPUTED_VALUE"""),"vbg")</f>
        <v>vbg</v>
      </c>
      <c r="C13675" s="2" t="str">
        <f ca="1">IFERROR(__xludf.DUMMYFUNCTION("""COMPUTED_VALUE"""),"Vibing")</f>
        <v>Vibing</v>
      </c>
    </row>
    <row r="13676" spans="1:3" x14ac:dyDescent="0.25">
      <c r="A13676" s="2" t="str">
        <f ca="1">IFERROR(__xludf.DUMMYFUNCTION("""COMPUTED_VALUE"""),"vibing-cat")</f>
        <v>vibing-cat</v>
      </c>
      <c r="B13676" s="2" t="str">
        <f ca="1">IFERROR(__xludf.DUMMYFUNCTION("""COMPUTED_VALUE"""),"vcat")</f>
        <v>vcat</v>
      </c>
      <c r="C13676" s="2" t="str">
        <f ca="1">IFERROR(__xludf.DUMMYFUNCTION("""COMPUTED_VALUE"""),"Vibing Cat")</f>
        <v>Vibing Cat</v>
      </c>
    </row>
    <row r="13677" spans="1:3" x14ac:dyDescent="0.25">
      <c r="A13677" s="2" t="str">
        <f ca="1">IFERROR(__xludf.DUMMYFUNCTION("""COMPUTED_VALUE"""),"vibingcattoken")</f>
        <v>vibingcattoken</v>
      </c>
      <c r="B13677" s="2" t="str">
        <f ca="1">IFERROR(__xludf.DUMMYFUNCTION("""COMPUTED_VALUE"""),"vct")</f>
        <v>vct</v>
      </c>
      <c r="C13677" s="2" t="str">
        <f ca="1">IFERROR(__xludf.DUMMYFUNCTION("""COMPUTED_VALUE"""),"VibingCatToken")</f>
        <v>VibingCatToken</v>
      </c>
    </row>
    <row r="13678" spans="1:3" x14ac:dyDescent="0.25">
      <c r="A13678" s="2" t="str">
        <f ca="1">IFERROR(__xludf.DUMMYFUNCTION("""COMPUTED_VALUE"""),"vica-token")</f>
        <v>vica-token</v>
      </c>
      <c r="B13678" s="2" t="str">
        <f ca="1">IFERROR(__xludf.DUMMYFUNCTION("""COMPUTED_VALUE"""),"vica")</f>
        <v>vica</v>
      </c>
      <c r="C13678" s="2" t="str">
        <f ca="1">IFERROR(__xludf.DUMMYFUNCTION("""COMPUTED_VALUE"""),"ViCA")</f>
        <v>ViCA</v>
      </c>
    </row>
    <row r="13679" spans="1:3" x14ac:dyDescent="0.25">
      <c r="A13679" s="2" t="str">
        <f ca="1">IFERROR(__xludf.DUMMYFUNCTION("""COMPUTED_VALUE"""),"vicicoin")</f>
        <v>vicicoin</v>
      </c>
      <c r="B13679" s="2" t="str">
        <f ca="1">IFERROR(__xludf.DUMMYFUNCTION("""COMPUTED_VALUE"""),"vcnt")</f>
        <v>vcnt</v>
      </c>
      <c r="C13679" s="2" t="str">
        <f ca="1">IFERROR(__xludf.DUMMYFUNCTION("""COMPUTED_VALUE"""),"ViciCoin")</f>
        <v>ViciCoin</v>
      </c>
    </row>
    <row r="13680" spans="1:3" x14ac:dyDescent="0.25">
      <c r="A13680" s="2" t="str">
        <f ca="1">IFERROR(__xludf.DUMMYFUNCTION("""COMPUTED_VALUE"""),"vicpool-staked-vic")</f>
        <v>vicpool-staked-vic</v>
      </c>
      <c r="B13680" s="2" t="str">
        <f ca="1">IFERROR(__xludf.DUMMYFUNCTION("""COMPUTED_VALUE"""),"svic")</f>
        <v>svic</v>
      </c>
      <c r="C13680" s="2" t="str">
        <f ca="1">IFERROR(__xludf.DUMMYFUNCTION("""COMPUTED_VALUE"""),"Vicpool Staked VIC")</f>
        <v>Vicpool Staked VIC</v>
      </c>
    </row>
    <row r="13681" spans="1:3" x14ac:dyDescent="0.25">
      <c r="A13681" s="2" t="str">
        <f ca="1">IFERROR(__xludf.DUMMYFUNCTION("""COMPUTED_VALUE"""),"viction-bridged-usdt-viction")</f>
        <v>viction-bridged-usdt-viction</v>
      </c>
      <c r="B13681" s="2" t="str">
        <f ca="1">IFERROR(__xludf.DUMMYFUNCTION("""COMPUTED_VALUE"""),"usdt")</f>
        <v>usdt</v>
      </c>
      <c r="C13681" s="2" t="str">
        <f ca="1">IFERROR(__xludf.DUMMYFUNCTION("""COMPUTED_VALUE"""),"Viction Bridged USDT (Viction)")</f>
        <v>Viction Bridged USDT (Viction)</v>
      </c>
    </row>
    <row r="13682" spans="1:3" x14ac:dyDescent="0.25">
      <c r="A13682" s="2" t="str">
        <f ca="1">IFERROR(__xludf.DUMMYFUNCTION("""COMPUTED_VALUE"""),"viction-bridged-wbtc-viction")</f>
        <v>viction-bridged-wbtc-viction</v>
      </c>
      <c r="B13682" s="2" t="str">
        <f ca="1">IFERROR(__xludf.DUMMYFUNCTION("""COMPUTED_VALUE"""),"wbtc")</f>
        <v>wbtc</v>
      </c>
      <c r="C13682" s="2" t="str">
        <f ca="1">IFERROR(__xludf.DUMMYFUNCTION("""COMPUTED_VALUE"""),"Viction Bridged WBTC (Viction)")</f>
        <v>Viction Bridged WBTC (Viction)</v>
      </c>
    </row>
    <row r="13683" spans="1:3" x14ac:dyDescent="0.25">
      <c r="A13683" s="2" t="str">
        <f ca="1">IFERROR(__xludf.DUMMYFUNCTION("""COMPUTED_VALUE"""),"victoria-vr")</f>
        <v>victoria-vr</v>
      </c>
      <c r="B13683" s="2" t="str">
        <f ca="1">IFERROR(__xludf.DUMMYFUNCTION("""COMPUTED_VALUE"""),"vr")</f>
        <v>vr</v>
      </c>
      <c r="C13683" s="2" t="str">
        <f ca="1">IFERROR(__xludf.DUMMYFUNCTION("""COMPUTED_VALUE"""),"Victoria VR")</f>
        <v>Victoria VR</v>
      </c>
    </row>
    <row r="13684" spans="1:3" x14ac:dyDescent="0.25">
      <c r="A13684" s="2" t="str">
        <f ca="1">IFERROR(__xludf.DUMMYFUNCTION("""COMPUTED_VALUE"""),"victory-gem")</f>
        <v>victory-gem</v>
      </c>
      <c r="B13684" s="2" t="str">
        <f ca="1">IFERROR(__xludf.DUMMYFUNCTION("""COMPUTED_VALUE"""),"vtg")</f>
        <v>vtg</v>
      </c>
      <c r="C13684" s="2" t="str">
        <f ca="1">IFERROR(__xludf.DUMMYFUNCTION("""COMPUTED_VALUE"""),"Victory Gem")</f>
        <v>Victory Gem</v>
      </c>
    </row>
    <row r="13685" spans="1:3" x14ac:dyDescent="0.25">
      <c r="A13685" s="2" t="str">
        <f ca="1">IFERROR(__xludf.DUMMYFUNCTION("""COMPUTED_VALUE"""),"victory-impact")</f>
        <v>victory-impact</v>
      </c>
      <c r="B13685" s="2" t="str">
        <f ca="1">IFERROR(__xludf.DUMMYFUNCTION("""COMPUTED_VALUE"""),"vic")</f>
        <v>vic</v>
      </c>
      <c r="C13685" s="2" t="str">
        <f ca="1">IFERROR(__xludf.DUMMYFUNCTION("""COMPUTED_VALUE"""),"Victory Impact")</f>
        <v>Victory Impact</v>
      </c>
    </row>
    <row r="13686" spans="1:3" x14ac:dyDescent="0.25">
      <c r="A13686" s="2" t="str">
        <f ca="1">IFERROR(__xludf.DUMMYFUNCTION("""COMPUTED_VALUE"""),"vidifyai")</f>
        <v>vidifyai</v>
      </c>
      <c r="B13686" s="2" t="str">
        <f ca="1">IFERROR(__xludf.DUMMYFUNCTION("""COMPUTED_VALUE"""),"vidai")</f>
        <v>vidai</v>
      </c>
      <c r="C13686" s="2" t="str">
        <f ca="1">IFERROR(__xludf.DUMMYFUNCTION("""COMPUTED_VALUE"""),"VidifyAI")</f>
        <v>VidifyAI</v>
      </c>
    </row>
    <row r="13687" spans="1:3" x14ac:dyDescent="0.25">
      <c r="A13687" s="2" t="str">
        <f ca="1">IFERROR(__xludf.DUMMYFUNCTION("""COMPUTED_VALUE"""),"vidt-dao")</f>
        <v>vidt-dao</v>
      </c>
      <c r="B13687" s="2" t="str">
        <f ca="1">IFERROR(__xludf.DUMMYFUNCTION("""COMPUTED_VALUE"""),"vidt")</f>
        <v>vidt</v>
      </c>
      <c r="C13687" s="2" t="str">
        <f ca="1">IFERROR(__xludf.DUMMYFUNCTION("""COMPUTED_VALUE"""),"VIDT DAO")</f>
        <v>VIDT DAO</v>
      </c>
    </row>
    <row r="13688" spans="1:3" x14ac:dyDescent="0.25">
      <c r="A13688" s="2" t="str">
        <f ca="1">IFERROR(__xludf.DUMMYFUNCTION("""COMPUTED_VALUE"""),"vidulum")</f>
        <v>vidulum</v>
      </c>
      <c r="B13688" s="2" t="str">
        <f ca="1">IFERROR(__xludf.DUMMYFUNCTION("""COMPUTED_VALUE"""),"vdl")</f>
        <v>vdl</v>
      </c>
      <c r="C13688" s="2" t="str">
        <f ca="1">IFERROR(__xludf.DUMMYFUNCTION("""COMPUTED_VALUE"""),"Vidulum")</f>
        <v>Vidulum</v>
      </c>
    </row>
    <row r="13689" spans="1:3" x14ac:dyDescent="0.25">
      <c r="A13689" s="2" t="str">
        <f ca="1">IFERROR(__xludf.DUMMYFUNCTION("""COMPUTED_VALUE"""),"vidy")</f>
        <v>vidy</v>
      </c>
      <c r="B13689" s="2" t="str">
        <f ca="1">IFERROR(__xludf.DUMMYFUNCTION("""COMPUTED_VALUE"""),"vidy")</f>
        <v>vidy</v>
      </c>
      <c r="C13689" s="2" t="str">
        <f ca="1">IFERROR(__xludf.DUMMYFUNCTION("""COMPUTED_VALUE"""),"VIDY")</f>
        <v>VIDY</v>
      </c>
    </row>
    <row r="13690" spans="1:3" x14ac:dyDescent="0.25">
      <c r="A13690" s="2" t="str">
        <f ca="1">IFERROR(__xludf.DUMMYFUNCTION("""COMPUTED_VALUE"""),"vidya")</f>
        <v>vidya</v>
      </c>
      <c r="B13690" s="2" t="str">
        <f ca="1">IFERROR(__xludf.DUMMYFUNCTION("""COMPUTED_VALUE"""),"vidya")</f>
        <v>vidya</v>
      </c>
      <c r="C13690" s="2" t="str">
        <f ca="1">IFERROR(__xludf.DUMMYFUNCTION("""COMPUTED_VALUE"""),"Vidya")</f>
        <v>Vidya</v>
      </c>
    </row>
    <row r="13691" spans="1:3" x14ac:dyDescent="0.25">
      <c r="A13691" s="2" t="str">
        <f ca="1">IFERROR(__xludf.DUMMYFUNCTION("""COMPUTED_VALUE"""),"vidyx")</f>
        <v>vidyx</v>
      </c>
      <c r="B13691" s="2" t="str">
        <f ca="1">IFERROR(__xludf.DUMMYFUNCTION("""COMPUTED_VALUE"""),"vidyx")</f>
        <v>vidyx</v>
      </c>
      <c r="C13691" s="2" t="str">
        <f ca="1">IFERROR(__xludf.DUMMYFUNCTION("""COMPUTED_VALUE"""),"VidyX")</f>
        <v>VidyX</v>
      </c>
    </row>
    <row r="13692" spans="1:3" x14ac:dyDescent="0.25">
      <c r="A13692" s="2" t="str">
        <f ca="1">IFERROR(__xludf.DUMMYFUNCTION("""COMPUTED_VALUE"""),"viking-elon")</f>
        <v>viking-elon</v>
      </c>
      <c r="B13692" s="2" t="str">
        <f ca="1">IFERROR(__xludf.DUMMYFUNCTION("""COMPUTED_VALUE"""),"velon")</f>
        <v>velon</v>
      </c>
      <c r="C13692" s="2" t="str">
        <f ca="1">IFERROR(__xludf.DUMMYFUNCTION("""COMPUTED_VALUE"""),"Viking Elon")</f>
        <v>Viking Elon</v>
      </c>
    </row>
    <row r="13693" spans="1:3" x14ac:dyDescent="0.25">
      <c r="A13693" s="2" t="str">
        <f ca="1">IFERROR(__xludf.DUMMYFUNCTION("""COMPUTED_VALUE"""),"viking-token-viki")</f>
        <v>viking-token-viki</v>
      </c>
      <c r="B13693" s="2" t="str">
        <f ca="1">IFERROR(__xludf.DUMMYFUNCTION("""COMPUTED_VALUE"""),"viki")</f>
        <v>viki</v>
      </c>
      <c r="C13693" s="2" t="str">
        <f ca="1">IFERROR(__xludf.DUMMYFUNCTION("""COMPUTED_VALUE"""),"Viking Token")</f>
        <v>Viking Token</v>
      </c>
    </row>
    <row r="13694" spans="1:3" x14ac:dyDescent="0.25">
      <c r="A13694" s="2" t="str">
        <f ca="1">IFERROR(__xludf.DUMMYFUNCTION("""COMPUTED_VALUE"""),"vikita")</f>
        <v>vikita</v>
      </c>
      <c r="B13694" s="2" t="str">
        <f ca="1">IFERROR(__xludf.DUMMYFUNCTION("""COMPUTED_VALUE"""),"vikita")</f>
        <v>vikita</v>
      </c>
      <c r="C13694" s="2" t="str">
        <f ca="1">IFERROR(__xludf.DUMMYFUNCTION("""COMPUTED_VALUE"""),"VIKITA")</f>
        <v>VIKITA</v>
      </c>
    </row>
    <row r="13695" spans="1:3" x14ac:dyDescent="0.25">
      <c r="A13695" s="2" t="str">
        <f ca="1">IFERROR(__xludf.DUMMYFUNCTION("""COMPUTED_VALUE"""),"vimmer")</f>
        <v>vimmer</v>
      </c>
      <c r="B13695" s="2" t="str">
        <f ca="1">IFERROR(__xludf.DUMMYFUNCTION("""COMPUTED_VALUE"""),"viz")</f>
        <v>viz</v>
      </c>
      <c r="C13695" s="2" t="str">
        <f ca="1">IFERROR(__xludf.DUMMYFUNCTION("""COMPUTED_VALUE"""),"Vim")</f>
        <v>Vim</v>
      </c>
    </row>
    <row r="13696" spans="1:3" x14ac:dyDescent="0.25">
      <c r="A13696" s="2" t="str">
        <f ca="1">IFERROR(__xludf.DUMMYFUNCTION("""COMPUTED_VALUE"""),"vimworld-ojee")</f>
        <v>vimworld-ojee</v>
      </c>
      <c r="B13696" s="2" t="str">
        <f ca="1">IFERROR(__xludf.DUMMYFUNCTION("""COMPUTED_VALUE"""),"ojee")</f>
        <v>ojee</v>
      </c>
      <c r="C13696" s="2" t="str">
        <f ca="1">IFERROR(__xludf.DUMMYFUNCTION("""COMPUTED_VALUE"""),"VIMworld OJEE")</f>
        <v>VIMworld OJEE</v>
      </c>
    </row>
    <row r="13697" spans="1:3" x14ac:dyDescent="0.25">
      <c r="A13697" s="2" t="str">
        <f ca="1">IFERROR(__xludf.DUMMYFUNCTION("""COMPUTED_VALUE"""),"vin")</f>
        <v>vin</v>
      </c>
      <c r="B13697" s="2" t="str">
        <f ca="1">IFERROR(__xludf.DUMMYFUNCTION("""COMPUTED_VALUE"""),"vin")</f>
        <v>vin</v>
      </c>
      <c r="C13697" s="2" t="str">
        <f ca="1">IFERROR(__xludf.DUMMYFUNCTION("""COMPUTED_VALUE"""),"VIN")</f>
        <v>VIN</v>
      </c>
    </row>
    <row r="13698" spans="1:3" x14ac:dyDescent="0.25">
      <c r="A13698" s="2" t="str">
        <f ca="1">IFERROR(__xludf.DUMMYFUNCTION("""COMPUTED_VALUE"""),"vinci-protocol")</f>
        <v>vinci-protocol</v>
      </c>
      <c r="B13698" s="2" t="str">
        <f ca="1">IFERROR(__xludf.DUMMYFUNCTION("""COMPUTED_VALUE"""),"vci")</f>
        <v>vci</v>
      </c>
      <c r="C13698" s="2" t="str">
        <f ca="1">IFERROR(__xludf.DUMMYFUNCTION("""COMPUTED_VALUE"""),"Vinci Protocol")</f>
        <v>Vinci Protocol</v>
      </c>
    </row>
    <row r="13699" spans="1:3" x14ac:dyDescent="0.25">
      <c r="A13699" s="2" t="str">
        <f ca="1">IFERROR(__xludf.DUMMYFUNCTION("""COMPUTED_VALUE"""),"vindax-coin")</f>
        <v>vindax-coin</v>
      </c>
      <c r="B13699" s="2" t="str">
        <f ca="1">IFERROR(__xludf.DUMMYFUNCTION("""COMPUTED_VALUE"""),"vd")</f>
        <v>vd</v>
      </c>
      <c r="C13699" s="2" t="str">
        <f ca="1">IFERROR(__xludf.DUMMYFUNCTION("""COMPUTED_VALUE"""),"VinDax Coin")</f>
        <v>VinDax Coin</v>
      </c>
    </row>
    <row r="13700" spans="1:3" x14ac:dyDescent="0.25">
      <c r="A13700" s="2" t="str">
        <f ca="1">IFERROR(__xludf.DUMMYFUNCTION("""COMPUTED_VALUE"""),"vinlink")</f>
        <v>vinlink</v>
      </c>
      <c r="B13700" s="2" t="str">
        <f ca="1">IFERROR(__xludf.DUMMYFUNCTION("""COMPUTED_VALUE"""),"vnlnk")</f>
        <v>vnlnk</v>
      </c>
      <c r="C13700" s="2" t="str">
        <f ca="1">IFERROR(__xludf.DUMMYFUNCTION("""COMPUTED_VALUE"""),"Vinlink")</f>
        <v>Vinlink</v>
      </c>
    </row>
    <row r="13701" spans="1:3" x14ac:dyDescent="0.25">
      <c r="A13701" s="2" t="str">
        <f ca="1">IFERROR(__xludf.DUMMYFUNCTION("""COMPUTED_VALUE"""),"vinuchain")</f>
        <v>vinuchain</v>
      </c>
      <c r="B13701" s="2" t="str">
        <f ca="1">IFERROR(__xludf.DUMMYFUNCTION("""COMPUTED_VALUE"""),"vc")</f>
        <v>vc</v>
      </c>
      <c r="C13701" s="2" t="str">
        <f ca="1">IFERROR(__xludf.DUMMYFUNCTION("""COMPUTED_VALUE"""),"VinuChain")</f>
        <v>VinuChain</v>
      </c>
    </row>
    <row r="13702" spans="1:3" x14ac:dyDescent="0.25">
      <c r="A13702" s="2" t="str">
        <f ca="1">IFERROR(__xludf.DUMMYFUNCTION("""COMPUTED_VALUE"""),"viper-2")</f>
        <v>viper-2</v>
      </c>
      <c r="B13702" s="2" t="str">
        <f ca="1">IFERROR(__xludf.DUMMYFUNCTION("""COMPUTED_VALUE"""),"viper")</f>
        <v>viper</v>
      </c>
      <c r="C13702" s="2" t="str">
        <f ca="1">IFERROR(__xludf.DUMMYFUNCTION("""COMPUTED_VALUE"""),"VIPER")</f>
        <v>VIPER</v>
      </c>
    </row>
    <row r="13703" spans="1:3" x14ac:dyDescent="0.25">
      <c r="A13703" s="2" t="str">
        <f ca="1">IFERROR(__xludf.DUMMYFUNCTION("""COMPUTED_VALUE"""),"vip-token")</f>
        <v>vip-token</v>
      </c>
      <c r="B13703" s="2" t="str">
        <f ca="1">IFERROR(__xludf.DUMMYFUNCTION("""COMPUTED_VALUE"""),"vip")</f>
        <v>vip</v>
      </c>
      <c r="C13703" s="2" t="str">
        <f ca="1">IFERROR(__xludf.DUMMYFUNCTION("""COMPUTED_VALUE"""),"VIP")</f>
        <v>VIP</v>
      </c>
    </row>
    <row r="13704" spans="1:3" x14ac:dyDescent="0.25">
      <c r="A13704" s="2" t="str">
        <f ca="1">IFERROR(__xludf.DUMMYFUNCTION("""COMPUTED_VALUE"""),"viral-inu")</f>
        <v>viral-inu</v>
      </c>
      <c r="B13704" s="2" t="str">
        <f ca="1">IFERROR(__xludf.DUMMYFUNCTION("""COMPUTED_VALUE"""),"vinu")</f>
        <v>vinu</v>
      </c>
      <c r="C13704" s="2" t="str">
        <f ca="1">IFERROR(__xludf.DUMMYFUNCTION("""COMPUTED_VALUE"""),"Viral Inu")</f>
        <v>Viral Inu</v>
      </c>
    </row>
    <row r="13705" spans="1:3" x14ac:dyDescent="0.25">
      <c r="A13705" s="2" t="str">
        <f ca="1">IFERROR(__xludf.DUMMYFUNCTION("""COMPUTED_VALUE"""),"virgo")</f>
        <v>virgo</v>
      </c>
      <c r="B13705" s="2" t="str">
        <f ca="1">IFERROR(__xludf.DUMMYFUNCTION("""COMPUTED_VALUE"""),"vgo")</f>
        <v>vgo</v>
      </c>
      <c r="C13705" s="2" t="str">
        <f ca="1">IFERROR(__xludf.DUMMYFUNCTION("""COMPUTED_VALUE"""),"Virgo")</f>
        <v>Virgo</v>
      </c>
    </row>
    <row r="13706" spans="1:3" x14ac:dyDescent="0.25">
      <c r="A13706" s="2" t="str">
        <f ca="1">IFERROR(__xludf.DUMMYFUNCTION("""COMPUTED_VALUE"""),"viridis-network")</f>
        <v>viridis-network</v>
      </c>
      <c r="B13706" s="2" t="str">
        <f ca="1">IFERROR(__xludf.DUMMYFUNCTION("""COMPUTED_VALUE"""),"vrd")</f>
        <v>vrd</v>
      </c>
      <c r="C13706" s="2" t="str">
        <f ca="1">IFERROR(__xludf.DUMMYFUNCTION("""COMPUTED_VALUE"""),"Viridis Network")</f>
        <v>Viridis Network</v>
      </c>
    </row>
    <row r="13707" spans="1:3" x14ac:dyDescent="0.25">
      <c r="A13707" s="2" t="str">
        <f ca="1">IFERROR(__xludf.DUMMYFUNCTION("""COMPUTED_VALUE"""),"virtual-coin")</f>
        <v>virtual-coin</v>
      </c>
      <c r="B13707" s="2" t="str">
        <f ca="1">IFERROR(__xludf.DUMMYFUNCTION("""COMPUTED_VALUE"""),"vrc")</f>
        <v>vrc</v>
      </c>
      <c r="C13707" s="2" t="str">
        <f ca="1">IFERROR(__xludf.DUMMYFUNCTION("""COMPUTED_VALUE"""),"Virtual Coin")</f>
        <v>Virtual Coin</v>
      </c>
    </row>
    <row r="13708" spans="1:3" x14ac:dyDescent="0.25">
      <c r="A13708" s="2" t="str">
        <f ca="1">IFERROR(__xludf.DUMMYFUNCTION("""COMPUTED_VALUE"""),"virtual-protocol")</f>
        <v>virtual-protocol</v>
      </c>
      <c r="B13708" s="2" t="str">
        <f ca="1">IFERROR(__xludf.DUMMYFUNCTION("""COMPUTED_VALUE"""),"virtual")</f>
        <v>virtual</v>
      </c>
      <c r="C13708" s="2" t="str">
        <f ca="1">IFERROR(__xludf.DUMMYFUNCTION("""COMPUTED_VALUE"""),"Virtuals Protocol")</f>
        <v>Virtuals Protocol</v>
      </c>
    </row>
    <row r="13709" spans="1:3" x14ac:dyDescent="0.25">
      <c r="A13709" s="2" t="str">
        <f ca="1">IFERROR(__xludf.DUMMYFUNCTION("""COMPUTED_VALUE"""),"virtual-tourist")</f>
        <v>virtual-tourist</v>
      </c>
      <c r="B13709" s="2" t="str">
        <f ca="1">IFERROR(__xludf.DUMMYFUNCTION("""COMPUTED_VALUE"""),"vt")</f>
        <v>vt</v>
      </c>
      <c r="C13709" s="2" t="str">
        <f ca="1">IFERROR(__xludf.DUMMYFUNCTION("""COMPUTED_VALUE"""),"Virtual Tourist")</f>
        <v>Virtual Tourist</v>
      </c>
    </row>
    <row r="13710" spans="1:3" x14ac:dyDescent="0.25">
      <c r="A13710" s="2" t="str">
        <f ca="1">IFERROR(__xludf.DUMMYFUNCTION("""COMPUTED_VALUE"""),"virtual-usd")</f>
        <v>virtual-usd</v>
      </c>
      <c r="B13710" s="2" t="str">
        <f ca="1">IFERROR(__xludf.DUMMYFUNCTION("""COMPUTED_VALUE"""),"vusd")</f>
        <v>vusd</v>
      </c>
      <c r="C13710" s="2" t="str">
        <f ca="1">IFERROR(__xludf.DUMMYFUNCTION("""COMPUTED_VALUE"""),"Virtual USD")</f>
        <v>Virtual USD</v>
      </c>
    </row>
    <row r="13711" spans="1:3" x14ac:dyDescent="0.25">
      <c r="A13711" s="2" t="str">
        <f ca="1">IFERROR(__xludf.DUMMYFUNCTION("""COMPUTED_VALUE"""),"virtual-versions")</f>
        <v>virtual-versions</v>
      </c>
      <c r="B13711" s="2" t="str">
        <f ca="1">IFERROR(__xludf.DUMMYFUNCTION("""COMPUTED_VALUE"""),"vv")</f>
        <v>vv</v>
      </c>
      <c r="C13711" s="2" t="str">
        <f ca="1">IFERROR(__xludf.DUMMYFUNCTION("""COMPUTED_VALUE"""),"Virtual Versions")</f>
        <v>Virtual Versions</v>
      </c>
    </row>
    <row r="13712" spans="1:3" x14ac:dyDescent="0.25">
      <c r="A13712" s="2" t="str">
        <f ca="1">IFERROR(__xludf.DUMMYFUNCTION("""COMPUTED_VALUE"""),"virtual-x")</f>
        <v>virtual-x</v>
      </c>
      <c r="B13712" s="2" t="str">
        <f ca="1">IFERROR(__xludf.DUMMYFUNCTION("""COMPUTED_VALUE"""),"vrl")</f>
        <v>vrl</v>
      </c>
      <c r="C13712" s="2" t="str">
        <f ca="1">IFERROR(__xludf.DUMMYFUNCTION("""COMPUTED_VALUE"""),"VIRTUAL X")</f>
        <v>VIRTUAL X</v>
      </c>
    </row>
    <row r="13713" spans="1:3" x14ac:dyDescent="0.25">
      <c r="A13713" s="2" t="str">
        <f ca="1">IFERROR(__xludf.DUMMYFUNCTION("""COMPUTED_VALUE"""),"virtublock")</f>
        <v>virtublock</v>
      </c>
      <c r="B13713" s="2" t="str">
        <f ca="1">IFERROR(__xludf.DUMMYFUNCTION("""COMPUTED_VALUE"""),"vb")</f>
        <v>vb</v>
      </c>
      <c r="C13713" s="2" t="str">
        <f ca="1">IFERROR(__xludf.DUMMYFUNCTION("""COMPUTED_VALUE"""),"VirtuBlock")</f>
        <v>VirtuBlock</v>
      </c>
    </row>
    <row r="13714" spans="1:3" x14ac:dyDescent="0.25">
      <c r="A13714" s="2" t="str">
        <f ca="1">IFERROR(__xludf.DUMMYFUNCTION("""COMPUTED_VALUE"""),"virtucloud")</f>
        <v>virtucloud</v>
      </c>
      <c r="B13714" s="2" t="str">
        <f ca="1">IFERROR(__xludf.DUMMYFUNCTION("""COMPUTED_VALUE"""),"virtu")</f>
        <v>virtu</v>
      </c>
      <c r="C13714" s="2" t="str">
        <f ca="1">IFERROR(__xludf.DUMMYFUNCTION("""COMPUTED_VALUE"""),"Virtucloud")</f>
        <v>Virtucloud</v>
      </c>
    </row>
    <row r="13715" spans="1:3" x14ac:dyDescent="0.25">
      <c r="A13715" s="2" t="str">
        <f ca="1">IFERROR(__xludf.DUMMYFUNCTION("""COMPUTED_VALUE"""),"virtue-poker")</f>
        <v>virtue-poker</v>
      </c>
      <c r="B13715" s="2" t="str">
        <f ca="1">IFERROR(__xludf.DUMMYFUNCTION("""COMPUTED_VALUE"""),"vpp")</f>
        <v>vpp</v>
      </c>
      <c r="C13715" s="2" t="str">
        <f ca="1">IFERROR(__xludf.DUMMYFUNCTION("""COMPUTED_VALUE"""),"Virtue Poker Points")</f>
        <v>Virtue Poker Points</v>
      </c>
    </row>
    <row r="13716" spans="1:3" x14ac:dyDescent="0.25">
      <c r="A13716" s="2" t="str">
        <f ca="1">IFERROR(__xludf.DUMMYFUNCTION("""COMPUTED_VALUE"""),"virtumate")</f>
        <v>virtumate</v>
      </c>
      <c r="B13716" s="2" t="str">
        <f ca="1">IFERROR(__xludf.DUMMYFUNCTION("""COMPUTED_VALUE"""),"mate")</f>
        <v>mate</v>
      </c>
      <c r="C13716" s="2" t="str">
        <f ca="1">IFERROR(__xludf.DUMMYFUNCTION("""COMPUTED_VALUE"""),"Virtumate")</f>
        <v>Virtumate</v>
      </c>
    </row>
    <row r="13717" spans="1:3" x14ac:dyDescent="0.25">
      <c r="A13717" s="2" t="str">
        <f ca="1">IFERROR(__xludf.DUMMYFUNCTION("""COMPUTED_VALUE"""),"virtuswap")</f>
        <v>virtuswap</v>
      </c>
      <c r="B13717" s="2" t="str">
        <f ca="1">IFERROR(__xludf.DUMMYFUNCTION("""COMPUTED_VALUE"""),"vrsw")</f>
        <v>vrsw</v>
      </c>
      <c r="C13717" s="2" t="str">
        <f ca="1">IFERROR(__xludf.DUMMYFUNCTION("""COMPUTED_VALUE"""),"VirtuSwap")</f>
        <v>VirtuSwap</v>
      </c>
    </row>
    <row r="13718" spans="1:3" x14ac:dyDescent="0.25">
      <c r="A13718" s="2" t="str">
        <f ca="1">IFERROR(__xludf.DUMMYFUNCTION("""COMPUTED_VALUE"""),"visa-meme")</f>
        <v>visa-meme</v>
      </c>
      <c r="B13718" s="2" t="str">
        <f ca="1">IFERROR(__xludf.DUMMYFUNCTION("""COMPUTED_VALUE"""),"visa")</f>
        <v>visa</v>
      </c>
      <c r="C13718" s="2" t="str">
        <f ca="1">IFERROR(__xludf.DUMMYFUNCTION("""COMPUTED_VALUE"""),"Visa Meme")</f>
        <v>Visa Meme</v>
      </c>
    </row>
    <row r="13719" spans="1:3" x14ac:dyDescent="0.25">
      <c r="A13719" s="2" t="str">
        <f ca="1">IFERROR(__xludf.DUMMYFUNCTION("""COMPUTED_VALUE"""),"vishai")</f>
        <v>vishai</v>
      </c>
      <c r="B13719" s="2" t="str">
        <f ca="1">IFERROR(__xludf.DUMMYFUNCTION("""COMPUTED_VALUE"""),"vish")</f>
        <v>vish</v>
      </c>
      <c r="C13719" s="2" t="str">
        <f ca="1">IFERROR(__xludf.DUMMYFUNCTION("""COMPUTED_VALUE"""),"VishAI")</f>
        <v>VishAI</v>
      </c>
    </row>
    <row r="13720" spans="1:3" x14ac:dyDescent="0.25">
      <c r="A13720" s="2" t="str">
        <f ca="1">IFERROR(__xludf.DUMMYFUNCTION("""COMPUTED_VALUE"""),"visiongame")</f>
        <v>visiongame</v>
      </c>
      <c r="B13720" s="2" t="str">
        <f ca="1">IFERROR(__xludf.DUMMYFUNCTION("""COMPUTED_VALUE"""),"vision")</f>
        <v>vision</v>
      </c>
      <c r="C13720" s="2" t="str">
        <f ca="1">IFERROR(__xludf.DUMMYFUNCTION("""COMPUTED_VALUE"""),"VisionGame")</f>
        <v>VisionGame</v>
      </c>
    </row>
    <row r="13721" spans="1:3" x14ac:dyDescent="0.25">
      <c r="A13721" s="2" t="str">
        <f ca="1">IFERROR(__xludf.DUMMYFUNCTION("""COMPUTED_VALUE"""),"vistadog")</f>
        <v>vistadog</v>
      </c>
      <c r="B13721" s="2" t="str">
        <f ca="1">IFERROR(__xludf.DUMMYFUNCTION("""COMPUTED_VALUE"""),"vistadog")</f>
        <v>vistadog</v>
      </c>
      <c r="C13721" s="2" t="str">
        <f ca="1">IFERROR(__xludf.DUMMYFUNCTION("""COMPUTED_VALUE"""),"VISTADOG")</f>
        <v>VISTADOG</v>
      </c>
    </row>
    <row r="13722" spans="1:3" x14ac:dyDescent="0.25">
      <c r="A13722" s="2" t="str">
        <f ca="1">IFERROR(__xludf.DUMMYFUNCTION("""COMPUTED_VALUE"""),"vitadao")</f>
        <v>vitadao</v>
      </c>
      <c r="B13722" s="2" t="str">
        <f ca="1">IFERROR(__xludf.DUMMYFUNCTION("""COMPUTED_VALUE"""),"vita")</f>
        <v>vita</v>
      </c>
      <c r="C13722" s="2" t="str">
        <f ca="1">IFERROR(__xludf.DUMMYFUNCTION("""COMPUTED_VALUE"""),"VitaDAO")</f>
        <v>VitaDAO</v>
      </c>
    </row>
    <row r="13723" spans="1:3" x14ac:dyDescent="0.25">
      <c r="A13723" s="2" t="str">
        <f ca="1">IFERROR(__xludf.DUMMYFUNCTION("""COMPUTED_VALUE"""),"vita-inu")</f>
        <v>vita-inu</v>
      </c>
      <c r="B13723" s="2" t="str">
        <f ca="1">IFERROR(__xludf.DUMMYFUNCTION("""COMPUTED_VALUE"""),"vinu")</f>
        <v>vinu</v>
      </c>
      <c r="C13723" s="2" t="str">
        <f ca="1">IFERROR(__xludf.DUMMYFUNCTION("""COMPUTED_VALUE"""),"Vita Inu")</f>
        <v>Vita Inu</v>
      </c>
    </row>
    <row r="13724" spans="1:3" x14ac:dyDescent="0.25">
      <c r="A13724" s="2" t="str">
        <f ca="1">IFERROR(__xludf.DUMMYFUNCTION("""COMPUTED_VALUE"""),"vitalek-buteren")</f>
        <v>vitalek-buteren</v>
      </c>
      <c r="B13724" s="2" t="str">
        <f ca="1">IFERROR(__xludf.DUMMYFUNCTION("""COMPUTED_VALUE"""),"vitalek")</f>
        <v>vitalek</v>
      </c>
      <c r="C13724" s="2" t="str">
        <f ca="1">IFERROR(__xludf.DUMMYFUNCTION("""COMPUTED_VALUE"""),"vitalek buteren")</f>
        <v>vitalek buteren</v>
      </c>
    </row>
    <row r="13725" spans="1:3" x14ac:dyDescent="0.25">
      <c r="A13725" s="2" t="str">
        <f ca="1">IFERROR(__xludf.DUMMYFUNCTION("""COMPUTED_VALUE"""),"vitalik-smart-gas")</f>
        <v>vitalik-smart-gas</v>
      </c>
      <c r="B13725" s="2" t="str">
        <f ca="1">IFERROR(__xludf.DUMMYFUNCTION("""COMPUTED_VALUE"""),"vsg")</f>
        <v>vsg</v>
      </c>
      <c r="C13725" s="2" t="str">
        <f ca="1">IFERROR(__xludf.DUMMYFUNCTION("""COMPUTED_VALUE"""),"Vector Smart Gas")</f>
        <v>Vector Smart Gas</v>
      </c>
    </row>
    <row r="13726" spans="1:3" x14ac:dyDescent="0.25">
      <c r="A13726" s="2" t="str">
        <f ca="1">IFERROR(__xludf.DUMMYFUNCTION("""COMPUTED_VALUE"""),"vitality")</f>
        <v>vitality</v>
      </c>
      <c r="B13726" s="2" t="str">
        <f ca="1">IFERROR(__xludf.DUMMYFUNCTION("""COMPUTED_VALUE"""),"vita")</f>
        <v>vita</v>
      </c>
      <c r="C13726" s="2" t="str">
        <f ca="1">IFERROR(__xludf.DUMMYFUNCTION("""COMPUTED_VALUE"""),"Vitality")</f>
        <v>Vitality</v>
      </c>
    </row>
    <row r="13727" spans="1:3" x14ac:dyDescent="0.25">
      <c r="A13727" s="2" t="str">
        <f ca="1">IFERROR(__xludf.DUMMYFUNCTION("""COMPUTED_VALUE"""),"vitalxp")</f>
        <v>vitalxp</v>
      </c>
      <c r="B13727" s="2" t="str">
        <f ca="1">IFERROR(__xludf.DUMMYFUNCTION("""COMPUTED_VALUE"""),"vital")</f>
        <v>vital</v>
      </c>
      <c r="C13727" s="2" t="str">
        <f ca="1">IFERROR(__xludf.DUMMYFUNCTION("""COMPUTED_VALUE"""),"VitalXP")</f>
        <v>VitalXP</v>
      </c>
    </row>
    <row r="13728" spans="1:3" x14ac:dyDescent="0.25">
      <c r="A13728" s="2" t="str">
        <f ca="1">IFERROR(__xludf.DUMMYFUNCTION("""COMPUTED_VALUE"""),"vitarna")</f>
        <v>vitarna</v>
      </c>
      <c r="B13728" s="2" t="str">
        <f ca="1">IFERROR(__xludf.DUMMYFUNCTION("""COMPUTED_VALUE"""),"vitarna")</f>
        <v>vitarna</v>
      </c>
      <c r="C13728" s="2" t="str">
        <f ca="1">IFERROR(__xludf.DUMMYFUNCTION("""COMPUTED_VALUE"""),"VitaRNA")</f>
        <v>VitaRNA</v>
      </c>
    </row>
    <row r="13729" spans="1:3" x14ac:dyDescent="0.25">
      <c r="A13729" s="2" t="str">
        <f ca="1">IFERROR(__xludf.DUMMYFUNCTION("""COMPUTED_VALUE"""),"vite")</f>
        <v>vite</v>
      </c>
      <c r="B13729" s="2" t="str">
        <f ca="1">IFERROR(__xludf.DUMMYFUNCTION("""COMPUTED_VALUE"""),"vite")</f>
        <v>vite</v>
      </c>
      <c r="C13729" s="2" t="str">
        <f ca="1">IFERROR(__xludf.DUMMYFUNCTION("""COMPUTED_VALUE"""),"Vite")</f>
        <v>Vite</v>
      </c>
    </row>
    <row r="13730" spans="1:3" x14ac:dyDescent="0.25">
      <c r="A13730" s="2" t="str">
        <f ca="1">IFERROR(__xludf.DUMMYFUNCTION("""COMPUTED_VALUE"""),"viterium")</f>
        <v>viterium</v>
      </c>
      <c r="B13730" s="2" t="str">
        <f ca="1">IFERROR(__xludf.DUMMYFUNCTION("""COMPUTED_VALUE"""),"vt")</f>
        <v>vt</v>
      </c>
      <c r="C13730" s="2" t="str">
        <f ca="1">IFERROR(__xludf.DUMMYFUNCTION("""COMPUTED_VALUE"""),"Viterium")</f>
        <v>Viterium</v>
      </c>
    </row>
    <row r="13731" spans="1:3" x14ac:dyDescent="0.25">
      <c r="A13731" s="2" t="str">
        <f ca="1">IFERROR(__xludf.DUMMYFUNCTION("""COMPUTED_VALUE"""),"vitex")</f>
        <v>vitex</v>
      </c>
      <c r="B13731" s="2" t="str">
        <f ca="1">IFERROR(__xludf.DUMMYFUNCTION("""COMPUTED_VALUE"""),"vx")</f>
        <v>vx</v>
      </c>
      <c r="C13731" s="2" t="str">
        <f ca="1">IFERROR(__xludf.DUMMYFUNCTION("""COMPUTED_VALUE"""),"ViteX Coin")</f>
        <v>ViteX Coin</v>
      </c>
    </row>
    <row r="13732" spans="1:3" x14ac:dyDescent="0.25">
      <c r="A13732" s="2" t="str">
        <f ca="1">IFERROR(__xludf.DUMMYFUNCTION("""COMPUTED_VALUE"""),"vitra-studios")</f>
        <v>vitra-studios</v>
      </c>
      <c r="B13732" s="2" t="str">
        <f ca="1">IFERROR(__xludf.DUMMYFUNCTION("""COMPUTED_VALUE"""),"vitra")</f>
        <v>vitra</v>
      </c>
      <c r="C13732" s="2" t="str">
        <f ca="1">IFERROR(__xludf.DUMMYFUNCTION("""COMPUTED_VALUE"""),"Vitra Studios")</f>
        <v>Vitra Studios</v>
      </c>
    </row>
    <row r="13733" spans="1:3" x14ac:dyDescent="0.25">
      <c r="A13733" s="2" t="str">
        <f ca="1">IFERROR(__xludf.DUMMYFUNCTION("""COMPUTED_VALUE"""),"vitreus")</f>
        <v>vitreus</v>
      </c>
      <c r="B13733" s="2" t="str">
        <f ca="1">IFERROR(__xludf.DUMMYFUNCTION("""COMPUTED_VALUE"""),"wvtrs")</f>
        <v>wvtrs</v>
      </c>
      <c r="C13733" s="2" t="str">
        <f ca="1">IFERROR(__xludf.DUMMYFUNCTION("""COMPUTED_VALUE"""),"Vitreus")</f>
        <v>Vitreus</v>
      </c>
    </row>
    <row r="13734" spans="1:3" x14ac:dyDescent="0.25">
      <c r="A13734" s="2" t="str">
        <f ca="1">IFERROR(__xludf.DUMMYFUNCTION("""COMPUTED_VALUE"""),"vitruvian-nexus-protocol")</f>
        <v>vitruvian-nexus-protocol</v>
      </c>
      <c r="B13734" s="2" t="str">
        <f ca="1">IFERROR(__xludf.DUMMYFUNCTION("""COMPUTED_VALUE"""),"vnpt")</f>
        <v>vnpt</v>
      </c>
      <c r="C13734" s="2" t="str">
        <f ca="1">IFERROR(__xludf.DUMMYFUNCTION("""COMPUTED_VALUE"""),"Vitruvian Nexus Protocol")</f>
        <v>Vitruvian Nexus Protocol</v>
      </c>
    </row>
    <row r="13735" spans="1:3" x14ac:dyDescent="0.25">
      <c r="A13735" s="2" t="str">
        <f ca="1">IFERROR(__xludf.DUMMYFUNCTION("""COMPUTED_VALUE"""),"vivex")</f>
        <v>vivex</v>
      </c>
      <c r="B13735" s="2" t="str">
        <f ca="1">IFERROR(__xludf.DUMMYFUNCTION("""COMPUTED_VALUE"""),"$vivx")</f>
        <v>$vivx</v>
      </c>
      <c r="C13735" s="2" t="str">
        <f ca="1">IFERROR(__xludf.DUMMYFUNCTION("""COMPUTED_VALUE"""),"Vivex")</f>
        <v>Vivex</v>
      </c>
    </row>
    <row r="13736" spans="1:3" x14ac:dyDescent="0.25">
      <c r="A13736" s="2" t="str">
        <f ca="1">IFERROR(__xludf.DUMMYFUNCTION("""COMPUTED_VALUE"""),"vixco")</f>
        <v>vixco</v>
      </c>
      <c r="B13736" s="2" t="str">
        <f ca="1">IFERROR(__xludf.DUMMYFUNCTION("""COMPUTED_VALUE"""),"vix")</f>
        <v>vix</v>
      </c>
      <c r="C13736" s="2" t="str">
        <f ca="1">IFERROR(__xludf.DUMMYFUNCTION("""COMPUTED_VALUE"""),"Vixco")</f>
        <v>Vixco</v>
      </c>
    </row>
    <row r="13737" spans="1:3" x14ac:dyDescent="0.25">
      <c r="A13737" s="2" t="str">
        <f ca="1">IFERROR(__xludf.DUMMYFUNCTION("""COMPUTED_VALUE"""),"vizion")</f>
        <v>vizion</v>
      </c>
      <c r="B13737" s="2" t="str">
        <f ca="1">IFERROR(__xludf.DUMMYFUNCTION("""COMPUTED_VALUE"""),"vizion")</f>
        <v>vizion</v>
      </c>
      <c r="C13737" s="2" t="str">
        <f ca="1">IFERROR(__xludf.DUMMYFUNCTION("""COMPUTED_VALUE"""),"Vizion")</f>
        <v>Vizion</v>
      </c>
    </row>
    <row r="13738" spans="1:3" x14ac:dyDescent="0.25">
      <c r="A13738" s="2" t="str">
        <f ca="1">IFERROR(__xludf.DUMMYFUNCTION("""COMPUTED_VALUE"""),"vizion-protocol")</f>
        <v>vizion-protocol</v>
      </c>
      <c r="B13738" s="2" t="str">
        <f ca="1">IFERROR(__xludf.DUMMYFUNCTION("""COMPUTED_VALUE"""),"vizion")</f>
        <v>vizion</v>
      </c>
      <c r="C13738" s="2" t="str">
        <f ca="1">IFERROR(__xludf.DUMMYFUNCTION("""COMPUTED_VALUE"""),"Vizion Protocol")</f>
        <v>Vizion Protocol</v>
      </c>
    </row>
    <row r="13739" spans="1:3" x14ac:dyDescent="0.25">
      <c r="A13739" s="2" t="str">
        <f ca="1">IFERROR(__xludf.DUMMYFUNCTION("""COMPUTED_VALUE"""),"vizslaswap")</f>
        <v>vizslaswap</v>
      </c>
      <c r="B13739" s="2" t="str">
        <f ca="1">IFERROR(__xludf.DUMMYFUNCTION("""COMPUTED_VALUE"""),"vizslaswap")</f>
        <v>vizslaswap</v>
      </c>
      <c r="C13739" s="2" t="str">
        <f ca="1">IFERROR(__xludf.DUMMYFUNCTION("""COMPUTED_VALUE"""),"VizslaSwap")</f>
        <v>VizslaSwap</v>
      </c>
    </row>
    <row r="13740" spans="1:3" x14ac:dyDescent="0.25">
      <c r="A13740" s="2" t="str">
        <f ca="1">IFERROR(__xludf.DUMMYFUNCTION("""COMPUTED_VALUE"""),"vlaunch-2")</f>
        <v>vlaunch-2</v>
      </c>
      <c r="B13740" s="2" t="str">
        <f ca="1">IFERROR(__xludf.DUMMYFUNCTION("""COMPUTED_VALUE"""),"vpad")</f>
        <v>vpad</v>
      </c>
      <c r="C13740" s="2" t="str">
        <f ca="1">IFERROR(__xludf.DUMMYFUNCTION("""COMPUTED_VALUE"""),"VLaunch")</f>
        <v>VLaunch</v>
      </c>
    </row>
    <row r="13741" spans="1:3" x14ac:dyDescent="0.25">
      <c r="A13741" s="2" t="str">
        <f ca="1">IFERROR(__xludf.DUMMYFUNCTION("""COMPUTED_VALUE"""),"vmpx")</f>
        <v>vmpx</v>
      </c>
      <c r="B13741" s="2" t="str">
        <f ca="1">IFERROR(__xludf.DUMMYFUNCTION("""COMPUTED_VALUE"""),"vmpx")</f>
        <v>vmpx</v>
      </c>
      <c r="C13741" s="2" t="str">
        <f ca="1">IFERROR(__xludf.DUMMYFUNCTION("""COMPUTED_VALUE"""),"VMPX")</f>
        <v>VMPX</v>
      </c>
    </row>
    <row r="13742" spans="1:3" x14ac:dyDescent="0.25">
      <c r="A13742" s="2" t="str">
        <f ca="1">IFERROR(__xludf.DUMMYFUNCTION("""COMPUTED_VALUE"""),"vndc")</f>
        <v>vndc</v>
      </c>
      <c r="B13742" s="2" t="str">
        <f ca="1">IFERROR(__xludf.DUMMYFUNCTION("""COMPUTED_VALUE"""),"vndc")</f>
        <v>vndc</v>
      </c>
      <c r="C13742" s="2" t="str">
        <f ca="1">IFERROR(__xludf.DUMMYFUNCTION("""COMPUTED_VALUE"""),"VNDC")</f>
        <v>VNDC</v>
      </c>
    </row>
    <row r="13743" spans="1:3" x14ac:dyDescent="0.25">
      <c r="A13743" s="2" t="str">
        <f ca="1">IFERROR(__xludf.DUMMYFUNCTION("""COMPUTED_VALUE"""),"vnst-stablecoin")</f>
        <v>vnst-stablecoin</v>
      </c>
      <c r="B13743" s="2" t="str">
        <f ca="1">IFERROR(__xludf.DUMMYFUNCTION("""COMPUTED_VALUE"""),"vnst")</f>
        <v>vnst</v>
      </c>
      <c r="C13743" s="2" t="str">
        <f ca="1">IFERROR(__xludf.DUMMYFUNCTION("""COMPUTED_VALUE"""),"VNST Stablecoin")</f>
        <v>VNST Stablecoin</v>
      </c>
    </row>
    <row r="13744" spans="1:3" x14ac:dyDescent="0.25">
      <c r="A13744" s="2" t="str">
        <f ca="1">IFERROR(__xludf.DUMMYFUNCTION("""COMPUTED_VALUE"""),"vnx-euro")</f>
        <v>vnx-euro</v>
      </c>
      <c r="B13744" s="2" t="str">
        <f ca="1">IFERROR(__xludf.DUMMYFUNCTION("""COMPUTED_VALUE"""),"veur")</f>
        <v>veur</v>
      </c>
      <c r="C13744" s="2" t="str">
        <f ca="1">IFERROR(__xludf.DUMMYFUNCTION("""COMPUTED_VALUE"""),"VNX EURO")</f>
        <v>VNX EURO</v>
      </c>
    </row>
    <row r="13745" spans="1:3" x14ac:dyDescent="0.25">
      <c r="A13745" s="2" t="str">
        <f ca="1">IFERROR(__xludf.DUMMYFUNCTION("""COMPUTED_VALUE"""),"vnx-gold")</f>
        <v>vnx-gold</v>
      </c>
      <c r="B13745" s="2" t="str">
        <f ca="1">IFERROR(__xludf.DUMMYFUNCTION("""COMPUTED_VALUE"""),"vnxau")</f>
        <v>vnxau</v>
      </c>
      <c r="C13745" s="2" t="str">
        <f ca="1">IFERROR(__xludf.DUMMYFUNCTION("""COMPUTED_VALUE"""),"VNX Gold")</f>
        <v>VNX Gold</v>
      </c>
    </row>
    <row r="13746" spans="1:3" x14ac:dyDescent="0.25">
      <c r="A13746" s="2" t="str">
        <f ca="1">IFERROR(__xludf.DUMMYFUNCTION("""COMPUTED_VALUE"""),"vnx-swiss-franc")</f>
        <v>vnx-swiss-franc</v>
      </c>
      <c r="B13746" s="2" t="str">
        <f ca="1">IFERROR(__xludf.DUMMYFUNCTION("""COMPUTED_VALUE"""),"vchf")</f>
        <v>vchf</v>
      </c>
      <c r="C13746" s="2" t="str">
        <f ca="1">IFERROR(__xludf.DUMMYFUNCTION("""COMPUTED_VALUE"""),"VNX Swiss Franc")</f>
        <v>VNX Swiss Franc</v>
      </c>
    </row>
    <row r="13747" spans="1:3" x14ac:dyDescent="0.25">
      <c r="A13747" s="2" t="str">
        <f ca="1">IFERROR(__xludf.DUMMYFUNCTION("""COMPUTED_VALUE"""),"vodra")</f>
        <v>vodra</v>
      </c>
      <c r="B13747" s="2" t="str">
        <f ca="1">IFERROR(__xludf.DUMMYFUNCTION("""COMPUTED_VALUE"""),"vdr")</f>
        <v>vdr</v>
      </c>
      <c r="C13747" s="2" t="str">
        <f ca="1">IFERROR(__xludf.DUMMYFUNCTION("""COMPUTED_VALUE"""),"Vodra")</f>
        <v>Vodra</v>
      </c>
    </row>
    <row r="13748" spans="1:3" x14ac:dyDescent="0.25">
      <c r="A13748" s="2" t="str">
        <f ca="1">IFERROR(__xludf.DUMMYFUNCTION("""COMPUTED_VALUE"""),"voice-street")</f>
        <v>voice-street</v>
      </c>
      <c r="B13748" s="2" t="str">
        <f ca="1">IFERROR(__xludf.DUMMYFUNCTION("""COMPUTED_VALUE"""),"vst")</f>
        <v>vst</v>
      </c>
      <c r="C13748" s="2" t="str">
        <f ca="1">IFERROR(__xludf.DUMMYFUNCTION("""COMPUTED_VALUE"""),"Voice Street")</f>
        <v>Voice Street</v>
      </c>
    </row>
    <row r="13749" spans="1:3" x14ac:dyDescent="0.25">
      <c r="A13749" s="2" t="str">
        <f ca="1">IFERROR(__xludf.DUMMYFUNCTION("""COMPUTED_VALUE"""),"void-games")</f>
        <v>void-games</v>
      </c>
      <c r="B13749" s="2" t="str">
        <f ca="1">IFERROR(__xludf.DUMMYFUNCTION("""COMPUTED_VALUE"""),"void")</f>
        <v>void</v>
      </c>
      <c r="C13749" s="2" t="str">
        <f ca="1">IFERROR(__xludf.DUMMYFUNCTION("""COMPUTED_VALUE"""),"Void Games")</f>
        <v>Void Games</v>
      </c>
    </row>
    <row r="13750" spans="1:3" x14ac:dyDescent="0.25">
      <c r="A13750" s="2" t="str">
        <f ca="1">IFERROR(__xludf.DUMMYFUNCTION("""COMPUTED_VALUE"""),"voidz")</f>
        <v>voidz</v>
      </c>
      <c r="B13750" s="2" t="str">
        <f ca="1">IFERROR(__xludf.DUMMYFUNCTION("""COMPUTED_VALUE"""),"vdz")</f>
        <v>vdz</v>
      </c>
      <c r="C13750" s="2" t="str">
        <f ca="1">IFERROR(__xludf.DUMMYFUNCTION("""COMPUTED_VALUE"""),"Voidz")</f>
        <v>Voidz</v>
      </c>
    </row>
    <row r="13751" spans="1:3" x14ac:dyDescent="0.25">
      <c r="A13751" s="2" t="str">
        <f ca="1">IFERROR(__xludf.DUMMYFUNCTION("""COMPUTED_VALUE"""),"voi-network")</f>
        <v>voi-network</v>
      </c>
      <c r="B13751" s="2" t="str">
        <f ca="1">IFERROR(__xludf.DUMMYFUNCTION("""COMPUTED_VALUE"""),"voi")</f>
        <v>voi</v>
      </c>
      <c r="C13751" s="2" t="str">
        <f ca="1">IFERROR(__xludf.DUMMYFUNCTION("""COMPUTED_VALUE"""),"VOI Network")</f>
        <v>VOI Network</v>
      </c>
    </row>
    <row r="13752" spans="1:3" x14ac:dyDescent="0.25">
      <c r="A13752" s="2" t="str">
        <f ca="1">IFERROR(__xludf.DUMMYFUNCTION("""COMPUTED_VALUE"""),"voip-finance")</f>
        <v>voip-finance</v>
      </c>
      <c r="B13752" s="2" t="str">
        <f ca="1">IFERROR(__xludf.DUMMYFUNCTION("""COMPUTED_VALUE"""),"voip")</f>
        <v>voip</v>
      </c>
      <c r="C13752" s="2" t="str">
        <f ca="1">IFERROR(__xludf.DUMMYFUNCTION("""COMPUTED_VALUE"""),"Voip Finance")</f>
        <v>Voip Finance</v>
      </c>
    </row>
    <row r="13753" spans="1:3" x14ac:dyDescent="0.25">
      <c r="A13753" s="2" t="str">
        <f ca="1">IFERROR(__xludf.DUMMYFUNCTION("""COMPUTED_VALUE"""),"volare-network")</f>
        <v>volare-network</v>
      </c>
      <c r="B13753" s="2" t="str">
        <f ca="1">IFERROR(__xludf.DUMMYFUNCTION("""COMPUTED_VALUE"""),"volr")</f>
        <v>volr</v>
      </c>
      <c r="C13753" s="2" t="str">
        <f ca="1">IFERROR(__xludf.DUMMYFUNCTION("""COMPUTED_VALUE"""),"Volare Network")</f>
        <v>Volare Network</v>
      </c>
    </row>
    <row r="13754" spans="1:3" x14ac:dyDescent="0.25">
      <c r="A13754" s="2" t="str">
        <f ca="1">IFERROR(__xludf.DUMMYFUNCTION("""COMPUTED_VALUE"""),"voldemorttrumprobotnik-10neko")</f>
        <v>voldemorttrumprobotnik-10neko</v>
      </c>
      <c r="B13754" s="2" t="str">
        <f ca="1">IFERROR(__xludf.DUMMYFUNCTION("""COMPUTED_VALUE"""),"ethereum")</f>
        <v>ethereum</v>
      </c>
      <c r="C13754" s="2" t="str">
        <f ca="1">IFERROR(__xludf.DUMMYFUNCTION("""COMPUTED_VALUE"""),"VoldemortTrumpRobotnik-10Neko")</f>
        <v>VoldemortTrumpRobotnik-10Neko</v>
      </c>
    </row>
    <row r="13755" spans="1:3" x14ac:dyDescent="0.25">
      <c r="A13755" s="2" t="str">
        <f ca="1">IFERROR(__xludf.DUMMYFUNCTION("""COMPUTED_VALUE"""),"volo-staked-sui")</f>
        <v>volo-staked-sui</v>
      </c>
      <c r="B13755" s="2" t="str">
        <f ca="1">IFERROR(__xludf.DUMMYFUNCTION("""COMPUTED_VALUE"""),"vsui")</f>
        <v>vsui</v>
      </c>
      <c r="C13755" s="2" t="str">
        <f ca="1">IFERROR(__xludf.DUMMYFUNCTION("""COMPUTED_VALUE"""),"Volo Staked SUI")</f>
        <v>Volo Staked SUI</v>
      </c>
    </row>
    <row r="13756" spans="1:3" x14ac:dyDescent="0.25">
      <c r="A13756" s="2" t="str">
        <f ca="1">IFERROR(__xludf.DUMMYFUNCTION("""COMPUTED_VALUE"""),"volta-club")</f>
        <v>volta-club</v>
      </c>
      <c r="B13756" s="2" t="str">
        <f ca="1">IFERROR(__xludf.DUMMYFUNCTION("""COMPUTED_VALUE"""),"volta")</f>
        <v>volta</v>
      </c>
      <c r="C13756" s="2" t="str">
        <f ca="1">IFERROR(__xludf.DUMMYFUNCTION("""COMPUTED_VALUE"""),"Volta Club")</f>
        <v>Volta Club</v>
      </c>
    </row>
    <row r="13757" spans="1:3" x14ac:dyDescent="0.25">
      <c r="A13757" s="2" t="str">
        <f ca="1">IFERROR(__xludf.DUMMYFUNCTION("""COMPUTED_VALUE"""),"volta-protocol")</f>
        <v>volta-protocol</v>
      </c>
      <c r="B13757" s="2" t="str">
        <f ca="1">IFERROR(__xludf.DUMMYFUNCTION("""COMPUTED_VALUE"""),"volta")</f>
        <v>volta</v>
      </c>
      <c r="C13757" s="2" t="str">
        <f ca="1">IFERROR(__xludf.DUMMYFUNCTION("""COMPUTED_VALUE"""),"Volta Protocol")</f>
        <v>Volta Protocol</v>
      </c>
    </row>
    <row r="13758" spans="1:3" x14ac:dyDescent="0.25">
      <c r="A13758" s="2" t="str">
        <f ca="1">IFERROR(__xludf.DUMMYFUNCTION("""COMPUTED_VALUE"""),"volt-inu-2")</f>
        <v>volt-inu-2</v>
      </c>
      <c r="B13758" s="2" t="str">
        <f ca="1">IFERROR(__xludf.DUMMYFUNCTION("""COMPUTED_VALUE"""),"volt")</f>
        <v>volt</v>
      </c>
      <c r="C13758" s="2" t="str">
        <f ca="1">IFERROR(__xludf.DUMMYFUNCTION("""COMPUTED_VALUE"""),"Volt Inu")</f>
        <v>Volt Inu</v>
      </c>
    </row>
    <row r="13759" spans="1:3" x14ac:dyDescent="0.25">
      <c r="A13759" s="2" t="str">
        <f ca="1">IFERROR(__xludf.DUMMYFUNCTION("""COMPUTED_VALUE"""),"voltswap")</f>
        <v>voltswap</v>
      </c>
      <c r="B13759" s="2" t="str">
        <f ca="1">IFERROR(__xludf.DUMMYFUNCTION("""COMPUTED_VALUE"""),"volt")</f>
        <v>volt</v>
      </c>
      <c r="C13759" s="2" t="str">
        <f ca="1">IFERROR(__xludf.DUMMYFUNCTION("""COMPUTED_VALUE"""),"VoltSwap")</f>
        <v>VoltSwap</v>
      </c>
    </row>
    <row r="13760" spans="1:3" x14ac:dyDescent="0.25">
      <c r="A13760" s="2" t="str">
        <f ca="1">IFERROR(__xludf.DUMMYFUNCTION("""COMPUTED_VALUE"""),"volt-win")</f>
        <v>volt-win</v>
      </c>
      <c r="B13760" s="2" t="str">
        <f ca="1">IFERROR(__xludf.DUMMYFUNCTION("""COMPUTED_VALUE"""),"volt")</f>
        <v>volt</v>
      </c>
      <c r="C13760" s="2" t="str">
        <f ca="1">IFERROR(__xludf.DUMMYFUNCTION("""COMPUTED_VALUE"""),"VOLT.WIN")</f>
        <v>VOLT.WIN</v>
      </c>
    </row>
    <row r="13761" spans="1:3" x14ac:dyDescent="0.25">
      <c r="A13761" s="2" t="str">
        <f ca="1">IFERROR(__xludf.DUMMYFUNCTION("""COMPUTED_VALUE"""),"volumex")</f>
        <v>volumex</v>
      </c>
      <c r="B13761" s="2" t="str">
        <f ca="1">IFERROR(__xludf.DUMMYFUNCTION("""COMPUTED_VALUE"""),"volx")</f>
        <v>volx</v>
      </c>
      <c r="C13761" s="2" t="str">
        <f ca="1">IFERROR(__xludf.DUMMYFUNCTION("""COMPUTED_VALUE"""),"VolumeX")</f>
        <v>VolumeX</v>
      </c>
    </row>
    <row r="13762" spans="1:3" x14ac:dyDescent="0.25">
      <c r="A13762" s="2" t="str">
        <f ca="1">IFERROR(__xludf.DUMMYFUNCTION("""COMPUTED_VALUE"""),"volumint")</f>
        <v>volumint</v>
      </c>
      <c r="B13762" s="2" t="str">
        <f ca="1">IFERROR(__xludf.DUMMYFUNCTION("""COMPUTED_VALUE"""),"vmint")</f>
        <v>vmint</v>
      </c>
      <c r="C13762" s="2" t="str">
        <f ca="1">IFERROR(__xludf.DUMMYFUNCTION("""COMPUTED_VALUE"""),"VoluMint")</f>
        <v>VoluMint</v>
      </c>
    </row>
    <row r="13763" spans="1:3" x14ac:dyDescent="0.25">
      <c r="A13763" s="2" t="str">
        <f ca="1">IFERROR(__xludf.DUMMYFUNCTION("""COMPUTED_VALUE"""),"voodoo")</f>
        <v>voodoo</v>
      </c>
      <c r="B13763" s="2" t="str">
        <f ca="1">IFERROR(__xludf.DUMMYFUNCTION("""COMPUTED_VALUE"""),"ldz")</f>
        <v>ldz</v>
      </c>
      <c r="C13763" s="2" t="str">
        <f ca="1">IFERROR(__xludf.DUMMYFUNCTION("""COMPUTED_VALUE"""),"Voodoo")</f>
        <v>Voodoo</v>
      </c>
    </row>
    <row r="13764" spans="1:3" x14ac:dyDescent="0.25">
      <c r="A13764" s="2" t="str">
        <f ca="1">IFERROR(__xludf.DUMMYFUNCTION("""COMPUTED_VALUE"""),"vopo")</f>
        <v>vopo</v>
      </c>
      <c r="B13764" s="2" t="str">
        <f ca="1">IFERROR(__xludf.DUMMYFUNCTION("""COMPUTED_VALUE"""),"vopo")</f>
        <v>vopo</v>
      </c>
      <c r="C13764" s="2" t="str">
        <f ca="1">IFERROR(__xludf.DUMMYFUNCTION("""COMPUTED_VALUE"""),"VOPO")</f>
        <v>VOPO</v>
      </c>
    </row>
    <row r="13765" spans="1:3" x14ac:dyDescent="0.25">
      <c r="A13765" s="2" t="str">
        <f ca="1">IFERROR(__xludf.DUMMYFUNCTION("""COMPUTED_VALUE"""),"vortex-protocol")</f>
        <v>vortex-protocol</v>
      </c>
      <c r="B13765" s="2" t="str">
        <f ca="1">IFERROR(__xludf.DUMMYFUNCTION("""COMPUTED_VALUE"""),"vp")</f>
        <v>vp</v>
      </c>
      <c r="C13765" s="2" t="str">
        <f ca="1">IFERROR(__xludf.DUMMYFUNCTION("""COMPUTED_VALUE"""),"Vortex Protocol")</f>
        <v>Vortex Protocol</v>
      </c>
    </row>
    <row r="13766" spans="1:3" x14ac:dyDescent="0.25">
      <c r="A13766" s="2" t="str">
        <f ca="1">IFERROR(__xludf.DUMMYFUNCTION("""COMPUTED_VALUE"""),"voucher-dot")</f>
        <v>voucher-dot</v>
      </c>
      <c r="B13766" s="2" t="str">
        <f ca="1">IFERROR(__xludf.DUMMYFUNCTION("""COMPUTED_VALUE"""),"vdot")</f>
        <v>vdot</v>
      </c>
      <c r="C13766" s="2" t="str">
        <f ca="1">IFERROR(__xludf.DUMMYFUNCTION("""COMPUTED_VALUE"""),"Voucher DOT")</f>
        <v>Voucher DOT</v>
      </c>
    </row>
    <row r="13767" spans="1:3" x14ac:dyDescent="0.25">
      <c r="A13767" s="2" t="str">
        <f ca="1">IFERROR(__xludf.DUMMYFUNCTION("""COMPUTED_VALUE"""),"voucher-glmr")</f>
        <v>voucher-glmr</v>
      </c>
      <c r="B13767" s="2" t="str">
        <f ca="1">IFERROR(__xludf.DUMMYFUNCTION("""COMPUTED_VALUE"""),"vglmr")</f>
        <v>vglmr</v>
      </c>
      <c r="C13767" s="2" t="str">
        <f ca="1">IFERROR(__xludf.DUMMYFUNCTION("""COMPUTED_VALUE"""),"Voucher GLMR")</f>
        <v>Voucher GLMR</v>
      </c>
    </row>
    <row r="13768" spans="1:3" x14ac:dyDescent="0.25">
      <c r="A13768" s="2" t="str">
        <f ca="1">IFERROR(__xludf.DUMMYFUNCTION("""COMPUTED_VALUE"""),"voucher-ksm")</f>
        <v>voucher-ksm</v>
      </c>
      <c r="B13768" s="2" t="str">
        <f ca="1">IFERROR(__xludf.DUMMYFUNCTION("""COMPUTED_VALUE"""),"vksm")</f>
        <v>vksm</v>
      </c>
      <c r="C13768" s="2" t="str">
        <f ca="1">IFERROR(__xludf.DUMMYFUNCTION("""COMPUTED_VALUE"""),"Voucher KSM")</f>
        <v>Voucher KSM</v>
      </c>
    </row>
    <row r="13769" spans="1:3" x14ac:dyDescent="0.25">
      <c r="A13769" s="2" t="str">
        <f ca="1">IFERROR(__xludf.DUMMYFUNCTION("""COMPUTED_VALUE"""),"vow")</f>
        <v>vow</v>
      </c>
      <c r="B13769" s="2" t="str">
        <f ca="1">IFERROR(__xludf.DUMMYFUNCTION("""COMPUTED_VALUE"""),"vow")</f>
        <v>vow</v>
      </c>
      <c r="C13769" s="2" t="str">
        <f ca="1">IFERROR(__xludf.DUMMYFUNCTION("""COMPUTED_VALUE"""),"Vow")</f>
        <v>Vow</v>
      </c>
    </row>
    <row r="13770" spans="1:3" x14ac:dyDescent="0.25">
      <c r="A13770" s="2" t="str">
        <f ca="1">IFERROR(__xludf.DUMMYFUNCTION("""COMPUTED_VALUE"""),"vow-usd")</f>
        <v>vow-usd</v>
      </c>
      <c r="B13770" s="2" t="str">
        <f ca="1">IFERROR(__xludf.DUMMYFUNCTION("""COMPUTED_VALUE"""),"vusd")</f>
        <v>vusd</v>
      </c>
      <c r="C13770" s="2" t="str">
        <f ca="1">IFERROR(__xludf.DUMMYFUNCTION("""COMPUTED_VALUE"""),"Vow USD")</f>
        <v>Vow USD</v>
      </c>
    </row>
    <row r="13771" spans="1:3" x14ac:dyDescent="0.25">
      <c r="A13771" s="2" t="str">
        <f ca="1">IFERROR(__xludf.DUMMYFUNCTION("""COMPUTED_VALUE"""),"voxel-x-network")</f>
        <v>voxel-x-network</v>
      </c>
      <c r="B13771" s="2" t="str">
        <f ca="1">IFERROR(__xludf.DUMMYFUNCTION("""COMPUTED_VALUE"""),"vxl")</f>
        <v>vxl</v>
      </c>
      <c r="C13771" s="2" t="str">
        <f ca="1">IFERROR(__xludf.DUMMYFUNCTION("""COMPUTED_VALUE"""),"Voxel X Network")</f>
        <v>Voxel X Network</v>
      </c>
    </row>
    <row r="13772" spans="1:3" x14ac:dyDescent="0.25">
      <c r="A13772" s="2" t="str">
        <f ca="1">IFERROR(__xludf.DUMMYFUNCTION("""COMPUTED_VALUE"""),"voxies")</f>
        <v>voxies</v>
      </c>
      <c r="B13772" s="2" t="str">
        <f ca="1">IFERROR(__xludf.DUMMYFUNCTION("""COMPUTED_VALUE"""),"voxel")</f>
        <v>voxel</v>
      </c>
      <c r="C13772" s="2" t="str">
        <f ca="1">IFERROR(__xludf.DUMMYFUNCTION("""COMPUTED_VALUE"""),"Voxies")</f>
        <v>Voxies</v>
      </c>
    </row>
    <row r="13773" spans="1:3" x14ac:dyDescent="0.25">
      <c r="A13773" s="2" t="str">
        <f ca="1">IFERROR(__xludf.DUMMYFUNCTION("""COMPUTED_VALUE"""),"vox-royale")</f>
        <v>vox-royale</v>
      </c>
      <c r="B13773" s="2" t="str">
        <f ca="1">IFERROR(__xludf.DUMMYFUNCTION("""COMPUTED_VALUE"""),"vxr")</f>
        <v>vxr</v>
      </c>
      <c r="C13773" s="2" t="str">
        <f ca="1">IFERROR(__xludf.DUMMYFUNCTION("""COMPUTED_VALUE"""),"Vox Royale")</f>
        <v>Vox Royale</v>
      </c>
    </row>
    <row r="13774" spans="1:3" x14ac:dyDescent="0.25">
      <c r="A13774" s="2" t="str">
        <f ca="1">IFERROR(__xludf.DUMMYFUNCTION("""COMPUTED_VALUE"""),"voxto")</f>
        <v>voxto</v>
      </c>
      <c r="B13774" s="2" t="str">
        <f ca="1">IFERROR(__xludf.DUMMYFUNCTION("""COMPUTED_VALUE"""),"vxt")</f>
        <v>vxt</v>
      </c>
      <c r="C13774" s="2" t="str">
        <f ca="1">IFERROR(__xludf.DUMMYFUNCTION("""COMPUTED_VALUE"""),"VOXTO")</f>
        <v>VOXTO</v>
      </c>
    </row>
    <row r="13775" spans="1:3" x14ac:dyDescent="0.25">
      <c r="A13775" s="2" t="str">
        <f ca="1">IFERROR(__xludf.DUMMYFUNCTION("""COMPUTED_VALUE"""),"voy-finance")</f>
        <v>voy-finance</v>
      </c>
      <c r="B13775" s="2" t="str">
        <f ca="1">IFERROR(__xludf.DUMMYFUNCTION("""COMPUTED_VALUE"""),"voy")</f>
        <v>voy</v>
      </c>
      <c r="C13775" s="2" t="str">
        <f ca="1">IFERROR(__xludf.DUMMYFUNCTION("""COMPUTED_VALUE"""),"Voy Finance")</f>
        <v>Voy Finance</v>
      </c>
    </row>
    <row r="13776" spans="1:3" x14ac:dyDescent="0.25">
      <c r="A13776" s="2" t="str">
        <f ca="1">IFERROR(__xludf.DUMMYFUNCTION("""COMPUTED_VALUE"""),"vps-ai")</f>
        <v>vps-ai</v>
      </c>
      <c r="B13776" s="2" t="str">
        <f ca="1">IFERROR(__xludf.DUMMYFUNCTION("""COMPUTED_VALUE"""),"vps")</f>
        <v>vps</v>
      </c>
      <c r="C13776" s="2" t="str">
        <f ca="1">IFERROR(__xludf.DUMMYFUNCTION("""COMPUTED_VALUE"""),"VPS Ai")</f>
        <v>VPS Ai</v>
      </c>
    </row>
    <row r="13777" spans="1:3" x14ac:dyDescent="0.25">
      <c r="A13777" s="2" t="str">
        <f ca="1">IFERROR(__xludf.DUMMYFUNCTION("""COMPUTED_VALUE"""),"vrmars")</f>
        <v>vrmars</v>
      </c>
      <c r="B13777" s="2" t="str">
        <f ca="1">IFERROR(__xludf.DUMMYFUNCTION("""COMPUTED_VALUE"""),"vrm")</f>
        <v>vrm</v>
      </c>
      <c r="C13777" s="2" t="str">
        <f ca="1">IFERROR(__xludf.DUMMYFUNCTION("""COMPUTED_VALUE"""),"VRMARS")</f>
        <v>VRMARS</v>
      </c>
    </row>
    <row r="13778" spans="1:3" x14ac:dyDescent="0.25">
      <c r="A13778" s="2" t="str">
        <f ca="1">IFERROR(__xludf.DUMMYFUNCTION("""COMPUTED_VALUE"""),"vsolidus")</f>
        <v>vsolidus</v>
      </c>
      <c r="B13778" s="2" t="str">
        <f ca="1">IFERROR(__xludf.DUMMYFUNCTION("""COMPUTED_VALUE"""),"vsol")</f>
        <v>vsol</v>
      </c>
      <c r="C13778" s="2" t="str">
        <f ca="1">IFERROR(__xludf.DUMMYFUNCTION("""COMPUTED_VALUE"""),"VSolidus")</f>
        <v>VSolidus</v>
      </c>
    </row>
    <row r="13779" spans="1:3" x14ac:dyDescent="0.25">
      <c r="A13779" s="2" t="str">
        <f ca="1">IFERROR(__xludf.DUMMYFUNCTION("""COMPUTED_VALUE"""),"v-systems")</f>
        <v>v-systems</v>
      </c>
      <c r="B13779" s="2" t="str">
        <f ca="1">IFERROR(__xludf.DUMMYFUNCTION("""COMPUTED_VALUE"""),"vsys")</f>
        <v>vsys</v>
      </c>
      <c r="C13779" s="2" t="str">
        <f ca="1">IFERROR(__xludf.DUMMYFUNCTION("""COMPUTED_VALUE"""),"V.SYSTEMS")</f>
        <v>V.SYSTEMS</v>
      </c>
    </row>
    <row r="13780" spans="1:3" x14ac:dyDescent="0.25">
      <c r="A13780" s="2" t="str">
        <f ca="1">IFERROR(__xludf.DUMMYFUNCTION("""COMPUTED_VALUE"""),"vtrading")</f>
        <v>vtrading</v>
      </c>
      <c r="B13780" s="2" t="str">
        <f ca="1">IFERROR(__xludf.DUMMYFUNCTION("""COMPUTED_VALUE"""),"vtrading")</f>
        <v>vtrading</v>
      </c>
      <c r="C13780" s="2" t="str">
        <f ca="1">IFERROR(__xludf.DUMMYFUNCTION("""COMPUTED_VALUE"""),"Vtrading")</f>
        <v>Vtrading</v>
      </c>
    </row>
    <row r="13781" spans="1:3" x14ac:dyDescent="0.25">
      <c r="A13781" s="2" t="str">
        <f ca="1">IFERROR(__xludf.DUMMYFUNCTION("""COMPUTED_VALUE"""),"vulcan-forged")</f>
        <v>vulcan-forged</v>
      </c>
      <c r="B13781" s="2" t="str">
        <f ca="1">IFERROR(__xludf.DUMMYFUNCTION("""COMPUTED_VALUE"""),"pyr")</f>
        <v>pyr</v>
      </c>
      <c r="C13781" s="2" t="str">
        <f ca="1">IFERROR(__xludf.DUMMYFUNCTION("""COMPUTED_VALUE"""),"Vulcan Forged")</f>
        <v>Vulcan Forged</v>
      </c>
    </row>
    <row r="13782" spans="1:3" x14ac:dyDescent="0.25">
      <c r="A13782" s="2" t="str">
        <f ca="1">IFERROR(__xludf.DUMMYFUNCTION("""COMPUTED_VALUE"""),"vulture-peak")</f>
        <v>vulture-peak</v>
      </c>
      <c r="B13782" s="2" t="str">
        <f ca="1">IFERROR(__xludf.DUMMYFUNCTION("""COMPUTED_VALUE"""),"vpk")</f>
        <v>vpk</v>
      </c>
      <c r="C13782" s="2" t="str">
        <f ca="1">IFERROR(__xludf.DUMMYFUNCTION("""COMPUTED_VALUE"""),"Vulture Peak")</f>
        <v>Vulture Peak</v>
      </c>
    </row>
    <row r="13783" spans="1:3" x14ac:dyDescent="0.25">
      <c r="A13783" s="2" t="str">
        <f ca="1">IFERROR(__xludf.DUMMYFUNCTION("""COMPUTED_VALUE"""),"vuzzmind")</f>
        <v>vuzzmind</v>
      </c>
      <c r="B13783" s="2" t="str">
        <f ca="1">IFERROR(__xludf.DUMMYFUNCTION("""COMPUTED_VALUE"""),"vuzz")</f>
        <v>vuzz</v>
      </c>
      <c r="C13783" s="2" t="str">
        <f ca="1">IFERROR(__xludf.DUMMYFUNCTION("""COMPUTED_VALUE"""),"VuzzMind")</f>
        <v>VuzzMind</v>
      </c>
    </row>
    <row r="13784" spans="1:3" x14ac:dyDescent="0.25">
      <c r="A13784" s="2" t="str">
        <f ca="1">IFERROR(__xludf.DUMMYFUNCTION("""COMPUTED_VALUE"""),"vvs-finance")</f>
        <v>vvs-finance</v>
      </c>
      <c r="B13784" s="2" t="str">
        <f ca="1">IFERROR(__xludf.DUMMYFUNCTION("""COMPUTED_VALUE"""),"vvs")</f>
        <v>vvs</v>
      </c>
      <c r="C13784" s="2" t="str">
        <f ca="1">IFERROR(__xludf.DUMMYFUNCTION("""COMPUTED_VALUE"""),"VVS Finance")</f>
        <v>VVS Finance</v>
      </c>
    </row>
    <row r="13785" spans="1:3" x14ac:dyDescent="0.25">
      <c r="A13785" s="2" t="str">
        <f ca="1">IFERROR(__xludf.DUMMYFUNCTION("""COMPUTED_VALUE"""),"vxdefi")</f>
        <v>vxdefi</v>
      </c>
      <c r="B13785" s="2" t="str">
        <f ca="1">IFERROR(__xludf.DUMMYFUNCTION("""COMPUTED_VALUE"""),"vxdefi")</f>
        <v>vxdefi</v>
      </c>
      <c r="C13785" s="2" t="str">
        <f ca="1">IFERROR(__xludf.DUMMYFUNCTION("""COMPUTED_VALUE"""),"vXDEFI")</f>
        <v>vXDEFI</v>
      </c>
    </row>
    <row r="13786" spans="1:3" x14ac:dyDescent="0.25">
      <c r="A13786" s="2" t="str">
        <f ca="1">IFERROR(__xludf.DUMMYFUNCTION("""COMPUTED_VALUE"""),"vyfinance")</f>
        <v>vyfinance</v>
      </c>
      <c r="B13786" s="2" t="str">
        <f ca="1">IFERROR(__xludf.DUMMYFUNCTION("""COMPUTED_VALUE"""),"vyfi")</f>
        <v>vyfi</v>
      </c>
      <c r="C13786" s="2" t="str">
        <f ca="1">IFERROR(__xludf.DUMMYFUNCTION("""COMPUTED_VALUE"""),"VyFinance")</f>
        <v>VyFinance</v>
      </c>
    </row>
    <row r="13787" spans="1:3" x14ac:dyDescent="0.25">
      <c r="A13787" s="2" t="str">
        <f ca="1">IFERROR(__xludf.DUMMYFUNCTION("""COMPUTED_VALUE"""),"vyvo-smart-chain")</f>
        <v>vyvo-smart-chain</v>
      </c>
      <c r="B13787" s="2" t="str">
        <f ca="1">IFERROR(__xludf.DUMMYFUNCTION("""COMPUTED_VALUE"""),"vsc")</f>
        <v>vsc</v>
      </c>
      <c r="C13787" s="2" t="str">
        <f ca="1">IFERROR(__xludf.DUMMYFUNCTION("""COMPUTED_VALUE"""),"Vyvo Smart Chain")</f>
        <v>Vyvo Smart Chain</v>
      </c>
    </row>
    <row r="13788" spans="1:3" x14ac:dyDescent="0.25">
      <c r="A13788" s="2" t="str">
        <f ca="1">IFERROR(__xludf.DUMMYFUNCTION("""COMPUTED_VALUE"""),"vyvo-us-dollar")</f>
        <v>vyvo-us-dollar</v>
      </c>
      <c r="B13788" s="2" t="str">
        <f ca="1">IFERROR(__xludf.DUMMYFUNCTION("""COMPUTED_VALUE"""),"usdv")</f>
        <v>usdv</v>
      </c>
      <c r="C13788" s="2" t="str">
        <f ca="1">IFERROR(__xludf.DUMMYFUNCTION("""COMPUTED_VALUE"""),"Vyvo US Dollar")</f>
        <v>Vyvo US Dollar</v>
      </c>
    </row>
    <row r="13789" spans="1:3" x14ac:dyDescent="0.25">
      <c r="A13789" s="2" t="str">
        <f ca="1">IFERROR(__xludf.DUMMYFUNCTION("""COMPUTED_VALUE"""),"w3gamez-network")</f>
        <v>w3gamez-network</v>
      </c>
      <c r="B13789" s="2" t="str">
        <f ca="1">IFERROR(__xludf.DUMMYFUNCTION("""COMPUTED_VALUE"""),"w3g")</f>
        <v>w3g</v>
      </c>
      <c r="C13789" s="2" t="str">
        <f ca="1">IFERROR(__xludf.DUMMYFUNCTION("""COMPUTED_VALUE"""),"W3Gamez Network")</f>
        <v>W3Gamez Network</v>
      </c>
    </row>
    <row r="13790" spans="1:3" x14ac:dyDescent="0.25">
      <c r="A13790" s="2" t="str">
        <f ca="1">IFERROR(__xludf.DUMMYFUNCTION("""COMPUTED_VALUE"""),"w3gg")</f>
        <v>w3gg</v>
      </c>
      <c r="B13790" s="2" t="str">
        <f ca="1">IFERROR(__xludf.DUMMYFUNCTION("""COMPUTED_VALUE"""),"w3gg")</f>
        <v>w3gg</v>
      </c>
      <c r="C13790" s="2" t="str">
        <f ca="1">IFERROR(__xludf.DUMMYFUNCTION("""COMPUTED_VALUE"""),"W3GG")</f>
        <v>W3GG</v>
      </c>
    </row>
    <row r="13791" spans="1:3" x14ac:dyDescent="0.25">
      <c r="A13791" s="2" t="str">
        <f ca="1">IFERROR(__xludf.DUMMYFUNCTION("""COMPUTED_VALUE"""),"w3starter-launchpad-token")</f>
        <v>w3starter-launchpad-token</v>
      </c>
      <c r="B13791" s="2" t="str">
        <f ca="1">IFERROR(__xludf.DUMMYFUNCTION("""COMPUTED_VALUE"""),"w3lt")</f>
        <v>w3lt</v>
      </c>
      <c r="C13791" s="2" t="str">
        <f ca="1">IFERROR(__xludf.DUMMYFUNCTION("""COMPUTED_VALUE"""),"W3Starter Launchpad Token")</f>
        <v>W3Starter Launchpad Token</v>
      </c>
    </row>
    <row r="13792" spans="1:3" x14ac:dyDescent="0.25">
      <c r="A13792" s="2" t="str">
        <f ca="1">IFERROR(__xludf.DUMMYFUNCTION("""COMPUTED_VALUE"""),"wabbit-hole")</f>
        <v>wabbit-hole</v>
      </c>
      <c r="B13792" s="2" t="str">
        <f ca="1">IFERROR(__xludf.DUMMYFUNCTION("""COMPUTED_VALUE"""),"wabbit")</f>
        <v>wabbit</v>
      </c>
      <c r="C13792" s="2" t="str">
        <f ca="1">IFERROR(__xludf.DUMMYFUNCTION("""COMPUTED_VALUE"""),"Wabbit Hole")</f>
        <v>Wabbit Hole</v>
      </c>
    </row>
    <row r="13793" spans="1:3" x14ac:dyDescent="0.25">
      <c r="A13793" s="2" t="str">
        <f ca="1">IFERROR(__xludf.DUMMYFUNCTION("""COMPUTED_VALUE"""),"waddle-waddle-pengu")</f>
        <v>waddle-waddle-pengu</v>
      </c>
      <c r="B13793" s="2" t="str">
        <f ca="1">IFERROR(__xludf.DUMMYFUNCTION("""COMPUTED_VALUE"""),"🐧")</f>
        <v>🐧</v>
      </c>
      <c r="C13793" s="2" t="str">
        <f ca="1">IFERROR(__xludf.DUMMYFUNCTION("""COMPUTED_VALUE"""),"WADDLE•WADDLE•PENGU")</f>
        <v>WADDLE•WADDLE•PENGU</v>
      </c>
    </row>
    <row r="13794" spans="1:3" x14ac:dyDescent="0.25">
      <c r="A13794" s="2" t="str">
        <f ca="1">IFERROR(__xludf.DUMMYFUNCTION("""COMPUTED_VALUE"""),"wadzpay-token")</f>
        <v>wadzpay-token</v>
      </c>
      <c r="B13794" s="2" t="str">
        <f ca="1">IFERROR(__xludf.DUMMYFUNCTION("""COMPUTED_VALUE"""),"wtk")</f>
        <v>wtk</v>
      </c>
      <c r="C13794" s="2" t="str">
        <f ca="1">IFERROR(__xludf.DUMMYFUNCTION("""COMPUTED_VALUE"""),"WadzPay")</f>
        <v>WadzPay</v>
      </c>
    </row>
    <row r="13795" spans="1:3" x14ac:dyDescent="0.25">
      <c r="A13795" s="2" t="str">
        <f ca="1">IFERROR(__xludf.DUMMYFUNCTION("""COMPUTED_VALUE"""),"waffles")</f>
        <v>waffles</v>
      </c>
      <c r="B13795" s="2" t="str">
        <f ca="1">IFERROR(__xludf.DUMMYFUNCTION("""COMPUTED_VALUE"""),"waffles")</f>
        <v>waffles</v>
      </c>
      <c r="C13795" s="2" t="str">
        <f ca="1">IFERROR(__xludf.DUMMYFUNCTION("""COMPUTED_VALUE"""),"Waffles")</f>
        <v>Waffles</v>
      </c>
    </row>
    <row r="13796" spans="1:3" x14ac:dyDescent="0.25">
      <c r="A13796" s="2" t="str">
        <f ca="1">IFERROR(__xludf.DUMMYFUNCTION("""COMPUTED_VALUE"""),"wageron")</f>
        <v>wageron</v>
      </c>
      <c r="B13796" s="2" t="str">
        <f ca="1">IFERROR(__xludf.DUMMYFUNCTION("""COMPUTED_VALUE"""),"wager")</f>
        <v>wager</v>
      </c>
      <c r="C13796" s="2" t="str">
        <f ca="1">IFERROR(__xludf.DUMMYFUNCTION("""COMPUTED_VALUE"""),"WagerOn")</f>
        <v>WagerOn</v>
      </c>
    </row>
    <row r="13797" spans="1:3" x14ac:dyDescent="0.25">
      <c r="A13797" s="2" t="str">
        <f ca="1">IFERROR(__xludf.DUMMYFUNCTION("""COMPUTED_VALUE"""),"wagerr")</f>
        <v>wagerr</v>
      </c>
      <c r="B13797" s="2" t="str">
        <f ca="1">IFERROR(__xludf.DUMMYFUNCTION("""COMPUTED_VALUE"""),"wgr")</f>
        <v>wgr</v>
      </c>
      <c r="C13797" s="2" t="str">
        <f ca="1">IFERROR(__xludf.DUMMYFUNCTION("""COMPUTED_VALUE"""),"Wagerr")</f>
        <v>Wagerr</v>
      </c>
    </row>
    <row r="13798" spans="1:3" x14ac:dyDescent="0.25">
      <c r="A13798" s="2" t="str">
        <f ca="1">IFERROR(__xludf.DUMMYFUNCTION("""COMPUTED_VALUE"""),"waggle-network")</f>
        <v>waggle-network</v>
      </c>
      <c r="B13798" s="2" t="str">
        <f ca="1">IFERROR(__xludf.DUMMYFUNCTION("""COMPUTED_VALUE"""),"wag")</f>
        <v>wag</v>
      </c>
      <c r="C13798" s="2" t="str">
        <f ca="1">IFERROR(__xludf.DUMMYFUNCTION("""COMPUTED_VALUE"""),"Waggle Network")</f>
        <v>Waggle Network</v>
      </c>
    </row>
    <row r="13799" spans="1:3" x14ac:dyDescent="0.25">
      <c r="A13799" s="2" t="str">
        <f ca="1">IFERROR(__xludf.DUMMYFUNCTION("""COMPUTED_VALUE"""),"wagie-2")</f>
        <v>wagie-2</v>
      </c>
      <c r="B13799" s="2" t="str">
        <f ca="1">IFERROR(__xludf.DUMMYFUNCTION("""COMPUTED_VALUE"""),"wagie")</f>
        <v>wagie</v>
      </c>
      <c r="C13799" s="2" t="str">
        <f ca="1">IFERROR(__xludf.DUMMYFUNCTION("""COMPUTED_VALUE"""),"WAGIE")</f>
        <v>WAGIE</v>
      </c>
    </row>
    <row r="13800" spans="1:3" x14ac:dyDescent="0.25">
      <c r="A13800" s="2" t="str">
        <f ca="1">IFERROR(__xludf.DUMMYFUNCTION("""COMPUTED_VALUE"""),"wagie-bot")</f>
        <v>wagie-bot</v>
      </c>
      <c r="B13800" s="2" t="str">
        <f ca="1">IFERROR(__xludf.DUMMYFUNCTION("""COMPUTED_VALUE"""),"wagiebot")</f>
        <v>wagiebot</v>
      </c>
      <c r="C13800" s="2" t="str">
        <f ca="1">IFERROR(__xludf.DUMMYFUNCTION("""COMPUTED_VALUE"""),"Wagie Bot")</f>
        <v>Wagie Bot</v>
      </c>
    </row>
    <row r="13801" spans="1:3" x14ac:dyDescent="0.25">
      <c r="A13801" s="2" t="str">
        <f ca="1">IFERROR(__xludf.DUMMYFUNCTION("""COMPUTED_VALUE"""),"wagmi-2")</f>
        <v>wagmi-2</v>
      </c>
      <c r="B13801" s="2" t="str">
        <f ca="1">IFERROR(__xludf.DUMMYFUNCTION("""COMPUTED_VALUE"""),"wagmi")</f>
        <v>wagmi</v>
      </c>
      <c r="C13801" s="2" t="str">
        <f ca="1">IFERROR(__xludf.DUMMYFUNCTION("""COMPUTED_VALUE"""),"Wagmi")</f>
        <v>Wagmi</v>
      </c>
    </row>
    <row r="13802" spans="1:3" x14ac:dyDescent="0.25">
      <c r="A13802" s="2" t="str">
        <f ca="1">IFERROR(__xludf.DUMMYFUNCTION("""COMPUTED_VALUE"""),"wagmi-3")</f>
        <v>wagmi-3</v>
      </c>
      <c r="B13802" s="2" t="str">
        <f ca="1">IFERROR(__xludf.DUMMYFUNCTION("""COMPUTED_VALUE"""),"wagmi")</f>
        <v>wagmi</v>
      </c>
      <c r="C13802" s="2" t="str">
        <f ca="1">IFERROR(__xludf.DUMMYFUNCTION("""COMPUTED_VALUE"""),"WAGMI")</f>
        <v>WAGMI</v>
      </c>
    </row>
    <row r="13803" spans="1:3" x14ac:dyDescent="0.25">
      <c r="A13803" s="2" t="str">
        <f ca="1">IFERROR(__xludf.DUMMYFUNCTION("""COMPUTED_VALUE"""),"wagmicatgirlkanye420etfmoon1000x")</f>
        <v>wagmicatgirlkanye420etfmoon1000x</v>
      </c>
      <c r="B13803" s="2" t="str">
        <f ca="1">IFERROR(__xludf.DUMMYFUNCTION("""COMPUTED_VALUE"""),"hood")</f>
        <v>hood</v>
      </c>
      <c r="C13803" s="2" t="str">
        <f ca="1">IFERROR(__xludf.DUMMYFUNCTION("""COMPUTED_VALUE"""),"wagmicatgirlkanye420etfmoon1000x")</f>
        <v>wagmicatgirlkanye420etfmoon1000x</v>
      </c>
    </row>
    <row r="13804" spans="1:3" x14ac:dyDescent="0.25">
      <c r="A13804" s="2" t="str">
        <f ca="1">IFERROR(__xludf.DUMMYFUNCTION("""COMPUTED_VALUE"""),"wagmi-coin")</f>
        <v>wagmi-coin</v>
      </c>
      <c r="B13804" s="2" t="str">
        <f ca="1">IFERROR(__xludf.DUMMYFUNCTION("""COMPUTED_VALUE"""),"wagmi")</f>
        <v>wagmi</v>
      </c>
      <c r="C13804" s="2" t="str">
        <f ca="1">IFERROR(__xludf.DUMMYFUNCTION("""COMPUTED_VALUE"""),"Wagmi Coin")</f>
        <v>Wagmi Coin</v>
      </c>
    </row>
    <row r="13805" spans="1:3" x14ac:dyDescent="0.25">
      <c r="A13805" s="2" t="str">
        <f ca="1">IFERROR(__xludf.DUMMYFUNCTION("""COMPUTED_VALUE"""),"wagmi-game-2")</f>
        <v>wagmi-game-2</v>
      </c>
      <c r="B13805" s="2" t="str">
        <f ca="1">IFERROR(__xludf.DUMMYFUNCTION("""COMPUTED_VALUE"""),"wagmigames")</f>
        <v>wagmigames</v>
      </c>
      <c r="C13805" s="2" t="str">
        <f ca="1">IFERROR(__xludf.DUMMYFUNCTION("""COMPUTED_VALUE"""),"WAGMI Games")</f>
        <v>WAGMI Games</v>
      </c>
    </row>
    <row r="13806" spans="1:3" x14ac:dyDescent="0.25">
      <c r="A13806" s="2" t="str">
        <f ca="1">IFERROR(__xludf.DUMMYFUNCTION("""COMPUTED_VALUE"""),"wagyu-protocol")</f>
        <v>wagyu-protocol</v>
      </c>
      <c r="B13806" s="2" t="str">
        <f ca="1">IFERROR(__xludf.DUMMYFUNCTION("""COMPUTED_VALUE"""),"wagyu")</f>
        <v>wagyu</v>
      </c>
      <c r="C13806" s="2" t="str">
        <f ca="1">IFERROR(__xludf.DUMMYFUNCTION("""COMPUTED_VALUE"""),"Wagyu Protocol")</f>
        <v>Wagyu Protocol</v>
      </c>
    </row>
    <row r="13807" spans="1:3" x14ac:dyDescent="0.25">
      <c r="A13807" s="2" t="str">
        <f ca="1">IFERROR(__xludf.DUMMYFUNCTION("""COMPUTED_VALUE"""),"wagyuswap")</f>
        <v>wagyuswap</v>
      </c>
      <c r="B13807" s="2" t="str">
        <f ca="1">IFERROR(__xludf.DUMMYFUNCTION("""COMPUTED_VALUE"""),"wag")</f>
        <v>wag</v>
      </c>
      <c r="C13807" s="2" t="str">
        <f ca="1">IFERROR(__xludf.DUMMYFUNCTION("""COMPUTED_VALUE"""),"WagyuSwap")</f>
        <v>WagyuSwap</v>
      </c>
    </row>
    <row r="13808" spans="1:3" x14ac:dyDescent="0.25">
      <c r="A13808" s="2" t="str">
        <f ca="1">IFERROR(__xludf.DUMMYFUNCTION("""COMPUTED_VALUE"""),"waifu")</f>
        <v>waifu</v>
      </c>
      <c r="B13808" s="2" t="str">
        <f ca="1">IFERROR(__xludf.DUMMYFUNCTION("""COMPUTED_VALUE"""),"waifu")</f>
        <v>waifu</v>
      </c>
      <c r="C13808" s="2" t="str">
        <f ca="1">IFERROR(__xludf.DUMMYFUNCTION("""COMPUTED_VALUE"""),"Waifu")</f>
        <v>Waifu</v>
      </c>
    </row>
    <row r="13809" spans="1:3" x14ac:dyDescent="0.25">
      <c r="A13809" s="2" t="str">
        <f ca="1">IFERROR(__xludf.DUMMYFUNCTION("""COMPUTED_VALUE"""),"waifu-2")</f>
        <v>waifu-2</v>
      </c>
      <c r="B13809" s="2" t="str">
        <f ca="1">IFERROR(__xludf.DUMMYFUNCTION("""COMPUTED_VALUE"""),"waifu")</f>
        <v>waifu</v>
      </c>
      <c r="C13809" s="2" t="str">
        <f ca="1">IFERROR(__xludf.DUMMYFUNCTION("""COMPUTED_VALUE"""),"WAIFU")</f>
        <v>WAIFU</v>
      </c>
    </row>
    <row r="13810" spans="1:3" x14ac:dyDescent="0.25">
      <c r="A13810" s="2" t="str">
        <f ca="1">IFERROR(__xludf.DUMMYFUNCTION("""COMPUTED_VALUE"""),"waifuai")</f>
        <v>waifuai</v>
      </c>
      <c r="B13810" s="2" t="str">
        <f ca="1">IFERROR(__xludf.DUMMYFUNCTION("""COMPUTED_VALUE"""),"wfai")</f>
        <v>wfai</v>
      </c>
      <c r="C13810" s="2" t="str">
        <f ca="1">IFERROR(__xludf.DUMMYFUNCTION("""COMPUTED_VALUE"""),"WaifuAI")</f>
        <v>WaifuAI</v>
      </c>
    </row>
    <row r="13811" spans="1:3" x14ac:dyDescent="0.25">
      <c r="A13811" s="2" t="str">
        <f ca="1">IFERROR(__xludf.DUMMYFUNCTION("""COMPUTED_VALUE"""),"waka-flocka")</f>
        <v>waka-flocka</v>
      </c>
      <c r="B13811" s="2" t="str">
        <f ca="1">IFERROR(__xludf.DUMMYFUNCTION("""COMPUTED_VALUE"""),"flocka")</f>
        <v>flocka</v>
      </c>
      <c r="C13811" s="2" t="str">
        <f ca="1">IFERROR(__xludf.DUMMYFUNCTION("""COMPUTED_VALUE"""),"Waka Flocka")</f>
        <v>Waka Flocka</v>
      </c>
    </row>
    <row r="13812" spans="1:3" x14ac:dyDescent="0.25">
      <c r="A13812" s="2" t="str">
        <f ca="1">IFERROR(__xludf.DUMMYFUNCTION("""COMPUTED_VALUE"""),"walc")</f>
        <v>walc</v>
      </c>
      <c r="B13812" s="2" t="str">
        <f ca="1">IFERROR(__xludf.DUMMYFUNCTION("""COMPUTED_VALUE"""),"$walc")</f>
        <v>$walc</v>
      </c>
      <c r="C13812" s="2" t="str">
        <f ca="1">IFERROR(__xludf.DUMMYFUNCTION("""COMPUTED_VALUE"""),"WALC")</f>
        <v>WALC</v>
      </c>
    </row>
    <row r="13813" spans="1:3" x14ac:dyDescent="0.25">
      <c r="A13813" s="2" t="str">
        <f ca="1">IFERROR(__xludf.DUMMYFUNCTION("""COMPUTED_VALUE"""),"walk")</f>
        <v>walk</v>
      </c>
      <c r="B13813" s="2" t="str">
        <f ca="1">IFERROR(__xludf.DUMMYFUNCTION("""COMPUTED_VALUE"""),"walk")</f>
        <v>walk</v>
      </c>
      <c r="C13813" s="2" t="str">
        <f ca="1">IFERROR(__xludf.DUMMYFUNCTION("""COMPUTED_VALUE"""),"Walk")</f>
        <v>Walk</v>
      </c>
    </row>
    <row r="13814" spans="1:3" x14ac:dyDescent="0.25">
      <c r="A13814" s="2" t="str">
        <f ca="1">IFERROR(__xludf.DUMMYFUNCTION("""COMPUTED_VALUE"""),"walken")</f>
        <v>walken</v>
      </c>
      <c r="B13814" s="2" t="str">
        <f ca="1">IFERROR(__xludf.DUMMYFUNCTION("""COMPUTED_VALUE"""),"wlkn")</f>
        <v>wlkn</v>
      </c>
      <c r="C13814" s="2" t="str">
        <f ca="1">IFERROR(__xludf.DUMMYFUNCTION("""COMPUTED_VALUE"""),"Walken")</f>
        <v>Walken</v>
      </c>
    </row>
    <row r="13815" spans="1:3" x14ac:dyDescent="0.25">
      <c r="A13815" s="2" t="str">
        <f ca="1">IFERROR(__xludf.DUMMYFUNCTION("""COMPUTED_VALUE"""),"walkmining-governance")</f>
        <v>walkmining-governance</v>
      </c>
      <c r="B13815" s="2" t="str">
        <f ca="1">IFERROR(__xludf.DUMMYFUNCTION("""COMPUTED_VALUE"""),"wkg")</f>
        <v>wkg</v>
      </c>
      <c r="C13815" s="2" t="str">
        <f ca="1">IFERROR(__xludf.DUMMYFUNCTION("""COMPUTED_VALUE"""),"WalkMining Governance")</f>
        <v>WalkMining Governance</v>
      </c>
    </row>
    <row r="13816" spans="1:3" x14ac:dyDescent="0.25">
      <c r="A13816" s="2" t="str">
        <f ca="1">IFERROR(__xludf.DUMMYFUNCTION("""COMPUTED_VALUE"""),"walletika")</f>
        <v>walletika</v>
      </c>
      <c r="B13816" s="2" t="str">
        <f ca="1">IFERROR(__xludf.DUMMYFUNCTION("""COMPUTED_VALUE"""),"wltk")</f>
        <v>wltk</v>
      </c>
      <c r="C13816" s="2" t="str">
        <f ca="1">IFERROR(__xludf.DUMMYFUNCTION("""COMPUTED_VALUE"""),"Walletika")</f>
        <v>Walletika</v>
      </c>
    </row>
    <row r="13817" spans="1:3" x14ac:dyDescent="0.25">
      <c r="A13817" s="2" t="str">
        <f ca="1">IFERROR(__xludf.DUMMYFUNCTION("""COMPUTED_VALUE"""),"walletnow")</f>
        <v>walletnow</v>
      </c>
      <c r="B13817" s="2" t="str">
        <f ca="1">IFERROR(__xludf.DUMMYFUNCTION("""COMPUTED_VALUE"""),"wnow")</f>
        <v>wnow</v>
      </c>
      <c r="C13817" s="2" t="str">
        <f ca="1">IFERROR(__xludf.DUMMYFUNCTION("""COMPUTED_VALUE"""),"WalletNow")</f>
        <v>WalletNow</v>
      </c>
    </row>
    <row r="13818" spans="1:3" x14ac:dyDescent="0.25">
      <c r="A13818" s="2" t="str">
        <f ca="1">IFERROR(__xludf.DUMMYFUNCTION("""COMPUTED_VALUE"""),"wallet-sniffer")</f>
        <v>wallet-sniffer</v>
      </c>
      <c r="B13818" s="2" t="str">
        <f ca="1">IFERROR(__xludf.DUMMYFUNCTION("""COMPUTED_VALUE"""),"bo")</f>
        <v>bo</v>
      </c>
      <c r="C13818" s="2" t="str">
        <f ca="1">IFERROR(__xludf.DUMMYFUNCTION("""COMPUTED_VALUE"""),"Wallet Sniffer")</f>
        <v>Wallet Sniffer</v>
      </c>
    </row>
    <row r="13819" spans="1:3" x14ac:dyDescent="0.25">
      <c r="A13819" s="2" t="str">
        <f ca="1">IFERROR(__xludf.DUMMYFUNCTION("""COMPUTED_VALUE"""),"wall-street-baby")</f>
        <v>wall-street-baby</v>
      </c>
      <c r="B13819" s="2" t="str">
        <f ca="1">IFERROR(__xludf.DUMMYFUNCTION("""COMPUTED_VALUE"""),"wsb")</f>
        <v>wsb</v>
      </c>
      <c r="C13819" s="2" t="str">
        <f ca="1">IFERROR(__xludf.DUMMYFUNCTION("""COMPUTED_VALUE"""),"Wall Street Baby")</f>
        <v>Wall Street Baby</v>
      </c>
    </row>
    <row r="13820" spans="1:3" x14ac:dyDescent="0.25">
      <c r="A13820" s="2" t="str">
        <f ca="1">IFERROR(__xludf.DUMMYFUNCTION("""COMPUTED_VALUE"""),"wall-street-baby-on-solana")</f>
        <v>wall-street-baby-on-solana</v>
      </c>
      <c r="B13820" s="2" t="str">
        <f ca="1">IFERROR(__xludf.DUMMYFUNCTION("""COMPUTED_VALUE"""),"wsb")</f>
        <v>wsb</v>
      </c>
      <c r="C13820" s="2" t="str">
        <f ca="1">IFERROR(__xludf.DUMMYFUNCTION("""COMPUTED_VALUE"""),"Wall Street Baby On Solana")</f>
        <v>Wall Street Baby On Solana</v>
      </c>
    </row>
    <row r="13821" spans="1:3" x14ac:dyDescent="0.25">
      <c r="A13821" s="2" t="str">
        <f ca="1">IFERROR(__xludf.DUMMYFUNCTION("""COMPUTED_VALUE"""),"wall-street-bets")</f>
        <v>wall-street-bets</v>
      </c>
      <c r="B13821" s="2" t="str">
        <f ca="1">IFERROR(__xludf.DUMMYFUNCTION("""COMPUTED_VALUE"""),"wsb")</f>
        <v>wsb</v>
      </c>
      <c r="C13821" s="2" t="str">
        <f ca="1">IFERROR(__xludf.DUMMYFUNCTION("""COMPUTED_VALUE"""),"Wall Street Bets")</f>
        <v>Wall Street Bets</v>
      </c>
    </row>
    <row r="13822" spans="1:3" x14ac:dyDescent="0.25">
      <c r="A13822" s="2" t="str">
        <f ca="1">IFERROR(__xludf.DUMMYFUNCTION("""COMPUTED_VALUE"""),"wall-street-bets-dapp")</f>
        <v>wall-street-bets-dapp</v>
      </c>
      <c r="B13822" s="2" t="str">
        <f ca="1">IFERROR(__xludf.DUMMYFUNCTION("""COMPUTED_VALUE"""),"wsb")</f>
        <v>wsb</v>
      </c>
      <c r="C13822" s="2" t="str">
        <f ca="1">IFERROR(__xludf.DUMMYFUNCTION("""COMPUTED_VALUE"""),"WallStreetBets DApp")</f>
        <v>WallStreetBets DApp</v>
      </c>
    </row>
    <row r="13823" spans="1:3" x14ac:dyDescent="0.25">
      <c r="A13823" s="2" t="str">
        <f ca="1">IFERROR(__xludf.DUMMYFUNCTION("""COMPUTED_VALUE"""),"wall-street-games")</f>
        <v>wall-street-games</v>
      </c>
      <c r="B13823" s="2" t="str">
        <f ca="1">IFERROR(__xludf.DUMMYFUNCTION("""COMPUTED_VALUE"""),"wsg")</f>
        <v>wsg</v>
      </c>
      <c r="C13823" s="2" t="str">
        <f ca="1">IFERROR(__xludf.DUMMYFUNCTION("""COMPUTED_VALUE"""),"Wall Street Games [OLD]")</f>
        <v>Wall Street Games [OLD]</v>
      </c>
    </row>
    <row r="13824" spans="1:3" x14ac:dyDescent="0.25">
      <c r="A13824" s="2" t="str">
        <f ca="1">IFERROR(__xludf.DUMMYFUNCTION("""COMPUTED_VALUE"""),"wall-street-games-2")</f>
        <v>wall-street-games-2</v>
      </c>
      <c r="B13824" s="2" t="str">
        <f ca="1">IFERROR(__xludf.DUMMYFUNCTION("""COMPUTED_VALUE"""),"wsg")</f>
        <v>wsg</v>
      </c>
      <c r="C13824" s="2" t="str">
        <f ca="1">IFERROR(__xludf.DUMMYFUNCTION("""COMPUTED_VALUE"""),"Wall Street Games")</f>
        <v>Wall Street Games</v>
      </c>
    </row>
    <row r="13825" spans="1:3" x14ac:dyDescent="0.25">
      <c r="A13825" s="2" t="str">
        <f ca="1">IFERROR(__xludf.DUMMYFUNCTION("""COMPUTED_VALUE"""),"wall-street-memes")</f>
        <v>wall-street-memes</v>
      </c>
      <c r="B13825" s="2" t="str">
        <f ca="1">IFERROR(__xludf.DUMMYFUNCTION("""COMPUTED_VALUE"""),"wsm")</f>
        <v>wsm</v>
      </c>
      <c r="C13825" s="2" t="str">
        <f ca="1">IFERROR(__xludf.DUMMYFUNCTION("""COMPUTED_VALUE"""),"Wall Street Memes")</f>
        <v>Wall Street Memes</v>
      </c>
    </row>
    <row r="13826" spans="1:3" x14ac:dyDescent="0.25">
      <c r="A13826" s="2" t="str">
        <f ca="1">IFERROR(__xludf.DUMMYFUNCTION("""COMPUTED_VALUE"""),"wally-the-whale")</f>
        <v>wally-the-whale</v>
      </c>
      <c r="B13826" s="2" t="str">
        <f ca="1">IFERROR(__xludf.DUMMYFUNCTION("""COMPUTED_VALUE"""),"wally")</f>
        <v>wally</v>
      </c>
      <c r="C13826" s="2" t="str">
        <f ca="1">IFERROR(__xludf.DUMMYFUNCTION("""COMPUTED_VALUE"""),"Wally The Whale")</f>
        <v>Wally The Whale</v>
      </c>
    </row>
    <row r="13827" spans="1:3" x14ac:dyDescent="0.25">
      <c r="A13827" s="2" t="str">
        <f ca="1">IFERROR(__xludf.DUMMYFUNCTION("""COMPUTED_VALUE"""),"walrus-the-tusk")</f>
        <v>walrus-the-tusk</v>
      </c>
      <c r="B13827" s="2" t="str">
        <f ca="1">IFERROR(__xludf.DUMMYFUNCTION("""COMPUTED_VALUE"""),"$tusk")</f>
        <v>$tusk</v>
      </c>
      <c r="C13827" s="2" t="str">
        <f ca="1">IFERROR(__xludf.DUMMYFUNCTION("""COMPUTED_VALUE"""),"Walrus the tusk")</f>
        <v>Walrus the tusk</v>
      </c>
    </row>
    <row r="13828" spans="1:3" x14ac:dyDescent="0.25">
      <c r="A13828" s="2" t="str">
        <f ca="1">IFERROR(__xludf.DUMMYFUNCTION("""COMPUTED_VALUE"""),"walter-dog-solana")</f>
        <v>walter-dog-solana</v>
      </c>
      <c r="B13828" s="2" t="str">
        <f ca="1">IFERROR(__xludf.DUMMYFUNCTION("""COMPUTED_VALUE"""),"walter")</f>
        <v>walter</v>
      </c>
      <c r="C13828" s="2" t="str">
        <f ca="1">IFERROR(__xludf.DUMMYFUNCTION("""COMPUTED_VALUE"""),"Walter")</f>
        <v>Walter</v>
      </c>
    </row>
    <row r="13829" spans="1:3" x14ac:dyDescent="0.25">
      <c r="A13829" s="2" t="str">
        <f ca="1">IFERROR(__xludf.DUMMYFUNCTION("""COMPUTED_VALUE"""),"waltonchain")</f>
        <v>waltonchain</v>
      </c>
      <c r="B13829" s="2" t="str">
        <f ca="1">IFERROR(__xludf.DUMMYFUNCTION("""COMPUTED_VALUE"""),"wtc")</f>
        <v>wtc</v>
      </c>
      <c r="C13829" s="2" t="str">
        <f ca="1">IFERROR(__xludf.DUMMYFUNCTION("""COMPUTED_VALUE"""),"Waltonchain")</f>
        <v>Waltonchain</v>
      </c>
    </row>
    <row r="13830" spans="1:3" x14ac:dyDescent="0.25">
      <c r="A13830" s="2" t="str">
        <f ca="1">IFERROR(__xludf.DUMMYFUNCTION("""COMPUTED_VALUE"""),"wam")</f>
        <v>wam</v>
      </c>
      <c r="B13830" s="2" t="str">
        <f ca="1">IFERROR(__xludf.DUMMYFUNCTION("""COMPUTED_VALUE"""),"wam")</f>
        <v>wam</v>
      </c>
      <c r="C13830" s="2" t="str">
        <f ca="1">IFERROR(__xludf.DUMMYFUNCTION("""COMPUTED_VALUE"""),"Wam")</f>
        <v>Wam</v>
      </c>
    </row>
    <row r="13831" spans="1:3" x14ac:dyDescent="0.25">
      <c r="A13831" s="2" t="str">
        <f ca="1">IFERROR(__xludf.DUMMYFUNCTION("""COMPUTED_VALUE"""),"wanaka-farm")</f>
        <v>wanaka-farm</v>
      </c>
      <c r="B13831" s="2" t="str">
        <f ca="1">IFERROR(__xludf.DUMMYFUNCTION("""COMPUTED_VALUE"""),"wana")</f>
        <v>wana</v>
      </c>
      <c r="C13831" s="2" t="str">
        <f ca="1">IFERROR(__xludf.DUMMYFUNCTION("""COMPUTED_VALUE"""),"Wanaka Farm")</f>
        <v>Wanaka Farm</v>
      </c>
    </row>
    <row r="13832" spans="1:3" x14ac:dyDescent="0.25">
      <c r="A13832" s="2" t="str">
        <f ca="1">IFERROR(__xludf.DUMMYFUNCTION("""COMPUTED_VALUE"""),"wanbtc")</f>
        <v>wanbtc</v>
      </c>
      <c r="B13832" s="2" t="str">
        <f ca="1">IFERROR(__xludf.DUMMYFUNCTION("""COMPUTED_VALUE"""),"wanbtc")</f>
        <v>wanbtc</v>
      </c>
      <c r="C13832" s="2" t="str">
        <f ca="1">IFERROR(__xludf.DUMMYFUNCTION("""COMPUTED_VALUE"""),"wanBTC")</f>
        <v>wanBTC</v>
      </c>
    </row>
    <row r="13833" spans="1:3" x14ac:dyDescent="0.25">
      <c r="A13833" s="2" t="str">
        <f ca="1">IFERROR(__xludf.DUMMYFUNCTION("""COMPUTED_VALUE"""),"wanchain")</f>
        <v>wanchain</v>
      </c>
      <c r="B13833" s="2" t="str">
        <f ca="1">IFERROR(__xludf.DUMMYFUNCTION("""COMPUTED_VALUE"""),"wan")</f>
        <v>wan</v>
      </c>
      <c r="C13833" s="2" t="str">
        <f ca="1">IFERROR(__xludf.DUMMYFUNCTION("""COMPUTED_VALUE"""),"Wanchain")</f>
        <v>Wanchain</v>
      </c>
    </row>
    <row r="13834" spans="1:3" x14ac:dyDescent="0.25">
      <c r="A13834" s="2" t="str">
        <f ca="1">IFERROR(__xludf.DUMMYFUNCTION("""COMPUTED_VALUE"""),"wanchain-bridged-usdt-xdc-network")</f>
        <v>wanchain-bridged-usdt-xdc-network</v>
      </c>
      <c r="B13834" s="2" t="str">
        <f ca="1">IFERROR(__xludf.DUMMYFUNCTION("""COMPUTED_VALUE"""),"xusdt")</f>
        <v>xusdt</v>
      </c>
      <c r="C13834" s="2" t="str">
        <f ca="1">IFERROR(__xludf.DUMMYFUNCTION("""COMPUTED_VALUE"""),"Wanchain Bridged USDT (XDC Network)")</f>
        <v>Wanchain Bridged USDT (XDC Network)</v>
      </c>
    </row>
    <row r="13835" spans="1:3" x14ac:dyDescent="0.25">
      <c r="A13835" s="2" t="str">
        <f ca="1">IFERROR(__xludf.DUMMYFUNCTION("""COMPUTED_VALUE"""),"wand")</f>
        <v>wand</v>
      </c>
      <c r="B13835" s="2" t="str">
        <f ca="1">IFERROR(__xludf.DUMMYFUNCTION("""COMPUTED_VALUE"""),"wand")</f>
        <v>wand</v>
      </c>
      <c r="C13835" s="2" t="str">
        <f ca="1">IFERROR(__xludf.DUMMYFUNCTION("""COMPUTED_VALUE"""),"Wand")</f>
        <v>Wand</v>
      </c>
    </row>
    <row r="13836" spans="1:3" x14ac:dyDescent="0.25">
      <c r="A13836" s="2" t="str">
        <f ca="1">IFERROR(__xludf.DUMMYFUNCTION("""COMPUTED_VALUE"""),"waneth")</f>
        <v>waneth</v>
      </c>
      <c r="B13836" s="2" t="str">
        <f ca="1">IFERROR(__xludf.DUMMYFUNCTION("""COMPUTED_VALUE"""),"waneth")</f>
        <v>waneth</v>
      </c>
      <c r="C13836" s="2" t="str">
        <f ca="1">IFERROR(__xludf.DUMMYFUNCTION("""COMPUTED_VALUE"""),"wanETH")</f>
        <v>wanETH</v>
      </c>
    </row>
    <row r="13837" spans="1:3" x14ac:dyDescent="0.25">
      <c r="A13837" s="2" t="str">
        <f ca="1">IFERROR(__xludf.DUMMYFUNCTION("""COMPUTED_VALUE"""),"wanko-manko-rune")</f>
        <v>wanko-manko-rune</v>
      </c>
      <c r="B13837" s="2" t="str">
        <f ca="1">IFERROR(__xludf.DUMMYFUNCTION("""COMPUTED_VALUE"""),"🐶")</f>
        <v>🐶</v>
      </c>
      <c r="C13837" s="2" t="str">
        <f ca="1">IFERROR(__xludf.DUMMYFUNCTION("""COMPUTED_VALUE"""),"WANKO•MANKO•RUNES")</f>
        <v>WANKO•MANKO•RUNES</v>
      </c>
    </row>
    <row r="13838" spans="1:3" x14ac:dyDescent="0.25">
      <c r="A13838" s="2" t="str">
        <f ca="1">IFERROR(__xludf.DUMMYFUNCTION("""COMPUTED_VALUE"""),"wanna-bot")</f>
        <v>wanna-bot</v>
      </c>
      <c r="B13838" s="2" t="str">
        <f ca="1">IFERROR(__xludf.DUMMYFUNCTION("""COMPUTED_VALUE"""),"wanna")</f>
        <v>wanna</v>
      </c>
      <c r="C13838" s="2" t="str">
        <f ca="1">IFERROR(__xludf.DUMMYFUNCTION("""COMPUTED_VALUE"""),"Wanna Bot")</f>
        <v>Wanna Bot</v>
      </c>
    </row>
    <row r="13839" spans="1:3" x14ac:dyDescent="0.25">
      <c r="A13839" s="2" t="str">
        <f ca="1">IFERROR(__xludf.DUMMYFUNCTION("""COMPUTED_VALUE"""),"wannaswap")</f>
        <v>wannaswap</v>
      </c>
      <c r="B13839" s="2" t="str">
        <f ca="1">IFERROR(__xludf.DUMMYFUNCTION("""COMPUTED_VALUE"""),"wanna")</f>
        <v>wanna</v>
      </c>
      <c r="C13839" s="2" t="str">
        <f ca="1">IFERROR(__xludf.DUMMYFUNCTION("""COMPUTED_VALUE"""),"WannaSwap")</f>
        <v>WannaSwap</v>
      </c>
    </row>
    <row r="13840" spans="1:3" x14ac:dyDescent="0.25">
      <c r="A13840" s="2" t="str">
        <f ca="1">IFERROR(__xludf.DUMMYFUNCTION("""COMPUTED_VALUE"""),"wanswap")</f>
        <v>wanswap</v>
      </c>
      <c r="B13840" s="2" t="str">
        <f ca="1">IFERROR(__xludf.DUMMYFUNCTION("""COMPUTED_VALUE"""),"wasp")</f>
        <v>wasp</v>
      </c>
      <c r="C13840" s="2" t="str">
        <f ca="1">IFERROR(__xludf.DUMMYFUNCTION("""COMPUTED_VALUE"""),"WanSwap [OLD]")</f>
        <v>WanSwap [OLD]</v>
      </c>
    </row>
    <row r="13841" spans="1:3" x14ac:dyDescent="0.25">
      <c r="A13841" s="2" t="str">
        <f ca="1">IFERROR(__xludf.DUMMYFUNCTION("""COMPUTED_VALUE"""),"wanswap-2")</f>
        <v>wanswap-2</v>
      </c>
      <c r="B13841" s="2" t="str">
        <f ca="1">IFERROR(__xludf.DUMMYFUNCTION("""COMPUTED_VALUE"""),"wasp")</f>
        <v>wasp</v>
      </c>
      <c r="C13841" s="2" t="str">
        <f ca="1">IFERROR(__xludf.DUMMYFUNCTION("""COMPUTED_VALUE"""),"WanSwap")</f>
        <v>WanSwap</v>
      </c>
    </row>
    <row r="13842" spans="1:3" x14ac:dyDescent="0.25">
      <c r="A13842" s="2" t="str">
        <f ca="1">IFERROR(__xludf.DUMMYFUNCTION("""COMPUTED_VALUE"""),"wanusdc")</f>
        <v>wanusdc</v>
      </c>
      <c r="B13842" s="2" t="str">
        <f ca="1">IFERROR(__xludf.DUMMYFUNCTION("""COMPUTED_VALUE"""),"wanusdc")</f>
        <v>wanusdc</v>
      </c>
      <c r="C13842" s="2" t="str">
        <f ca="1">IFERROR(__xludf.DUMMYFUNCTION("""COMPUTED_VALUE"""),"Bridged USD Coin (Wanchain)")</f>
        <v>Bridged USD Coin (Wanchain)</v>
      </c>
    </row>
    <row r="13843" spans="1:3" x14ac:dyDescent="0.25">
      <c r="A13843" s="2" t="str">
        <f ca="1">IFERROR(__xludf.DUMMYFUNCTION("""COMPUTED_VALUE"""),"wanusdt")</f>
        <v>wanusdt</v>
      </c>
      <c r="B13843" s="2" t="str">
        <f ca="1">IFERROR(__xludf.DUMMYFUNCTION("""COMPUTED_VALUE"""),"wanusdt")</f>
        <v>wanusdt</v>
      </c>
      <c r="C13843" s="2" t="str">
        <f ca="1">IFERROR(__xludf.DUMMYFUNCTION("""COMPUTED_VALUE"""),"Bridged Tether (Wanchain)")</f>
        <v>Bridged Tether (Wanchain)</v>
      </c>
    </row>
    <row r="13844" spans="1:3" x14ac:dyDescent="0.25">
      <c r="A13844" s="2" t="str">
        <f ca="1">IFERROR(__xludf.DUMMYFUNCTION("""COMPUTED_VALUE"""),"wanxrp")</f>
        <v>wanxrp</v>
      </c>
      <c r="B13844" s="2" t="str">
        <f ca="1">IFERROR(__xludf.DUMMYFUNCTION("""COMPUTED_VALUE"""),"wanxrp")</f>
        <v>wanxrp</v>
      </c>
      <c r="C13844" s="2" t="str">
        <f ca="1">IFERROR(__xludf.DUMMYFUNCTION("""COMPUTED_VALUE"""),"wanXRP")</f>
        <v>wanXRP</v>
      </c>
    </row>
    <row r="13845" spans="1:3" x14ac:dyDescent="0.25">
      <c r="A13845" s="2" t="str">
        <f ca="1">IFERROR(__xludf.DUMMYFUNCTION("""COMPUTED_VALUE"""),"war-coin")</f>
        <v>war-coin</v>
      </c>
      <c r="B13845" s="2" t="str">
        <f ca="1">IFERROR(__xludf.DUMMYFUNCTION("""COMPUTED_VALUE"""),"war")</f>
        <v>war</v>
      </c>
      <c r="C13845" s="2" t="str">
        <f ca="1">IFERROR(__xludf.DUMMYFUNCTION("""COMPUTED_VALUE"""),"War Coin")</f>
        <v>War Coin</v>
      </c>
    </row>
    <row r="13846" spans="1:3" x14ac:dyDescent="0.25">
      <c r="A13846" s="2" t="str">
        <f ca="1">IFERROR(__xludf.DUMMYFUNCTION("""COMPUTED_VALUE"""),"warden-protocol")</f>
        <v>warden-protocol</v>
      </c>
      <c r="B13846" s="2" t="str">
        <f ca="1">IFERROR(__xludf.DUMMYFUNCTION("""COMPUTED_VALUE"""),"warp")</f>
        <v>warp</v>
      </c>
      <c r="C13846" s="2" t="str">
        <f ca="1">IFERROR(__xludf.DUMMYFUNCTION("""COMPUTED_VALUE"""),"Warden Protocol (WARP)")</f>
        <v>Warden Protocol (WARP)</v>
      </c>
    </row>
    <row r="13847" spans="1:3" x14ac:dyDescent="0.25">
      <c r="A13847" s="2" t="str">
        <f ca="1">IFERROR(__xludf.DUMMYFUNCTION("""COMPUTED_VALUE"""),"warena")</f>
        <v>warena</v>
      </c>
      <c r="B13847" s="2" t="str">
        <f ca="1">IFERROR(__xludf.DUMMYFUNCTION("""COMPUTED_VALUE"""),"rena")</f>
        <v>rena</v>
      </c>
      <c r="C13847" s="2" t="str">
        <f ca="1">IFERROR(__xludf.DUMMYFUNCTION("""COMPUTED_VALUE"""),"Warena")</f>
        <v>Warena</v>
      </c>
    </row>
    <row r="13848" spans="1:3" x14ac:dyDescent="0.25">
      <c r="A13848" s="2" t="str">
        <f ca="1">IFERROR(__xludf.DUMMYFUNCTION("""COMPUTED_VALUE"""),"warioxrpdumbledoreyugioh69inu")</f>
        <v>warioxrpdumbledoreyugioh69inu</v>
      </c>
      <c r="B13848" s="2" t="str">
        <f ca="1">IFERROR(__xludf.DUMMYFUNCTION("""COMPUTED_VALUE"""),"xrp")</f>
        <v>xrp</v>
      </c>
      <c r="C13848" s="2" t="str">
        <f ca="1">IFERROR(__xludf.DUMMYFUNCTION("""COMPUTED_VALUE"""),"WarioXRPDumbledoreYugioh69Inu")</f>
        <v>WarioXRPDumbledoreYugioh69Inu</v>
      </c>
    </row>
    <row r="13849" spans="1:3" x14ac:dyDescent="0.25">
      <c r="A13849" s="2" t="str">
        <f ca="1">IFERROR(__xludf.DUMMYFUNCTION("""COMPUTED_VALUE"""),"warlegends")</f>
        <v>warlegends</v>
      </c>
      <c r="B13849" s="2" t="str">
        <f ca="1">IFERROR(__xludf.DUMMYFUNCTION("""COMPUTED_VALUE"""),"war")</f>
        <v>war</v>
      </c>
      <c r="C13849" s="2" t="str">
        <f ca="1">IFERROR(__xludf.DUMMYFUNCTION("""COMPUTED_VALUE"""),"War Legends")</f>
        <v>War Legends</v>
      </c>
    </row>
    <row r="13850" spans="1:3" x14ac:dyDescent="0.25">
      <c r="A13850" s="2" t="str">
        <f ca="1">IFERROR(__xludf.DUMMYFUNCTION("""COMPUTED_VALUE"""),"war-of-meme")</f>
        <v>war-of-meme</v>
      </c>
      <c r="B13850" s="2" t="str">
        <f ca="1">IFERROR(__xludf.DUMMYFUNCTION("""COMPUTED_VALUE"""),"wome")</f>
        <v>wome</v>
      </c>
      <c r="C13850" s="2" t="str">
        <f ca="1">IFERROR(__xludf.DUMMYFUNCTION("""COMPUTED_VALUE"""),"War Of Meme")</f>
        <v>War Of Meme</v>
      </c>
    </row>
    <row r="13851" spans="1:3" x14ac:dyDescent="0.25">
      <c r="A13851" s="2" t="str">
        <f ca="1">IFERROR(__xludf.DUMMYFUNCTION("""COMPUTED_VALUE"""),"warped-games")</f>
        <v>warped-games</v>
      </c>
      <c r="B13851" s="2" t="str">
        <f ca="1">IFERROR(__xludf.DUMMYFUNCTION("""COMPUTED_VALUE"""),"warped")</f>
        <v>warped</v>
      </c>
      <c r="C13851" s="2" t="str">
        <f ca="1">IFERROR(__xludf.DUMMYFUNCTION("""COMPUTED_VALUE"""),"Warped Games")</f>
        <v>Warped Games</v>
      </c>
    </row>
    <row r="13852" spans="1:3" x14ac:dyDescent="0.25">
      <c r="A13852" s="2" t="str">
        <f ca="1">IFERROR(__xludf.DUMMYFUNCTION("""COMPUTED_VALUE"""),"warpie")</f>
        <v>warpie</v>
      </c>
      <c r="B13852" s="2" t="str">
        <f ca="1">IFERROR(__xludf.DUMMYFUNCTION("""COMPUTED_VALUE"""),"$warpie")</f>
        <v>$warpie</v>
      </c>
      <c r="C13852" s="2" t="str">
        <f ca="1">IFERROR(__xludf.DUMMYFUNCTION("""COMPUTED_VALUE"""),"Warpie")</f>
        <v>Warpie</v>
      </c>
    </row>
    <row r="13853" spans="1:3" x14ac:dyDescent="0.25">
      <c r="A13853" s="2" t="str">
        <f ca="1">IFERROR(__xludf.DUMMYFUNCTION("""COMPUTED_VALUE"""),"warthog")</f>
        <v>warthog</v>
      </c>
      <c r="B13853" s="2" t="str">
        <f ca="1">IFERROR(__xludf.DUMMYFUNCTION("""COMPUTED_VALUE"""),"wart")</f>
        <v>wart</v>
      </c>
      <c r="C13853" s="2" t="str">
        <f ca="1">IFERROR(__xludf.DUMMYFUNCTION("""COMPUTED_VALUE"""),"Warthog")</f>
        <v>Warthog</v>
      </c>
    </row>
    <row r="13854" spans="1:3" x14ac:dyDescent="0.25">
      <c r="A13854" s="2" t="str">
        <f ca="1">IFERROR(__xludf.DUMMYFUNCTION("""COMPUTED_VALUE"""),"wasder")</f>
        <v>wasder</v>
      </c>
      <c r="B13854" s="2" t="str">
        <f ca="1">IFERROR(__xludf.DUMMYFUNCTION("""COMPUTED_VALUE"""),"was")</f>
        <v>was</v>
      </c>
      <c r="C13854" s="2" t="str">
        <f ca="1">IFERROR(__xludf.DUMMYFUNCTION("""COMPUTED_VALUE"""),"Wasder")</f>
        <v>Wasder</v>
      </c>
    </row>
    <row r="13855" spans="1:3" x14ac:dyDescent="0.25">
      <c r="A13855" s="2" t="str">
        <f ca="1">IFERROR(__xludf.DUMMYFUNCTION("""COMPUTED_VALUE"""),"wasd-studios")</f>
        <v>wasd-studios</v>
      </c>
      <c r="B13855" s="2" t="str">
        <f ca="1">IFERROR(__xludf.DUMMYFUNCTION("""COMPUTED_VALUE"""),"wasd")</f>
        <v>wasd</v>
      </c>
      <c r="C13855" s="2" t="str">
        <f ca="1">IFERROR(__xludf.DUMMYFUNCTION("""COMPUTED_VALUE"""),"WASD Studios")</f>
        <v>WASD Studios</v>
      </c>
    </row>
    <row r="13856" spans="1:3" x14ac:dyDescent="0.25">
      <c r="A13856" s="2" t="str">
        <f ca="1">IFERROR(__xludf.DUMMYFUNCTION("""COMPUTED_VALUE"""),"wassie")</f>
        <v>wassie</v>
      </c>
      <c r="B13856" s="2" t="str">
        <f ca="1">IFERROR(__xludf.DUMMYFUNCTION("""COMPUTED_VALUE"""),"wassie")</f>
        <v>wassie</v>
      </c>
      <c r="C13856" s="2" t="str">
        <f ca="1">IFERROR(__xludf.DUMMYFUNCTION("""COMPUTED_VALUE"""),"WASSIE")</f>
        <v>WASSIE</v>
      </c>
    </row>
    <row r="13857" spans="1:3" x14ac:dyDescent="0.25">
      <c r="A13857" s="2" t="str">
        <f ca="1">IFERROR(__xludf.DUMMYFUNCTION("""COMPUTED_VALUE"""),"waste-coin")</f>
        <v>waste-coin</v>
      </c>
      <c r="B13857" s="2" t="str">
        <f ca="1">IFERROR(__xludf.DUMMYFUNCTION("""COMPUTED_VALUE"""),"waco")</f>
        <v>waco</v>
      </c>
      <c r="C13857" s="2" t="str">
        <f ca="1">IFERROR(__xludf.DUMMYFUNCTION("""COMPUTED_VALUE"""),"Waste Digital Coin")</f>
        <v>Waste Digital Coin</v>
      </c>
    </row>
    <row r="13858" spans="1:3" x14ac:dyDescent="0.25">
      <c r="A13858" s="2" t="str">
        <f ca="1">IFERROR(__xludf.DUMMYFUNCTION("""COMPUTED_VALUE"""),"wat")</f>
        <v>wat</v>
      </c>
      <c r="B13858" s="2" t="str">
        <f ca="1">IFERROR(__xludf.DUMMYFUNCTION("""COMPUTED_VALUE"""),"wat")</f>
        <v>wat</v>
      </c>
      <c r="C13858" s="2" t="str">
        <f ca="1">IFERROR(__xludf.DUMMYFUNCTION("""COMPUTED_VALUE"""),"Wat")</f>
        <v>Wat</v>
      </c>
    </row>
    <row r="13859" spans="1:3" x14ac:dyDescent="0.25">
      <c r="A13859" s="2" t="str">
        <f ca="1">IFERROR(__xludf.DUMMYFUNCTION("""COMPUTED_VALUE"""),"wat-bnb")</f>
        <v>wat-bnb</v>
      </c>
      <c r="B13859" s="2" t="str">
        <f ca="1">IFERROR(__xludf.DUMMYFUNCTION("""COMPUTED_VALUE"""),"wat")</f>
        <v>wat</v>
      </c>
      <c r="C13859" s="2" t="str">
        <f ca="1">IFERROR(__xludf.DUMMYFUNCTION("""COMPUTED_VALUE"""),"Wat BNB")</f>
        <v>Wat BNB</v>
      </c>
    </row>
    <row r="13860" spans="1:3" x14ac:dyDescent="0.25">
      <c r="A13860" s="2" t="str">
        <f ca="1">IFERROR(__xludf.DUMMYFUNCTION("""COMPUTED_VALUE"""),"watcher-ai")</f>
        <v>watcher-ai</v>
      </c>
      <c r="B13860" s="2" t="str">
        <f ca="1">IFERROR(__xludf.DUMMYFUNCTION("""COMPUTED_VALUE"""),"wai")</f>
        <v>wai</v>
      </c>
      <c r="C13860" s="2" t="str">
        <f ca="1">IFERROR(__xludf.DUMMYFUNCTION("""COMPUTED_VALUE"""),"Watcher AI")</f>
        <v>Watcher AI</v>
      </c>
    </row>
    <row r="13861" spans="1:3" x14ac:dyDescent="0.25">
      <c r="A13861" s="2" t="str">
        <f ca="1">IFERROR(__xludf.DUMMYFUNCTION("""COMPUTED_VALUE"""),"watchtowers-ai")</f>
        <v>watchtowers-ai</v>
      </c>
      <c r="B13861" s="2" t="str">
        <f ca="1">IFERROR(__xludf.DUMMYFUNCTION("""COMPUTED_VALUE"""),"wts")</f>
        <v>wts</v>
      </c>
      <c r="C13861" s="2" t="str">
        <f ca="1">IFERROR(__xludf.DUMMYFUNCTION("""COMPUTED_VALUE"""),"WatchTowers AI")</f>
        <v>WatchTowers AI</v>
      </c>
    </row>
    <row r="13862" spans="1:3" x14ac:dyDescent="0.25">
      <c r="A13862" s="2" t="str">
        <f ca="1">IFERROR(__xludf.DUMMYFUNCTION("""COMPUTED_VALUE"""),"watcoin")</f>
        <v>watcoin</v>
      </c>
      <c r="B13862" s="2" t="str">
        <f ca="1">IFERROR(__xludf.DUMMYFUNCTION("""COMPUTED_VALUE"""),"wat")</f>
        <v>wat</v>
      </c>
      <c r="C13862" s="2" t="str">
        <f ca="1">IFERROR(__xludf.DUMMYFUNCTION("""COMPUTED_VALUE"""),"WATCoin")</f>
        <v>WATCoin</v>
      </c>
    </row>
    <row r="13863" spans="1:3" x14ac:dyDescent="0.25">
      <c r="A13863" s="2" t="str">
        <f ca="1">IFERROR(__xludf.DUMMYFUNCTION("""COMPUTED_VALUE"""),"water-2")</f>
        <v>water-2</v>
      </c>
      <c r="B13863" s="2" t="str">
        <f ca="1">IFERROR(__xludf.DUMMYFUNCTION("""COMPUTED_VALUE"""),"water")</f>
        <v>water</v>
      </c>
      <c r="C13863" s="2" t="str">
        <f ca="1">IFERROR(__xludf.DUMMYFUNCTION("""COMPUTED_VALUE"""),"WATER")</f>
        <v>WATER</v>
      </c>
    </row>
    <row r="13864" spans="1:3" x14ac:dyDescent="0.25">
      <c r="A13864" s="2" t="str">
        <f ca="1">IFERROR(__xludf.DUMMYFUNCTION("""COMPUTED_VALUE"""),"water-3")</f>
        <v>water-3</v>
      </c>
      <c r="B13864" s="2" t="str">
        <f ca="1">IFERROR(__xludf.DUMMYFUNCTION("""COMPUTED_VALUE"""),"water")</f>
        <v>water</v>
      </c>
      <c r="C13864" s="2" t="str">
        <f ca="1">IFERROR(__xludf.DUMMYFUNCTION("""COMPUTED_VALUE"""),"Waterfall")</f>
        <v>Waterfall</v>
      </c>
    </row>
    <row r="13865" spans="1:3" x14ac:dyDescent="0.25">
      <c r="A13865" s="2" t="str">
        <f ca="1">IFERROR(__xludf.DUMMYFUNCTION("""COMPUTED_VALUE"""),"wateract")</f>
        <v>wateract</v>
      </c>
      <c r="B13865" s="2" t="str">
        <f ca="1">IFERROR(__xludf.DUMMYFUNCTION("""COMPUTED_VALUE"""),"wtr")</f>
        <v>wtr</v>
      </c>
      <c r="C13865" s="2" t="str">
        <f ca="1">IFERROR(__xludf.DUMMYFUNCTION("""COMPUTED_VALUE"""),"Wateract")</f>
        <v>Wateract</v>
      </c>
    </row>
    <row r="13866" spans="1:3" x14ac:dyDescent="0.25">
      <c r="A13866" s="2" t="str">
        <f ca="1">IFERROR(__xludf.DUMMYFUNCTION("""COMPUTED_VALUE"""),"water-coin")</f>
        <v>water-coin</v>
      </c>
      <c r="B13866" s="2" t="str">
        <f ca="1">IFERROR(__xludf.DUMMYFUNCTION("""COMPUTED_VALUE"""),"water")</f>
        <v>water</v>
      </c>
      <c r="C13866" s="2" t="str">
        <f ca="1">IFERROR(__xludf.DUMMYFUNCTION("""COMPUTED_VALUE"""),"WATER Coin")</f>
        <v>WATER Coin</v>
      </c>
    </row>
    <row r="13867" spans="1:3" x14ac:dyDescent="0.25">
      <c r="A13867" s="2" t="str">
        <f ca="1">IFERROR(__xludf.DUMMYFUNCTION("""COMPUTED_VALUE"""),"waterfall-governance-token")</f>
        <v>waterfall-governance-token</v>
      </c>
      <c r="B13867" s="2" t="str">
        <f ca="1">IFERROR(__xludf.DUMMYFUNCTION("""COMPUTED_VALUE"""),"wtf")</f>
        <v>wtf</v>
      </c>
      <c r="C13867" s="2" t="str">
        <f ca="1">IFERROR(__xludf.DUMMYFUNCTION("""COMPUTED_VALUE"""),"Waterfall Governance")</f>
        <v>Waterfall Governance</v>
      </c>
    </row>
    <row r="13868" spans="1:3" x14ac:dyDescent="0.25">
      <c r="A13868" s="2" t="str">
        <f ca="1">IFERROR(__xludf.DUMMYFUNCTION("""COMPUTED_VALUE"""),"watermelon")</f>
        <v>watermelon</v>
      </c>
      <c r="B13868" s="2" t="str">
        <f ca="1">IFERROR(__xludf.DUMMYFUNCTION("""COMPUTED_VALUE"""),"wat")</f>
        <v>wat</v>
      </c>
      <c r="C13868" s="2" t="str">
        <f ca="1">IFERROR(__xludf.DUMMYFUNCTION("""COMPUTED_VALUE"""),"Watermelon")</f>
        <v>Watermelon</v>
      </c>
    </row>
    <row r="13869" spans="1:3" x14ac:dyDescent="0.25">
      <c r="A13869" s="2" t="str">
        <f ca="1">IFERROR(__xludf.DUMMYFUNCTION("""COMPUTED_VALUE"""),"waterneuron")</f>
        <v>waterneuron</v>
      </c>
      <c r="B13869" s="2" t="str">
        <f ca="1">IFERROR(__xludf.DUMMYFUNCTION("""COMPUTED_VALUE"""),"wtn")</f>
        <v>wtn</v>
      </c>
      <c r="C13869" s="2" t="str">
        <f ca="1">IFERROR(__xludf.DUMMYFUNCTION("""COMPUTED_VALUE"""),"WaterNeuron")</f>
        <v>WaterNeuron</v>
      </c>
    </row>
    <row r="13870" spans="1:3" x14ac:dyDescent="0.25">
      <c r="A13870" s="2" t="str">
        <f ca="1">IFERROR(__xludf.DUMMYFUNCTION("""COMPUTED_VALUE"""),"water-on-sui")</f>
        <v>water-on-sui</v>
      </c>
      <c r="B13870" s="2" t="str">
        <f ca="1">IFERROR(__xludf.DUMMYFUNCTION("""COMPUTED_VALUE"""),"water")</f>
        <v>water</v>
      </c>
      <c r="C13870" s="2" t="str">
        <f ca="1">IFERROR(__xludf.DUMMYFUNCTION("""COMPUTED_VALUE"""),"Water on Sui")</f>
        <v>Water on Sui</v>
      </c>
    </row>
    <row r="13871" spans="1:3" x14ac:dyDescent="0.25">
      <c r="A13871" s="2" t="str">
        <f ca="1">IFERROR(__xludf.DUMMYFUNCTION("""COMPUTED_VALUE"""),"water-rabbit")</f>
        <v>water-rabbit</v>
      </c>
      <c r="B13871" s="2" t="str">
        <f ca="1">IFERROR(__xludf.DUMMYFUNCTION("""COMPUTED_VALUE"""),"war")</f>
        <v>war</v>
      </c>
      <c r="C13871" s="2" t="str">
        <f ca="1">IFERROR(__xludf.DUMMYFUNCTION("""COMPUTED_VALUE"""),"Water Rabbit")</f>
        <v>Water Rabbit</v>
      </c>
    </row>
    <row r="13872" spans="1:3" x14ac:dyDescent="0.25">
      <c r="A13872" s="2" t="str">
        <f ca="1">IFERROR(__xludf.DUMMYFUNCTION("""COMPUTED_VALUE"""),"wattton")</f>
        <v>wattton</v>
      </c>
      <c r="B13872" s="2" t="str">
        <f ca="1">IFERROR(__xludf.DUMMYFUNCTION("""COMPUTED_VALUE"""),"watt")</f>
        <v>watt</v>
      </c>
      <c r="C13872" s="2" t="str">
        <f ca="1">IFERROR(__xludf.DUMMYFUNCTION("""COMPUTED_VALUE"""),"WATTTON")</f>
        <v>WATTTON</v>
      </c>
    </row>
    <row r="13873" spans="1:3" x14ac:dyDescent="0.25">
      <c r="A13873" s="2" t="str">
        <f ca="1">IFERROR(__xludf.DUMMYFUNCTION("""COMPUTED_VALUE"""),"waultswap")</f>
        <v>waultswap</v>
      </c>
      <c r="B13873" s="2" t="str">
        <f ca="1">IFERROR(__xludf.DUMMYFUNCTION("""COMPUTED_VALUE"""),"wex")</f>
        <v>wex</v>
      </c>
      <c r="C13873" s="2" t="str">
        <f ca="1">IFERROR(__xludf.DUMMYFUNCTION("""COMPUTED_VALUE"""),"WaultSwap")</f>
        <v>WaultSwap</v>
      </c>
    </row>
    <row r="13874" spans="1:3" x14ac:dyDescent="0.25">
      <c r="A13874" s="2" t="str">
        <f ca="1">IFERROR(__xludf.DUMMYFUNCTION("""COMPUTED_VALUE"""),"waves")</f>
        <v>waves</v>
      </c>
      <c r="B13874" s="2" t="str">
        <f ca="1">IFERROR(__xludf.DUMMYFUNCTION("""COMPUTED_VALUE"""),"waves")</f>
        <v>waves</v>
      </c>
      <c r="C13874" s="2" t="str">
        <f ca="1">IFERROR(__xludf.DUMMYFUNCTION("""COMPUTED_VALUE"""),"Waves")</f>
        <v>Waves</v>
      </c>
    </row>
    <row r="13875" spans="1:3" x14ac:dyDescent="0.25">
      <c r="A13875" s="2" t="str">
        <f ca="1">IFERROR(__xludf.DUMMYFUNCTION("""COMPUTED_VALUE"""),"waves-ducks")</f>
        <v>waves-ducks</v>
      </c>
      <c r="B13875" s="2" t="str">
        <f ca="1">IFERROR(__xludf.DUMMYFUNCTION("""COMPUTED_VALUE"""),"egg")</f>
        <v>egg</v>
      </c>
      <c r="C13875" s="2" t="str">
        <f ca="1">IFERROR(__xludf.DUMMYFUNCTION("""COMPUTED_VALUE"""),"Waves Ducks")</f>
        <v>Waves Ducks</v>
      </c>
    </row>
    <row r="13876" spans="1:3" x14ac:dyDescent="0.25">
      <c r="A13876" s="2" t="str">
        <f ca="1">IFERROR(__xludf.DUMMYFUNCTION("""COMPUTED_VALUE"""),"waves-enterprise")</f>
        <v>waves-enterprise</v>
      </c>
      <c r="B13876" s="2" t="str">
        <f ca="1">IFERROR(__xludf.DUMMYFUNCTION("""COMPUTED_VALUE"""),"west")</f>
        <v>west</v>
      </c>
      <c r="C13876" s="2" t="str">
        <f ca="1">IFERROR(__xludf.DUMMYFUNCTION("""COMPUTED_VALUE"""),"Waves Enterprise")</f>
        <v>Waves Enterprise</v>
      </c>
    </row>
    <row r="13877" spans="1:3" x14ac:dyDescent="0.25">
      <c r="A13877" s="2" t="str">
        <f ca="1">IFERROR(__xludf.DUMMYFUNCTION("""COMPUTED_VALUE"""),"waves-exchange")</f>
        <v>waves-exchange</v>
      </c>
      <c r="B13877" s="2" t="str">
        <f ca="1">IFERROR(__xludf.DUMMYFUNCTION("""COMPUTED_VALUE"""),"wx")</f>
        <v>wx</v>
      </c>
      <c r="C13877" s="2" t="str">
        <f ca="1">IFERROR(__xludf.DUMMYFUNCTION("""COMPUTED_VALUE"""),"WX Network Token")</f>
        <v>WX Network Token</v>
      </c>
    </row>
    <row r="13878" spans="1:3" x14ac:dyDescent="0.25">
      <c r="A13878" s="2" t="str">
        <f ca="1">IFERROR(__xludf.DUMMYFUNCTION("""COMPUTED_VALUE"""),"wawacat")</f>
        <v>wawacat</v>
      </c>
      <c r="B13878" s="2" t="str">
        <f ca="1">IFERROR(__xludf.DUMMYFUNCTION("""COMPUTED_VALUE"""),"wawa")</f>
        <v>wawa</v>
      </c>
      <c r="C13878" s="2" t="str">
        <f ca="1">IFERROR(__xludf.DUMMYFUNCTION("""COMPUTED_VALUE"""),"wawacat")</f>
        <v>wawacat</v>
      </c>
    </row>
    <row r="13879" spans="1:3" x14ac:dyDescent="0.25">
      <c r="A13879" s="2" t="str">
        <f ca="1">IFERROR(__xludf.DUMMYFUNCTION("""COMPUTED_VALUE"""),"wawa-cat")</f>
        <v>wawa-cat</v>
      </c>
      <c r="B13879" s="2" t="str">
        <f ca="1">IFERROR(__xludf.DUMMYFUNCTION("""COMPUTED_VALUE"""),"wawa")</f>
        <v>wawa</v>
      </c>
      <c r="C13879" s="2" t="str">
        <f ca="1">IFERROR(__xludf.DUMMYFUNCTION("""COMPUTED_VALUE"""),"WAWA CAT")</f>
        <v>WAWA CAT</v>
      </c>
    </row>
    <row r="13880" spans="1:3" x14ac:dyDescent="0.25">
      <c r="A13880" s="2" t="str">
        <f ca="1">IFERROR(__xludf.DUMMYFUNCTION("""COMPUTED_VALUE"""),"waweswaps-global-token")</f>
        <v>waweswaps-global-token</v>
      </c>
      <c r="B13880" s="2" t="str">
        <f ca="1">IFERROR(__xludf.DUMMYFUNCTION("""COMPUTED_VALUE"""),"gbl")</f>
        <v>gbl</v>
      </c>
      <c r="C13880" s="2" t="str">
        <f ca="1">IFERROR(__xludf.DUMMYFUNCTION("""COMPUTED_VALUE"""),"WaweSwaps Global Token")</f>
        <v>WaweSwaps Global Token</v>
      </c>
    </row>
    <row r="13881" spans="1:3" x14ac:dyDescent="0.25">
      <c r="A13881" s="2" t="str">
        <f ca="1">IFERROR(__xludf.DUMMYFUNCTION("""COMPUTED_VALUE"""),"wax")</f>
        <v>wax</v>
      </c>
      <c r="B13881" s="2" t="str">
        <f ca="1">IFERROR(__xludf.DUMMYFUNCTION("""COMPUTED_VALUE"""),"waxp")</f>
        <v>waxp</v>
      </c>
      <c r="C13881" s="2" t="str">
        <f ca="1">IFERROR(__xludf.DUMMYFUNCTION("""COMPUTED_VALUE"""),"WAX")</f>
        <v>WAX</v>
      </c>
    </row>
    <row r="13882" spans="1:3" x14ac:dyDescent="0.25">
      <c r="A13882" s="2" t="str">
        <f ca="1">IFERROR(__xludf.DUMMYFUNCTION("""COMPUTED_VALUE"""),"waxe")</f>
        <v>waxe</v>
      </c>
      <c r="B13882" s="2" t="str">
        <f ca="1">IFERROR(__xludf.DUMMYFUNCTION("""COMPUTED_VALUE"""),"waxe")</f>
        <v>waxe</v>
      </c>
      <c r="C13882" s="2" t="str">
        <f ca="1">IFERROR(__xludf.DUMMYFUNCTION("""COMPUTED_VALUE"""),"WAXE")</f>
        <v>WAXE</v>
      </c>
    </row>
    <row r="13883" spans="1:3" x14ac:dyDescent="0.25">
      <c r="A13883" s="2" t="str">
        <f ca="1">IFERROR(__xludf.DUMMYFUNCTION("""COMPUTED_VALUE"""),"wayawolfcoin")</f>
        <v>wayawolfcoin</v>
      </c>
      <c r="B13883" s="2" t="str">
        <f ca="1">IFERROR(__xludf.DUMMYFUNCTION("""COMPUTED_VALUE"""),"ww")</f>
        <v>ww</v>
      </c>
      <c r="C13883" s="2" t="str">
        <f ca="1">IFERROR(__xludf.DUMMYFUNCTION("""COMPUTED_VALUE"""),"WayaWolfCoin")</f>
        <v>WayaWolfCoin</v>
      </c>
    </row>
    <row r="13884" spans="1:3" x14ac:dyDescent="0.25">
      <c r="A13884" s="2" t="str">
        <f ca="1">IFERROR(__xludf.DUMMYFUNCTION("""COMPUTED_VALUE"""),"waykichain")</f>
        <v>waykichain</v>
      </c>
      <c r="B13884" s="2" t="str">
        <f ca="1">IFERROR(__xludf.DUMMYFUNCTION("""COMPUTED_VALUE"""),"wicc")</f>
        <v>wicc</v>
      </c>
      <c r="C13884" s="2" t="str">
        <f ca="1">IFERROR(__xludf.DUMMYFUNCTION("""COMPUTED_VALUE"""),"WaykiChain")</f>
        <v>WaykiChain</v>
      </c>
    </row>
    <row r="13885" spans="1:3" x14ac:dyDescent="0.25">
      <c r="A13885" s="2" t="str">
        <f ca="1">IFERROR(__xludf.DUMMYFUNCTION("""COMPUTED_VALUE"""),"waykichain-governance-coin")</f>
        <v>waykichain-governance-coin</v>
      </c>
      <c r="B13885" s="2" t="str">
        <f ca="1">IFERROR(__xludf.DUMMYFUNCTION("""COMPUTED_VALUE"""),"wgrt")</f>
        <v>wgrt</v>
      </c>
      <c r="C13885" s="2" t="str">
        <f ca="1">IFERROR(__xludf.DUMMYFUNCTION("""COMPUTED_VALUE"""),"WaykiChain Governance Coin")</f>
        <v>WaykiChain Governance Coin</v>
      </c>
    </row>
    <row r="13886" spans="1:3" x14ac:dyDescent="0.25">
      <c r="A13886" s="2" t="str">
        <f ca="1">IFERROR(__xludf.DUMMYFUNCTION("""COMPUTED_VALUE"""),"wazirx")</f>
        <v>wazirx</v>
      </c>
      <c r="B13886" s="2" t="str">
        <f ca="1">IFERROR(__xludf.DUMMYFUNCTION("""COMPUTED_VALUE"""),"wrx")</f>
        <v>wrx</v>
      </c>
      <c r="C13886" s="2" t="str">
        <f ca="1">IFERROR(__xludf.DUMMYFUNCTION("""COMPUTED_VALUE"""),"WazirX")</f>
        <v>WazirX</v>
      </c>
    </row>
    <row r="13887" spans="1:3" x14ac:dyDescent="0.25">
      <c r="A13887" s="2" t="str">
        <f ca="1">IFERROR(__xludf.DUMMYFUNCTION("""COMPUTED_VALUE"""),"wbnb")</f>
        <v>wbnb</v>
      </c>
      <c r="B13887" s="2" t="str">
        <f ca="1">IFERROR(__xludf.DUMMYFUNCTION("""COMPUTED_VALUE"""),"wbnb")</f>
        <v>wbnb</v>
      </c>
      <c r="C13887" s="2" t="str">
        <f ca="1">IFERROR(__xludf.DUMMYFUNCTION("""COMPUTED_VALUE"""),"Wrapped BNB")</f>
        <v>Wrapped BNB</v>
      </c>
    </row>
    <row r="13888" spans="1:3" x14ac:dyDescent="0.25">
      <c r="A13888" s="2" t="str">
        <f ca="1">IFERROR(__xludf.DUMMYFUNCTION("""COMPUTED_VALUE"""),"wbtc-plenty-bridge")</f>
        <v>wbtc-plenty-bridge</v>
      </c>
      <c r="B13888" s="2" t="str">
        <f ca="1">IFERROR(__xludf.DUMMYFUNCTION("""COMPUTED_VALUE"""),"wbtc.e")</f>
        <v>wbtc.e</v>
      </c>
      <c r="C13888" s="2" t="str">
        <f ca="1">IFERROR(__xludf.DUMMYFUNCTION("""COMPUTED_VALUE"""),"WBTC (Plenty Bridge)")</f>
        <v>WBTC (Plenty Bridge)</v>
      </c>
    </row>
    <row r="13889" spans="1:3" x14ac:dyDescent="0.25">
      <c r="A13889" s="2" t="str">
        <f ca="1">IFERROR(__xludf.DUMMYFUNCTION("""COMPUTED_VALUE"""),"wbtc-yvault")</f>
        <v>wbtc-yvault</v>
      </c>
      <c r="B13889" s="2" t="str">
        <f ca="1">IFERROR(__xludf.DUMMYFUNCTION("""COMPUTED_VALUE"""),"yvwbtc")</f>
        <v>yvwbtc</v>
      </c>
      <c r="C13889" s="2" t="str">
        <f ca="1">IFERROR(__xludf.DUMMYFUNCTION("""COMPUTED_VALUE"""),"WBTC yVault")</f>
        <v>WBTC yVault</v>
      </c>
    </row>
    <row r="13890" spans="1:3" x14ac:dyDescent="0.25">
      <c r="A13890" s="2" t="str">
        <f ca="1">IFERROR(__xludf.DUMMYFUNCTION("""COMPUTED_VALUE"""),"wcdonalds")</f>
        <v>wcdonalds</v>
      </c>
      <c r="B13890" s="2" t="str">
        <f ca="1">IFERROR(__xludf.DUMMYFUNCTION("""COMPUTED_VALUE"""),"wcd")</f>
        <v>wcd</v>
      </c>
      <c r="C13890" s="2" t="str">
        <f ca="1">IFERROR(__xludf.DUMMYFUNCTION("""COMPUTED_VALUE"""),"WcDonalds")</f>
        <v>WcDonalds</v>
      </c>
    </row>
    <row r="13891" spans="1:3" x14ac:dyDescent="0.25">
      <c r="A13891" s="2" t="str">
        <f ca="1">IFERROR(__xludf.DUMMYFUNCTION("""COMPUTED_VALUE"""),"wdot")</f>
        <v>wdot</v>
      </c>
      <c r="B13891" s="2" t="str">
        <f ca="1">IFERROR(__xludf.DUMMYFUNCTION("""COMPUTED_VALUE"""),"wdot")</f>
        <v>wdot</v>
      </c>
      <c r="C13891" s="2" t="str">
        <f ca="1">IFERROR(__xludf.DUMMYFUNCTION("""COMPUTED_VALUE"""),"WDOT")</f>
        <v>WDOT</v>
      </c>
    </row>
    <row r="13892" spans="1:3" x14ac:dyDescent="0.25">
      <c r="A13892" s="2" t="str">
        <f ca="1">IFERROR(__xludf.DUMMYFUNCTION("""COMPUTED_VALUE"""),"we-are-venom")</f>
        <v>we-are-venom</v>
      </c>
      <c r="B13892" s="2" t="str">
        <f ca="1">IFERROR(__xludf.DUMMYFUNCTION("""COMPUTED_VALUE"""),"wave")</f>
        <v>wave</v>
      </c>
      <c r="C13892" s="2" t="str">
        <f ca="1">IFERROR(__xludf.DUMMYFUNCTION("""COMPUTED_VALUE"""),"We Are Venom")</f>
        <v>We Are Venom</v>
      </c>
    </row>
    <row r="13893" spans="1:3" x14ac:dyDescent="0.25">
      <c r="A13893" s="2" t="str">
        <f ca="1">IFERROR(__xludf.DUMMYFUNCTION("""COMPUTED_VALUE"""),"weatherxm-network")</f>
        <v>weatherxm-network</v>
      </c>
      <c r="B13893" s="2" t="str">
        <f ca="1">IFERROR(__xludf.DUMMYFUNCTION("""COMPUTED_VALUE"""),"wxm")</f>
        <v>wxm</v>
      </c>
      <c r="C13893" s="2" t="str">
        <f ca="1">IFERROR(__xludf.DUMMYFUNCTION("""COMPUTED_VALUE"""),"WeatherXM")</f>
        <v>WeatherXM</v>
      </c>
    </row>
    <row r="13894" spans="1:3" x14ac:dyDescent="0.25">
      <c r="A13894" s="2" t="str">
        <f ca="1">IFERROR(__xludf.DUMMYFUNCTION("""COMPUTED_VALUE"""),"weave6")</f>
        <v>weave6</v>
      </c>
      <c r="B13894" s="2" t="str">
        <f ca="1">IFERROR(__xludf.DUMMYFUNCTION("""COMPUTED_VALUE"""),"wx")</f>
        <v>wx</v>
      </c>
      <c r="C13894" s="2" t="str">
        <f ca="1">IFERROR(__xludf.DUMMYFUNCTION("""COMPUTED_VALUE"""),"Weave6")</f>
        <v>Weave6</v>
      </c>
    </row>
    <row r="13895" spans="1:3" x14ac:dyDescent="0.25">
      <c r="A13895" s="2" t="str">
        <f ca="1">IFERROR(__xludf.DUMMYFUNCTION("""COMPUTED_VALUE"""),"web")</f>
        <v>web</v>
      </c>
      <c r="B13895" s="2" t="str">
        <f ca="1">IFERROR(__xludf.DUMMYFUNCTION("""COMPUTED_VALUE"""),"web")</f>
        <v>web</v>
      </c>
      <c r="C13895" s="2" t="str">
        <f ca="1">IFERROR(__xludf.DUMMYFUNCTION("""COMPUTED_VALUE"""),"Web")</f>
        <v>Web</v>
      </c>
    </row>
    <row r="13896" spans="1:3" x14ac:dyDescent="0.25">
      <c r="A13896" s="2" t="str">
        <f ca="1">IFERROR(__xludf.DUMMYFUNCTION("""COMPUTED_VALUE"""),"web3camp")</f>
        <v>web3camp</v>
      </c>
      <c r="B13896" s="2" t="str">
        <f ca="1">IFERROR(__xludf.DUMMYFUNCTION("""COMPUTED_VALUE"""),"3p")</f>
        <v>3p</v>
      </c>
      <c r="C13896" s="2" t="str">
        <f ca="1">IFERROR(__xludf.DUMMYFUNCTION("""COMPUTED_VALUE"""),"Web3Camp [OLD]")</f>
        <v>Web3Camp [OLD]</v>
      </c>
    </row>
    <row r="13897" spans="1:3" x14ac:dyDescent="0.25">
      <c r="A13897" s="2" t="str">
        <f ca="1">IFERROR(__xludf.DUMMYFUNCTION("""COMPUTED_VALUE"""),"web-3-dollar")</f>
        <v>web-3-dollar</v>
      </c>
      <c r="B13897" s="2" t="str">
        <f ca="1">IFERROR(__xludf.DUMMYFUNCTION("""COMPUTED_VALUE"""),"usd3")</f>
        <v>usd3</v>
      </c>
      <c r="C13897" s="2" t="str">
        <f ca="1">IFERROR(__xludf.DUMMYFUNCTION("""COMPUTED_VALUE"""),"Web 3 Dollar")</f>
        <v>Web 3 Dollar</v>
      </c>
    </row>
    <row r="13898" spans="1:3" x14ac:dyDescent="0.25">
      <c r="A13898" s="2" t="str">
        <f ca="1">IFERROR(__xludf.DUMMYFUNCTION("""COMPUTED_VALUE"""),"web3-forensics")</f>
        <v>web3-forensics</v>
      </c>
      <c r="B13898" s="2" t="str">
        <f ca="1">IFERROR(__xludf.DUMMYFUNCTION("""COMPUTED_VALUE"""),"w3f")</f>
        <v>w3f</v>
      </c>
      <c r="C13898" s="2" t="str">
        <f ca="1">IFERROR(__xludf.DUMMYFUNCTION("""COMPUTED_VALUE"""),"Web3 Forensics")</f>
        <v>Web3 Forensics</v>
      </c>
    </row>
    <row r="13899" spans="1:3" x14ac:dyDescent="0.25">
      <c r="A13899" s="2" t="str">
        <f ca="1">IFERROR(__xludf.DUMMYFUNCTION("""COMPUTED_VALUE"""),"web3frontier")</f>
        <v>web3frontier</v>
      </c>
      <c r="B13899" s="2" t="str">
        <f ca="1">IFERROR(__xludf.DUMMYFUNCTION("""COMPUTED_VALUE"""),"w3f")</f>
        <v>w3f</v>
      </c>
      <c r="C13899" s="2" t="str">
        <f ca="1">IFERROR(__xludf.DUMMYFUNCTION("""COMPUTED_VALUE"""),"Web3Frontier")</f>
        <v>Web3Frontier</v>
      </c>
    </row>
    <row r="13900" spans="1:3" x14ac:dyDescent="0.25">
      <c r="A13900" s="2" t="str">
        <f ca="1">IFERROR(__xludf.DUMMYFUNCTION("""COMPUTED_VALUE"""),"web3games-com-token")</f>
        <v>web3games-com-token</v>
      </c>
      <c r="B13900" s="2" t="str">
        <f ca="1">IFERROR(__xludf.DUMMYFUNCTION("""COMPUTED_VALUE"""),"wgt")</f>
        <v>wgt</v>
      </c>
      <c r="C13900" s="2" t="str">
        <f ca="1">IFERROR(__xludf.DUMMYFUNCTION("""COMPUTED_VALUE"""),"Web3Games.com Token")</f>
        <v>Web3Games.com Token</v>
      </c>
    </row>
    <row r="13901" spans="1:3" x14ac:dyDescent="0.25">
      <c r="A13901" s="2" t="str">
        <f ca="1">IFERROR(__xludf.DUMMYFUNCTION("""COMPUTED_VALUE"""),"web3-no-value")</f>
        <v>web3-no-value</v>
      </c>
      <c r="B13901" s="2" t="str">
        <f ca="1">IFERROR(__xludf.DUMMYFUNCTION("""COMPUTED_VALUE"""),"w3n")</f>
        <v>w3n</v>
      </c>
      <c r="C13901" s="2" t="str">
        <f ca="1">IFERROR(__xludf.DUMMYFUNCTION("""COMPUTED_VALUE"""),"Web3 No Value")</f>
        <v>Web3 No Value</v>
      </c>
    </row>
    <row r="13902" spans="1:3" x14ac:dyDescent="0.25">
      <c r="A13902" s="2" t="str">
        <f ca="1">IFERROR(__xludf.DUMMYFUNCTION("""COMPUTED_VALUE"""),"web3shot")</f>
        <v>web3shot</v>
      </c>
      <c r="B13902" s="2" t="str">
        <f ca="1">IFERROR(__xludf.DUMMYFUNCTION("""COMPUTED_VALUE"""),"w3s")</f>
        <v>w3s</v>
      </c>
      <c r="C13902" s="2" t="str">
        <f ca="1">IFERROR(__xludf.DUMMYFUNCTION("""COMPUTED_VALUE"""),"Web3Shot")</f>
        <v>Web3Shot</v>
      </c>
    </row>
    <row r="13903" spans="1:3" x14ac:dyDescent="0.25">
      <c r="A13903" s="2" t="str">
        <f ca="1">IFERROR(__xludf.DUMMYFUNCTION("""COMPUTED_VALUE"""),"web3-ton-token")</f>
        <v>web3-ton-token</v>
      </c>
      <c r="B13903" s="2" t="str">
        <f ca="1">IFERROR(__xludf.DUMMYFUNCTION("""COMPUTED_VALUE"""),"web3")</f>
        <v>web3</v>
      </c>
      <c r="C13903" s="2" t="str">
        <f ca="1">IFERROR(__xludf.DUMMYFUNCTION("""COMPUTED_VALUE"""),"Web3 TON Token")</f>
        <v>Web3 TON Token</v>
      </c>
    </row>
    <row r="13904" spans="1:3" x14ac:dyDescent="0.25">
      <c r="A13904" s="2" t="str">
        <f ca="1">IFERROR(__xludf.DUMMYFUNCTION("""COMPUTED_VALUE"""),"web3war")</f>
        <v>web3war</v>
      </c>
      <c r="B13904" s="2" t="str">
        <f ca="1">IFERROR(__xludf.DUMMYFUNCTION("""COMPUTED_VALUE"""),"fps")</f>
        <v>fps</v>
      </c>
      <c r="C13904" s="2" t="str">
        <f ca="1">IFERROR(__xludf.DUMMYFUNCTION("""COMPUTED_VALUE"""),"web3war")</f>
        <v>web3war</v>
      </c>
    </row>
    <row r="13905" spans="1:3" x14ac:dyDescent="0.25">
      <c r="A13905" s="2" t="str">
        <f ca="1">IFERROR(__xludf.DUMMYFUNCTION("""COMPUTED_VALUE"""),"web3-world")</f>
        <v>web3-world</v>
      </c>
      <c r="B13905" s="2" t="str">
        <f ca="1">IFERROR(__xludf.DUMMYFUNCTION("""COMPUTED_VALUE"""),"w3w")</f>
        <v>w3w</v>
      </c>
      <c r="C13905" s="2" t="str">
        <f ca="1">IFERROR(__xludf.DUMMYFUNCTION("""COMPUTED_VALUE"""),"Web3.World")</f>
        <v>Web3.World</v>
      </c>
    </row>
    <row r="13906" spans="1:3" x14ac:dyDescent="0.25">
      <c r="A13906" s="2" t="str">
        <f ca="1">IFERROR(__xludf.DUMMYFUNCTION("""COMPUTED_VALUE"""),"web4-ai")</f>
        <v>web4-ai</v>
      </c>
      <c r="B13906" s="2" t="str">
        <f ca="1">IFERROR(__xludf.DUMMYFUNCTION("""COMPUTED_VALUE"""),"web4")</f>
        <v>web4</v>
      </c>
      <c r="C13906" s="2" t="str">
        <f ca="1">IFERROR(__xludf.DUMMYFUNCTION("""COMPUTED_VALUE"""),"WEB4 AI")</f>
        <v>WEB4 AI</v>
      </c>
    </row>
    <row r="13907" spans="1:3" x14ac:dyDescent="0.25">
      <c r="A13907" s="2" t="str">
        <f ca="1">IFERROR(__xludf.DUMMYFUNCTION("""COMPUTED_VALUE"""),"webcash")</f>
        <v>webcash</v>
      </c>
      <c r="B13907" s="2" t="str">
        <f ca="1">IFERROR(__xludf.DUMMYFUNCTION("""COMPUTED_VALUE"""),"web")</f>
        <v>web</v>
      </c>
      <c r="C13907" s="2" t="str">
        <f ca="1">IFERROR(__xludf.DUMMYFUNCTION("""COMPUTED_VALUE"""),"Webcash")</f>
        <v>Webcash</v>
      </c>
    </row>
    <row r="13908" spans="1:3" x14ac:dyDescent="0.25">
      <c r="A13908" s="2" t="str">
        <f ca="1">IFERROR(__xludf.DUMMYFUNCTION("""COMPUTED_VALUE"""),"webchain")</f>
        <v>webchain</v>
      </c>
      <c r="B13908" s="2" t="str">
        <f ca="1">IFERROR(__xludf.DUMMYFUNCTION("""COMPUTED_VALUE"""),"mintme")</f>
        <v>mintme</v>
      </c>
      <c r="C13908" s="2" t="str">
        <f ca="1">IFERROR(__xludf.DUMMYFUNCTION("""COMPUTED_VALUE"""),"MintMe.com Coin")</f>
        <v>MintMe.com Coin</v>
      </c>
    </row>
    <row r="13909" spans="1:3" x14ac:dyDescent="0.25">
      <c r="A13909" s="2" t="str">
        <f ca="1">IFERROR(__xludf.DUMMYFUNCTION("""COMPUTED_VALUE"""),"web-four")</f>
        <v>web-four</v>
      </c>
      <c r="B13909" s="2" t="str">
        <f ca="1">IFERROR(__xludf.DUMMYFUNCTION("""COMPUTED_VALUE"""),"webfour")</f>
        <v>webfour</v>
      </c>
      <c r="C13909" s="2" t="str">
        <f ca="1">IFERROR(__xludf.DUMMYFUNCTION("""COMPUTED_VALUE"""),"WEBFOUR")</f>
        <v>WEBFOUR</v>
      </c>
    </row>
    <row r="13910" spans="1:3" x14ac:dyDescent="0.25">
      <c r="A13910" s="2" t="str">
        <f ca="1">IFERROR(__xludf.DUMMYFUNCTION("""COMPUTED_VALUE"""),"weble-ecosystem-token")</f>
        <v>weble-ecosystem-token</v>
      </c>
      <c r="B13910" s="2" t="str">
        <f ca="1">IFERROR(__xludf.DUMMYFUNCTION("""COMPUTED_VALUE"""),"wet")</f>
        <v>wet</v>
      </c>
      <c r="C13910" s="2" t="str">
        <f ca="1">IFERROR(__xludf.DUMMYFUNCTION("""COMPUTED_VALUE"""),"Weble Ecosystem")</f>
        <v>Weble Ecosystem</v>
      </c>
    </row>
    <row r="13911" spans="1:3" x14ac:dyDescent="0.25">
      <c r="A13911" s="2" t="str">
        <f ca="1">IFERROR(__xludf.DUMMYFUNCTION("""COMPUTED_VALUE"""),"webmind-network")</f>
        <v>webmind-network</v>
      </c>
      <c r="B13911" s="2" t="str">
        <f ca="1">IFERROR(__xludf.DUMMYFUNCTION("""COMPUTED_VALUE"""),"wmn")</f>
        <v>wmn</v>
      </c>
      <c r="C13911" s="2" t="str">
        <f ca="1">IFERROR(__xludf.DUMMYFUNCTION("""COMPUTED_VALUE"""),"WebMind Network")</f>
        <v>WebMind Network</v>
      </c>
    </row>
    <row r="13912" spans="1:3" x14ac:dyDescent="0.25">
      <c r="A13912" s="2" t="str">
        <f ca="1">IFERROR(__xludf.DUMMYFUNCTION("""COMPUTED_VALUE"""),"websea")</f>
        <v>websea</v>
      </c>
      <c r="B13912" s="2" t="str">
        <f ca="1">IFERROR(__xludf.DUMMYFUNCTION("""COMPUTED_VALUE"""),"wbs")</f>
        <v>wbs</v>
      </c>
      <c r="C13912" s="2" t="str">
        <f ca="1">IFERROR(__xludf.DUMMYFUNCTION("""COMPUTED_VALUE"""),"Websea")</f>
        <v>Websea</v>
      </c>
    </row>
    <row r="13913" spans="1:3" x14ac:dyDescent="0.25">
      <c r="A13913" s="2" t="str">
        <f ca="1">IFERROR(__xludf.DUMMYFUNCTION("""COMPUTED_VALUE"""),"website-ai")</f>
        <v>website-ai</v>
      </c>
      <c r="B13913" s="2" t="str">
        <f ca="1">IFERROR(__xludf.DUMMYFUNCTION("""COMPUTED_VALUE"""),"webai")</f>
        <v>webai</v>
      </c>
      <c r="C13913" s="2" t="str">
        <f ca="1">IFERROR(__xludf.DUMMYFUNCTION("""COMPUTED_VALUE"""),"Website AI")</f>
        <v>Website AI</v>
      </c>
    </row>
    <row r="13914" spans="1:3" x14ac:dyDescent="0.25">
      <c r="A13914" s="2" t="str">
        <f ca="1">IFERROR(__xludf.DUMMYFUNCTION("""COMPUTED_VALUE"""),"webuy")</f>
        <v>webuy</v>
      </c>
      <c r="B13914" s="2" t="str">
        <f ca="1">IFERROR(__xludf.DUMMYFUNCTION("""COMPUTED_VALUE"""),"we")</f>
        <v>we</v>
      </c>
      <c r="C13914" s="2" t="str">
        <f ca="1">IFERROR(__xludf.DUMMYFUNCTION("""COMPUTED_VALUE"""),"WeBuy")</f>
        <v>WeBuy</v>
      </c>
    </row>
    <row r="13915" spans="1:3" x14ac:dyDescent="0.25">
      <c r="A13915" s="2" t="str">
        <f ca="1">IFERROR(__xludf.DUMMYFUNCTION("""COMPUTED_VALUE"""),"wecan")</f>
        <v>wecan</v>
      </c>
      <c r="B13915" s="2" t="str">
        <f ca="1">IFERROR(__xludf.DUMMYFUNCTION("""COMPUTED_VALUE"""),"wecan")</f>
        <v>wecan</v>
      </c>
      <c r="C13915" s="2" t="str">
        <f ca="1">IFERROR(__xludf.DUMMYFUNCTION("""COMPUTED_VALUE"""),"Wecan")</f>
        <v>Wecan</v>
      </c>
    </row>
    <row r="13916" spans="1:3" x14ac:dyDescent="0.25">
      <c r="A13916" s="2" t="str">
        <f ca="1">IFERROR(__xludf.DUMMYFUNCTION("""COMPUTED_VALUE"""),"wecashcoin")</f>
        <v>wecashcoin</v>
      </c>
      <c r="B13916" s="2" t="str">
        <f ca="1">IFERROR(__xludf.DUMMYFUNCTION("""COMPUTED_VALUE"""),"wch")</f>
        <v>wch</v>
      </c>
      <c r="C13916" s="2" t="str">
        <f ca="1">IFERROR(__xludf.DUMMYFUNCTION("""COMPUTED_VALUE"""),"WeCash")</f>
        <v>WeCash</v>
      </c>
    </row>
    <row r="13917" spans="1:3" x14ac:dyDescent="0.25">
      <c r="A13917" s="2" t="str">
        <f ca="1">IFERROR(__xludf.DUMMYFUNCTION("""COMPUTED_VALUE"""),"wecoin")</f>
        <v>wecoin</v>
      </c>
      <c r="B13917" s="2" t="str">
        <f ca="1">IFERROR(__xludf.DUMMYFUNCTION("""COMPUTED_VALUE"""),"weco")</f>
        <v>weco</v>
      </c>
      <c r="C13917" s="2" t="str">
        <f ca="1">IFERROR(__xludf.DUMMYFUNCTION("""COMPUTED_VALUE"""),"WECOIN")</f>
        <v>WECOIN</v>
      </c>
    </row>
    <row r="13918" spans="1:3" x14ac:dyDescent="0.25">
      <c r="A13918" s="2" t="str">
        <f ca="1">IFERROR(__xludf.DUMMYFUNCTION("""COMPUTED_VALUE"""),"wecoown")</f>
        <v>wecoown</v>
      </c>
      <c r="B13918" s="2" t="str">
        <f ca="1">IFERROR(__xludf.DUMMYFUNCTION("""COMPUTED_VALUE"""),"wcx")</f>
        <v>wcx</v>
      </c>
      <c r="C13918" s="2" t="str">
        <f ca="1">IFERROR(__xludf.DUMMYFUNCTION("""COMPUTED_VALUE"""),"WeCoOwn")</f>
        <v>WeCoOwn</v>
      </c>
    </row>
    <row r="13919" spans="1:3" x14ac:dyDescent="0.25">
      <c r="A13919" s="2" t="str">
        <f ca="1">IFERROR(__xludf.DUMMYFUNCTION("""COMPUTED_VALUE"""),"weebs")</f>
        <v>weebs</v>
      </c>
      <c r="B13919" s="2" t="str">
        <f ca="1">IFERROR(__xludf.DUMMYFUNCTION("""COMPUTED_VALUE"""),"weebs")</f>
        <v>weebs</v>
      </c>
      <c r="C13919" s="2" t="str">
        <f ca="1">IFERROR(__xludf.DUMMYFUNCTION("""COMPUTED_VALUE"""),"WEEBS")</f>
        <v>WEEBS</v>
      </c>
    </row>
    <row r="13920" spans="1:3" x14ac:dyDescent="0.25">
      <c r="A13920" s="2" t="str">
        <f ca="1">IFERROR(__xludf.DUMMYFUNCTION("""COMPUTED_VALUE"""),"weecoins")</f>
        <v>weecoins</v>
      </c>
      <c r="B13920" s="2" t="str">
        <f ca="1">IFERROR(__xludf.DUMMYFUNCTION("""COMPUTED_VALUE"""),"wcs")</f>
        <v>wcs</v>
      </c>
      <c r="C13920" s="2" t="str">
        <f ca="1">IFERROR(__xludf.DUMMYFUNCTION("""COMPUTED_VALUE"""),"Weecoins")</f>
        <v>Weecoins</v>
      </c>
    </row>
    <row r="13921" spans="1:3" x14ac:dyDescent="0.25">
      <c r="A13921" s="2" t="str">
        <f ca="1">IFERROR(__xludf.DUMMYFUNCTION("""COMPUTED_VALUE"""),"weecoins-premium")</f>
        <v>weecoins-premium</v>
      </c>
      <c r="B13921" s="2" t="str">
        <f ca="1">IFERROR(__xludf.DUMMYFUNCTION("""COMPUTED_VALUE"""),"wcp")</f>
        <v>wcp</v>
      </c>
      <c r="C13921" s="2" t="str">
        <f ca="1">IFERROR(__xludf.DUMMYFUNCTION("""COMPUTED_VALUE"""),"WEECOINS PREMIUM")</f>
        <v>WEECOINS PREMIUM</v>
      </c>
    </row>
    <row r="13922" spans="1:3" x14ac:dyDescent="0.25">
      <c r="A13922" s="2" t="str">
        <f ca="1">IFERROR(__xludf.DUMMYFUNCTION("""COMPUTED_VALUE"""),"weex-token")</f>
        <v>weex-token</v>
      </c>
      <c r="B13922" s="2" t="str">
        <f ca="1">IFERROR(__xludf.DUMMYFUNCTION("""COMPUTED_VALUE"""),"wxt")</f>
        <v>wxt</v>
      </c>
      <c r="C13922" s="2" t="str">
        <f ca="1">IFERROR(__xludf.DUMMYFUNCTION("""COMPUTED_VALUE"""),"WEEX Token")</f>
        <v>WEEX Token</v>
      </c>
    </row>
    <row r="13923" spans="1:3" x14ac:dyDescent="0.25">
      <c r="A13923" s="2" t="str">
        <f ca="1">IFERROR(__xludf.DUMMYFUNCTION("""COMPUTED_VALUE"""),"wefi-finance")</f>
        <v>wefi-finance</v>
      </c>
      <c r="B13923" s="2" t="str">
        <f ca="1">IFERROR(__xludf.DUMMYFUNCTION("""COMPUTED_VALUE"""),"wefi")</f>
        <v>wefi</v>
      </c>
      <c r="C13923" s="2" t="str">
        <f ca="1">IFERROR(__xludf.DUMMYFUNCTION("""COMPUTED_VALUE"""),"Wefi")</f>
        <v>Wefi</v>
      </c>
    </row>
    <row r="13924" spans="1:3" x14ac:dyDescent="0.25">
      <c r="A13924" s="2" t="str">
        <f ca="1">IFERROR(__xludf.DUMMYFUNCTION("""COMPUTED_VALUE"""),"weft-finance")</f>
        <v>weft-finance</v>
      </c>
      <c r="B13924" s="2" t="str">
        <f ca="1">IFERROR(__xludf.DUMMYFUNCTION("""COMPUTED_VALUE"""),"weft")</f>
        <v>weft</v>
      </c>
      <c r="C13924" s="2" t="str">
        <f ca="1">IFERROR(__xludf.DUMMYFUNCTION("""COMPUTED_VALUE"""),"Weft Finance")</f>
        <v>Weft Finance</v>
      </c>
    </row>
    <row r="13925" spans="1:3" x14ac:dyDescent="0.25">
      <c r="A13925" s="2" t="str">
        <f ca="1">IFERROR(__xludf.DUMMYFUNCTION("""COMPUTED_VALUE"""),"wegro")</f>
        <v>wegro</v>
      </c>
      <c r="B13925" s="2" t="str">
        <f ca="1">IFERROR(__xludf.DUMMYFUNCTION("""COMPUTED_VALUE"""),"wegro")</f>
        <v>wegro</v>
      </c>
      <c r="C13925" s="2" t="str">
        <f ca="1">IFERROR(__xludf.DUMMYFUNCTION("""COMPUTED_VALUE"""),"WeGro")</f>
        <v>WeGro</v>
      </c>
    </row>
    <row r="13926" spans="1:3" x14ac:dyDescent="0.25">
      <c r="A13926" s="2" t="str">
        <f ca="1">IFERROR(__xludf.DUMMYFUNCTION("""COMPUTED_VALUE"""),"weirdo")</f>
        <v>weirdo</v>
      </c>
      <c r="B13926" s="2" t="str">
        <f ca="1">IFERROR(__xludf.DUMMYFUNCTION("""COMPUTED_VALUE"""),"weirdo")</f>
        <v>weirdo</v>
      </c>
      <c r="C13926" s="2" t="str">
        <f ca="1">IFERROR(__xludf.DUMMYFUNCTION("""COMPUTED_VALUE"""),"Weirdo [OLD]")</f>
        <v>Weirdo [OLD]</v>
      </c>
    </row>
    <row r="13927" spans="1:3" x14ac:dyDescent="0.25">
      <c r="A13927" s="2" t="str">
        <f ca="1">IFERROR(__xludf.DUMMYFUNCTION("""COMPUTED_VALUE"""),"weirdo-2")</f>
        <v>weirdo-2</v>
      </c>
      <c r="B13927" s="2" t="str">
        <f ca="1">IFERROR(__xludf.DUMMYFUNCTION("""COMPUTED_VALUE"""),"weirdo")</f>
        <v>weirdo</v>
      </c>
      <c r="C13927" s="2" t="str">
        <f ca="1">IFERROR(__xludf.DUMMYFUNCTION("""COMPUTED_VALUE"""),"Weirdo")</f>
        <v>Weirdo</v>
      </c>
    </row>
    <row r="13928" spans="1:3" x14ac:dyDescent="0.25">
      <c r="A13928" s="2" t="str">
        <f ca="1">IFERROR(__xludf.DUMMYFUNCTION("""COMPUTED_VALUE"""),"weld")</f>
        <v>weld</v>
      </c>
      <c r="B13928" s="2" t="str">
        <f ca="1">IFERROR(__xludf.DUMMYFUNCTION("""COMPUTED_VALUE"""),"weld")</f>
        <v>weld</v>
      </c>
      <c r="C13928" s="2" t="str">
        <f ca="1">IFERROR(__xludf.DUMMYFUNCTION("""COMPUTED_VALUE"""),"WELD")</f>
        <v>WELD</v>
      </c>
    </row>
    <row r="13929" spans="1:3" x14ac:dyDescent="0.25">
      <c r="A13929" s="2" t="str">
        <f ca="1">IFERROR(__xludf.DUMMYFUNCTION("""COMPUTED_VALUE"""),"well3")</f>
        <v>well3</v>
      </c>
      <c r="B13929" s="2" t="str">
        <f ca="1">IFERROR(__xludf.DUMMYFUNCTION("""COMPUTED_VALUE"""),"$well")</f>
        <v>$well</v>
      </c>
      <c r="C13929" s="2" t="str">
        <f ca="1">IFERROR(__xludf.DUMMYFUNCTION("""COMPUTED_VALUE"""),"WELL3")</f>
        <v>WELL3</v>
      </c>
    </row>
    <row r="13930" spans="1:3" x14ac:dyDescent="0.25">
      <c r="A13930" s="2" t="str">
        <f ca="1">IFERROR(__xludf.DUMMYFUNCTION("""COMPUTED_VALUE"""),"wellnode")</f>
        <v>wellnode</v>
      </c>
      <c r="B13930" s="2" t="str">
        <f ca="1">IFERROR(__xludf.DUMMYFUNCTION("""COMPUTED_VALUE"""),"wend")</f>
        <v>wend</v>
      </c>
      <c r="C13930" s="2" t="str">
        <f ca="1">IFERROR(__xludf.DUMMYFUNCTION("""COMPUTED_VALUE"""),"Wellnode")</f>
        <v>Wellnode</v>
      </c>
    </row>
    <row r="13931" spans="1:3" x14ac:dyDescent="0.25">
      <c r="A13931" s="2" t="str">
        <f ca="1">IFERROR(__xludf.DUMMYFUNCTION("""COMPUTED_VALUE"""),"welsh-corgi")</f>
        <v>welsh-corgi</v>
      </c>
      <c r="B13931" s="2" t="str">
        <f ca="1">IFERROR(__xludf.DUMMYFUNCTION("""COMPUTED_VALUE"""),"corgi")</f>
        <v>corgi</v>
      </c>
      <c r="C13931" s="2" t="str">
        <f ca="1">IFERROR(__xludf.DUMMYFUNCTION("""COMPUTED_VALUE"""),"Welsh Corgi")</f>
        <v>Welsh Corgi</v>
      </c>
    </row>
    <row r="13932" spans="1:3" x14ac:dyDescent="0.25">
      <c r="A13932" s="2" t="str">
        <f ca="1">IFERROR(__xludf.DUMMYFUNCTION("""COMPUTED_VALUE"""),"welsh-corgi-coin")</f>
        <v>welsh-corgi-coin</v>
      </c>
      <c r="B13932" s="2" t="str">
        <f ca="1">IFERROR(__xludf.DUMMYFUNCTION("""COMPUTED_VALUE"""),"welsh")</f>
        <v>welsh</v>
      </c>
      <c r="C13932" s="2" t="str">
        <f ca="1">IFERROR(__xludf.DUMMYFUNCTION("""COMPUTED_VALUE"""),"Welshcorgicoin")</f>
        <v>Welshcorgicoin</v>
      </c>
    </row>
    <row r="13933" spans="1:3" x14ac:dyDescent="0.25">
      <c r="A13933" s="2" t="str">
        <f ca="1">IFERROR(__xludf.DUMMYFUNCTION("""COMPUTED_VALUE"""),"welups-blockchain")</f>
        <v>welups-blockchain</v>
      </c>
      <c r="B13933" s="2" t="str">
        <f ca="1">IFERROR(__xludf.DUMMYFUNCTION("""COMPUTED_VALUE"""),"welups")</f>
        <v>welups</v>
      </c>
      <c r="C13933" s="2" t="str">
        <f ca="1">IFERROR(__xludf.DUMMYFUNCTION("""COMPUTED_VALUE"""),"Welups Blockchain")</f>
        <v>Welups Blockchain</v>
      </c>
    </row>
    <row r="13934" spans="1:3" x14ac:dyDescent="0.25">
      <c r="A13934" s="2" t="str">
        <f ca="1">IFERROR(__xludf.DUMMYFUNCTION("""COMPUTED_VALUE"""),"wemix-dollar")</f>
        <v>wemix-dollar</v>
      </c>
      <c r="B13934" s="2" t="str">
        <f ca="1">IFERROR(__xludf.DUMMYFUNCTION("""COMPUTED_VALUE"""),"wemix$")</f>
        <v>wemix$</v>
      </c>
      <c r="C13934" s="2" t="str">
        <f ca="1">IFERROR(__xludf.DUMMYFUNCTION("""COMPUTED_VALUE"""),"WEMIX Dollar")</f>
        <v>WEMIX Dollar</v>
      </c>
    </row>
    <row r="13935" spans="1:3" x14ac:dyDescent="0.25">
      <c r="A13935" s="2" t="str">
        <f ca="1">IFERROR(__xludf.DUMMYFUNCTION("""COMPUTED_VALUE"""),"wemix-token")</f>
        <v>wemix-token</v>
      </c>
      <c r="B13935" s="2" t="str">
        <f ca="1">IFERROR(__xludf.DUMMYFUNCTION("""COMPUTED_VALUE"""),"wemix")</f>
        <v>wemix</v>
      </c>
      <c r="C13935" s="2" t="str">
        <f ca="1">IFERROR(__xludf.DUMMYFUNCTION("""COMPUTED_VALUE"""),"WEMIX")</f>
        <v>WEMIX</v>
      </c>
    </row>
    <row r="13936" spans="1:3" x14ac:dyDescent="0.25">
      <c r="A13936" s="2" t="str">
        <f ca="1">IFERROR(__xludf.DUMMYFUNCTION("""COMPUTED_VALUE"""),"wen")</f>
        <v>wen</v>
      </c>
      <c r="B13936" s="2" t="str">
        <f ca="1">IFERROR(__xludf.DUMMYFUNCTION("""COMPUTED_VALUE"""),"$wen")</f>
        <v>$wen</v>
      </c>
      <c r="C13936" s="2" t="str">
        <f ca="1">IFERROR(__xludf.DUMMYFUNCTION("""COMPUTED_VALUE"""),"WEN")</f>
        <v>WEN</v>
      </c>
    </row>
    <row r="13937" spans="1:3" x14ac:dyDescent="0.25">
      <c r="A13937" s="2" t="str">
        <f ca="1">IFERROR(__xludf.DUMMYFUNCTION("""COMPUTED_VALUE"""),"wen-2")</f>
        <v>wen-2</v>
      </c>
      <c r="B13937" s="2" t="str">
        <f ca="1">IFERROR(__xludf.DUMMYFUNCTION("""COMPUTED_VALUE"""),"$wen")</f>
        <v>$wen</v>
      </c>
      <c r="C13937" s="2" t="str">
        <f ca="1">IFERROR(__xludf.DUMMYFUNCTION("""COMPUTED_VALUE"""),"WEN")</f>
        <v>WEN</v>
      </c>
    </row>
    <row r="13938" spans="1:3" x14ac:dyDescent="0.25">
      <c r="A13938" s="2" t="str">
        <f ca="1">IFERROR(__xludf.DUMMYFUNCTION("""COMPUTED_VALUE"""),"wen-3")</f>
        <v>wen-3</v>
      </c>
      <c r="B13938" s="2" t="str">
        <f ca="1">IFERROR(__xludf.DUMMYFUNCTION("""COMPUTED_VALUE"""),"wen")</f>
        <v>wen</v>
      </c>
      <c r="C13938" s="2" t="str">
        <f ca="1">IFERROR(__xludf.DUMMYFUNCTION("""COMPUTED_VALUE"""),"WEN")</f>
        <v>WEN</v>
      </c>
    </row>
    <row r="13939" spans="1:3" x14ac:dyDescent="0.25">
      <c r="A13939" s="2" t="str">
        <f ca="1">IFERROR(__xludf.DUMMYFUNCTION("""COMPUTED_VALUE"""),"wen-4")</f>
        <v>wen-4</v>
      </c>
      <c r="B13939" s="2" t="str">
        <f ca="1">IFERROR(__xludf.DUMMYFUNCTION("""COMPUTED_VALUE"""),"$wen")</f>
        <v>$wen</v>
      </c>
      <c r="C13939" s="2" t="str">
        <f ca="1">IFERROR(__xludf.DUMMYFUNCTION("""COMPUTED_VALUE"""),"Wen")</f>
        <v>Wen</v>
      </c>
    </row>
    <row r="13940" spans="1:3" x14ac:dyDescent="0.25">
      <c r="A13940" s="2" t="str">
        <f ca="1">IFERROR(__xludf.DUMMYFUNCTION("""COMPUTED_VALUE"""),"weniscoin")</f>
        <v>weniscoin</v>
      </c>
      <c r="B13940" s="2" t="str">
        <f ca="1">IFERROR(__xludf.DUMMYFUNCTION("""COMPUTED_VALUE"""),"wenis")</f>
        <v>wenis</v>
      </c>
      <c r="C13940" s="2" t="str">
        <f ca="1">IFERROR(__xludf.DUMMYFUNCTION("""COMPUTED_VALUE"""),"WenisCoin")</f>
        <v>WenisCoin</v>
      </c>
    </row>
    <row r="13941" spans="1:3" x14ac:dyDescent="0.25">
      <c r="A13941" s="2" t="str">
        <f ca="1">IFERROR(__xludf.DUMMYFUNCTION("""COMPUTED_VALUE"""),"wen-token")</f>
        <v>wen-token</v>
      </c>
      <c r="B13941" s="2" t="str">
        <f ca="1">IFERROR(__xludf.DUMMYFUNCTION("""COMPUTED_VALUE"""),"wen")</f>
        <v>wen</v>
      </c>
      <c r="C13941" s="2" t="str">
        <f ca="1">IFERROR(__xludf.DUMMYFUNCTION("""COMPUTED_VALUE"""),"WEN Token")</f>
        <v>WEN Token</v>
      </c>
    </row>
    <row r="13942" spans="1:3" x14ac:dyDescent="0.25">
      <c r="A13942" s="2" t="str">
        <f ca="1">IFERROR(__xludf.DUMMYFUNCTION("""COMPUTED_VALUE"""),"wenwifhat")</f>
        <v>wenwifhat</v>
      </c>
      <c r="B13942" s="2" t="str">
        <f ca="1">IFERROR(__xludf.DUMMYFUNCTION("""COMPUTED_VALUE"""),"why")</f>
        <v>why</v>
      </c>
      <c r="C13942" s="2" t="str">
        <f ca="1">IFERROR(__xludf.DUMMYFUNCTION("""COMPUTED_VALUE"""),"WenWifHat")</f>
        <v>WenWifHat</v>
      </c>
    </row>
    <row r="13943" spans="1:3" x14ac:dyDescent="0.25">
      <c r="A13943" s="2" t="str">
        <f ca="1">IFERROR(__xludf.DUMMYFUNCTION("""COMPUTED_VALUE"""),"wepower")</f>
        <v>wepower</v>
      </c>
      <c r="B13943" s="2" t="str">
        <f ca="1">IFERROR(__xludf.DUMMYFUNCTION("""COMPUTED_VALUE"""),"wpr")</f>
        <v>wpr</v>
      </c>
      <c r="C13943" s="2" t="str">
        <f ca="1">IFERROR(__xludf.DUMMYFUNCTION("""COMPUTED_VALUE"""),"WePower")</f>
        <v>WePower</v>
      </c>
    </row>
    <row r="13944" spans="1:3" x14ac:dyDescent="0.25">
      <c r="A13944" s="2" t="str">
        <f ca="1">IFERROR(__xludf.DUMMYFUNCTION("""COMPUTED_VALUE"""),"we-re-so-back")</f>
        <v>we-re-so-back</v>
      </c>
      <c r="B13944" s="2" t="str">
        <f ca="1">IFERROR(__xludf.DUMMYFUNCTION("""COMPUTED_VALUE"""),"back")</f>
        <v>back</v>
      </c>
      <c r="C13944" s="2" t="str">
        <f ca="1">IFERROR(__xludf.DUMMYFUNCTION("""COMPUTED_VALUE"""),"We're so back")</f>
        <v>We're so back</v>
      </c>
    </row>
    <row r="13945" spans="1:3" x14ac:dyDescent="0.25">
      <c r="A13945" s="2" t="str">
        <f ca="1">IFERROR(__xludf.DUMMYFUNCTION("""COMPUTED_VALUE"""),"wesendit")</f>
        <v>wesendit</v>
      </c>
      <c r="B13945" s="2" t="str">
        <f ca="1">IFERROR(__xludf.DUMMYFUNCTION("""COMPUTED_VALUE"""),"wsi")</f>
        <v>wsi</v>
      </c>
      <c r="C13945" s="2" t="str">
        <f ca="1">IFERROR(__xludf.DUMMYFUNCTION("""COMPUTED_VALUE"""),"WeSendit")</f>
        <v>WeSendit</v>
      </c>
    </row>
    <row r="13946" spans="1:3" x14ac:dyDescent="0.25">
      <c r="A13946" s="2" t="str">
        <f ca="1">IFERROR(__xludf.DUMMYFUNCTION("""COMPUTED_VALUE"""),"westarter")</f>
        <v>westarter</v>
      </c>
      <c r="B13946" s="2" t="str">
        <f ca="1">IFERROR(__xludf.DUMMYFUNCTION("""COMPUTED_VALUE"""),"war")</f>
        <v>war</v>
      </c>
      <c r="C13946" s="2" t="str">
        <f ca="1">IFERROR(__xludf.DUMMYFUNCTION("""COMPUTED_VALUE"""),"WeStarter")</f>
        <v>WeStarter</v>
      </c>
    </row>
    <row r="13947" spans="1:3" x14ac:dyDescent="0.25">
      <c r="A13947" s="2" t="str">
        <f ca="1">IFERROR(__xludf.DUMMYFUNCTION("""COMPUTED_VALUE"""),"wetc-hebeswap")</f>
        <v>wetc-hebeswap</v>
      </c>
      <c r="B13947" s="2" t="str">
        <f ca="1">IFERROR(__xludf.DUMMYFUNCTION("""COMPUTED_VALUE"""),"wetc")</f>
        <v>wetc</v>
      </c>
      <c r="C13947" s="2" t="str">
        <f ca="1">IFERROR(__xludf.DUMMYFUNCTION("""COMPUTED_VALUE"""),"Wrapped ETC")</f>
        <v>Wrapped ETC</v>
      </c>
    </row>
    <row r="13948" spans="1:3" x14ac:dyDescent="0.25">
      <c r="A13948" s="2" t="str">
        <f ca="1">IFERROR(__xludf.DUMMYFUNCTION("""COMPUTED_VALUE"""),"weth")</f>
        <v>weth</v>
      </c>
      <c r="B13948" s="2" t="str">
        <f ca="1">IFERROR(__xludf.DUMMYFUNCTION("""COMPUTED_VALUE"""),"weth")</f>
        <v>weth</v>
      </c>
      <c r="C13948" s="2" t="str">
        <f ca="1">IFERROR(__xludf.DUMMYFUNCTION("""COMPUTED_VALUE"""),"WETH")</f>
        <v>WETH</v>
      </c>
    </row>
    <row r="13949" spans="1:3" x14ac:dyDescent="0.25">
      <c r="A13949" s="2" t="str">
        <f ca="1">IFERROR(__xludf.DUMMYFUNCTION("""COMPUTED_VALUE"""),"wethio-space")</f>
        <v>wethio-space</v>
      </c>
      <c r="B13949" s="2" t="str">
        <f ca="1">IFERROR(__xludf.DUMMYFUNCTION("""COMPUTED_VALUE"""),"wesp")</f>
        <v>wesp</v>
      </c>
      <c r="C13949" s="2" t="str">
        <f ca="1">IFERROR(__xludf.DUMMYFUNCTION("""COMPUTED_VALUE"""),"Wethio Space")</f>
        <v>Wethio Space</v>
      </c>
    </row>
    <row r="13950" spans="1:3" x14ac:dyDescent="0.25">
      <c r="A13950" s="2" t="str">
        <f ca="1">IFERROR(__xludf.DUMMYFUNCTION("""COMPUTED_VALUE"""),"weth-plenty-bridge-65aa5342-507c-4f67-8634-1f4376ffdf9a")</f>
        <v>weth-plenty-bridge-65aa5342-507c-4f67-8634-1f4376ffdf9a</v>
      </c>
      <c r="B13950" s="2" t="str">
        <f ca="1">IFERROR(__xludf.DUMMYFUNCTION("""COMPUTED_VALUE"""),"weth.e")</f>
        <v>weth.e</v>
      </c>
      <c r="C13950" s="2" t="str">
        <f ca="1">IFERROR(__xludf.DUMMYFUNCTION("""COMPUTED_VALUE"""),"WETH (Plenty Bridge)")</f>
        <v>WETH (Plenty Bridge)</v>
      </c>
    </row>
    <row r="13951" spans="1:3" x14ac:dyDescent="0.25">
      <c r="A13951" s="2" t="str">
        <f ca="1">IFERROR(__xludf.DUMMYFUNCTION("""COMPUTED_VALUE"""),"weth-yvault")</f>
        <v>weth-yvault</v>
      </c>
      <c r="B13951" s="2" t="str">
        <f ca="1">IFERROR(__xludf.DUMMYFUNCTION("""COMPUTED_VALUE"""),"yvweth")</f>
        <v>yvweth</v>
      </c>
      <c r="C13951" s="2" t="str">
        <f ca="1">IFERROR(__xludf.DUMMYFUNCTION("""COMPUTED_VALUE"""),"WETH yVault")</f>
        <v>WETH yVault</v>
      </c>
    </row>
    <row r="13952" spans="1:3" x14ac:dyDescent="0.25">
      <c r="A13952" s="2" t="str">
        <f ca="1">IFERROR(__xludf.DUMMYFUNCTION("""COMPUTED_VALUE"""),"weway")</f>
        <v>weway</v>
      </c>
      <c r="B13952" s="2" t="str">
        <f ca="1">IFERROR(__xludf.DUMMYFUNCTION("""COMPUTED_VALUE"""),"wwy")</f>
        <v>wwy</v>
      </c>
      <c r="C13952" s="2" t="str">
        <f ca="1">IFERROR(__xludf.DUMMYFUNCTION("""COMPUTED_VALUE"""),"WeWay")</f>
        <v>WeWay</v>
      </c>
    </row>
    <row r="13953" spans="1:3" x14ac:dyDescent="0.25">
      <c r="A13953" s="2" t="str">
        <f ca="1">IFERROR(__xludf.DUMMYFUNCTION("""COMPUTED_VALUE"""),"wewillrugyou")</f>
        <v>wewillrugyou</v>
      </c>
      <c r="B13953" s="2" t="str">
        <f ca="1">IFERROR(__xludf.DUMMYFUNCTION("""COMPUTED_VALUE"""),"wwry")</f>
        <v>wwry</v>
      </c>
      <c r="C13953" s="2" t="str">
        <f ca="1">IFERROR(__xludf.DUMMYFUNCTION("""COMPUTED_VALUE"""),"WeWillRugYou")</f>
        <v>WeWillRugYou</v>
      </c>
    </row>
    <row r="13954" spans="1:3" x14ac:dyDescent="0.25">
      <c r="A13954" s="2" t="str">
        <f ca="1">IFERROR(__xludf.DUMMYFUNCTION("""COMPUTED_VALUE"""),"wexo")</f>
        <v>wexo</v>
      </c>
      <c r="B13954" s="2" t="str">
        <f ca="1">IFERROR(__xludf.DUMMYFUNCTION("""COMPUTED_VALUE"""),"wexo")</f>
        <v>wexo</v>
      </c>
      <c r="C13954" s="2" t="str">
        <f ca="1">IFERROR(__xludf.DUMMYFUNCTION("""COMPUTED_VALUE"""),"Wexo")</f>
        <v>Wexo</v>
      </c>
    </row>
    <row r="13955" spans="1:3" x14ac:dyDescent="0.25">
      <c r="A13955" s="2" t="str">
        <f ca="1">IFERROR(__xludf.DUMMYFUNCTION("""COMPUTED_VALUE"""),"wfca")</f>
        <v>wfca</v>
      </c>
      <c r="B13955" s="2" t="str">
        <f ca="1">IFERROR(__xludf.DUMMYFUNCTION("""COMPUTED_VALUE"""),"wfca")</f>
        <v>wfca</v>
      </c>
      <c r="C13955" s="2" t="str">
        <f ca="1">IFERROR(__xludf.DUMMYFUNCTION("""COMPUTED_VALUE"""),"World Friendship Cash")</f>
        <v>World Friendship Cash</v>
      </c>
    </row>
    <row r="13956" spans="1:3" x14ac:dyDescent="0.25">
      <c r="A13956" s="2" t="str">
        <f ca="1">IFERROR(__xludf.DUMMYFUNCTION("""COMPUTED_VALUE"""),"wfdp")</f>
        <v>wfdp</v>
      </c>
      <c r="B13956" s="2" t="str">
        <f ca="1">IFERROR(__xludf.DUMMYFUNCTION("""COMPUTED_VALUE"""),"wfdp")</f>
        <v>wfdp</v>
      </c>
      <c r="C13956" s="2" t="str">
        <f ca="1">IFERROR(__xludf.DUMMYFUNCTION("""COMPUTED_VALUE"""),"WFDP")</f>
        <v>WFDP</v>
      </c>
    </row>
    <row r="13957" spans="1:3" x14ac:dyDescent="0.25">
      <c r="A13957" s="2" t="str">
        <f ca="1">IFERROR(__xludf.DUMMYFUNCTION("""COMPUTED_VALUE"""),"whale")</f>
        <v>whale</v>
      </c>
      <c r="B13957" s="2" t="str">
        <f ca="1">IFERROR(__xludf.DUMMYFUNCTION("""COMPUTED_VALUE"""),"whale")</f>
        <v>whale</v>
      </c>
      <c r="C13957" s="2" t="str">
        <f ca="1">IFERROR(__xludf.DUMMYFUNCTION("""COMPUTED_VALUE"""),"WHALE")</f>
        <v>WHALE</v>
      </c>
    </row>
    <row r="13958" spans="1:3" x14ac:dyDescent="0.25">
      <c r="A13958" s="2" t="str">
        <f ca="1">IFERROR(__xludf.DUMMYFUNCTION("""COMPUTED_VALUE"""),"whalebert")</f>
        <v>whalebert</v>
      </c>
      <c r="B13958" s="2" t="str">
        <f ca="1">IFERROR(__xludf.DUMMYFUNCTION("""COMPUTED_VALUE"""),"whale")</f>
        <v>whale</v>
      </c>
      <c r="C13958" s="2" t="str">
        <f ca="1">IFERROR(__xludf.DUMMYFUNCTION("""COMPUTED_VALUE"""),"Whalebert")</f>
        <v>Whalebert</v>
      </c>
    </row>
    <row r="13959" spans="1:3" x14ac:dyDescent="0.25">
      <c r="A13959" s="2" t="str">
        <f ca="1">IFERROR(__xludf.DUMMYFUNCTION("""COMPUTED_VALUE"""),"whaleroom")</f>
        <v>whaleroom</v>
      </c>
      <c r="B13959" s="2" t="str">
        <f ca="1">IFERROR(__xludf.DUMMYFUNCTION("""COMPUTED_VALUE"""),"whl")</f>
        <v>whl</v>
      </c>
      <c r="C13959" s="2" t="str">
        <f ca="1">IFERROR(__xludf.DUMMYFUNCTION("""COMPUTED_VALUE"""),"WhaleRoom")</f>
        <v>WhaleRoom</v>
      </c>
    </row>
    <row r="13960" spans="1:3" x14ac:dyDescent="0.25">
      <c r="A13960" s="2" t="str">
        <f ca="1">IFERROR(__xludf.DUMMYFUNCTION("""COMPUTED_VALUE"""),"whales-club")</f>
        <v>whales-club</v>
      </c>
      <c r="B13960" s="2" t="str">
        <f ca="1">IFERROR(__xludf.DUMMYFUNCTION("""COMPUTED_VALUE"""),"whc")</f>
        <v>whc</v>
      </c>
      <c r="C13960" s="2" t="str">
        <f ca="1">IFERROR(__xludf.DUMMYFUNCTION("""COMPUTED_VALUE"""),"Whales Club")</f>
        <v>Whales Club</v>
      </c>
    </row>
    <row r="13961" spans="1:3" x14ac:dyDescent="0.25">
      <c r="A13961" s="2" t="str">
        <f ca="1">IFERROR(__xludf.DUMMYFUNCTION("""COMPUTED_VALUE"""),"whales-market")</f>
        <v>whales-market</v>
      </c>
      <c r="B13961" s="2" t="str">
        <f ca="1">IFERROR(__xludf.DUMMYFUNCTION("""COMPUTED_VALUE"""),"whales")</f>
        <v>whales</v>
      </c>
      <c r="C13961" s="2" t="str">
        <f ca="1">IFERROR(__xludf.DUMMYFUNCTION("""COMPUTED_VALUE"""),"Whales Market")</f>
        <v>Whales Market</v>
      </c>
    </row>
    <row r="13962" spans="1:3" x14ac:dyDescent="0.25">
      <c r="A13962" s="2" t="str">
        <f ca="1">IFERROR(__xludf.DUMMYFUNCTION("""COMPUTED_VALUE"""),"what-do-you-meme")</f>
        <v>what-do-you-meme</v>
      </c>
      <c r="B13962" s="2" t="str">
        <f ca="1">IFERROR(__xludf.DUMMYFUNCTION("""COMPUTED_VALUE"""),"w3w")</f>
        <v>w3w</v>
      </c>
      <c r="C13962" s="2" t="str">
        <f ca="1">IFERROR(__xludf.DUMMYFUNCTION("""COMPUTED_VALUE"""),"Web3 Whales")</f>
        <v>Web3 Whales</v>
      </c>
    </row>
    <row r="13963" spans="1:3" x14ac:dyDescent="0.25">
      <c r="A13963" s="2" t="str">
        <f ca="1">IFERROR(__xludf.DUMMYFUNCTION("""COMPUTED_VALUE"""),"what-in-tarnation")</f>
        <v>what-in-tarnation</v>
      </c>
      <c r="B13963" s="2" t="str">
        <f ca="1">IFERROR(__xludf.DUMMYFUNCTION("""COMPUTED_VALUE"""),"wit")</f>
        <v>wit</v>
      </c>
      <c r="C13963" s="2" t="str">
        <f ca="1">IFERROR(__xludf.DUMMYFUNCTION("""COMPUTED_VALUE"""),"What in Tarnation?")</f>
        <v>What in Tarnation?</v>
      </c>
    </row>
    <row r="13964" spans="1:3" x14ac:dyDescent="0.25">
      <c r="A13964" s="2" t="str">
        <f ca="1">IFERROR(__xludf.DUMMYFUNCTION("""COMPUTED_VALUE"""),"what-s-updog")</f>
        <v>what-s-updog</v>
      </c>
      <c r="B13964" s="2" t="str">
        <f ca="1">IFERROR(__xludf.DUMMYFUNCTION("""COMPUTED_VALUE"""),"$updog")</f>
        <v>$updog</v>
      </c>
      <c r="C13964" s="2" t="str">
        <f ca="1">IFERROR(__xludf.DUMMYFUNCTION("""COMPUTED_VALUE"""),"What’s Updog?")</f>
        <v>What’s Updog?</v>
      </c>
    </row>
    <row r="13965" spans="1:3" x14ac:dyDescent="0.25">
      <c r="A13965" s="2" t="str">
        <f ca="1">IFERROR(__xludf.DUMMYFUNCTION("""COMPUTED_VALUE"""),"what-the")</f>
        <v>what-the</v>
      </c>
      <c r="B13965" s="2" t="str">
        <f ca="1">IFERROR(__xludf.DUMMYFUNCTION("""COMPUTED_VALUE"""),"wtf")</f>
        <v>wtf</v>
      </c>
      <c r="C13965" s="2" t="str">
        <f ca="1">IFERROR(__xludf.DUMMYFUNCTION("""COMPUTED_VALUE"""),"What The")</f>
        <v>What The</v>
      </c>
    </row>
    <row r="13966" spans="1:3" x14ac:dyDescent="0.25">
      <c r="A13966" s="2" t="str">
        <f ca="1">IFERROR(__xludf.DUMMYFUNCTION("""COMPUTED_VALUE"""),"what-the-base")</f>
        <v>what-the-base</v>
      </c>
      <c r="B13966" s="2" t="str">
        <f ca="1">IFERROR(__xludf.DUMMYFUNCTION("""COMPUTED_VALUE"""),"wtb")</f>
        <v>wtb</v>
      </c>
      <c r="C13966" s="2" t="str">
        <f ca="1">IFERROR(__xludf.DUMMYFUNCTION("""COMPUTED_VALUE"""),"WHAT THE BASE")</f>
        <v>WHAT THE BASE</v>
      </c>
    </row>
    <row r="13967" spans="1:3" x14ac:dyDescent="0.25">
      <c r="A13967" s="2" t="str">
        <f ca="1">IFERROR(__xludf.DUMMYFUNCTION("""COMPUTED_VALUE"""),"what-the-duck")</f>
        <v>what-the-duck</v>
      </c>
      <c r="B13967" s="2" t="str">
        <f ca="1">IFERROR(__xludf.DUMMYFUNCTION("""COMPUTED_VALUE"""),"what")</f>
        <v>what</v>
      </c>
      <c r="C13967" s="2" t="str">
        <f ca="1">IFERROR(__xludf.DUMMYFUNCTION("""COMPUTED_VALUE"""),"What the Duck")</f>
        <v>What the Duck</v>
      </c>
    </row>
    <row r="13968" spans="1:3" x14ac:dyDescent="0.25">
      <c r="A13968" s="2" t="str">
        <f ca="1">IFERROR(__xludf.DUMMYFUNCTION("""COMPUTED_VALUE"""),"what-the-fruck-runes")</f>
        <v>what-the-fruck-runes</v>
      </c>
      <c r="B13968" s="2" t="str">
        <f ca="1">IFERROR(__xludf.DUMMYFUNCTION("""COMPUTED_VALUE"""),"wtf")</f>
        <v>wtf</v>
      </c>
      <c r="C13968" s="2" t="str">
        <f ca="1">IFERROR(__xludf.DUMMYFUNCTION("""COMPUTED_VALUE"""),"WHAT•THE•FRUCK (Runes)")</f>
        <v>WHAT•THE•FRUCK (Runes)</v>
      </c>
    </row>
    <row r="13969" spans="1:3" x14ac:dyDescent="0.25">
      <c r="A13969" s="2" t="str">
        <f ca="1">IFERROR(__xludf.DUMMYFUNCTION("""COMPUTED_VALUE"""),"when")</f>
        <v>when</v>
      </c>
      <c r="B13969" s="2" t="str">
        <f ca="1">IFERROR(__xludf.DUMMYFUNCTION("""COMPUTED_VALUE"""),"when")</f>
        <v>when</v>
      </c>
      <c r="C13969" s="2" t="str">
        <f ca="1">IFERROR(__xludf.DUMMYFUNCTION("""COMPUTED_VALUE"""),"when")</f>
        <v>when</v>
      </c>
    </row>
    <row r="13970" spans="1:3" x14ac:dyDescent="0.25">
      <c r="A13970" s="2" t="str">
        <f ca="1">IFERROR(__xludf.DUMMYFUNCTION("""COMPUTED_VALUE"""),"where-did-the-eth-go-pulsechain")</f>
        <v>where-did-the-eth-go-pulsechain</v>
      </c>
      <c r="B13970" s="2" t="str">
        <f ca="1">IFERROR(__xludf.DUMMYFUNCTION("""COMPUTED_VALUE"""),"wheth")</f>
        <v>wheth</v>
      </c>
      <c r="C13970" s="2" t="str">
        <f ca="1">IFERROR(__xludf.DUMMYFUNCTION("""COMPUTED_VALUE"""),"Where Did The ETH Go? (Pulsechain)")</f>
        <v>Where Did The ETH Go? (Pulsechain)</v>
      </c>
    </row>
    <row r="13971" spans="1:3" x14ac:dyDescent="0.25">
      <c r="A13971" s="2" t="str">
        <f ca="1">IFERROR(__xludf.DUMMYFUNCTION("""COMPUTED_VALUE"""),"whey-token")</f>
        <v>whey-token</v>
      </c>
      <c r="B13971" s="2" t="str">
        <f ca="1">IFERROR(__xludf.DUMMYFUNCTION("""COMPUTED_VALUE"""),"whey")</f>
        <v>whey</v>
      </c>
      <c r="C13971" s="2" t="str">
        <f ca="1">IFERROR(__xludf.DUMMYFUNCTION("""COMPUTED_VALUE"""),"Shredded Apes Whey")</f>
        <v>Shredded Apes Whey</v>
      </c>
    </row>
    <row r="13972" spans="1:3" x14ac:dyDescent="0.25">
      <c r="A13972" s="2" t="str">
        <f ca="1">IFERROR(__xludf.DUMMYFUNCTION("""COMPUTED_VALUE"""),"whine-coin")</f>
        <v>whine-coin</v>
      </c>
      <c r="B13972" s="2" t="str">
        <f ca="1">IFERROR(__xludf.DUMMYFUNCTION("""COMPUTED_VALUE"""),"whine")</f>
        <v>whine</v>
      </c>
      <c r="C13972" s="2" t="str">
        <f ca="1">IFERROR(__xludf.DUMMYFUNCTION("""COMPUTED_VALUE"""),"Whine Coin")</f>
        <v>Whine Coin</v>
      </c>
    </row>
    <row r="13973" spans="1:3" x14ac:dyDescent="0.25">
      <c r="A13973" s="2" t="str">
        <f ca="1">IFERROR(__xludf.DUMMYFUNCTION("""COMPUTED_VALUE"""),"whirl-privacy")</f>
        <v>whirl-privacy</v>
      </c>
      <c r="B13973" s="2" t="str">
        <f ca="1">IFERROR(__xludf.DUMMYFUNCTION("""COMPUTED_VALUE"""),"whirl")</f>
        <v>whirl</v>
      </c>
      <c r="C13973" s="2" t="str">
        <f ca="1">IFERROR(__xludf.DUMMYFUNCTION("""COMPUTED_VALUE"""),"Whirl")</f>
        <v>Whirl</v>
      </c>
    </row>
    <row r="13974" spans="1:3" x14ac:dyDescent="0.25">
      <c r="A13974" s="2" t="str">
        <f ca="1">IFERROR(__xludf.DUMMYFUNCTION("""COMPUTED_VALUE"""),"whiskers")</f>
        <v>whiskers</v>
      </c>
      <c r="B13974" s="2" t="str">
        <f ca="1">IFERROR(__xludf.DUMMYFUNCTION("""COMPUTED_VALUE"""),"whisk")</f>
        <v>whisk</v>
      </c>
      <c r="C13974" s="2" t="str">
        <f ca="1">IFERROR(__xludf.DUMMYFUNCTION("""COMPUTED_VALUE"""),"Whiskers")</f>
        <v>Whiskers</v>
      </c>
    </row>
    <row r="13975" spans="1:3" x14ac:dyDescent="0.25">
      <c r="A13975" s="2" t="str">
        <f ca="1">IFERROR(__xludf.DUMMYFUNCTION("""COMPUTED_VALUE"""),"whiskey")</f>
        <v>whiskey</v>
      </c>
      <c r="B13975" s="2" t="str">
        <f ca="1">IFERROR(__xludf.DUMMYFUNCTION("""COMPUTED_VALUE"""),"whiskey")</f>
        <v>whiskey</v>
      </c>
      <c r="C13975" s="2" t="str">
        <f ca="1">IFERROR(__xludf.DUMMYFUNCTION("""COMPUTED_VALUE"""),"WHISKEY")</f>
        <v>WHISKEY</v>
      </c>
    </row>
    <row r="13976" spans="1:3" x14ac:dyDescent="0.25">
      <c r="A13976" s="2" t="str">
        <f ca="1">IFERROR(__xludf.DUMMYFUNCTION("""COMPUTED_VALUE"""),"whisper")</f>
        <v>whisper</v>
      </c>
      <c r="B13976" s="2" t="str">
        <f ca="1">IFERROR(__xludf.DUMMYFUNCTION("""COMPUTED_VALUE"""),"wisp")</f>
        <v>wisp</v>
      </c>
      <c r="C13976" s="2" t="str">
        <f ca="1">IFERROR(__xludf.DUMMYFUNCTION("""COMPUTED_VALUE"""),"Whisper")</f>
        <v>Whisper</v>
      </c>
    </row>
    <row r="13977" spans="1:3" x14ac:dyDescent="0.25">
      <c r="A13977" s="2" t="str">
        <f ca="1">IFERROR(__xludf.DUMMYFUNCTION("""COMPUTED_VALUE"""),"whispers-of-decay")</f>
        <v>whispers-of-decay</v>
      </c>
      <c r="B13977" s="2" t="str">
        <f ca="1">IFERROR(__xludf.DUMMYFUNCTION("""COMPUTED_VALUE"""),"$dcay")</f>
        <v>$dcay</v>
      </c>
      <c r="C13977" s="2" t="str">
        <f ca="1">IFERROR(__xludf.DUMMYFUNCTION("""COMPUTED_VALUE"""),"Whispers Of Decay")</f>
        <v>Whispers Of Decay</v>
      </c>
    </row>
    <row r="13978" spans="1:3" x14ac:dyDescent="0.25">
      <c r="A13978" s="2" t="str">
        <f ca="1">IFERROR(__xludf.DUMMYFUNCTION("""COMPUTED_VALUE"""),"whitebit")</f>
        <v>whitebit</v>
      </c>
      <c r="B13978" s="2" t="str">
        <f ca="1">IFERROR(__xludf.DUMMYFUNCTION("""COMPUTED_VALUE"""),"wbt")</f>
        <v>wbt</v>
      </c>
      <c r="C13978" s="2" t="str">
        <f ca="1">IFERROR(__xludf.DUMMYFUNCTION("""COMPUTED_VALUE"""),"WhiteBIT Coin")</f>
        <v>WhiteBIT Coin</v>
      </c>
    </row>
    <row r="13979" spans="1:3" x14ac:dyDescent="0.25">
      <c r="A13979" s="2" t="str">
        <f ca="1">IFERROR(__xludf.DUMMYFUNCTION("""COMPUTED_VALUE"""),"white-boy-summer")</f>
        <v>white-boy-summer</v>
      </c>
      <c r="B13979" s="2" t="str">
        <f ca="1">IFERROR(__xludf.DUMMYFUNCTION("""COMPUTED_VALUE"""),"wbs")</f>
        <v>wbs</v>
      </c>
      <c r="C13979" s="2" t="str">
        <f ca="1">IFERROR(__xludf.DUMMYFUNCTION("""COMPUTED_VALUE"""),"White Boy Summer")</f>
        <v>White Boy Summer</v>
      </c>
    </row>
    <row r="13980" spans="1:3" x14ac:dyDescent="0.25">
      <c r="A13980" s="2" t="str">
        <f ca="1">IFERROR(__xludf.DUMMYFUNCTION("""COMPUTED_VALUE"""),"white-coffee-cat")</f>
        <v>white-coffee-cat</v>
      </c>
      <c r="B13980" s="2" t="str">
        <f ca="1">IFERROR(__xludf.DUMMYFUNCTION("""COMPUTED_VALUE"""),"wcc")</f>
        <v>wcc</v>
      </c>
      <c r="C13980" s="2" t="str">
        <f ca="1">IFERROR(__xludf.DUMMYFUNCTION("""COMPUTED_VALUE"""),"White Coffee Cat")</f>
        <v>White Coffee Cat</v>
      </c>
    </row>
    <row r="13981" spans="1:3" x14ac:dyDescent="0.25">
      <c r="A13981" s="2" t="str">
        <f ca="1">IFERROR(__xludf.DUMMYFUNCTION("""COMPUTED_VALUE"""),"whitecoin")</f>
        <v>whitecoin</v>
      </c>
      <c r="B13981" s="2" t="str">
        <f ca="1">IFERROR(__xludf.DUMMYFUNCTION("""COMPUTED_VALUE"""),"xwc")</f>
        <v>xwc</v>
      </c>
      <c r="C13981" s="2" t="str">
        <f ca="1">IFERROR(__xludf.DUMMYFUNCTION("""COMPUTED_VALUE"""),"Whitecoin")</f>
        <v>Whitecoin</v>
      </c>
    </row>
    <row r="13982" spans="1:3" x14ac:dyDescent="0.25">
      <c r="A13982" s="2" t="str">
        <f ca="1">IFERROR(__xludf.DUMMYFUNCTION("""COMPUTED_VALUE"""),"whiteheart")</f>
        <v>whiteheart</v>
      </c>
      <c r="B13982" s="2" t="str">
        <f ca="1">IFERROR(__xludf.DUMMYFUNCTION("""COMPUTED_VALUE"""),"white")</f>
        <v>white</v>
      </c>
      <c r="C13982" s="2" t="str">
        <f ca="1">IFERROR(__xludf.DUMMYFUNCTION("""COMPUTED_VALUE"""),"Whiteheart")</f>
        <v>Whiteheart</v>
      </c>
    </row>
    <row r="13983" spans="1:3" x14ac:dyDescent="0.25">
      <c r="A13983" s="2" t="str">
        <f ca="1">IFERROR(__xludf.DUMMYFUNCTION("""COMPUTED_VALUE"""),"white-lotus")</f>
        <v>white-lotus</v>
      </c>
      <c r="B13983" s="2" t="str">
        <f ca="1">IFERROR(__xludf.DUMMYFUNCTION("""COMPUTED_VALUE"""),"lotus")</f>
        <v>lotus</v>
      </c>
      <c r="C13983" s="2" t="str">
        <f ca="1">IFERROR(__xludf.DUMMYFUNCTION("""COMPUTED_VALUE"""),"White Lotus")</f>
        <v>White Lotus</v>
      </c>
    </row>
    <row r="13984" spans="1:3" x14ac:dyDescent="0.25">
      <c r="A13984" s="2" t="str">
        <f ca="1">IFERROR(__xludf.DUMMYFUNCTION("""COMPUTED_VALUE"""),"white-monster")</f>
        <v>white-monster</v>
      </c>
      <c r="B13984" s="2" t="str">
        <f ca="1">IFERROR(__xludf.DUMMYFUNCTION("""COMPUTED_VALUE"""),"wmster")</f>
        <v>wmster</v>
      </c>
      <c r="C13984" s="2" t="str">
        <f ca="1">IFERROR(__xludf.DUMMYFUNCTION("""COMPUTED_VALUE"""),"White Monster")</f>
        <v>White Monster</v>
      </c>
    </row>
    <row r="13985" spans="1:3" x14ac:dyDescent="0.25">
      <c r="A13985" s="2" t="str">
        <f ca="1">IFERROR(__xludf.DUMMYFUNCTION("""COMPUTED_VALUE"""),"white-whale")</f>
        <v>white-whale</v>
      </c>
      <c r="B13985" s="2" t="str">
        <f ca="1">IFERROR(__xludf.DUMMYFUNCTION("""COMPUTED_VALUE"""),"whale")</f>
        <v>whale</v>
      </c>
      <c r="C13985" s="2" t="str">
        <f ca="1">IFERROR(__xludf.DUMMYFUNCTION("""COMPUTED_VALUE"""),"White Whale")</f>
        <v>White Whale</v>
      </c>
    </row>
    <row r="13986" spans="1:3" x14ac:dyDescent="0.25">
      <c r="A13986" s="2" t="str">
        <f ca="1">IFERROR(__xludf.DUMMYFUNCTION("""COMPUTED_VALUE"""),"white-yorkshire")</f>
        <v>white-yorkshire</v>
      </c>
      <c r="B13986" s="2" t="str">
        <f ca="1">IFERROR(__xludf.DUMMYFUNCTION("""COMPUTED_VALUE"""),"wsh")</f>
        <v>wsh</v>
      </c>
      <c r="C13986" s="2" t="str">
        <f ca="1">IFERROR(__xludf.DUMMYFUNCTION("""COMPUTED_VALUE"""),"White Yorkshire")</f>
        <v>White Yorkshire</v>
      </c>
    </row>
    <row r="13987" spans="1:3" x14ac:dyDescent="0.25">
      <c r="A13987" s="2" t="str">
        <f ca="1">IFERROR(__xludf.DUMMYFUNCTION("""COMPUTED_VALUE"""),"whole-earth-coin")</f>
        <v>whole-earth-coin</v>
      </c>
      <c r="B13987" s="2" t="str">
        <f ca="1">IFERROR(__xludf.DUMMYFUNCTION("""COMPUTED_VALUE"""),"wec")</f>
        <v>wec</v>
      </c>
      <c r="C13987" s="2" t="str">
        <f ca="1">IFERROR(__xludf.DUMMYFUNCTION("""COMPUTED_VALUE"""),"Whole Earth Coin")</f>
        <v>Whole Earth Coin</v>
      </c>
    </row>
    <row r="13988" spans="1:3" x14ac:dyDescent="0.25">
      <c r="A13988" s="2" t="str">
        <f ca="1">IFERROR(__xludf.DUMMYFUNCTION("""COMPUTED_VALUE"""),"why")</f>
        <v>why</v>
      </c>
      <c r="B13988" s="2" t="str">
        <f ca="1">IFERROR(__xludf.DUMMYFUNCTION("""COMPUTED_VALUE"""),"why")</f>
        <v>why</v>
      </c>
      <c r="C13988" s="2" t="str">
        <f ca="1">IFERROR(__xludf.DUMMYFUNCTION("""COMPUTED_VALUE"""),"WHY")</f>
        <v>WHY</v>
      </c>
    </row>
    <row r="13989" spans="1:3" x14ac:dyDescent="0.25">
      <c r="A13989" s="2" t="str">
        <f ca="1">IFERROR(__xludf.DUMMYFUNCTION("""COMPUTED_VALUE"""),"wibx")</f>
        <v>wibx</v>
      </c>
      <c r="B13989" s="2" t="str">
        <f ca="1">IFERROR(__xludf.DUMMYFUNCTION("""COMPUTED_VALUE"""),"wbx")</f>
        <v>wbx</v>
      </c>
      <c r="C13989" s="2" t="str">
        <f ca="1">IFERROR(__xludf.DUMMYFUNCTION("""COMPUTED_VALUE"""),"Wibx")</f>
        <v>Wibx</v>
      </c>
    </row>
    <row r="13990" spans="1:3" x14ac:dyDescent="0.25">
      <c r="A13990" s="2" t="str">
        <f ca="1">IFERROR(__xludf.DUMMYFUNCTION("""COMPUTED_VALUE"""),"wicked")</f>
        <v>wicked</v>
      </c>
      <c r="B13990" s="2" t="str">
        <f ca="1">IFERROR(__xludf.DUMMYFUNCTION("""COMPUTED_VALUE"""),"wicked")</f>
        <v>wicked</v>
      </c>
      <c r="C13990" s="2" t="str">
        <f ca="1">IFERROR(__xludf.DUMMYFUNCTION("""COMPUTED_VALUE"""),"Wicked")</f>
        <v>Wicked</v>
      </c>
    </row>
    <row r="13991" spans="1:3" x14ac:dyDescent="0.25">
      <c r="A13991" s="2" t="str">
        <f ca="1">IFERROR(__xludf.DUMMYFUNCTION("""COMPUTED_VALUE"""),"wickedbet-casino")</f>
        <v>wickedbet-casino</v>
      </c>
      <c r="B13991" s="2" t="str">
        <f ca="1">IFERROR(__xludf.DUMMYFUNCTION("""COMPUTED_VALUE"""),"wik")</f>
        <v>wik</v>
      </c>
      <c r="C13991" s="2" t="str">
        <f ca="1">IFERROR(__xludf.DUMMYFUNCTION("""COMPUTED_VALUE"""),"WickedBet Casino")</f>
        <v>WickedBet Casino</v>
      </c>
    </row>
    <row r="13992" spans="1:3" x14ac:dyDescent="0.25">
      <c r="A13992" s="2" t="str">
        <f ca="1">IFERROR(__xludf.DUMMYFUNCTION("""COMPUTED_VALUE"""),"wicked-moai")</f>
        <v>wicked-moai</v>
      </c>
      <c r="B13992" s="2" t="str">
        <f ca="1">IFERROR(__xludf.DUMMYFUNCTION("""COMPUTED_VALUE"""),"moai")</f>
        <v>moai</v>
      </c>
      <c r="C13992" s="2" t="str">
        <f ca="1">IFERROR(__xludf.DUMMYFUNCTION("""COMPUTED_VALUE"""),"Wicked Moai")</f>
        <v>Wicked Moai</v>
      </c>
    </row>
    <row r="13993" spans="1:3" x14ac:dyDescent="0.25">
      <c r="A13993" s="2" t="str">
        <f ca="1">IFERROR(__xludf.DUMMYFUNCTION("""COMPUTED_VALUE"""),"wicrypt")</f>
        <v>wicrypt</v>
      </c>
      <c r="B13993" s="2" t="str">
        <f ca="1">IFERROR(__xludf.DUMMYFUNCTION("""COMPUTED_VALUE"""),"wnt")</f>
        <v>wnt</v>
      </c>
      <c r="C13993" s="2" t="str">
        <f ca="1">IFERROR(__xludf.DUMMYFUNCTION("""COMPUTED_VALUE"""),"Wicrypt")</f>
        <v>Wicrypt</v>
      </c>
    </row>
    <row r="13994" spans="1:3" x14ac:dyDescent="0.25">
      <c r="A13994" s="2" t="str">
        <f ca="1">IFERROR(__xludf.DUMMYFUNCTION("""COMPUTED_VALUE"""),"wienerai")</f>
        <v>wienerai</v>
      </c>
      <c r="B13994" s="2" t="str">
        <f ca="1">IFERROR(__xludf.DUMMYFUNCTION("""COMPUTED_VALUE"""),"wai")</f>
        <v>wai</v>
      </c>
      <c r="C13994" s="2" t="str">
        <f ca="1">IFERROR(__xludf.DUMMYFUNCTION("""COMPUTED_VALUE"""),"WienerAI")</f>
        <v>WienerAI</v>
      </c>
    </row>
    <row r="13995" spans="1:3" x14ac:dyDescent="0.25">
      <c r="A13995" s="2" t="str">
        <f ca="1">IFERROR(__xludf.DUMMYFUNCTION("""COMPUTED_VALUE"""),"wife-changing-money")</f>
        <v>wife-changing-money</v>
      </c>
      <c r="B13995" s="2" t="str">
        <f ca="1">IFERROR(__xludf.DUMMYFUNCTION("""COMPUTED_VALUE"""),"wife")</f>
        <v>wife</v>
      </c>
      <c r="C13995" s="2" t="str">
        <f ca="1">IFERROR(__xludf.DUMMYFUNCTION("""COMPUTED_VALUE"""),"Wife Changing Money")</f>
        <v>Wife Changing Money</v>
      </c>
    </row>
    <row r="13996" spans="1:3" x14ac:dyDescent="0.25">
      <c r="A13996" s="2" t="str">
        <f ca="1">IFERROR(__xludf.DUMMYFUNCTION("""COMPUTED_VALUE"""),"wifedoge")</f>
        <v>wifedoge</v>
      </c>
      <c r="B13996" s="2" t="str">
        <f ca="1">IFERROR(__xludf.DUMMYFUNCTION("""COMPUTED_VALUE"""),"wifedoge")</f>
        <v>wifedoge</v>
      </c>
      <c r="C13996" s="2" t="str">
        <f ca="1">IFERROR(__xludf.DUMMYFUNCTION("""COMPUTED_VALUE"""),"Wifedoge")</f>
        <v>Wifedoge</v>
      </c>
    </row>
    <row r="13997" spans="1:3" x14ac:dyDescent="0.25">
      <c r="A13997" s="2" t="str">
        <f ca="1">IFERROR(__xludf.DUMMYFUNCTION("""COMPUTED_VALUE"""),"wifejak")</f>
        <v>wifejak</v>
      </c>
      <c r="B13997" s="2" t="str">
        <f ca="1">IFERROR(__xludf.DUMMYFUNCTION("""COMPUTED_VALUE"""),"wife")</f>
        <v>wife</v>
      </c>
      <c r="C13997" s="2" t="str">
        <f ca="1">IFERROR(__xludf.DUMMYFUNCTION("""COMPUTED_VALUE"""),"Wifejak")</f>
        <v>Wifejak</v>
      </c>
    </row>
    <row r="13998" spans="1:3" x14ac:dyDescent="0.25">
      <c r="A13998" s="2" t="str">
        <f ca="1">IFERROR(__xludf.DUMMYFUNCTION("""COMPUTED_VALUE"""),"wifi")</f>
        <v>wifi</v>
      </c>
      <c r="B13998" s="2" t="str">
        <f ca="1">IFERROR(__xludf.DUMMYFUNCTION("""COMPUTED_VALUE"""),"wifi")</f>
        <v>wifi</v>
      </c>
      <c r="C13998" s="2" t="str">
        <f ca="1">IFERROR(__xludf.DUMMYFUNCTION("""COMPUTED_VALUE"""),"WiFi Map")</f>
        <v>WiFi Map</v>
      </c>
    </row>
    <row r="13999" spans="1:3" x14ac:dyDescent="0.25">
      <c r="A13999" s="2" t="str">
        <f ca="1">IFERROR(__xludf.DUMMYFUNCTION("""COMPUTED_VALUE"""),"wiflama-coin")</f>
        <v>wiflama-coin</v>
      </c>
      <c r="B13999" s="2" t="str">
        <f ca="1">IFERROR(__xludf.DUMMYFUNCTION("""COMPUTED_VALUE"""),"wflm")</f>
        <v>wflm</v>
      </c>
      <c r="C13999" s="2" t="str">
        <f ca="1">IFERROR(__xludf.DUMMYFUNCTION("""COMPUTED_VALUE"""),"WIFLAMA COIN")</f>
        <v>WIFLAMA COIN</v>
      </c>
    </row>
    <row r="14000" spans="1:3" x14ac:dyDescent="0.25">
      <c r="A14000" s="2" t="str">
        <f ca="1">IFERROR(__xludf.DUMMYFUNCTION("""COMPUTED_VALUE"""),"wif-on-eth")</f>
        <v>wif-on-eth</v>
      </c>
      <c r="B14000" s="2" t="str">
        <f ca="1">IFERROR(__xludf.DUMMYFUNCTION("""COMPUTED_VALUE"""),"wif")</f>
        <v>wif</v>
      </c>
      <c r="C14000" s="2" t="str">
        <f ca="1">IFERROR(__xludf.DUMMYFUNCTION("""COMPUTED_VALUE"""),"WIF on ETH")</f>
        <v>WIF on ETH</v>
      </c>
    </row>
    <row r="14001" spans="1:3" x14ac:dyDescent="0.25">
      <c r="A14001" s="2" t="str">
        <f ca="1">IFERROR(__xludf.DUMMYFUNCTION("""COMPUTED_VALUE"""),"wifpepemoginu")</f>
        <v>wifpepemoginu</v>
      </c>
      <c r="B14001" s="2" t="str">
        <f ca="1">IFERROR(__xludf.DUMMYFUNCTION("""COMPUTED_VALUE"""),"wifpepemog")</f>
        <v>wifpepemog</v>
      </c>
      <c r="C14001" s="2" t="str">
        <f ca="1">IFERROR(__xludf.DUMMYFUNCTION("""COMPUTED_VALUE"""),"WIFPEPEMOGINU")</f>
        <v>WIFPEPEMOGINU</v>
      </c>
    </row>
    <row r="14002" spans="1:3" x14ac:dyDescent="0.25">
      <c r="A14002" s="2" t="str">
        <f ca="1">IFERROR(__xludf.DUMMYFUNCTION("""COMPUTED_VALUE"""),"wif-secondchance")</f>
        <v>wif-secondchance</v>
      </c>
      <c r="B14002" s="2" t="str">
        <f ca="1">IFERROR(__xludf.DUMMYFUNCTION("""COMPUTED_VALUE"""),"wif")</f>
        <v>wif</v>
      </c>
      <c r="C14002" s="2" t="str">
        <f ca="1">IFERROR(__xludf.DUMMYFUNCTION("""COMPUTED_VALUE"""),"Wif - SecondChance")</f>
        <v>Wif - SecondChance</v>
      </c>
    </row>
    <row r="14003" spans="1:3" x14ac:dyDescent="0.25">
      <c r="A14003" s="2" t="str">
        <f ca="1">IFERROR(__xludf.DUMMYFUNCTION("""COMPUTED_VALUE"""),"wigger")</f>
        <v>wigger</v>
      </c>
      <c r="B14003" s="2" t="str">
        <f ca="1">IFERROR(__xludf.DUMMYFUNCTION("""COMPUTED_VALUE"""),"wigger")</f>
        <v>wigger</v>
      </c>
      <c r="C14003" s="2" t="str">
        <f ca="1">IFERROR(__xludf.DUMMYFUNCTION("""COMPUTED_VALUE"""),"Wigger")</f>
        <v>Wigger</v>
      </c>
    </row>
    <row r="14004" spans="1:3" x14ac:dyDescent="0.25">
      <c r="A14004" s="2" t="str">
        <f ca="1">IFERROR(__xludf.DUMMYFUNCTION("""COMPUTED_VALUE"""),"wiggly-willy")</f>
        <v>wiggly-willy</v>
      </c>
      <c r="B14004" s="2" t="str">
        <f ca="1">IFERROR(__xludf.DUMMYFUNCTION("""COMPUTED_VALUE"""),"wiwi")</f>
        <v>wiwi</v>
      </c>
      <c r="C14004" s="2" t="str">
        <f ca="1">IFERROR(__xludf.DUMMYFUNCTION("""COMPUTED_VALUE"""),"Wiggly Willy")</f>
        <v>Wiggly Willy</v>
      </c>
    </row>
    <row r="14005" spans="1:3" x14ac:dyDescent="0.25">
      <c r="A14005" s="2" t="str">
        <f ca="1">IFERROR(__xludf.DUMMYFUNCTION("""COMPUTED_VALUE"""),"wigl")</f>
        <v>wigl</v>
      </c>
      <c r="B14005" s="2" t="str">
        <f ca="1">IFERROR(__xludf.DUMMYFUNCTION("""COMPUTED_VALUE"""),"wigl")</f>
        <v>wigl</v>
      </c>
      <c r="C14005" s="2" t="str">
        <f ca="1">IFERROR(__xludf.DUMMYFUNCTION("""COMPUTED_VALUE"""),"Wigl")</f>
        <v>Wigl</v>
      </c>
    </row>
    <row r="14006" spans="1:3" x14ac:dyDescent="0.25">
      <c r="A14006" s="2" t="str">
        <f ca="1">IFERROR(__xludf.DUMMYFUNCTION("""COMPUTED_VALUE"""),"wigoswap")</f>
        <v>wigoswap</v>
      </c>
      <c r="B14006" s="2" t="str">
        <f ca="1">IFERROR(__xludf.DUMMYFUNCTION("""COMPUTED_VALUE"""),"wigo")</f>
        <v>wigo</v>
      </c>
      <c r="C14006" s="2" t="str">
        <f ca="1">IFERROR(__xludf.DUMMYFUNCTION("""COMPUTED_VALUE"""),"WigoSwap")</f>
        <v>WigoSwap</v>
      </c>
    </row>
    <row r="14007" spans="1:3" x14ac:dyDescent="0.25">
      <c r="A14007" s="2" t="str">
        <f ca="1">IFERROR(__xludf.DUMMYFUNCTION("""COMPUTED_VALUE"""),"wiki-cat")</f>
        <v>wiki-cat</v>
      </c>
      <c r="B14007" s="2" t="str">
        <f ca="1">IFERROR(__xludf.DUMMYFUNCTION("""COMPUTED_VALUE"""),"wkc")</f>
        <v>wkc</v>
      </c>
      <c r="C14007" s="2" t="str">
        <f ca="1">IFERROR(__xludf.DUMMYFUNCTION("""COMPUTED_VALUE"""),"Wiki Cat")</f>
        <v>Wiki Cat</v>
      </c>
    </row>
    <row r="14008" spans="1:3" x14ac:dyDescent="0.25">
      <c r="A14008" s="2" t="str">
        <f ca="1">IFERROR(__xludf.DUMMYFUNCTION("""COMPUTED_VALUE"""),"wild-2")</f>
        <v>wild-2</v>
      </c>
      <c r="B14008" s="2" t="str">
        <f ca="1">IFERROR(__xludf.DUMMYFUNCTION("""COMPUTED_VALUE"""),"wld")</f>
        <v>wld</v>
      </c>
      <c r="C14008" s="2" t="str">
        <f ca="1">IFERROR(__xludf.DUMMYFUNCTION("""COMPUTED_VALUE"""),"Wild Coin")</f>
        <v>Wild Coin</v>
      </c>
    </row>
    <row r="14009" spans="1:3" x14ac:dyDescent="0.25">
      <c r="A14009" s="2" t="str">
        <f ca="1">IFERROR(__xludf.DUMMYFUNCTION("""COMPUTED_VALUE"""),"wildcoin")</f>
        <v>wildcoin</v>
      </c>
      <c r="B14009" s="2" t="str">
        <f ca="1">IFERROR(__xludf.DUMMYFUNCTION("""COMPUTED_VALUE"""),"wildcoin")</f>
        <v>wildcoin</v>
      </c>
      <c r="C14009" s="2" t="str">
        <f ca="1">IFERROR(__xludf.DUMMYFUNCTION("""COMPUTED_VALUE"""),"WILDCOIN")</f>
        <v>WILDCOIN</v>
      </c>
    </row>
    <row r="14010" spans="1:3" x14ac:dyDescent="0.25">
      <c r="A14010" s="2" t="str">
        <f ca="1">IFERROR(__xludf.DUMMYFUNCTION("""COMPUTED_VALUE"""),"wilder-world")</f>
        <v>wilder-world</v>
      </c>
      <c r="B14010" s="2" t="str">
        <f ca="1">IFERROR(__xludf.DUMMYFUNCTION("""COMPUTED_VALUE"""),"wild")</f>
        <v>wild</v>
      </c>
      <c r="C14010" s="2" t="str">
        <f ca="1">IFERROR(__xludf.DUMMYFUNCTION("""COMPUTED_VALUE"""),"Wilder World")</f>
        <v>Wilder World</v>
      </c>
    </row>
    <row r="14011" spans="1:3" x14ac:dyDescent="0.25">
      <c r="A14011" s="2" t="str">
        <f ca="1">IFERROR(__xludf.DUMMYFUNCTION("""COMPUTED_VALUE"""),"wild-goat-coin-2")</f>
        <v>wild-goat-coin-2</v>
      </c>
      <c r="B14011" s="2" t="str">
        <f ca="1">IFERROR(__xludf.DUMMYFUNCTION("""COMPUTED_VALUE"""),"wgc")</f>
        <v>wgc</v>
      </c>
      <c r="C14011" s="2" t="str">
        <f ca="1">IFERROR(__xludf.DUMMYFUNCTION("""COMPUTED_VALUE"""),"Wild Goat Coin")</f>
        <v>Wild Goat Coin</v>
      </c>
    </row>
    <row r="14012" spans="1:3" x14ac:dyDescent="0.25">
      <c r="A14012" s="2" t="str">
        <f ca="1">IFERROR(__xludf.DUMMYFUNCTION("""COMPUTED_VALUE"""),"wildx")</f>
        <v>wildx</v>
      </c>
      <c r="B14012" s="2" t="str">
        <f ca="1">IFERROR(__xludf.DUMMYFUNCTION("""COMPUTED_VALUE"""),"wild")</f>
        <v>wild</v>
      </c>
      <c r="C14012" s="2" t="str">
        <f ca="1">IFERROR(__xludf.DUMMYFUNCTION("""COMPUTED_VALUE"""),"WILDx")</f>
        <v>WILDx</v>
      </c>
    </row>
    <row r="14013" spans="1:3" x14ac:dyDescent="0.25">
      <c r="A14013" s="2" t="str">
        <f ca="1">IFERROR(__xludf.DUMMYFUNCTION("""COMPUTED_VALUE"""),"willy")</f>
        <v>willy</v>
      </c>
      <c r="B14013" s="2" t="str">
        <f ca="1">IFERROR(__xludf.DUMMYFUNCTION("""COMPUTED_VALUE"""),"willy")</f>
        <v>willy</v>
      </c>
      <c r="C14013" s="2" t="str">
        <f ca="1">IFERROR(__xludf.DUMMYFUNCTION("""COMPUTED_VALUE"""),"Willy")</f>
        <v>Willy</v>
      </c>
    </row>
    <row r="14014" spans="1:3" x14ac:dyDescent="0.25">
      <c r="A14014" s="2" t="str">
        <f ca="1">IFERROR(__xludf.DUMMYFUNCTION("""COMPUTED_VALUE"""),"willy-2")</f>
        <v>willy-2</v>
      </c>
      <c r="B14014" s="2" t="str">
        <f ca="1">IFERROR(__xludf.DUMMYFUNCTION("""COMPUTED_VALUE"""),"willy")</f>
        <v>willy</v>
      </c>
      <c r="C14014" s="2" t="str">
        <f ca="1">IFERROR(__xludf.DUMMYFUNCTION("""COMPUTED_VALUE"""),"Willy")</f>
        <v>Willy</v>
      </c>
    </row>
    <row r="14015" spans="1:3" x14ac:dyDescent="0.25">
      <c r="A14015" s="2" t="str">
        <f ca="1">IFERROR(__xludf.DUMMYFUNCTION("""COMPUTED_VALUE"""),"wimpo")</f>
        <v>wimpo</v>
      </c>
      <c r="B14015" s="2" t="str">
        <f ca="1">IFERROR(__xludf.DUMMYFUNCTION("""COMPUTED_VALUE"""),"wimpo")</f>
        <v>wimpo</v>
      </c>
      <c r="C14015" s="2" t="str">
        <f ca="1">IFERROR(__xludf.DUMMYFUNCTION("""COMPUTED_VALUE"""),"Wimpo")</f>
        <v>Wimpo</v>
      </c>
    </row>
    <row r="14016" spans="1:3" x14ac:dyDescent="0.25">
      <c r="A14016" s="2" t="str">
        <f ca="1">IFERROR(__xludf.DUMMYFUNCTION("""COMPUTED_VALUE"""),"winamp")</f>
        <v>winamp</v>
      </c>
      <c r="B14016" s="2" t="str">
        <f ca="1">IFERROR(__xludf.DUMMYFUNCTION("""COMPUTED_VALUE"""),"winamp")</f>
        <v>winamp</v>
      </c>
      <c r="C14016" s="2" t="str">
        <f ca="1">IFERROR(__xludf.DUMMYFUNCTION("""COMPUTED_VALUE"""),"WINAMP")</f>
        <v>WINAMP</v>
      </c>
    </row>
    <row r="14017" spans="1:3" x14ac:dyDescent="0.25">
      <c r="A14017" s="2" t="str">
        <f ca="1">IFERROR(__xludf.DUMMYFUNCTION("""COMPUTED_VALUE"""),"winbit-casino")</f>
        <v>winbit-casino</v>
      </c>
      <c r="B14017" s="2" t="str">
        <f ca="1">IFERROR(__xludf.DUMMYFUNCTION("""COMPUTED_VALUE"""),"win")</f>
        <v>win</v>
      </c>
      <c r="C14017" s="2" t="str">
        <f ca="1">IFERROR(__xludf.DUMMYFUNCTION("""COMPUTED_VALUE"""),"WINBIT CASINO")</f>
        <v>WINBIT CASINO</v>
      </c>
    </row>
    <row r="14018" spans="1:3" x14ac:dyDescent="0.25">
      <c r="A14018" s="2" t="str">
        <f ca="1">IFERROR(__xludf.DUMMYFUNCTION("""COMPUTED_VALUE"""),"windfall-token")</f>
        <v>windfall-token</v>
      </c>
      <c r="B14018" s="2" t="str">
        <f ca="1">IFERROR(__xludf.DUMMYFUNCTION("""COMPUTED_VALUE"""),"wft")</f>
        <v>wft</v>
      </c>
      <c r="C14018" s="2" t="str">
        <f ca="1">IFERROR(__xludf.DUMMYFUNCTION("""COMPUTED_VALUE"""),"Windfall")</f>
        <v>Windfall</v>
      </c>
    </row>
    <row r="14019" spans="1:3" x14ac:dyDescent="0.25">
      <c r="A14019" s="2" t="str">
        <f ca="1">IFERROR(__xludf.DUMMYFUNCTION("""COMPUTED_VALUE"""),"windoge98")</f>
        <v>windoge98</v>
      </c>
      <c r="B14019" s="2" t="str">
        <f ca="1">IFERROR(__xludf.DUMMYFUNCTION("""COMPUTED_VALUE"""),"exe")</f>
        <v>exe</v>
      </c>
      <c r="C14019" s="2" t="str">
        <f ca="1">IFERROR(__xludf.DUMMYFUNCTION("""COMPUTED_VALUE"""),"Windoge98")</f>
        <v>Windoge98</v>
      </c>
    </row>
    <row r="14020" spans="1:3" x14ac:dyDescent="0.25">
      <c r="A14020" s="2" t="str">
        <f ca="1">IFERROR(__xludf.DUMMYFUNCTION("""COMPUTED_VALUE"""),"winee3")</f>
        <v>winee3</v>
      </c>
      <c r="B14020" s="2" t="str">
        <f ca="1">IFERROR(__xludf.DUMMYFUNCTION("""COMPUTED_VALUE"""),"wne")</f>
        <v>wne</v>
      </c>
      <c r="C14020" s="2" t="str">
        <f ca="1">IFERROR(__xludf.DUMMYFUNCTION("""COMPUTED_VALUE"""),"Winee3")</f>
        <v>Winee3</v>
      </c>
    </row>
    <row r="14021" spans="1:3" x14ac:dyDescent="0.25">
      <c r="A14021" s="2" t="str">
        <f ca="1">IFERROR(__xludf.DUMMYFUNCTION("""COMPUTED_VALUE"""),"winerz")</f>
        <v>winerz</v>
      </c>
      <c r="B14021" s="2" t="str">
        <f ca="1">IFERROR(__xludf.DUMMYFUNCTION("""COMPUTED_VALUE"""),"$wnz")</f>
        <v>$wnz</v>
      </c>
      <c r="C14021" s="2" t="str">
        <f ca="1">IFERROR(__xludf.DUMMYFUNCTION("""COMPUTED_VALUE"""),"Winerz")</f>
        <v>Winerz</v>
      </c>
    </row>
    <row r="14022" spans="1:3" x14ac:dyDescent="0.25">
      <c r="A14022" s="2" t="str">
        <f ca="1">IFERROR(__xludf.DUMMYFUNCTION("""COMPUTED_VALUE"""),"wine-shares")</f>
        <v>wine-shares</v>
      </c>
      <c r="B14022" s="2" t="str">
        <f ca="1">IFERROR(__xludf.DUMMYFUNCTION("""COMPUTED_VALUE"""),"wine")</f>
        <v>wine</v>
      </c>
      <c r="C14022" s="2" t="str">
        <f ca="1">IFERROR(__xludf.DUMMYFUNCTION("""COMPUTED_VALUE"""),"Wine Shares")</f>
        <v>Wine Shares</v>
      </c>
    </row>
    <row r="14023" spans="1:3" x14ac:dyDescent="0.25">
      <c r="A14023" s="2" t="str">
        <f ca="1">IFERROR(__xludf.DUMMYFUNCTION("""COMPUTED_VALUE"""),"wing-finance")</f>
        <v>wing-finance</v>
      </c>
      <c r="B14023" s="2" t="str">
        <f ca="1">IFERROR(__xludf.DUMMYFUNCTION("""COMPUTED_VALUE"""),"wing")</f>
        <v>wing</v>
      </c>
      <c r="C14023" s="2" t="str">
        <f ca="1">IFERROR(__xludf.DUMMYFUNCTION("""COMPUTED_VALUE"""),"Wing Finance")</f>
        <v>Wing Finance</v>
      </c>
    </row>
    <row r="14024" spans="1:3" x14ac:dyDescent="0.25">
      <c r="A14024" s="2" t="str">
        <f ca="1">IFERROR(__xludf.DUMMYFUNCTION("""COMPUTED_VALUE"""),"wingriders")</f>
        <v>wingriders</v>
      </c>
      <c r="B14024" s="2" t="str">
        <f ca="1">IFERROR(__xludf.DUMMYFUNCTION("""COMPUTED_VALUE"""),"wrt")</f>
        <v>wrt</v>
      </c>
      <c r="C14024" s="2" t="str">
        <f ca="1">IFERROR(__xludf.DUMMYFUNCTION("""COMPUTED_VALUE"""),"WingRiders")</f>
        <v>WingRiders</v>
      </c>
    </row>
    <row r="14025" spans="1:3" x14ac:dyDescent="0.25">
      <c r="A14025" s="2" t="str">
        <f ca="1">IFERROR(__xludf.DUMMYFUNCTION("""COMPUTED_VALUE"""),"wink")</f>
        <v>wink</v>
      </c>
      <c r="B14025" s="2" t="str">
        <f ca="1">IFERROR(__xludf.DUMMYFUNCTION("""COMPUTED_VALUE"""),"win")</f>
        <v>win</v>
      </c>
      <c r="C14025" s="2" t="str">
        <f ca="1">IFERROR(__xludf.DUMMYFUNCTION("""COMPUTED_VALUE"""),"WINkLink")</f>
        <v>WINkLink</v>
      </c>
    </row>
    <row r="14026" spans="1:3" x14ac:dyDescent="0.25">
      <c r="A14026" s="2" t="str">
        <f ca="1">IFERROR(__xludf.DUMMYFUNCTION("""COMPUTED_VALUE"""),"winkhub")</f>
        <v>winkhub</v>
      </c>
      <c r="B14026" s="2" t="str">
        <f ca="1">IFERROR(__xludf.DUMMYFUNCTION("""COMPUTED_VALUE"""),"wink")</f>
        <v>wink</v>
      </c>
      <c r="C14026" s="2" t="str">
        <f ca="1">IFERROR(__xludf.DUMMYFUNCTION("""COMPUTED_VALUE"""),"WinkHub")</f>
        <v>WinkHub</v>
      </c>
    </row>
    <row r="14027" spans="1:3" x14ac:dyDescent="0.25">
      <c r="A14027" s="2" t="str">
        <f ca="1">IFERROR(__xludf.DUMMYFUNCTION("""COMPUTED_VALUE"""),"winklink-bsc")</f>
        <v>winklink-bsc</v>
      </c>
      <c r="B14027" s="2" t="str">
        <f ca="1">IFERROR(__xludf.DUMMYFUNCTION("""COMPUTED_VALUE"""),"win")</f>
        <v>win</v>
      </c>
      <c r="C14027" s="2" t="str">
        <f ca="1">IFERROR(__xludf.DUMMYFUNCTION("""COMPUTED_VALUE"""),"WINkLink BSC")</f>
        <v>WINkLink BSC</v>
      </c>
    </row>
    <row r="14028" spans="1:3" x14ac:dyDescent="0.25">
      <c r="A14028" s="2" t="str">
        <f ca="1">IFERROR(__xludf.DUMMYFUNCTION("""COMPUTED_VALUE"""),"winnerz")</f>
        <v>winnerz</v>
      </c>
      <c r="B14028" s="2" t="str">
        <f ca="1">IFERROR(__xludf.DUMMYFUNCTION("""COMPUTED_VALUE"""),"wnz")</f>
        <v>wnz</v>
      </c>
      <c r="C14028" s="2" t="str">
        <f ca="1">IFERROR(__xludf.DUMMYFUNCTION("""COMPUTED_VALUE"""),"Winnerz")</f>
        <v>Winnerz</v>
      </c>
    </row>
    <row r="14029" spans="1:3" x14ac:dyDescent="0.25">
      <c r="A14029" s="2" t="str">
        <f ca="1">IFERROR(__xludf.DUMMYFUNCTION("""COMPUTED_VALUE"""),"winr-protocol")</f>
        <v>winr-protocol</v>
      </c>
      <c r="B14029" s="2" t="str">
        <f ca="1">IFERROR(__xludf.DUMMYFUNCTION("""COMPUTED_VALUE"""),"winr")</f>
        <v>winr</v>
      </c>
      <c r="C14029" s="2" t="str">
        <f ca="1">IFERROR(__xludf.DUMMYFUNCTION("""COMPUTED_VALUE"""),"WINR Protocol")</f>
        <v>WINR Protocol</v>
      </c>
    </row>
    <row r="14030" spans="1:3" x14ac:dyDescent="0.25">
      <c r="A14030" s="2" t="str">
        <f ca="1">IFERROR(__xludf.DUMMYFUNCTION("""COMPUTED_VALUE"""),"wins")</f>
        <v>wins</v>
      </c>
      <c r="B14030" s="2" t="str">
        <f ca="1">IFERROR(__xludf.DUMMYFUNCTION("""COMPUTED_VALUE"""),"wins")</f>
        <v>wins</v>
      </c>
      <c r="C14030" s="2" t="str">
        <f ca="1">IFERROR(__xludf.DUMMYFUNCTION("""COMPUTED_VALUE"""),"Trophy")</f>
        <v>Trophy</v>
      </c>
    </row>
    <row r="14031" spans="1:3" x14ac:dyDescent="0.25">
      <c r="A14031" s="2" t="str">
        <f ca="1">IFERROR(__xludf.DUMMYFUNCTION("""COMPUTED_VALUE"""),"winston-spider-monkey")</f>
        <v>winston-spider-monkey</v>
      </c>
      <c r="B14031" s="2" t="str">
        <f ca="1">IFERROR(__xludf.DUMMYFUNCTION("""COMPUTED_VALUE"""),"winston")</f>
        <v>winston</v>
      </c>
      <c r="C14031" s="2" t="str">
        <f ca="1">IFERROR(__xludf.DUMMYFUNCTION("""COMPUTED_VALUE"""),"winston spider monkey")</f>
        <v>winston spider monkey</v>
      </c>
    </row>
    <row r="14032" spans="1:3" x14ac:dyDescent="0.25">
      <c r="A14032" s="2" t="str">
        <f ca="1">IFERROR(__xludf.DUMMYFUNCTION("""COMPUTED_VALUE"""),"winter")</f>
        <v>winter</v>
      </c>
      <c r="B14032" s="2" t="str">
        <f ca="1">IFERROR(__xludf.DUMMYFUNCTION("""COMPUTED_VALUE"""),"winter")</f>
        <v>winter</v>
      </c>
      <c r="C14032" s="2" t="str">
        <f ca="1">IFERROR(__xludf.DUMMYFUNCTION("""COMPUTED_VALUE"""),"Winter")</f>
        <v>Winter</v>
      </c>
    </row>
    <row r="14033" spans="1:3" x14ac:dyDescent="0.25">
      <c r="A14033" s="2" t="str">
        <f ca="1">IFERROR(__xludf.DUMMYFUNCTION("""COMPUTED_VALUE"""),"winter-arc")</f>
        <v>winter-arc</v>
      </c>
      <c r="B14033" s="2" t="str">
        <f ca="1">IFERROR(__xludf.DUMMYFUNCTION("""COMPUTED_VALUE"""),"winter")</f>
        <v>winter</v>
      </c>
      <c r="C14033" s="2" t="str">
        <f ca="1">IFERROR(__xludf.DUMMYFUNCTION("""COMPUTED_VALUE"""),"Winter Arc")</f>
        <v>Winter Arc</v>
      </c>
    </row>
    <row r="14034" spans="1:3" x14ac:dyDescent="0.25">
      <c r="A14034" s="2" t="str">
        <f ca="1">IFERROR(__xludf.DUMMYFUNCTION("""COMPUTED_VALUE"""),"wipemyass")</f>
        <v>wipemyass</v>
      </c>
      <c r="B14034" s="2" t="str">
        <f ca="1">IFERROR(__xludf.DUMMYFUNCTION("""COMPUTED_VALUE"""),"wipe")</f>
        <v>wipe</v>
      </c>
      <c r="C14034" s="2" t="str">
        <f ca="1">IFERROR(__xludf.DUMMYFUNCTION("""COMPUTED_VALUE"""),"WipeMyAss")</f>
        <v>WipeMyAss</v>
      </c>
    </row>
    <row r="14035" spans="1:3" x14ac:dyDescent="0.25">
      <c r="A14035" s="2" t="str">
        <f ca="1">IFERROR(__xludf.DUMMYFUNCTION("""COMPUTED_VALUE"""),"wireshape")</f>
        <v>wireshape</v>
      </c>
      <c r="B14035" s="2" t="str">
        <f ca="1">IFERROR(__xludf.DUMMYFUNCTION("""COMPUTED_VALUE"""),"wire")</f>
        <v>wire</v>
      </c>
      <c r="C14035" s="2" t="str">
        <f ca="1">IFERROR(__xludf.DUMMYFUNCTION("""COMPUTED_VALUE"""),"Wireshape")</f>
        <v>Wireshape</v>
      </c>
    </row>
    <row r="14036" spans="1:3" x14ac:dyDescent="0.25">
      <c r="A14036" s="2" t="str">
        <f ca="1">IFERROR(__xludf.DUMMYFUNCTION("""COMPUTED_VALUE"""),"wirex")</f>
        <v>wirex</v>
      </c>
      <c r="B14036" s="2" t="str">
        <f ca="1">IFERROR(__xludf.DUMMYFUNCTION("""COMPUTED_VALUE"""),"wxt")</f>
        <v>wxt</v>
      </c>
      <c r="C14036" s="2" t="str">
        <f ca="1">IFERROR(__xludf.DUMMYFUNCTION("""COMPUTED_VALUE"""),"WXT Token")</f>
        <v>WXT Token</v>
      </c>
    </row>
    <row r="14037" spans="1:3" x14ac:dyDescent="0.25">
      <c r="A14037" s="2" t="str">
        <f ca="1">IFERROR(__xludf.DUMMYFUNCTION("""COMPUTED_VALUE"""),"wirtual")</f>
        <v>wirtual</v>
      </c>
      <c r="B14037" s="2" t="str">
        <f ca="1">IFERROR(__xludf.DUMMYFUNCTION("""COMPUTED_VALUE"""),"wirtual")</f>
        <v>wirtual</v>
      </c>
      <c r="C14037" s="2" t="str">
        <f ca="1">IFERROR(__xludf.DUMMYFUNCTION("""COMPUTED_VALUE"""),"Wirtual")</f>
        <v>Wirtual</v>
      </c>
    </row>
    <row r="14038" spans="1:3" x14ac:dyDescent="0.25">
      <c r="A14038" s="2" t="str">
        <f ca="1">IFERROR(__xludf.DUMMYFUNCTION("""COMPUTED_VALUE"""),"wisdomise")</f>
        <v>wisdomise</v>
      </c>
      <c r="B14038" s="2" t="str">
        <f ca="1">IFERROR(__xludf.DUMMYFUNCTION("""COMPUTED_VALUE"""),"wsdm")</f>
        <v>wsdm</v>
      </c>
      <c r="C14038" s="2" t="str">
        <f ca="1">IFERROR(__xludf.DUMMYFUNCTION("""COMPUTED_VALUE"""),"Wisdomise AI")</f>
        <v>Wisdomise AI</v>
      </c>
    </row>
    <row r="14039" spans="1:3" x14ac:dyDescent="0.25">
      <c r="A14039" s="2" t="str">
        <f ca="1">IFERROR(__xludf.DUMMYFUNCTION("""COMPUTED_VALUE"""),"wise-token11")</f>
        <v>wise-token11</v>
      </c>
      <c r="B14039" s="2" t="str">
        <f ca="1">IFERROR(__xludf.DUMMYFUNCTION("""COMPUTED_VALUE"""),"wise")</f>
        <v>wise</v>
      </c>
      <c r="C14039" s="2" t="str">
        <f ca="1">IFERROR(__xludf.DUMMYFUNCTION("""COMPUTED_VALUE"""),"Wise")</f>
        <v>Wise</v>
      </c>
    </row>
    <row r="14040" spans="1:3" x14ac:dyDescent="0.25">
      <c r="A14040" s="2" t="str">
        <f ca="1">IFERROR(__xludf.DUMMYFUNCTION("""COMPUTED_VALUE"""),"wiskers")</f>
        <v>wiskers</v>
      </c>
      <c r="B14040" s="2" t="str">
        <f ca="1">IFERROR(__xludf.DUMMYFUNCTION("""COMPUTED_VALUE"""),"wskr")</f>
        <v>wskr</v>
      </c>
      <c r="C14040" s="2" t="str">
        <f ca="1">IFERROR(__xludf.DUMMYFUNCTION("""COMPUTED_VALUE"""),"Wiskers")</f>
        <v>Wiskers</v>
      </c>
    </row>
    <row r="14041" spans="1:3" x14ac:dyDescent="0.25">
      <c r="A14041" s="2" t="str">
        <f ca="1">IFERROR(__xludf.DUMMYFUNCTION("""COMPUTED_VALUE"""),"wispswap")</f>
        <v>wispswap</v>
      </c>
      <c r="B14041" s="2" t="str">
        <f ca="1">IFERROR(__xludf.DUMMYFUNCTION("""COMPUTED_VALUE"""),"wisp")</f>
        <v>wisp</v>
      </c>
      <c r="C14041" s="2" t="str">
        <f ca="1">IFERROR(__xludf.DUMMYFUNCTION("""COMPUTED_VALUE"""),"WispSwap")</f>
        <v>WispSwap</v>
      </c>
    </row>
    <row r="14042" spans="1:3" x14ac:dyDescent="0.25">
      <c r="A14042" s="2" t="str">
        <f ca="1">IFERROR(__xludf.DUMMYFUNCTION("""COMPUTED_VALUE"""),"wistaverse")</f>
        <v>wistaverse</v>
      </c>
      <c r="B14042" s="2" t="str">
        <f ca="1">IFERROR(__xludf.DUMMYFUNCTION("""COMPUTED_VALUE"""),"wista")</f>
        <v>wista</v>
      </c>
      <c r="C14042" s="2" t="str">
        <f ca="1">IFERROR(__xludf.DUMMYFUNCTION("""COMPUTED_VALUE"""),"Wistaverse")</f>
        <v>Wistaverse</v>
      </c>
    </row>
    <row r="14043" spans="1:3" x14ac:dyDescent="0.25">
      <c r="A14043" s="2" t="str">
        <f ca="1">IFERROR(__xludf.DUMMYFUNCTION("""COMPUTED_VALUE"""),"witch-token")</f>
        <v>witch-token</v>
      </c>
      <c r="B14043" s="2" t="str">
        <f ca="1">IFERROR(__xludf.DUMMYFUNCTION("""COMPUTED_VALUE"""),"witch")</f>
        <v>witch</v>
      </c>
      <c r="C14043" s="2" t="str">
        <f ca="1">IFERROR(__xludf.DUMMYFUNCTION("""COMPUTED_VALUE"""),"Witch Token")</f>
        <v>Witch Token</v>
      </c>
    </row>
    <row r="14044" spans="1:3" x14ac:dyDescent="0.25">
      <c r="A14044" s="2" t="str">
        <f ca="1">IFERROR(__xludf.DUMMYFUNCTION("""COMPUTED_VALUE"""),"witnet")</f>
        <v>witnet</v>
      </c>
      <c r="B14044" s="2" t="str">
        <f ca="1">IFERROR(__xludf.DUMMYFUNCTION("""COMPUTED_VALUE"""),"wit")</f>
        <v>wit</v>
      </c>
      <c r="C14044" s="2" t="str">
        <f ca="1">IFERROR(__xludf.DUMMYFUNCTION("""COMPUTED_VALUE"""),"Witnet")</f>
        <v>Witnet</v>
      </c>
    </row>
    <row r="14045" spans="1:3" x14ac:dyDescent="0.25">
      <c r="A14045" s="2" t="str">
        <f ca="1">IFERROR(__xludf.DUMMYFUNCTION("""COMPUTED_VALUE"""),"wizardia")</f>
        <v>wizardia</v>
      </c>
      <c r="B14045" s="2" t="str">
        <f ca="1">IFERROR(__xludf.DUMMYFUNCTION("""COMPUTED_VALUE"""),"wzrd")</f>
        <v>wzrd</v>
      </c>
      <c r="C14045" s="2" t="str">
        <f ca="1">IFERROR(__xludf.DUMMYFUNCTION("""COMPUTED_VALUE"""),"Wizardia")</f>
        <v>Wizardia</v>
      </c>
    </row>
    <row r="14046" spans="1:3" x14ac:dyDescent="0.25">
      <c r="A14046" s="2" t="str">
        <f ca="1">IFERROR(__xludf.DUMMYFUNCTION("""COMPUTED_VALUE"""),"wizard-token-8fc587d7-4b79-4f5a-89c9-475f528c6d47")</f>
        <v>wizard-token-8fc587d7-4b79-4f5a-89c9-475f528c6d47</v>
      </c>
      <c r="B14046" s="2" t="str">
        <f ca="1">IFERROR(__xludf.DUMMYFUNCTION("""COMPUTED_VALUE"""),"wizt")</f>
        <v>wizt</v>
      </c>
      <c r="C14046" s="2" t="str">
        <f ca="1">IFERROR(__xludf.DUMMYFUNCTION("""COMPUTED_VALUE"""),"Wizard Token")</f>
        <v>Wizard Token</v>
      </c>
    </row>
    <row r="14047" spans="1:3" x14ac:dyDescent="0.25">
      <c r="A14047" s="2" t="str">
        <f ca="1">IFERROR(__xludf.DUMMYFUNCTION("""COMPUTED_VALUE"""),"wizard-vault-nftx")</f>
        <v>wizard-vault-nftx</v>
      </c>
      <c r="B14047" s="2" t="str">
        <f ca="1">IFERROR(__xludf.DUMMYFUNCTION("""COMPUTED_VALUE"""),"wizard")</f>
        <v>wizard</v>
      </c>
      <c r="C14047" s="2" t="str">
        <f ca="1">IFERROR(__xludf.DUMMYFUNCTION("""COMPUTED_VALUE"""),"WIZARD Vault (NFTX)")</f>
        <v>WIZARD Vault (NFTX)</v>
      </c>
    </row>
    <row r="14048" spans="1:3" x14ac:dyDescent="0.25">
      <c r="A14048" s="2" t="str">
        <f ca="1">IFERROR(__xludf.DUMMYFUNCTION("""COMPUTED_VALUE"""),"wizard-world-wiz")</f>
        <v>wizard-world-wiz</v>
      </c>
      <c r="B14048" s="2" t="str">
        <f ca="1">IFERROR(__xludf.DUMMYFUNCTION("""COMPUTED_VALUE"""),"wiz")</f>
        <v>wiz</v>
      </c>
      <c r="C14048" s="2" t="str">
        <f ca="1">IFERROR(__xludf.DUMMYFUNCTION("""COMPUTED_VALUE"""),"Wizard World WIZ")</f>
        <v>Wizard World WIZ</v>
      </c>
    </row>
    <row r="14049" spans="1:3" x14ac:dyDescent="0.25">
      <c r="A14049" s="2" t="str">
        <f ca="1">IFERROR(__xludf.DUMMYFUNCTION("""COMPUTED_VALUE"""),"wizarre-scroll")</f>
        <v>wizarre-scroll</v>
      </c>
      <c r="B14049" s="2" t="str">
        <f ca="1">IFERROR(__xludf.DUMMYFUNCTION("""COMPUTED_VALUE"""),"scrl")</f>
        <v>scrl</v>
      </c>
      <c r="C14049" s="2" t="str">
        <f ca="1">IFERROR(__xludf.DUMMYFUNCTION("""COMPUTED_VALUE"""),"Wizarre Scroll")</f>
        <v>Wizarre Scroll</v>
      </c>
    </row>
    <row r="14050" spans="1:3" x14ac:dyDescent="0.25">
      <c r="A14050" s="2" t="str">
        <f ca="1">IFERROR(__xludf.DUMMYFUNCTION("""COMPUTED_VALUE"""),"wizzie")</f>
        <v>wizzie</v>
      </c>
      <c r="B14050" s="2" t="str">
        <f ca="1">IFERROR(__xludf.DUMMYFUNCTION("""COMPUTED_VALUE"""),"wizzie")</f>
        <v>wizzie</v>
      </c>
      <c r="C14050" s="2" t="str">
        <f ca="1">IFERROR(__xludf.DUMMYFUNCTION("""COMPUTED_VALUE"""),"WIZZIE")</f>
        <v>WIZZIE</v>
      </c>
    </row>
    <row r="14051" spans="1:3" x14ac:dyDescent="0.25">
      <c r="A14051" s="2" t="str">
        <f ca="1">IFERROR(__xludf.DUMMYFUNCTION("""COMPUTED_VALUE"""),"wjewel")</f>
        <v>wjewel</v>
      </c>
      <c r="B14051" s="2" t="str">
        <f ca="1">IFERROR(__xludf.DUMMYFUNCTION("""COMPUTED_VALUE"""),"wjewel")</f>
        <v>wjewel</v>
      </c>
      <c r="C14051" s="2" t="str">
        <f ca="1">IFERROR(__xludf.DUMMYFUNCTION("""COMPUTED_VALUE"""),"WJEWEL")</f>
        <v>WJEWEL</v>
      </c>
    </row>
    <row r="14052" spans="1:3" x14ac:dyDescent="0.25">
      <c r="A14052" s="2" t="str">
        <f ca="1">IFERROR(__xludf.DUMMYFUNCTION("""COMPUTED_VALUE"""),"wlitidao")</f>
        <v>wlitidao</v>
      </c>
      <c r="B14052" s="2" t="str">
        <f ca="1">IFERROR(__xludf.DUMMYFUNCTION("""COMPUTED_VALUE"""),"wwd")</f>
        <v>wwd</v>
      </c>
      <c r="C14052" s="2" t="str">
        <f ca="1">IFERROR(__xludf.DUMMYFUNCTION("""COMPUTED_VALUE"""),"WolfWorksDAO")</f>
        <v>WolfWorksDAO</v>
      </c>
    </row>
    <row r="14053" spans="1:3" x14ac:dyDescent="0.25">
      <c r="A14053" s="2" t="str">
        <f ca="1">IFERROR(__xludf.DUMMYFUNCTION("""COMPUTED_VALUE"""),"wmatic")</f>
        <v>wmatic</v>
      </c>
      <c r="B14053" s="2" t="str">
        <f ca="1">IFERROR(__xludf.DUMMYFUNCTION("""COMPUTED_VALUE"""),"wpol")</f>
        <v>wpol</v>
      </c>
      <c r="C14053" s="2" t="str">
        <f ca="1">IFERROR(__xludf.DUMMYFUNCTION("""COMPUTED_VALUE"""),"Wrapped POL")</f>
        <v>Wrapped POL</v>
      </c>
    </row>
    <row r="14054" spans="1:3" x14ac:dyDescent="0.25">
      <c r="A14054" s="2" t="str">
        <f ca="1">IFERROR(__xludf.DUMMYFUNCTION("""COMPUTED_VALUE"""),"wmetis")</f>
        <v>wmetis</v>
      </c>
      <c r="B14054" s="2" t="str">
        <f ca="1">IFERROR(__xludf.DUMMYFUNCTION("""COMPUTED_VALUE"""),"wmetis")</f>
        <v>wmetis</v>
      </c>
      <c r="C14054" s="2" t="str">
        <f ca="1">IFERROR(__xludf.DUMMYFUNCTION("""COMPUTED_VALUE"""),"Wrapped Metis")</f>
        <v>Wrapped Metis</v>
      </c>
    </row>
    <row r="14055" spans="1:3" x14ac:dyDescent="0.25">
      <c r="A14055" s="2" t="str">
        <f ca="1">IFERROR(__xludf.DUMMYFUNCTION("""COMPUTED_VALUE"""),"wmlp")</f>
        <v>wmlp</v>
      </c>
      <c r="B14055" s="2" t="str">
        <f ca="1">IFERROR(__xludf.DUMMYFUNCTION("""COMPUTED_VALUE"""),"wmlpv2")</f>
        <v>wmlpv2</v>
      </c>
      <c r="C14055" s="2" t="str">
        <f ca="1">IFERROR(__xludf.DUMMYFUNCTION("""COMPUTED_VALUE"""),"wMLP")</f>
        <v>wMLP</v>
      </c>
    </row>
    <row r="14056" spans="1:3" x14ac:dyDescent="0.25">
      <c r="A14056" s="2" t="str">
        <f ca="1">IFERROR(__xludf.DUMMYFUNCTION("""COMPUTED_VALUE"""),"wodo")</f>
        <v>wodo</v>
      </c>
      <c r="B14056" s="2" t="str">
        <f ca="1">IFERROR(__xludf.DUMMYFUNCTION("""COMPUTED_VALUE"""),"wodo")</f>
        <v>wodo</v>
      </c>
      <c r="C14056" s="2" t="str">
        <f ca="1">IFERROR(__xludf.DUMMYFUNCTION("""COMPUTED_VALUE"""),"Wodo")</f>
        <v>Wodo</v>
      </c>
    </row>
    <row r="14057" spans="1:3" x14ac:dyDescent="0.25">
      <c r="A14057" s="2" t="str">
        <f ca="1">IFERROR(__xludf.DUMMYFUNCTION("""COMPUTED_VALUE"""),"wodo-gaming")</f>
        <v>wodo-gaming</v>
      </c>
      <c r="B14057" s="2" t="str">
        <f ca="1">IFERROR(__xludf.DUMMYFUNCTION("""COMPUTED_VALUE"""),"xwgt")</f>
        <v>xwgt</v>
      </c>
      <c r="C14057" s="2" t="str">
        <f ca="1">IFERROR(__xludf.DUMMYFUNCTION("""COMPUTED_VALUE"""),"Wodo Gaming")</f>
        <v>Wodo Gaming</v>
      </c>
    </row>
    <row r="14058" spans="1:3" x14ac:dyDescent="0.25">
      <c r="A14058" s="2" t="str">
        <f ca="1">IFERROR(__xludf.DUMMYFUNCTION("""COMPUTED_VALUE"""),"wojak")</f>
        <v>wojak</v>
      </c>
      <c r="B14058" s="2" t="str">
        <f ca="1">IFERROR(__xludf.DUMMYFUNCTION("""COMPUTED_VALUE"""),"wojak")</f>
        <v>wojak</v>
      </c>
      <c r="C14058" s="2" t="str">
        <f ca="1">IFERROR(__xludf.DUMMYFUNCTION("""COMPUTED_VALUE"""),"Wojak")</f>
        <v>Wojak</v>
      </c>
    </row>
    <row r="14059" spans="1:3" x14ac:dyDescent="0.25">
      <c r="A14059" s="2" t="str">
        <f ca="1">IFERROR(__xludf.DUMMYFUNCTION("""COMPUTED_VALUE"""),"wojak-2-0-coin")</f>
        <v>wojak-2-0-coin</v>
      </c>
      <c r="B14059" s="2" t="str">
        <f ca="1">IFERROR(__xludf.DUMMYFUNCTION("""COMPUTED_VALUE"""),"wojak 2.0")</f>
        <v>wojak 2.0</v>
      </c>
      <c r="C14059" s="2" t="str">
        <f ca="1">IFERROR(__xludf.DUMMYFUNCTION("""COMPUTED_VALUE"""),"Wojak 2.0 Coin")</f>
        <v>Wojak 2.0 Coin</v>
      </c>
    </row>
    <row r="14060" spans="1:3" x14ac:dyDescent="0.25">
      <c r="A14060" s="2" t="str">
        <f ca="1">IFERROR(__xludf.DUMMYFUNCTION("""COMPUTED_VALUE"""),"wojak-finance")</f>
        <v>wojak-finance</v>
      </c>
      <c r="B14060" s="2" t="str">
        <f ca="1">IFERROR(__xludf.DUMMYFUNCTION("""COMPUTED_VALUE"""),"woj")</f>
        <v>woj</v>
      </c>
      <c r="C14060" s="2" t="str">
        <f ca="1">IFERROR(__xludf.DUMMYFUNCTION("""COMPUTED_VALUE"""),"Wojak Finance")</f>
        <v>Wojak Finance</v>
      </c>
    </row>
    <row r="14061" spans="1:3" x14ac:dyDescent="0.25">
      <c r="A14061" s="2" t="str">
        <f ca="1">IFERROR(__xludf.DUMMYFUNCTION("""COMPUTED_VALUE"""),"wojak-mask")</f>
        <v>wojak-mask</v>
      </c>
      <c r="B14061" s="2" t="str">
        <f ca="1">IFERROR(__xludf.DUMMYFUNCTION("""COMPUTED_VALUE"""),"mask")</f>
        <v>mask</v>
      </c>
      <c r="C14061" s="2" t="str">
        <f ca="1">IFERROR(__xludf.DUMMYFUNCTION("""COMPUTED_VALUE"""),"Wojak Mask")</f>
        <v>Wojak Mask</v>
      </c>
    </row>
    <row r="14062" spans="1:3" x14ac:dyDescent="0.25">
      <c r="A14062" s="2" t="str">
        <f ca="1">IFERROR(__xludf.DUMMYFUNCTION("""COMPUTED_VALUE"""),"wojakpepe")</f>
        <v>wojakpepe</v>
      </c>
      <c r="B14062" s="2" t="str">
        <f ca="1">IFERROR(__xludf.DUMMYFUNCTION("""COMPUTED_VALUE"""),"wope")</f>
        <v>wope</v>
      </c>
      <c r="C14062" s="2" t="str">
        <f ca="1">IFERROR(__xludf.DUMMYFUNCTION("""COMPUTED_VALUE"""),"WojakPepe")</f>
        <v>WojakPepe</v>
      </c>
    </row>
    <row r="14063" spans="1:3" x14ac:dyDescent="0.25">
      <c r="A14063" s="2" t="str">
        <f ca="1">IFERROR(__xludf.DUMMYFUNCTION("""COMPUTED_VALUE"""),"woke")</f>
        <v>woke</v>
      </c>
      <c r="B14063" s="2" t="str">
        <f ca="1">IFERROR(__xludf.DUMMYFUNCTION("""COMPUTED_VALUE"""),"woke")</f>
        <v>woke</v>
      </c>
      <c r="C14063" s="2" t="str">
        <f ca="1">IFERROR(__xludf.DUMMYFUNCTION("""COMPUTED_VALUE"""),"Woke")</f>
        <v>Woke</v>
      </c>
    </row>
    <row r="14064" spans="1:3" x14ac:dyDescent="0.25">
      <c r="A14064" s="2" t="str">
        <f ca="1">IFERROR(__xludf.DUMMYFUNCTION("""COMPUTED_VALUE"""),"woke-chain")</f>
        <v>woke-chain</v>
      </c>
      <c r="B14064" s="2" t="str">
        <f ca="1">IFERROR(__xludf.DUMMYFUNCTION("""COMPUTED_VALUE"""),"gowoke")</f>
        <v>gowoke</v>
      </c>
      <c r="C14064" s="2" t="str">
        <f ca="1">IFERROR(__xludf.DUMMYFUNCTION("""COMPUTED_VALUE"""),"Woke Chain")</f>
        <v>Woke Chain</v>
      </c>
    </row>
    <row r="14065" spans="1:3" x14ac:dyDescent="0.25">
      <c r="A14065" s="2" t="str">
        <f ca="1">IFERROR(__xludf.DUMMYFUNCTION("""COMPUTED_VALUE"""),"woke-frens")</f>
        <v>woke-frens</v>
      </c>
      <c r="B14065" s="2" t="str">
        <f ca="1">IFERROR(__xludf.DUMMYFUNCTION("""COMPUTED_VALUE"""),"woke")</f>
        <v>woke</v>
      </c>
      <c r="C14065" s="2" t="str">
        <f ca="1">IFERROR(__xludf.DUMMYFUNCTION("""COMPUTED_VALUE"""),"Woke Frens")</f>
        <v>Woke Frens</v>
      </c>
    </row>
    <row r="14066" spans="1:3" x14ac:dyDescent="0.25">
      <c r="A14066" s="2" t="str">
        <f ca="1">IFERROR(__xludf.DUMMYFUNCTION("""COMPUTED_VALUE"""),"wolf")</f>
        <v>wolf</v>
      </c>
      <c r="B14066" s="2" t="str">
        <f ca="1">IFERROR(__xludf.DUMMYFUNCTION("""COMPUTED_VALUE"""),"wolf")</f>
        <v>wolf</v>
      </c>
      <c r="C14066" s="2" t="str">
        <f ca="1">IFERROR(__xludf.DUMMYFUNCTION("""COMPUTED_VALUE"""),"WOLF")</f>
        <v>WOLF</v>
      </c>
    </row>
    <row r="14067" spans="1:3" x14ac:dyDescent="0.25">
      <c r="A14067" s="2" t="str">
        <f ca="1">IFERROR(__xludf.DUMMYFUNCTION("""COMPUTED_VALUE"""),"wolf-game-wool")</f>
        <v>wolf-game-wool</v>
      </c>
      <c r="B14067" s="2" t="str">
        <f ca="1">IFERROR(__xludf.DUMMYFUNCTION("""COMPUTED_VALUE"""),"wool")</f>
        <v>wool</v>
      </c>
      <c r="C14067" s="2" t="str">
        <f ca="1">IFERROR(__xludf.DUMMYFUNCTION("""COMPUTED_VALUE"""),"Wolf Game Wool")</f>
        <v>Wolf Game Wool</v>
      </c>
    </row>
    <row r="14068" spans="1:3" x14ac:dyDescent="0.25">
      <c r="A14068" s="2" t="str">
        <f ca="1">IFERROR(__xludf.DUMMYFUNCTION("""COMPUTED_VALUE"""),"wolf-inu")</f>
        <v>wolf-inu</v>
      </c>
      <c r="B14068" s="2" t="str">
        <f ca="1">IFERROR(__xludf.DUMMYFUNCTION("""COMPUTED_VALUE"""),"wolf inu")</f>
        <v>wolf inu</v>
      </c>
      <c r="C14068" s="2" t="str">
        <f ca="1">IFERROR(__xludf.DUMMYFUNCTION("""COMPUTED_VALUE"""),"WOLF INU")</f>
        <v>WOLF INU</v>
      </c>
    </row>
    <row r="14069" spans="1:3" x14ac:dyDescent="0.25">
      <c r="A14069" s="2" t="str">
        <f ca="1">IFERROR(__xludf.DUMMYFUNCTION("""COMPUTED_VALUE"""),"wolf-of-solana")</f>
        <v>wolf-of-solana</v>
      </c>
      <c r="B14069" s="2" t="str">
        <f ca="1">IFERROR(__xludf.DUMMYFUNCTION("""COMPUTED_VALUE"""),"wos")</f>
        <v>wos</v>
      </c>
      <c r="C14069" s="2" t="str">
        <f ca="1">IFERROR(__xludf.DUMMYFUNCTION("""COMPUTED_VALUE"""),"Wolf Of Solana")</f>
        <v>Wolf Of Solana</v>
      </c>
    </row>
    <row r="14070" spans="1:3" x14ac:dyDescent="0.25">
      <c r="A14070" s="2" t="str">
        <f ca="1">IFERROR(__xludf.DUMMYFUNCTION("""COMPUTED_VALUE"""),"wolf-of-wall-street")</f>
        <v>wolf-of-wall-street</v>
      </c>
      <c r="B14070" s="2" t="str">
        <f ca="1">IFERROR(__xludf.DUMMYFUNCTION("""COMPUTED_VALUE"""),"$wolf")</f>
        <v>$wolf</v>
      </c>
      <c r="C14070" s="2" t="str">
        <f ca="1">IFERROR(__xludf.DUMMYFUNCTION("""COMPUTED_VALUE"""),"Wolf of Wall Street")</f>
        <v>Wolf of Wall Street</v>
      </c>
    </row>
    <row r="14071" spans="1:3" x14ac:dyDescent="0.25">
      <c r="A14071" s="2" t="str">
        <f ca="1">IFERROR(__xludf.DUMMYFUNCTION("""COMPUTED_VALUE"""),"wolf-on-solana")</f>
        <v>wolf-on-solana</v>
      </c>
      <c r="B14071" s="2" t="str">
        <f ca="1">IFERROR(__xludf.DUMMYFUNCTION("""COMPUTED_VALUE"""),"wolf")</f>
        <v>wolf</v>
      </c>
      <c r="C14071" s="2" t="str">
        <f ca="1">IFERROR(__xludf.DUMMYFUNCTION("""COMPUTED_VALUE"""),"Wolf On Solana")</f>
        <v>Wolf On Solana</v>
      </c>
    </row>
    <row r="14072" spans="1:3" x14ac:dyDescent="0.25">
      <c r="A14072" s="2" t="str">
        <f ca="1">IFERROR(__xludf.DUMMYFUNCTION("""COMPUTED_VALUE"""),"wolfsafepoorpeople")</f>
        <v>wolfsafepoorpeople</v>
      </c>
      <c r="B14072" s="2" t="str">
        <f ca="1">IFERROR(__xludf.DUMMYFUNCTION("""COMPUTED_VALUE"""),"wspp")</f>
        <v>wspp</v>
      </c>
      <c r="C14072" s="2" t="str">
        <f ca="1">IFERROR(__xludf.DUMMYFUNCTION("""COMPUTED_VALUE"""),"WolfSafePoorPeople")</f>
        <v>WolfSafePoorPeople</v>
      </c>
    </row>
    <row r="14073" spans="1:3" x14ac:dyDescent="0.25">
      <c r="A14073" s="2" t="str">
        <f ca="1">IFERROR(__xludf.DUMMYFUNCTION("""COMPUTED_VALUE"""),"wolfsafepoorpeople-polygon")</f>
        <v>wolfsafepoorpeople-polygon</v>
      </c>
      <c r="B14073" s="2" t="str">
        <f ca="1">IFERROR(__xludf.DUMMYFUNCTION("""COMPUTED_VALUE"""),"wspp")</f>
        <v>wspp</v>
      </c>
      <c r="C14073" s="2" t="str">
        <f ca="1">IFERROR(__xludf.DUMMYFUNCTION("""COMPUTED_VALUE"""),"WolfSafePoorPeople Polygon")</f>
        <v>WolfSafePoorPeople Polygon</v>
      </c>
    </row>
    <row r="14074" spans="1:3" x14ac:dyDescent="0.25">
      <c r="A14074" s="2" t="str">
        <f ca="1">IFERROR(__xludf.DUMMYFUNCTION("""COMPUTED_VALUE"""),"wolf-skull")</f>
        <v>wolf-skull</v>
      </c>
      <c r="B14074" s="2" t="str">
        <f ca="1">IFERROR(__xludf.DUMMYFUNCTION("""COMPUTED_VALUE"""),"skull")</f>
        <v>skull</v>
      </c>
      <c r="C14074" s="2" t="str">
        <f ca="1">IFERROR(__xludf.DUMMYFUNCTION("""COMPUTED_VALUE"""),"WOLF SKULL")</f>
        <v>WOLF SKULL</v>
      </c>
    </row>
    <row r="14075" spans="1:3" x14ac:dyDescent="0.25">
      <c r="A14075" s="2" t="str">
        <f ca="1">IFERROR(__xludf.DUMMYFUNCTION("""COMPUTED_VALUE"""),"wolf-solana")</f>
        <v>wolf-solana</v>
      </c>
      <c r="B14075" s="2" t="str">
        <f ca="1">IFERROR(__xludf.DUMMYFUNCTION("""COMPUTED_VALUE"""),"wolf")</f>
        <v>wolf</v>
      </c>
      <c r="C14075" s="2" t="str">
        <f ca="1">IFERROR(__xludf.DUMMYFUNCTION("""COMPUTED_VALUE"""),"WOLF SOLANA")</f>
        <v>WOLF SOLANA</v>
      </c>
    </row>
    <row r="14076" spans="1:3" x14ac:dyDescent="0.25">
      <c r="A14076" s="2" t="str">
        <f ca="1">IFERROR(__xludf.DUMMYFUNCTION("""COMPUTED_VALUE"""),"wolfwifballz")</f>
        <v>wolfwifballz</v>
      </c>
      <c r="B14076" s="2" t="str">
        <f ca="1">IFERROR(__xludf.DUMMYFUNCTION("""COMPUTED_VALUE"""),"ballz")</f>
        <v>ballz</v>
      </c>
      <c r="C14076" s="2" t="str">
        <f ca="1">IFERROR(__xludf.DUMMYFUNCTION("""COMPUTED_VALUE"""),"WolfWifBallz")</f>
        <v>WolfWifBallz</v>
      </c>
    </row>
    <row r="14077" spans="1:3" x14ac:dyDescent="0.25">
      <c r="A14077" s="2" t="str">
        <f ca="1">IFERROR(__xludf.DUMMYFUNCTION("""COMPUTED_VALUE"""),"wolverinu-2")</f>
        <v>wolverinu-2</v>
      </c>
      <c r="B14077" s="2" t="str">
        <f ca="1">IFERROR(__xludf.DUMMYFUNCTION("""COMPUTED_VALUE"""),"wolverinu")</f>
        <v>wolverinu</v>
      </c>
      <c r="C14077" s="2" t="str">
        <f ca="1">IFERROR(__xludf.DUMMYFUNCTION("""COMPUTED_VALUE"""),"Wolverinu")</f>
        <v>Wolverinu</v>
      </c>
    </row>
    <row r="14078" spans="1:3" x14ac:dyDescent="0.25">
      <c r="A14078" s="2" t="str">
        <f ca="1">IFERROR(__xludf.DUMMYFUNCTION("""COMPUTED_VALUE"""),"woman-yelling-at-cat")</f>
        <v>woman-yelling-at-cat</v>
      </c>
      <c r="B14078" s="2" t="str">
        <f ca="1">IFERROR(__xludf.DUMMYFUNCTION("""COMPUTED_VALUE"""),"wyac")</f>
        <v>wyac</v>
      </c>
      <c r="C14078" s="2" t="str">
        <f ca="1">IFERROR(__xludf.DUMMYFUNCTION("""COMPUTED_VALUE"""),"Woman Yelling At Cat")</f>
        <v>Woman Yelling At Cat</v>
      </c>
    </row>
    <row r="14079" spans="1:3" x14ac:dyDescent="0.25">
      <c r="A14079" s="2" t="str">
        <f ca="1">IFERROR(__xludf.DUMMYFUNCTION("""COMPUTED_VALUE"""),"wombat")</f>
        <v>wombat</v>
      </c>
      <c r="B14079" s="2" t="str">
        <f ca="1">IFERROR(__xludf.DUMMYFUNCTION("""COMPUTED_VALUE"""),"wombat")</f>
        <v>wombat</v>
      </c>
      <c r="C14079" s="2" t="str">
        <f ca="1">IFERROR(__xludf.DUMMYFUNCTION("""COMPUTED_VALUE"""),"Wombat")</f>
        <v>Wombat</v>
      </c>
    </row>
    <row r="14080" spans="1:3" x14ac:dyDescent="0.25">
      <c r="A14080" s="2" t="str">
        <f ca="1">IFERROR(__xludf.DUMMYFUNCTION("""COMPUTED_VALUE"""),"wombat-exchange")</f>
        <v>wombat-exchange</v>
      </c>
      <c r="B14080" s="2" t="str">
        <f ca="1">IFERROR(__xludf.DUMMYFUNCTION("""COMPUTED_VALUE"""),"wom")</f>
        <v>wom</v>
      </c>
      <c r="C14080" s="2" t="str">
        <f ca="1">IFERROR(__xludf.DUMMYFUNCTION("""COMPUTED_VALUE"""),"Wombat Exchange")</f>
        <v>Wombat Exchange</v>
      </c>
    </row>
    <row r="14081" spans="1:3" x14ac:dyDescent="0.25">
      <c r="A14081" s="2" t="str">
        <f ca="1">IFERROR(__xludf.DUMMYFUNCTION("""COMPUTED_VALUE"""),"wom-token")</f>
        <v>wom-token</v>
      </c>
      <c r="B14081" s="2" t="str">
        <f ca="1">IFERROR(__xludf.DUMMYFUNCTION("""COMPUTED_VALUE"""),"wom")</f>
        <v>wom</v>
      </c>
      <c r="C14081" s="2" t="str">
        <f ca="1">IFERROR(__xludf.DUMMYFUNCTION("""COMPUTED_VALUE"""),"WOM Protocol")</f>
        <v>WOM Protocol</v>
      </c>
    </row>
    <row r="14082" spans="1:3" x14ac:dyDescent="0.25">
      <c r="A14082" s="2" t="str">
        <f ca="1">IFERROR(__xludf.DUMMYFUNCTION("""COMPUTED_VALUE"""),"wonderland")</f>
        <v>wonderland</v>
      </c>
      <c r="B14082" s="2" t="str">
        <f ca="1">IFERROR(__xludf.DUMMYFUNCTION("""COMPUTED_VALUE"""),"time")</f>
        <v>time</v>
      </c>
      <c r="C14082" s="2" t="str">
        <f ca="1">IFERROR(__xludf.DUMMYFUNCTION("""COMPUTED_VALUE"""),"Wonderland TIME")</f>
        <v>Wonderland TIME</v>
      </c>
    </row>
    <row r="14083" spans="1:3" x14ac:dyDescent="0.25">
      <c r="A14083" s="2" t="str">
        <f ca="1">IFERROR(__xludf.DUMMYFUNCTION("""COMPUTED_VALUE"""),"wonderman-nation")</f>
        <v>wonderman-nation</v>
      </c>
      <c r="B14083" s="2" t="str">
        <f ca="1">IFERROR(__xludf.DUMMYFUNCTION("""COMPUTED_VALUE"""),"wndr")</f>
        <v>wndr</v>
      </c>
      <c r="C14083" s="2" t="str">
        <f ca="1">IFERROR(__xludf.DUMMYFUNCTION("""COMPUTED_VALUE"""),"Wonderman Nation")</f>
        <v>Wonderman Nation</v>
      </c>
    </row>
    <row r="14084" spans="1:3" x14ac:dyDescent="0.25">
      <c r="A14084" s="2" t="str">
        <f ca="1">IFERROR(__xludf.DUMMYFUNCTION("""COMPUTED_VALUE"""),"woof")</f>
        <v>woof</v>
      </c>
      <c r="B14084" s="2" t="str">
        <f ca="1">IFERROR(__xludf.DUMMYFUNCTION("""COMPUTED_VALUE"""),"fine")</f>
        <v>fine</v>
      </c>
      <c r="C14084" s="2" t="str">
        <f ca="1">IFERROR(__xludf.DUMMYFUNCTION("""COMPUTED_VALUE"""),"This is Fine (SOL)")</f>
        <v>This is Fine (SOL)</v>
      </c>
    </row>
    <row r="14085" spans="1:3" x14ac:dyDescent="0.25">
      <c r="A14085" s="2" t="str">
        <f ca="1">IFERROR(__xludf.DUMMYFUNCTION("""COMPUTED_VALUE"""),"wooforacle")</f>
        <v>wooforacle</v>
      </c>
      <c r="B14085" s="2" t="str">
        <f ca="1">IFERROR(__xludf.DUMMYFUNCTION("""COMPUTED_VALUE"""),"wfo")</f>
        <v>wfo</v>
      </c>
      <c r="C14085" s="2" t="str">
        <f ca="1">IFERROR(__xludf.DUMMYFUNCTION("""COMPUTED_VALUE"""),"WoofOracle")</f>
        <v>WoofOracle</v>
      </c>
    </row>
    <row r="14086" spans="1:3" x14ac:dyDescent="0.25">
      <c r="A14086" s="2" t="str">
        <f ca="1">IFERROR(__xludf.DUMMYFUNCTION("""COMPUTED_VALUE"""),"woof-token")</f>
        <v>woof-token</v>
      </c>
      <c r="B14086" s="2" t="str">
        <f ca="1">IFERROR(__xludf.DUMMYFUNCTION("""COMPUTED_VALUE"""),"woof")</f>
        <v>woof</v>
      </c>
      <c r="C14086" s="2" t="str">
        <f ca="1">IFERROR(__xludf.DUMMYFUNCTION("""COMPUTED_VALUE"""),"WOOF")</f>
        <v>WOOF</v>
      </c>
    </row>
    <row r="14087" spans="1:3" x14ac:dyDescent="0.25">
      <c r="A14087" s="2" t="str">
        <f ca="1">IFERROR(__xludf.DUMMYFUNCTION("""COMPUTED_VALUE"""),"woofwork-io")</f>
        <v>woofwork-io</v>
      </c>
      <c r="B14087" s="2" t="str">
        <f ca="1">IFERROR(__xludf.DUMMYFUNCTION("""COMPUTED_VALUE"""),"woof")</f>
        <v>woof</v>
      </c>
      <c r="C14087" s="3" t="str">
        <f ca="1">IFERROR(__xludf.DUMMYFUNCTION("""COMPUTED_VALUE"""),"WoofWork.io")</f>
        <v>WoofWork.io</v>
      </c>
    </row>
    <row r="14088" spans="1:3" x14ac:dyDescent="0.25">
      <c r="A14088" s="2" t="str">
        <f ca="1">IFERROR(__xludf.DUMMYFUNCTION("""COMPUTED_VALUE"""),"woo-network")</f>
        <v>woo-network</v>
      </c>
      <c r="B14088" s="2" t="str">
        <f ca="1">IFERROR(__xludf.DUMMYFUNCTION("""COMPUTED_VALUE"""),"woo")</f>
        <v>woo</v>
      </c>
      <c r="C14088" s="2" t="str">
        <f ca="1">IFERROR(__xludf.DUMMYFUNCTION("""COMPUTED_VALUE"""),"WOO")</f>
        <v>WOO</v>
      </c>
    </row>
    <row r="14089" spans="1:3" x14ac:dyDescent="0.25">
      <c r="A14089" s="2" t="str">
        <f ca="1">IFERROR(__xludf.DUMMYFUNCTION("""COMPUTED_VALUE"""),"woonkly-power")</f>
        <v>woonkly-power</v>
      </c>
      <c r="B14089" s="2" t="str">
        <f ca="1">IFERROR(__xludf.DUMMYFUNCTION("""COMPUTED_VALUE"""),"woop")</f>
        <v>woop</v>
      </c>
      <c r="C14089" s="2" t="str">
        <f ca="1">IFERROR(__xludf.DUMMYFUNCTION("""COMPUTED_VALUE"""),"Woonkly")</f>
        <v>Woonkly</v>
      </c>
    </row>
    <row r="14090" spans="1:3" x14ac:dyDescent="0.25">
      <c r="A14090" s="2" t="str">
        <f ca="1">IFERROR(__xludf.DUMMYFUNCTION("""COMPUTED_VALUE"""),"wooooo-coin")</f>
        <v>wooooo-coin</v>
      </c>
      <c r="B14090" s="2" t="str">
        <f ca="1">IFERROR(__xludf.DUMMYFUNCTION("""COMPUTED_VALUE"""),"wooooo!")</f>
        <v>wooooo!</v>
      </c>
      <c r="C14090" s="2" t="str">
        <f ca="1">IFERROR(__xludf.DUMMYFUNCTION("""COMPUTED_VALUE"""),"Wooooo! Coin")</f>
        <v>Wooooo! Coin</v>
      </c>
    </row>
    <row r="14091" spans="1:3" x14ac:dyDescent="0.25">
      <c r="A14091" s="2" t="str">
        <f ca="1">IFERROR(__xludf.DUMMYFUNCTION("""COMPUTED_VALUE"""),"woop")</f>
        <v>woop</v>
      </c>
      <c r="B14091" s="2" t="str">
        <f ca="1">IFERROR(__xludf.DUMMYFUNCTION("""COMPUTED_VALUE"""),"woop")</f>
        <v>woop</v>
      </c>
      <c r="C14091" s="2" t="str">
        <f ca="1">IFERROR(__xludf.DUMMYFUNCTION("""COMPUTED_VALUE"""),"WOOP")</f>
        <v>WOOP</v>
      </c>
    </row>
    <row r="14092" spans="1:3" x14ac:dyDescent="0.25">
      <c r="A14092" s="2" t="str">
        <f ca="1">IFERROR(__xludf.DUMMYFUNCTION("""COMPUTED_VALUE"""),"woosh")</f>
        <v>woosh</v>
      </c>
      <c r="B14092" s="2" t="str">
        <f ca="1">IFERROR(__xludf.DUMMYFUNCTION("""COMPUTED_VALUE"""),"woosh")</f>
        <v>woosh</v>
      </c>
      <c r="C14092" s="2" t="str">
        <f ca="1">IFERROR(__xludf.DUMMYFUNCTION("""COMPUTED_VALUE"""),"woosh")</f>
        <v>woosh</v>
      </c>
    </row>
    <row r="14093" spans="1:3" x14ac:dyDescent="0.25">
      <c r="A14093" s="2" t="str">
        <f ca="1">IFERROR(__xludf.DUMMYFUNCTION("""COMPUTED_VALUE"""),"woozoo-music")</f>
        <v>woozoo-music</v>
      </c>
      <c r="B14093" s="2" t="str">
        <f ca="1">IFERROR(__xludf.DUMMYFUNCTION("""COMPUTED_VALUE"""),"wzm")</f>
        <v>wzm</v>
      </c>
      <c r="C14093" s="2" t="str">
        <f ca="1">IFERROR(__xludf.DUMMYFUNCTION("""COMPUTED_VALUE"""),"Woozoo Music")</f>
        <v>Woozoo Music</v>
      </c>
    </row>
    <row r="14094" spans="1:3" x14ac:dyDescent="0.25">
      <c r="A14094" s="2" t="str">
        <f ca="1">IFERROR(__xludf.DUMMYFUNCTION("""COMPUTED_VALUE"""),"work")</f>
        <v>work</v>
      </c>
      <c r="B14094" s="2" t="str">
        <f ca="1">IFERROR(__xludf.DUMMYFUNCTION("""COMPUTED_VALUE"""),"work")</f>
        <v>work</v>
      </c>
      <c r="C14094" s="2" t="str">
        <f ca="1">IFERROR(__xludf.DUMMYFUNCTION("""COMPUTED_VALUE"""),"WORK")</f>
        <v>WORK</v>
      </c>
    </row>
    <row r="14095" spans="1:3" x14ac:dyDescent="0.25">
      <c r="A14095" s="2" t="str">
        <f ca="1">IFERROR(__xludf.DUMMYFUNCTION("""COMPUTED_VALUE"""),"work-for-your-bags")</f>
        <v>work-for-your-bags</v>
      </c>
      <c r="B14095" s="2" t="str">
        <f ca="1">IFERROR(__xludf.DUMMYFUNCTION("""COMPUTED_VALUE"""),"work")</f>
        <v>work</v>
      </c>
      <c r="C14095" s="2" t="str">
        <f ca="1">IFERROR(__xludf.DUMMYFUNCTION("""COMPUTED_VALUE"""),"WORK FOR YOUR BAGS [OLD]")</f>
        <v>WORK FOR YOUR BAGS [OLD]</v>
      </c>
    </row>
    <row r="14096" spans="1:3" x14ac:dyDescent="0.25">
      <c r="A14096" s="2" t="str">
        <f ca="1">IFERROR(__xludf.DUMMYFUNCTION("""COMPUTED_VALUE"""),"work-for-your-bags-2")</f>
        <v>work-for-your-bags-2</v>
      </c>
      <c r="B14096" s="2" t="str">
        <f ca="1">IFERROR(__xludf.DUMMYFUNCTION("""COMPUTED_VALUE"""),"work")</f>
        <v>work</v>
      </c>
      <c r="C14096" s="2" t="str">
        <f ca="1">IFERROR(__xludf.DUMMYFUNCTION("""COMPUTED_VALUE"""),"WORK FOR YOUR BAGS")</f>
        <v>WORK FOR YOUR BAGS</v>
      </c>
    </row>
    <row r="14097" spans="1:3" x14ac:dyDescent="0.25">
      <c r="A14097" s="2" t="str">
        <f ca="1">IFERROR(__xludf.DUMMYFUNCTION("""COMPUTED_VALUE"""),"workie")</f>
        <v>workie</v>
      </c>
      <c r="B14097" s="2" t="str">
        <f ca="1">IFERROR(__xludf.DUMMYFUNCTION("""COMPUTED_VALUE"""),"workie")</f>
        <v>workie</v>
      </c>
      <c r="C14097" s="2" t="str">
        <f ca="1">IFERROR(__xludf.DUMMYFUNCTION("""COMPUTED_VALUE"""),"Workie")</f>
        <v>Workie</v>
      </c>
    </row>
    <row r="14098" spans="1:3" x14ac:dyDescent="0.25">
      <c r="A14098" s="2" t="str">
        <f ca="1">IFERROR(__xludf.DUMMYFUNCTION("""COMPUTED_VALUE"""),"workoutapp")</f>
        <v>workoutapp</v>
      </c>
      <c r="B14098" s="2" t="str">
        <f ca="1">IFERROR(__xludf.DUMMYFUNCTION("""COMPUTED_VALUE"""),"wrt")</f>
        <v>wrt</v>
      </c>
      <c r="C14098" s="2" t="str">
        <f ca="1">IFERROR(__xludf.DUMMYFUNCTION("""COMPUTED_VALUE"""),"WorkoutApp")</f>
        <v>WorkoutApp</v>
      </c>
    </row>
    <row r="14099" spans="1:3" x14ac:dyDescent="0.25">
      <c r="A14099" s="2" t="str">
        <f ca="1">IFERROR(__xludf.DUMMYFUNCTION("""COMPUTED_VALUE"""),"work-quest-2")</f>
        <v>work-quest-2</v>
      </c>
      <c r="B14099" s="2" t="str">
        <f ca="1">IFERROR(__xludf.DUMMYFUNCTION("""COMPUTED_VALUE"""),"wqt")</f>
        <v>wqt</v>
      </c>
      <c r="C14099" s="2" t="str">
        <f ca="1">IFERROR(__xludf.DUMMYFUNCTION("""COMPUTED_VALUE"""),"Work Quest")</f>
        <v>Work Quest</v>
      </c>
    </row>
    <row r="14100" spans="1:3" x14ac:dyDescent="0.25">
      <c r="A14100" s="2" t="str">
        <f ca="1">IFERROR(__xludf.DUMMYFUNCTION("""COMPUTED_VALUE"""),"work-x")</f>
        <v>work-x</v>
      </c>
      <c r="B14100" s="2" t="str">
        <f ca="1">IFERROR(__xludf.DUMMYFUNCTION("""COMPUTED_VALUE"""),"work")</f>
        <v>work</v>
      </c>
      <c r="C14100" s="2" t="str">
        <f ca="1">IFERROR(__xludf.DUMMYFUNCTION("""COMPUTED_VALUE"""),"Work X")</f>
        <v>Work X</v>
      </c>
    </row>
    <row r="14101" spans="1:3" x14ac:dyDescent="0.25">
      <c r="A14101" s="2" t="str">
        <f ca="1">IFERROR(__xludf.DUMMYFUNCTION("""COMPUTED_VALUE"""),"worldbrain-coin")</f>
        <v>worldbrain-coin</v>
      </c>
      <c r="B14101" s="2" t="str">
        <f ca="1">IFERROR(__xludf.DUMMYFUNCTION("""COMPUTED_VALUE"""),"wbc")</f>
        <v>wbc</v>
      </c>
      <c r="C14101" s="2" t="str">
        <f ca="1">IFERROR(__xludf.DUMMYFUNCTION("""COMPUTED_VALUE"""),"WorldBrain Coin")</f>
        <v>WorldBrain Coin</v>
      </c>
    </row>
    <row r="14102" spans="1:3" x14ac:dyDescent="0.25">
      <c r="A14102" s="2" t="str">
        <f ca="1">IFERROR(__xludf.DUMMYFUNCTION("""COMPUTED_VALUE"""),"worldcoin")</f>
        <v>worldcoin</v>
      </c>
      <c r="B14102" s="2" t="str">
        <f ca="1">IFERROR(__xludf.DUMMYFUNCTION("""COMPUTED_VALUE"""),"wdc")</f>
        <v>wdc</v>
      </c>
      <c r="C14102" s="2" t="str">
        <f ca="1">IFERROR(__xludf.DUMMYFUNCTION("""COMPUTED_VALUE"""),"WorldCoin")</f>
        <v>WorldCoin</v>
      </c>
    </row>
    <row r="14103" spans="1:3" x14ac:dyDescent="0.25">
      <c r="A14103" s="2" t="str">
        <f ca="1">IFERROR(__xludf.DUMMYFUNCTION("""COMPUTED_VALUE"""),"worldcoin-wld")</f>
        <v>worldcoin-wld</v>
      </c>
      <c r="B14103" s="2" t="str">
        <f ca="1">IFERROR(__xludf.DUMMYFUNCTION("""COMPUTED_VALUE"""),"wld")</f>
        <v>wld</v>
      </c>
      <c r="C14103" s="2" t="str">
        <f ca="1">IFERROR(__xludf.DUMMYFUNCTION("""COMPUTED_VALUE"""),"Worldcoin")</f>
        <v>Worldcoin</v>
      </c>
    </row>
    <row r="14104" spans="1:3" x14ac:dyDescent="0.25">
      <c r="A14104" s="2" t="str">
        <f ca="1">IFERROR(__xludf.DUMMYFUNCTION("""COMPUTED_VALUE"""),"worldcore")</f>
        <v>worldcore</v>
      </c>
      <c r="B14104" s="2" t="str">
        <f ca="1">IFERROR(__xludf.DUMMYFUNCTION("""COMPUTED_VALUE"""),"wrc")</f>
        <v>wrc</v>
      </c>
      <c r="C14104" s="2" t="str">
        <f ca="1">IFERROR(__xludf.DUMMYFUNCTION("""COMPUTED_VALUE"""),"Worldcore [OLD]")</f>
        <v>Worldcore [OLD]</v>
      </c>
    </row>
    <row r="14105" spans="1:3" x14ac:dyDescent="0.25">
      <c r="A14105" s="2" t="str">
        <f ca="1">IFERROR(__xludf.DUMMYFUNCTION("""COMPUTED_VALUE"""),"world-earn-play-community")</f>
        <v>world-earn-play-community</v>
      </c>
      <c r="B14105" s="2" t="str">
        <f ca="1">IFERROR(__xludf.DUMMYFUNCTION("""COMPUTED_VALUE"""),"wepc")</f>
        <v>wepc</v>
      </c>
      <c r="C14105" s="2" t="str">
        <f ca="1">IFERROR(__xludf.DUMMYFUNCTION("""COMPUTED_VALUE"""),"World Earn &amp; Play Community")</f>
        <v>World Earn &amp; Play Community</v>
      </c>
    </row>
    <row r="14106" spans="1:3" x14ac:dyDescent="0.25">
      <c r="A14106" s="2" t="str">
        <f ca="1">IFERROR(__xludf.DUMMYFUNCTION("""COMPUTED_VALUE"""),"worldland")</f>
        <v>worldland</v>
      </c>
      <c r="B14106" s="2" t="str">
        <f ca="1">IFERROR(__xludf.DUMMYFUNCTION("""COMPUTED_VALUE"""),"wlc")</f>
        <v>wlc</v>
      </c>
      <c r="C14106" s="2" t="str">
        <f ca="1">IFERROR(__xludf.DUMMYFUNCTION("""COMPUTED_VALUE"""),"WorldLand")</f>
        <v>WorldLand</v>
      </c>
    </row>
    <row r="14107" spans="1:3" x14ac:dyDescent="0.25">
      <c r="A14107" s="2" t="str">
        <f ca="1">IFERROR(__xludf.DUMMYFUNCTION("""COMPUTED_VALUE"""),"world-mobile-token")</f>
        <v>world-mobile-token</v>
      </c>
      <c r="B14107" s="2" t="str">
        <f ca="1">IFERROR(__xludf.DUMMYFUNCTION("""COMPUTED_VALUE"""),"wmtx")</f>
        <v>wmtx</v>
      </c>
      <c r="C14107" s="2" t="str">
        <f ca="1">IFERROR(__xludf.DUMMYFUNCTION("""COMPUTED_VALUE"""),"World Mobile Token")</f>
        <v>World Mobile Token</v>
      </c>
    </row>
    <row r="14108" spans="1:3" x14ac:dyDescent="0.25">
      <c r="A14108" s="2" t="str">
        <f ca="1">IFERROR(__xludf.DUMMYFUNCTION("""COMPUTED_VALUE"""),"world-of-defish")</f>
        <v>world-of-defish</v>
      </c>
      <c r="B14108" s="2" t="str">
        <f ca="1">IFERROR(__xludf.DUMMYFUNCTION("""COMPUTED_VALUE"""),"wod")</f>
        <v>wod</v>
      </c>
      <c r="C14108" s="2" t="str">
        <f ca="1">IFERROR(__xludf.DUMMYFUNCTION("""COMPUTED_VALUE"""),"World of Defish")</f>
        <v>World of Defish</v>
      </c>
    </row>
    <row r="14109" spans="1:3" x14ac:dyDescent="0.25">
      <c r="A14109" s="2" t="str">
        <f ca="1">IFERROR(__xludf.DUMMYFUNCTION("""COMPUTED_VALUE"""),"world-peace-coin")</f>
        <v>world-peace-coin</v>
      </c>
      <c r="B14109" s="2" t="str">
        <f ca="1">IFERROR(__xludf.DUMMYFUNCTION("""COMPUTED_VALUE"""),"wpc")</f>
        <v>wpc</v>
      </c>
      <c r="C14109" s="2" t="str">
        <f ca="1">IFERROR(__xludf.DUMMYFUNCTION("""COMPUTED_VALUE"""),"WORLD PEACE COIN")</f>
        <v>WORLD PEACE COIN</v>
      </c>
    </row>
    <row r="14110" spans="1:3" x14ac:dyDescent="0.25">
      <c r="A14110" s="2" t="str">
        <f ca="1">IFERROR(__xludf.DUMMYFUNCTION("""COMPUTED_VALUE"""),"world-record-banana")</f>
        <v>world-record-banana</v>
      </c>
      <c r="B14110" s="2" t="str">
        <f ca="1">IFERROR(__xludf.DUMMYFUNCTION("""COMPUTED_VALUE"""),"banana")</f>
        <v>banana</v>
      </c>
      <c r="C14110" s="2" t="str">
        <f ca="1">IFERROR(__xludf.DUMMYFUNCTION("""COMPUTED_VALUE"""),"World Record Banana")</f>
        <v>World Record Banana</v>
      </c>
    </row>
    <row r="14111" spans="1:3" x14ac:dyDescent="0.25">
      <c r="A14111" s="2" t="str">
        <f ca="1">IFERROR(__xludf.DUMMYFUNCTION("""COMPUTED_VALUE"""),"worldwide-usd")</f>
        <v>worldwide-usd</v>
      </c>
      <c r="B14111" s="2" t="str">
        <f ca="1">IFERROR(__xludf.DUMMYFUNCTION("""COMPUTED_VALUE"""),"wusd")</f>
        <v>wusd</v>
      </c>
      <c r="C14111" s="2" t="str">
        <f ca="1">IFERROR(__xludf.DUMMYFUNCTION("""COMPUTED_VALUE"""),"Worldwide USD")</f>
        <v>Worldwide USD</v>
      </c>
    </row>
    <row r="14112" spans="1:3" x14ac:dyDescent="0.25">
      <c r="A14112" s="2" t="str">
        <f ca="1">IFERROR(__xludf.DUMMYFUNCTION("""COMPUTED_VALUE"""),"wormhole")</f>
        <v>wormhole</v>
      </c>
      <c r="B14112" s="2" t="str">
        <f ca="1">IFERROR(__xludf.DUMMYFUNCTION("""COMPUTED_VALUE"""),"w")</f>
        <v>w</v>
      </c>
      <c r="C14112" s="2" t="str">
        <f ca="1">IFERROR(__xludf.DUMMYFUNCTION("""COMPUTED_VALUE"""),"Wormhole")</f>
        <v>Wormhole</v>
      </c>
    </row>
    <row r="14113" spans="1:3" x14ac:dyDescent="0.25">
      <c r="A14113" s="2" t="str">
        <f ca="1">IFERROR(__xludf.DUMMYFUNCTION("""COMPUTED_VALUE"""),"wormhole-bridged-usdc-fantom")</f>
        <v>wormhole-bridged-usdc-fantom</v>
      </c>
      <c r="B14113" s="2" t="str">
        <f ca="1">IFERROR(__xludf.DUMMYFUNCTION("""COMPUTED_VALUE"""),"usdc")</f>
        <v>usdc</v>
      </c>
      <c r="C14113" s="2" t="str">
        <f ca="1">IFERROR(__xludf.DUMMYFUNCTION("""COMPUTED_VALUE"""),"Wormhole Bridged USDC (Fantom)")</f>
        <v>Wormhole Bridged USDC (Fantom)</v>
      </c>
    </row>
    <row r="14114" spans="1:3" x14ac:dyDescent="0.25">
      <c r="A14114" s="2" t="str">
        <f ca="1">IFERROR(__xludf.DUMMYFUNCTION("""COMPUTED_VALUE"""),"wormhole-bridged-weth-celo")</f>
        <v>wormhole-bridged-weth-celo</v>
      </c>
      <c r="B14114" s="2" t="str">
        <f ca="1">IFERROR(__xludf.DUMMYFUNCTION("""COMPUTED_VALUE"""),"weth")</f>
        <v>weth</v>
      </c>
      <c r="C14114" s="2" t="str">
        <f ca="1">IFERROR(__xludf.DUMMYFUNCTION("""COMPUTED_VALUE"""),"Wormhole Bridged WETH (Celo)")</f>
        <v>Wormhole Bridged WETH (Celo)</v>
      </c>
    </row>
    <row r="14115" spans="1:3" x14ac:dyDescent="0.25">
      <c r="A14115" s="2" t="str">
        <f ca="1">IFERROR(__xludf.DUMMYFUNCTION("""COMPUTED_VALUE"""),"wormhole-bridged-weth-moonbeam")</f>
        <v>wormhole-bridged-weth-moonbeam</v>
      </c>
      <c r="B14115" s="2" t="str">
        <f ca="1">IFERROR(__xludf.DUMMYFUNCTION("""COMPUTED_VALUE"""),"weth")</f>
        <v>weth</v>
      </c>
      <c r="C14115" s="2" t="str">
        <f ca="1">IFERROR(__xludf.DUMMYFUNCTION("""COMPUTED_VALUE"""),"Wormhole Bridged WETH (Moonbeam)")</f>
        <v>Wormhole Bridged WETH (Moonbeam)</v>
      </c>
    </row>
    <row r="14116" spans="1:3" x14ac:dyDescent="0.25">
      <c r="A14116" s="2" t="str">
        <f ca="1">IFERROR(__xludf.DUMMYFUNCTION("""COMPUTED_VALUE"""),"wortheum")</f>
        <v>wortheum</v>
      </c>
      <c r="B14116" s="2" t="str">
        <f ca="1">IFERROR(__xludf.DUMMYFUNCTION("""COMPUTED_VALUE"""),"worth")</f>
        <v>worth</v>
      </c>
      <c r="C14116" s="2" t="str">
        <f ca="1">IFERROR(__xludf.DUMMYFUNCTION("""COMPUTED_VALUE"""),"Wortheum")</f>
        <v>Wortheum</v>
      </c>
    </row>
    <row r="14117" spans="1:3" x14ac:dyDescent="0.25">
      <c r="A14117" s="2" t="str">
        <f ca="1">IFERROR(__xludf.DUMMYFUNCTION("""COMPUTED_VALUE"""),"wow")</f>
        <v>wow</v>
      </c>
      <c r="B14117" s="2" t="str">
        <f ca="1">IFERROR(__xludf.DUMMYFUNCTION("""COMPUTED_VALUE"""),"!")</f>
        <v>!</v>
      </c>
      <c r="C14117" s="2" t="str">
        <f ca="1">IFERROR(__xludf.DUMMYFUNCTION("""COMPUTED_VALUE"""),"WOW")</f>
        <v>WOW</v>
      </c>
    </row>
    <row r="14118" spans="1:3" x14ac:dyDescent="0.25">
      <c r="A14118" s="2" t="str">
        <f ca="1">IFERROR(__xludf.DUMMYFUNCTION("""COMPUTED_VALUE"""),"wownero")</f>
        <v>wownero</v>
      </c>
      <c r="B14118" s="2" t="str">
        <f ca="1">IFERROR(__xludf.DUMMYFUNCTION("""COMPUTED_VALUE"""),"wow")</f>
        <v>wow</v>
      </c>
      <c r="C14118" s="2" t="str">
        <f ca="1">IFERROR(__xludf.DUMMYFUNCTION("""COMPUTED_VALUE"""),"Wownero")</f>
        <v>Wownero</v>
      </c>
    </row>
    <row r="14119" spans="1:3" x14ac:dyDescent="0.25">
      <c r="A14119" s="2" t="str">
        <f ca="1">IFERROR(__xludf.DUMMYFUNCTION("""COMPUTED_VALUE"""),"wowo")</f>
        <v>wowo</v>
      </c>
      <c r="B14119" s="2" t="str">
        <f ca="1">IFERROR(__xludf.DUMMYFUNCTION("""COMPUTED_VALUE"""),"wowo")</f>
        <v>wowo</v>
      </c>
      <c r="C14119" s="2" t="str">
        <f ca="1">IFERROR(__xludf.DUMMYFUNCTION("""COMPUTED_VALUE"""),"WOWO")</f>
        <v>WOWO</v>
      </c>
    </row>
    <row r="14120" spans="1:3" x14ac:dyDescent="0.25">
      <c r="A14120" s="2" t="str">
        <f ca="1">IFERROR(__xludf.DUMMYFUNCTION("""COMPUTED_VALUE"""),"wowswap")</f>
        <v>wowswap</v>
      </c>
      <c r="B14120" s="2" t="str">
        <f ca="1">IFERROR(__xludf.DUMMYFUNCTION("""COMPUTED_VALUE"""),"wow")</f>
        <v>wow</v>
      </c>
      <c r="C14120" s="2" t="str">
        <f ca="1">IFERROR(__xludf.DUMMYFUNCTION("""COMPUTED_VALUE"""),"WOWswap")</f>
        <v>WOWswap</v>
      </c>
    </row>
    <row r="14121" spans="1:3" x14ac:dyDescent="0.25">
      <c r="A14121" s="2" t="str">
        <f ca="1">IFERROR(__xludf.DUMMYFUNCTION("""COMPUTED_VALUE"""),"wozx")</f>
        <v>wozx</v>
      </c>
      <c r="B14121" s="2" t="str">
        <f ca="1">IFERROR(__xludf.DUMMYFUNCTION("""COMPUTED_VALUE"""),"wozx")</f>
        <v>wozx</v>
      </c>
      <c r="C14121" s="2" t="str">
        <f ca="1">IFERROR(__xludf.DUMMYFUNCTION("""COMPUTED_VALUE"""),"Efforce")</f>
        <v>Efforce</v>
      </c>
    </row>
    <row r="14122" spans="1:3" x14ac:dyDescent="0.25">
      <c r="A14122" s="2" t="str">
        <f ca="1">IFERROR(__xludf.DUMMYFUNCTION("""COMPUTED_VALUE"""),"wpay")</f>
        <v>wpay</v>
      </c>
      <c r="B14122" s="2" t="str">
        <f ca="1">IFERROR(__xludf.DUMMYFUNCTION("""COMPUTED_VALUE"""),"wpay")</f>
        <v>wpay</v>
      </c>
      <c r="C14122" s="2" t="str">
        <f ca="1">IFERROR(__xludf.DUMMYFUNCTION("""COMPUTED_VALUE"""),"WPAY")</f>
        <v>WPAY</v>
      </c>
    </row>
    <row r="14123" spans="1:3" x14ac:dyDescent="0.25">
      <c r="A14123" s="2" t="str">
        <f ca="1">IFERROR(__xludf.DUMMYFUNCTION("""COMPUTED_VALUE"""),"wpt-investing-corp")</f>
        <v>wpt-investing-corp</v>
      </c>
      <c r="B14123" s="2" t="str">
        <f ca="1">IFERROR(__xludf.DUMMYFUNCTION("""COMPUTED_VALUE"""),"wpt")</f>
        <v>wpt</v>
      </c>
      <c r="C14123" s="2" t="str">
        <f ca="1">IFERROR(__xludf.DUMMYFUNCTION("""COMPUTED_VALUE"""),"WPT Investing Corp")</f>
        <v>WPT Investing Corp</v>
      </c>
    </row>
    <row r="14124" spans="1:3" x14ac:dyDescent="0.25">
      <c r="A14124" s="2" t="str">
        <f ca="1">IFERROR(__xludf.DUMMYFUNCTION("""COMPUTED_VALUE"""),"wrapped-accumulate")</f>
        <v>wrapped-accumulate</v>
      </c>
      <c r="B14124" s="2" t="str">
        <f ca="1">IFERROR(__xludf.DUMMYFUNCTION("""COMPUTED_VALUE"""),"wacme")</f>
        <v>wacme</v>
      </c>
      <c r="C14124" s="2" t="str">
        <f ca="1">IFERROR(__xludf.DUMMYFUNCTION("""COMPUTED_VALUE"""),"Wrapped Accumulate")</f>
        <v>Wrapped Accumulate</v>
      </c>
    </row>
    <row r="14125" spans="1:3" x14ac:dyDescent="0.25">
      <c r="A14125" s="2" t="str">
        <f ca="1">IFERROR(__xludf.DUMMYFUNCTION("""COMPUTED_VALUE"""),"wrapped-ace")</f>
        <v>wrapped-ace</v>
      </c>
      <c r="B14125" s="2" t="str">
        <f ca="1">IFERROR(__xludf.DUMMYFUNCTION("""COMPUTED_VALUE"""),"wace")</f>
        <v>wace</v>
      </c>
      <c r="C14125" s="2" t="str">
        <f ca="1">IFERROR(__xludf.DUMMYFUNCTION("""COMPUTED_VALUE"""),"Wrapped ACE")</f>
        <v>Wrapped ACE</v>
      </c>
    </row>
    <row r="14126" spans="1:3" x14ac:dyDescent="0.25">
      <c r="A14126" s="2" t="str">
        <f ca="1">IFERROR(__xludf.DUMMYFUNCTION("""COMPUTED_VALUE"""),"wrapped-ada")</f>
        <v>wrapped-ada</v>
      </c>
      <c r="B14126" s="2" t="str">
        <f ca="1">IFERROR(__xludf.DUMMYFUNCTION("""COMPUTED_VALUE"""),"wada")</f>
        <v>wada</v>
      </c>
      <c r="C14126" s="2" t="str">
        <f ca="1">IFERROR(__xludf.DUMMYFUNCTION("""COMPUTED_VALUE"""),"Wrapped ADA")</f>
        <v>Wrapped ADA</v>
      </c>
    </row>
    <row r="14127" spans="1:3" x14ac:dyDescent="0.25">
      <c r="A14127" s="2" t="str">
        <f ca="1">IFERROR(__xludf.DUMMYFUNCTION("""COMPUTED_VALUE"""),"wrapped-algo")</f>
        <v>wrapped-algo</v>
      </c>
      <c r="B14127" s="2" t="str">
        <f ca="1">IFERROR(__xludf.DUMMYFUNCTION("""COMPUTED_VALUE"""),"xalgo")</f>
        <v>xalgo</v>
      </c>
      <c r="C14127" s="2" t="str">
        <f ca="1">IFERROR(__xludf.DUMMYFUNCTION("""COMPUTED_VALUE"""),"Wrapped ALGO")</f>
        <v>Wrapped ALGO</v>
      </c>
    </row>
    <row r="14128" spans="1:3" x14ac:dyDescent="0.25">
      <c r="A14128" s="2" t="str">
        <f ca="1">IFERROR(__xludf.DUMMYFUNCTION("""COMPUTED_VALUE"""),"wrapped-ampleforth")</f>
        <v>wrapped-ampleforth</v>
      </c>
      <c r="B14128" s="2" t="str">
        <f ca="1">IFERROR(__xludf.DUMMYFUNCTION("""COMPUTED_VALUE"""),"wampl")</f>
        <v>wampl</v>
      </c>
      <c r="C14128" s="2" t="str">
        <f ca="1">IFERROR(__xludf.DUMMYFUNCTION("""COMPUTED_VALUE"""),"Wrapped Ampleforth")</f>
        <v>Wrapped Ampleforth</v>
      </c>
    </row>
    <row r="14129" spans="1:3" x14ac:dyDescent="0.25">
      <c r="A14129" s="2" t="str">
        <f ca="1">IFERROR(__xludf.DUMMYFUNCTION("""COMPUTED_VALUE"""),"wrapped-area")</f>
        <v>wrapped-area</v>
      </c>
      <c r="B14129" s="2" t="str">
        <f ca="1">IFERROR(__xludf.DUMMYFUNCTION("""COMPUTED_VALUE"""),"warea")</f>
        <v>warea</v>
      </c>
      <c r="C14129" s="2" t="str">
        <f ca="1">IFERROR(__xludf.DUMMYFUNCTION("""COMPUTED_VALUE"""),"Wrapped AREA")</f>
        <v>Wrapped AREA</v>
      </c>
    </row>
    <row r="14130" spans="1:3" x14ac:dyDescent="0.25">
      <c r="A14130" s="2" t="str">
        <f ca="1">IFERROR(__xludf.DUMMYFUNCTION("""COMPUTED_VALUE"""),"wrapped-astar")</f>
        <v>wrapped-astar</v>
      </c>
      <c r="B14130" s="2" t="str">
        <f ca="1">IFERROR(__xludf.DUMMYFUNCTION("""COMPUTED_VALUE"""),"wastr")</f>
        <v>wastr</v>
      </c>
      <c r="C14130" s="2" t="str">
        <f ca="1">IFERROR(__xludf.DUMMYFUNCTION("""COMPUTED_VALUE"""),"Wrapped ASTR")</f>
        <v>Wrapped ASTR</v>
      </c>
    </row>
    <row r="14131" spans="1:3" x14ac:dyDescent="0.25">
      <c r="A14131" s="2" t="str">
        <f ca="1">IFERROR(__xludf.DUMMYFUNCTION("""COMPUTED_VALUE"""),"wrapped-avax")</f>
        <v>wrapped-avax</v>
      </c>
      <c r="B14131" s="2" t="str">
        <f ca="1">IFERROR(__xludf.DUMMYFUNCTION("""COMPUTED_VALUE"""),"wavax")</f>
        <v>wavax</v>
      </c>
      <c r="C14131" s="2" t="str">
        <f ca="1">IFERROR(__xludf.DUMMYFUNCTION("""COMPUTED_VALUE"""),"Wrapped AVAX")</f>
        <v>Wrapped AVAX</v>
      </c>
    </row>
    <row r="14132" spans="1:3" x14ac:dyDescent="0.25">
      <c r="A14132" s="2" t="str">
        <f ca="1">IFERROR(__xludf.DUMMYFUNCTION("""COMPUTED_VALUE"""),"wrapped-avax-21-co")</f>
        <v>wrapped-avax-21-co</v>
      </c>
      <c r="B14132" s="2" t="str">
        <f ca="1">IFERROR(__xludf.DUMMYFUNCTION("""COMPUTED_VALUE"""),"21avax")</f>
        <v>21avax</v>
      </c>
      <c r="C14132" s="2" t="str">
        <f ca="1">IFERROR(__xludf.DUMMYFUNCTION("""COMPUTED_VALUE"""),"21.co Wrapped AVAX")</f>
        <v>21.co Wrapped AVAX</v>
      </c>
    </row>
    <row r="14133" spans="1:3" x14ac:dyDescent="0.25">
      <c r="A14133" s="2" t="str">
        <f ca="1">IFERROR(__xludf.DUMMYFUNCTION("""COMPUTED_VALUE"""),"wrapped-axelar")</f>
        <v>wrapped-axelar</v>
      </c>
      <c r="B14133" s="2" t="str">
        <f ca="1">IFERROR(__xludf.DUMMYFUNCTION("""COMPUTED_VALUE"""),"waxl")</f>
        <v>waxl</v>
      </c>
      <c r="C14133" s="2" t="str">
        <f ca="1">IFERROR(__xludf.DUMMYFUNCTION("""COMPUTED_VALUE"""),"Wrapped Axelar")</f>
        <v>Wrapped Axelar</v>
      </c>
    </row>
    <row r="14134" spans="1:3" x14ac:dyDescent="0.25">
      <c r="A14134" s="2" t="str">
        <f ca="1">IFERROR(__xludf.DUMMYFUNCTION("""COMPUTED_VALUE"""),"wrapped-ayeayecoin")</f>
        <v>wrapped-ayeayecoin</v>
      </c>
      <c r="B14134" s="2" t="str">
        <f ca="1">IFERROR(__xludf.DUMMYFUNCTION("""COMPUTED_VALUE"""),"waac")</f>
        <v>waac</v>
      </c>
      <c r="C14134" s="2" t="str">
        <f ca="1">IFERROR(__xludf.DUMMYFUNCTION("""COMPUTED_VALUE"""),"Wrapped AyeAyeCoin")</f>
        <v>Wrapped AyeAyeCoin</v>
      </c>
    </row>
    <row r="14135" spans="1:3" x14ac:dyDescent="0.25">
      <c r="A14135" s="2" t="str">
        <f ca="1">IFERROR(__xludf.DUMMYFUNCTION("""COMPUTED_VALUE"""),"wrapped-banano")</f>
        <v>wrapped-banano</v>
      </c>
      <c r="B14135" s="2" t="str">
        <f ca="1">IFERROR(__xludf.DUMMYFUNCTION("""COMPUTED_VALUE"""),"wban")</f>
        <v>wban</v>
      </c>
      <c r="C14135" s="2" t="str">
        <f ca="1">IFERROR(__xludf.DUMMYFUNCTION("""COMPUTED_VALUE"""),"Wrapped Banano")</f>
        <v>Wrapped Banano</v>
      </c>
    </row>
    <row r="14136" spans="1:3" x14ac:dyDescent="0.25">
      <c r="A14136" s="2" t="str">
        <f ca="1">IFERROR(__xludf.DUMMYFUNCTION("""COMPUTED_VALUE"""),"wrapped-basedoge")</f>
        <v>wrapped-basedoge</v>
      </c>
      <c r="B14136" s="2" t="str">
        <f ca="1">IFERROR(__xludf.DUMMYFUNCTION("""COMPUTED_VALUE"""),"wbasedoge")</f>
        <v>wbasedoge</v>
      </c>
      <c r="C14136" s="2" t="str">
        <f ca="1">IFERROR(__xludf.DUMMYFUNCTION("""COMPUTED_VALUE"""),"Wrapped BaseDOGE")</f>
        <v>Wrapped BaseDOGE</v>
      </c>
    </row>
    <row r="14137" spans="1:3" x14ac:dyDescent="0.25">
      <c r="A14137" s="2" t="str">
        <f ca="1">IFERROR(__xludf.DUMMYFUNCTION("""COMPUTED_VALUE"""),"wrapped-bch")</f>
        <v>wrapped-bch</v>
      </c>
      <c r="B14137" s="2" t="str">
        <f ca="1">IFERROR(__xludf.DUMMYFUNCTION("""COMPUTED_VALUE"""),"wbch")</f>
        <v>wbch</v>
      </c>
      <c r="C14137" s="2" t="str">
        <f ca="1">IFERROR(__xludf.DUMMYFUNCTION("""COMPUTED_VALUE"""),"Wrapped BCH")</f>
        <v>Wrapped BCH</v>
      </c>
    </row>
    <row r="14138" spans="1:3" x14ac:dyDescent="0.25">
      <c r="A14138" s="2" t="str">
        <f ca="1">IFERROR(__xludf.DUMMYFUNCTION("""COMPUTED_VALUE"""),"wrapped-bch-21-co")</f>
        <v>wrapped-bch-21-co</v>
      </c>
      <c r="B14138" s="2" t="str">
        <f ca="1">IFERROR(__xludf.DUMMYFUNCTION("""COMPUTED_VALUE"""),"21bch")</f>
        <v>21bch</v>
      </c>
      <c r="C14138" s="2" t="str">
        <f ca="1">IFERROR(__xludf.DUMMYFUNCTION("""COMPUTED_VALUE"""),"21.co Wrapped BCH")</f>
        <v>21.co Wrapped BCH</v>
      </c>
    </row>
    <row r="14139" spans="1:3" x14ac:dyDescent="0.25">
      <c r="A14139" s="2" t="str">
        <f ca="1">IFERROR(__xludf.DUMMYFUNCTION("""COMPUTED_VALUE"""),"wrapped-beacon-eth")</f>
        <v>wrapped-beacon-eth</v>
      </c>
      <c r="B14139" s="2" t="str">
        <f ca="1">IFERROR(__xludf.DUMMYFUNCTION("""COMPUTED_VALUE"""),"wbeth")</f>
        <v>wbeth</v>
      </c>
      <c r="C14139" s="2" t="str">
        <f ca="1">IFERROR(__xludf.DUMMYFUNCTION("""COMPUTED_VALUE"""),"Wrapped Beacon ETH")</f>
        <v>Wrapped Beacon ETH</v>
      </c>
    </row>
    <row r="14140" spans="1:3" x14ac:dyDescent="0.25">
      <c r="A14140" s="2" t="str">
        <f ca="1">IFERROR(__xludf.DUMMYFUNCTION("""COMPUTED_VALUE"""),"wrapped-bifrost")</f>
        <v>wrapped-bifrost</v>
      </c>
      <c r="B14140" s="2" t="str">
        <f ca="1">IFERROR(__xludf.DUMMYFUNCTION("""COMPUTED_VALUE"""),"wbfc")</f>
        <v>wbfc</v>
      </c>
      <c r="C14140" s="2" t="str">
        <f ca="1">IFERROR(__xludf.DUMMYFUNCTION("""COMPUTED_VALUE"""),"Wrapped Bifrost")</f>
        <v>Wrapped Bifrost</v>
      </c>
    </row>
    <row r="14141" spans="1:3" x14ac:dyDescent="0.25">
      <c r="A14141" s="2" t="str">
        <f ca="1">IFERROR(__xludf.DUMMYFUNCTION("""COMPUTED_VALUE"""),"wrapped-bitcoin")</f>
        <v>wrapped-bitcoin</v>
      </c>
      <c r="B14141" s="2" t="str">
        <f ca="1">IFERROR(__xludf.DUMMYFUNCTION("""COMPUTED_VALUE"""),"wbtc")</f>
        <v>wbtc</v>
      </c>
      <c r="C14141" s="2" t="str">
        <f ca="1">IFERROR(__xludf.DUMMYFUNCTION("""COMPUTED_VALUE"""),"Wrapped Bitcoin")</f>
        <v>Wrapped Bitcoin</v>
      </c>
    </row>
    <row r="14142" spans="1:3" x14ac:dyDescent="0.25">
      <c r="A14142" s="2" t="str">
        <f ca="1">IFERROR(__xludf.DUMMYFUNCTION("""COMPUTED_VALUE"""),"wrapped-bitcoin-celer")</f>
        <v>wrapped-bitcoin-celer</v>
      </c>
      <c r="B14142" s="2" t="str">
        <f ca="1">IFERROR(__xludf.DUMMYFUNCTION("""COMPUTED_VALUE"""),"cewbtc")</f>
        <v>cewbtc</v>
      </c>
      <c r="C14142" s="2" t="str">
        <f ca="1">IFERROR(__xludf.DUMMYFUNCTION("""COMPUTED_VALUE"""),"Wrapped Bitcoin - Celer")</f>
        <v>Wrapped Bitcoin - Celer</v>
      </c>
    </row>
    <row r="14143" spans="1:3" x14ac:dyDescent="0.25">
      <c r="A14143" s="2" t="str">
        <f ca="1">IFERROR(__xludf.DUMMYFUNCTION("""COMPUTED_VALUE"""),"wrapped-bitcoin-pulsechain")</f>
        <v>wrapped-bitcoin-pulsechain</v>
      </c>
      <c r="B14143" s="2" t="str">
        <f ca="1">IFERROR(__xludf.DUMMYFUNCTION("""COMPUTED_VALUE"""),"wbtc")</f>
        <v>wbtc</v>
      </c>
      <c r="C14143" s="2" t="str">
        <f ca="1">IFERROR(__xludf.DUMMYFUNCTION("""COMPUTED_VALUE"""),"Wrapped Bitcoin (PulseChain)")</f>
        <v>Wrapped Bitcoin (PulseChain)</v>
      </c>
    </row>
    <row r="14144" spans="1:3" x14ac:dyDescent="0.25">
      <c r="A14144" s="2" t="str">
        <f ca="1">IFERROR(__xludf.DUMMYFUNCTION("""COMPUTED_VALUE"""),"wrapped-bitcoin-sollet")</f>
        <v>wrapped-bitcoin-sollet</v>
      </c>
      <c r="B14144" s="2" t="str">
        <f ca="1">IFERROR(__xludf.DUMMYFUNCTION("""COMPUTED_VALUE"""),"sobtc")</f>
        <v>sobtc</v>
      </c>
      <c r="C14144" s="2" t="str">
        <f ca="1">IFERROR(__xludf.DUMMYFUNCTION("""COMPUTED_VALUE"""),"Wrapped Bitcoin (Sollet)")</f>
        <v>Wrapped Bitcoin (Sollet)</v>
      </c>
    </row>
    <row r="14145" spans="1:3" x14ac:dyDescent="0.25">
      <c r="A14145" s="2" t="str">
        <f ca="1">IFERROR(__xludf.DUMMYFUNCTION("""COMPUTED_VALUE"""),"wrapped-bitcoin-stacks")</f>
        <v>wrapped-bitcoin-stacks</v>
      </c>
      <c r="B14145" s="2" t="str">
        <f ca="1">IFERROR(__xludf.DUMMYFUNCTION("""COMPUTED_VALUE"""),"xbtc")</f>
        <v>xbtc</v>
      </c>
      <c r="C14145" s="2" t="str">
        <f ca="1">IFERROR(__xludf.DUMMYFUNCTION("""COMPUTED_VALUE"""),"Wrapped Bitcoin-Stacks")</f>
        <v>Wrapped Bitcoin-Stacks</v>
      </c>
    </row>
    <row r="14146" spans="1:3" x14ac:dyDescent="0.25">
      <c r="A14146" s="2" t="str">
        <f ca="1">IFERROR(__xludf.DUMMYFUNCTION("""COMPUTED_VALUE"""),"wrapped-bitcoin-universal")</f>
        <v>wrapped-bitcoin-universal</v>
      </c>
      <c r="B14146" s="2" t="str">
        <f ca="1">IFERROR(__xludf.DUMMYFUNCTION("""COMPUTED_VALUE"""),"ubtc")</f>
        <v>ubtc</v>
      </c>
      <c r="C14146" s="2" t="str">
        <f ca="1">IFERROR(__xludf.DUMMYFUNCTION("""COMPUTED_VALUE"""),"Wrapped Bitcoin (Universal)")</f>
        <v>Wrapped Bitcoin (Universal)</v>
      </c>
    </row>
    <row r="14147" spans="1:3" x14ac:dyDescent="0.25">
      <c r="A14147" s="2" t="str">
        <f ca="1">IFERROR(__xludf.DUMMYFUNCTION("""COMPUTED_VALUE"""),"wrapped-bitrock")</f>
        <v>wrapped-bitrock</v>
      </c>
      <c r="B14147" s="2" t="str">
        <f ca="1">IFERROR(__xludf.DUMMYFUNCTION("""COMPUTED_VALUE"""),"wbrock")</f>
        <v>wbrock</v>
      </c>
      <c r="C14147" s="2" t="str">
        <f ca="1">IFERROR(__xludf.DUMMYFUNCTION("""COMPUTED_VALUE"""),"Wrapped Bitrock")</f>
        <v>Wrapped Bitrock</v>
      </c>
    </row>
    <row r="14148" spans="1:3" x14ac:dyDescent="0.25">
      <c r="A14148" s="2" t="str">
        <f ca="1">IFERROR(__xludf.DUMMYFUNCTION("""COMPUTED_VALUE"""),"wrapped-bmx-liquidity-token")</f>
        <v>wrapped-bmx-liquidity-token</v>
      </c>
      <c r="B14148" s="2" t="str">
        <f ca="1">IFERROR(__xludf.DUMMYFUNCTION("""COMPUTED_VALUE"""),"wblt")</f>
        <v>wblt</v>
      </c>
      <c r="C14148" s="2" t="str">
        <f ca="1">IFERROR(__xludf.DUMMYFUNCTION("""COMPUTED_VALUE"""),"Wrapped BMX Liquidity Token")</f>
        <v>Wrapped BMX Liquidity Token</v>
      </c>
    </row>
    <row r="14149" spans="1:3" x14ac:dyDescent="0.25">
      <c r="A14149" s="2" t="str">
        <f ca="1">IFERROR(__xludf.DUMMYFUNCTION("""COMPUTED_VALUE"""),"wrapped-bnb-21-co")</f>
        <v>wrapped-bnb-21-co</v>
      </c>
      <c r="B14149" s="2" t="str">
        <f ca="1">IFERROR(__xludf.DUMMYFUNCTION("""COMPUTED_VALUE"""),"21bnb")</f>
        <v>21bnb</v>
      </c>
      <c r="C14149" s="2" t="str">
        <f ca="1">IFERROR(__xludf.DUMMYFUNCTION("""COMPUTED_VALUE"""),"21.co Wrapped BNB")</f>
        <v>21.co Wrapped BNB</v>
      </c>
    </row>
    <row r="14150" spans="1:3" x14ac:dyDescent="0.25">
      <c r="A14150" s="2" t="str">
        <f ca="1">IFERROR(__xludf.DUMMYFUNCTION("""COMPUTED_VALUE"""),"wrapped-bnb-celer")</f>
        <v>wrapped-bnb-celer</v>
      </c>
      <c r="B14150" s="2" t="str">
        <f ca="1">IFERROR(__xludf.DUMMYFUNCTION("""COMPUTED_VALUE"""),"cewbnb")</f>
        <v>cewbnb</v>
      </c>
      <c r="C14150" s="2" t="str">
        <f ca="1">IFERROR(__xludf.DUMMYFUNCTION("""COMPUTED_VALUE"""),"Wrapped BNB - Celer")</f>
        <v>Wrapped BNB - Celer</v>
      </c>
    </row>
    <row r="14151" spans="1:3" x14ac:dyDescent="0.25">
      <c r="A14151" s="2" t="str">
        <f ca="1">IFERROR(__xludf.DUMMYFUNCTION("""COMPUTED_VALUE"""),"wrapped-bone")</f>
        <v>wrapped-bone</v>
      </c>
      <c r="B14151" s="2" t="str">
        <f ca="1">IFERROR(__xludf.DUMMYFUNCTION("""COMPUTED_VALUE"""),"wbone")</f>
        <v>wbone</v>
      </c>
      <c r="C14151" s="2" t="str">
        <f ca="1">IFERROR(__xludf.DUMMYFUNCTION("""COMPUTED_VALUE"""),"Wrapped BONE")</f>
        <v>Wrapped BONE</v>
      </c>
    </row>
    <row r="14152" spans="1:3" x14ac:dyDescent="0.25">
      <c r="A14152" s="2" t="str">
        <f ca="1">IFERROR(__xludf.DUMMYFUNCTION("""COMPUTED_VALUE"""),"wrapped-bouncebit")</f>
        <v>wrapped-bouncebit</v>
      </c>
      <c r="B14152" s="2" t="str">
        <f ca="1">IFERROR(__xludf.DUMMYFUNCTION("""COMPUTED_VALUE"""),"wbb")</f>
        <v>wbb</v>
      </c>
      <c r="C14152" s="2" t="str">
        <f ca="1">IFERROR(__xludf.DUMMYFUNCTION("""COMPUTED_VALUE"""),"Wrapped BounceBit")</f>
        <v>Wrapped BounceBit</v>
      </c>
    </row>
    <row r="14153" spans="1:3" x14ac:dyDescent="0.25">
      <c r="A14153" s="2" t="str">
        <f ca="1">IFERROR(__xludf.DUMMYFUNCTION("""COMPUTED_VALUE"""),"wrapped-btc-21-co")</f>
        <v>wrapped-btc-21-co</v>
      </c>
      <c r="B14153" s="2" t="str">
        <f ca="1">IFERROR(__xludf.DUMMYFUNCTION("""COMPUTED_VALUE"""),"21btc")</f>
        <v>21btc</v>
      </c>
      <c r="C14153" s="2" t="str">
        <f ca="1">IFERROR(__xludf.DUMMYFUNCTION("""COMPUTED_VALUE"""),"21.co Wrapped BTC")</f>
        <v>21.co Wrapped BTC</v>
      </c>
    </row>
    <row r="14154" spans="1:3" x14ac:dyDescent="0.25">
      <c r="A14154" s="2" t="str">
        <f ca="1">IFERROR(__xludf.DUMMYFUNCTION("""COMPUTED_VALUE"""),"wrapped-btc-caviarnine")</f>
        <v>wrapped-btc-caviarnine</v>
      </c>
      <c r="B14154" s="2" t="str">
        <f ca="1">IFERROR(__xludf.DUMMYFUNCTION("""COMPUTED_VALUE"""),"xwbtc")</f>
        <v>xwbtc</v>
      </c>
      <c r="C14154" s="2" t="str">
        <f ca="1">IFERROR(__xludf.DUMMYFUNCTION("""COMPUTED_VALUE"""),"Instabridge Wrapped BTC (Radix)")</f>
        <v>Instabridge Wrapped BTC (Radix)</v>
      </c>
    </row>
    <row r="14155" spans="1:3" x14ac:dyDescent="0.25">
      <c r="A14155" s="2" t="str">
        <f ca="1">IFERROR(__xludf.DUMMYFUNCTION("""COMPUTED_VALUE"""),"wrapped-btc-wormhole")</f>
        <v>wrapped-btc-wormhole</v>
      </c>
      <c r="B14155" s="2" t="str">
        <f ca="1">IFERROR(__xludf.DUMMYFUNCTION("""COMPUTED_VALUE"""),"wbtc")</f>
        <v>wbtc</v>
      </c>
      <c r="C14155" s="2" t="str">
        <f ca="1">IFERROR(__xludf.DUMMYFUNCTION("""COMPUTED_VALUE"""),"Wrapped BTC (Wormhole)")</f>
        <v>Wrapped BTC (Wormhole)</v>
      </c>
    </row>
    <row r="14156" spans="1:3" x14ac:dyDescent="0.25">
      <c r="A14156" s="2" t="str">
        <f ca="1">IFERROR(__xludf.DUMMYFUNCTION("""COMPUTED_VALUE"""),"wrapped-btt")</f>
        <v>wrapped-btt</v>
      </c>
      <c r="B14156" s="2" t="str">
        <f ca="1">IFERROR(__xludf.DUMMYFUNCTION("""COMPUTED_VALUE"""),"wbtt")</f>
        <v>wbtt</v>
      </c>
      <c r="C14156" s="2" t="str">
        <f ca="1">IFERROR(__xludf.DUMMYFUNCTION("""COMPUTED_VALUE"""),"Wrapped BTT")</f>
        <v>Wrapped BTT</v>
      </c>
    </row>
    <row r="14157" spans="1:3" x14ac:dyDescent="0.25">
      <c r="A14157" s="2" t="str">
        <f ca="1">IFERROR(__xludf.DUMMYFUNCTION("""COMPUTED_VALUE"""),"wrapped-busd")</f>
        <v>wrapped-busd</v>
      </c>
      <c r="B14157" s="2" t="str">
        <f ca="1">IFERROR(__xludf.DUMMYFUNCTION("""COMPUTED_VALUE"""),"wbusd")</f>
        <v>wbusd</v>
      </c>
      <c r="C14157" s="2" t="str">
        <f ca="1">IFERROR(__xludf.DUMMYFUNCTION("""COMPUTED_VALUE"""),"Wrapped BUSD")</f>
        <v>Wrapped BUSD</v>
      </c>
    </row>
    <row r="14158" spans="1:3" x14ac:dyDescent="0.25">
      <c r="A14158" s="2" t="str">
        <f ca="1">IFERROR(__xludf.DUMMYFUNCTION("""COMPUTED_VALUE"""),"wrapped-cellmates")</f>
        <v>wrapped-cellmates</v>
      </c>
      <c r="B14158" s="2" t="str">
        <f ca="1">IFERROR(__xludf.DUMMYFUNCTION("""COMPUTED_VALUE"""),"wcell")</f>
        <v>wcell</v>
      </c>
      <c r="C14158" s="2" t="str">
        <f ca="1">IFERROR(__xludf.DUMMYFUNCTION("""COMPUTED_VALUE"""),"Wrapped CellMates")</f>
        <v>Wrapped CellMates</v>
      </c>
    </row>
    <row r="14159" spans="1:3" x14ac:dyDescent="0.25">
      <c r="A14159" s="2" t="str">
        <f ca="1">IFERROR(__xludf.DUMMYFUNCTION("""COMPUTED_VALUE"""),"wrapped-centrifuge")</f>
        <v>wrapped-centrifuge</v>
      </c>
      <c r="B14159" s="2" t="str">
        <f ca="1">IFERROR(__xludf.DUMMYFUNCTION("""COMPUTED_VALUE"""),"wcfg")</f>
        <v>wcfg</v>
      </c>
      <c r="C14159" s="2" t="str">
        <f ca="1">IFERROR(__xludf.DUMMYFUNCTION("""COMPUTED_VALUE"""),"Wrapped Centrifuge")</f>
        <v>Wrapped Centrifuge</v>
      </c>
    </row>
    <row r="14160" spans="1:3" x14ac:dyDescent="0.25">
      <c r="A14160" s="2" t="str">
        <f ca="1">IFERROR(__xludf.DUMMYFUNCTION("""COMPUTED_VALUE"""),"wrapped-ceth")</f>
        <v>wrapped-ceth</v>
      </c>
      <c r="B14160" s="2" t="str">
        <f ca="1">IFERROR(__xludf.DUMMYFUNCTION("""COMPUTED_VALUE"""),"ceth")</f>
        <v>ceth</v>
      </c>
      <c r="C14160" s="2" t="str">
        <f ca="1">IFERROR(__xludf.DUMMYFUNCTION("""COMPUTED_VALUE"""),"Wrapped cETH")</f>
        <v>Wrapped cETH</v>
      </c>
    </row>
    <row r="14161" spans="1:3" x14ac:dyDescent="0.25">
      <c r="A14161" s="2" t="str">
        <f ca="1">IFERROR(__xludf.DUMMYFUNCTION("""COMPUTED_VALUE"""),"wrapped-chiliz")</f>
        <v>wrapped-chiliz</v>
      </c>
      <c r="B14161" s="2" t="str">
        <f ca="1">IFERROR(__xludf.DUMMYFUNCTION("""COMPUTED_VALUE"""),"wchz")</f>
        <v>wchz</v>
      </c>
      <c r="C14161" s="2" t="str">
        <f ca="1">IFERROR(__xludf.DUMMYFUNCTION("""COMPUTED_VALUE"""),"Wrapped Chiliz")</f>
        <v>Wrapped Chiliz</v>
      </c>
    </row>
    <row r="14162" spans="1:3" x14ac:dyDescent="0.25">
      <c r="A14162" s="2" t="str">
        <f ca="1">IFERROR(__xludf.DUMMYFUNCTION("""COMPUTED_VALUE"""),"wrapped-ckb")</f>
        <v>wrapped-ckb</v>
      </c>
      <c r="B14162" s="2" t="str">
        <f ca="1">IFERROR(__xludf.DUMMYFUNCTION("""COMPUTED_VALUE"""),"wckb")</f>
        <v>wckb</v>
      </c>
      <c r="C14162" s="2" t="str">
        <f ca="1">IFERROR(__xludf.DUMMYFUNCTION("""COMPUTED_VALUE"""),"Wrapped CKB")</f>
        <v>Wrapped CKB</v>
      </c>
    </row>
    <row r="14163" spans="1:3" x14ac:dyDescent="0.25">
      <c r="A14163" s="2" t="str">
        <f ca="1">IFERROR(__xludf.DUMMYFUNCTION("""COMPUTED_VALUE"""),"wrapped-conflux")</f>
        <v>wrapped-conflux</v>
      </c>
      <c r="B14163" s="2" t="str">
        <f ca="1">IFERROR(__xludf.DUMMYFUNCTION("""COMPUTED_VALUE"""),"wcfx")</f>
        <v>wcfx</v>
      </c>
      <c r="C14163" s="2" t="str">
        <f ca="1">IFERROR(__xludf.DUMMYFUNCTION("""COMPUTED_VALUE"""),"Wrapped Conflux")</f>
        <v>Wrapped Conflux</v>
      </c>
    </row>
    <row r="14164" spans="1:3" x14ac:dyDescent="0.25">
      <c r="A14164" s="2" t="str">
        <f ca="1">IFERROR(__xludf.DUMMYFUNCTION("""COMPUTED_VALUE"""),"wrapped-core")</f>
        <v>wrapped-core</v>
      </c>
      <c r="B14164" s="2" t="str">
        <f ca="1">IFERROR(__xludf.DUMMYFUNCTION("""COMPUTED_VALUE"""),"wcore")</f>
        <v>wcore</v>
      </c>
      <c r="C14164" s="2" t="str">
        <f ca="1">IFERROR(__xludf.DUMMYFUNCTION("""COMPUTED_VALUE"""),"Wrapped CORE")</f>
        <v>Wrapped CORE</v>
      </c>
    </row>
    <row r="14165" spans="1:3" x14ac:dyDescent="0.25">
      <c r="A14165" s="2" t="str">
        <f ca="1">IFERROR(__xludf.DUMMYFUNCTION("""COMPUTED_VALUE"""),"wrapped-cro")</f>
        <v>wrapped-cro</v>
      </c>
      <c r="B14165" s="2" t="str">
        <f ca="1">IFERROR(__xludf.DUMMYFUNCTION("""COMPUTED_VALUE"""),"wcro")</f>
        <v>wcro</v>
      </c>
      <c r="C14165" s="2" t="str">
        <f ca="1">IFERROR(__xludf.DUMMYFUNCTION("""COMPUTED_VALUE"""),"Wrapped CRO")</f>
        <v>Wrapped CRO</v>
      </c>
    </row>
    <row r="14166" spans="1:3" x14ac:dyDescent="0.25">
      <c r="A14166" s="2" t="str">
        <f ca="1">IFERROR(__xludf.DUMMYFUNCTION("""COMPUTED_VALUE"""),"wrapped-cusd-allbridge-from-celo")</f>
        <v>wrapped-cusd-allbridge-from-celo</v>
      </c>
      <c r="B14166" s="2" t="str">
        <f ca="1">IFERROR(__xludf.DUMMYFUNCTION("""COMPUTED_VALUE"""),"acusd")</f>
        <v>acusd</v>
      </c>
      <c r="C14166" s="2" t="str">
        <f ca="1">IFERROR(__xludf.DUMMYFUNCTION("""COMPUTED_VALUE"""),"Wrapped CUSD (Allbridge from Celo)")</f>
        <v>Wrapped CUSD (Allbridge from Celo)</v>
      </c>
    </row>
    <row r="14167" spans="1:3" x14ac:dyDescent="0.25">
      <c r="A14167" s="2" t="str">
        <f ca="1">IFERROR(__xludf.DUMMYFUNCTION("""COMPUTED_VALUE"""),"wrapped-cybria")</f>
        <v>wrapped-cybria</v>
      </c>
      <c r="B14167" s="2" t="str">
        <f ca="1">IFERROR(__xludf.DUMMYFUNCTION("""COMPUTED_VALUE"""),"wcyba")</f>
        <v>wcyba</v>
      </c>
      <c r="C14167" s="2" t="str">
        <f ca="1">IFERROR(__xludf.DUMMYFUNCTION("""COMPUTED_VALUE"""),"Wrapped Cybria")</f>
        <v>Wrapped Cybria</v>
      </c>
    </row>
    <row r="14168" spans="1:3" x14ac:dyDescent="0.25">
      <c r="A14168" s="2" t="str">
        <f ca="1">IFERROR(__xludf.DUMMYFUNCTION("""COMPUTED_VALUE"""),"wrapped-dag")</f>
        <v>wrapped-dag</v>
      </c>
      <c r="B14168" s="2" t="str">
        <f ca="1">IFERROR(__xludf.DUMMYFUNCTION("""COMPUTED_VALUE"""),"wdag")</f>
        <v>wdag</v>
      </c>
      <c r="C14168" s="2" t="str">
        <f ca="1">IFERROR(__xludf.DUMMYFUNCTION("""COMPUTED_VALUE"""),"Wrapped DAG")</f>
        <v>Wrapped DAG</v>
      </c>
    </row>
    <row r="14169" spans="1:3" x14ac:dyDescent="0.25">
      <c r="A14169" s="2" t="str">
        <f ca="1">IFERROR(__xludf.DUMMYFUNCTION("""COMPUTED_VALUE"""),"wrapped-degen")</f>
        <v>wrapped-degen</v>
      </c>
      <c r="B14169" s="2" t="str">
        <f ca="1">IFERROR(__xludf.DUMMYFUNCTION("""COMPUTED_VALUE"""),"wdegen")</f>
        <v>wdegen</v>
      </c>
      <c r="C14169" s="2" t="str">
        <f ca="1">IFERROR(__xludf.DUMMYFUNCTION("""COMPUTED_VALUE"""),"Wrapped DEGEN")</f>
        <v>Wrapped DEGEN</v>
      </c>
    </row>
    <row r="14170" spans="1:3" x14ac:dyDescent="0.25">
      <c r="A14170" s="2" t="str">
        <f ca="1">IFERROR(__xludf.DUMMYFUNCTION("""COMPUTED_VALUE"""),"wrapped-dfi")</f>
        <v>wrapped-dfi</v>
      </c>
      <c r="B14170" s="2" t="str">
        <f ca="1">IFERROR(__xludf.DUMMYFUNCTION("""COMPUTED_VALUE"""),"dfi")</f>
        <v>dfi</v>
      </c>
      <c r="C14170" s="2" t="str">
        <f ca="1">IFERROR(__xludf.DUMMYFUNCTION("""COMPUTED_VALUE"""),"Wrapped DFI")</f>
        <v>Wrapped DFI</v>
      </c>
    </row>
    <row r="14171" spans="1:3" x14ac:dyDescent="0.25">
      <c r="A14171" s="2" t="str">
        <f ca="1">IFERROR(__xludf.DUMMYFUNCTION("""COMPUTED_VALUE"""),"wrapped-dmt")</f>
        <v>wrapped-dmt</v>
      </c>
      <c r="B14171" s="2" t="str">
        <f ca="1">IFERROR(__xludf.DUMMYFUNCTION("""COMPUTED_VALUE"""),"wdmt")</f>
        <v>wdmt</v>
      </c>
      <c r="C14171" s="2" t="str">
        <f ca="1">IFERROR(__xludf.DUMMYFUNCTION("""COMPUTED_VALUE"""),"Wrapped DMT")</f>
        <v>Wrapped DMT</v>
      </c>
    </row>
    <row r="14172" spans="1:3" x14ac:dyDescent="0.25">
      <c r="A14172" s="2" t="str">
        <f ca="1">IFERROR(__xludf.DUMMYFUNCTION("""COMPUTED_VALUE"""),"wrapped-dog")</f>
        <v>wrapped-dog</v>
      </c>
      <c r="B14172" s="2" t="str">
        <f ca="1">IFERROR(__xludf.DUMMYFUNCTION("""COMPUTED_VALUE"""),"wdog")</f>
        <v>wdog</v>
      </c>
      <c r="C14172" s="2" t="str">
        <f ca="1">IFERROR(__xludf.DUMMYFUNCTION("""COMPUTED_VALUE"""),"Wrapped DOG")</f>
        <v>Wrapped DOG</v>
      </c>
    </row>
    <row r="14173" spans="1:3" x14ac:dyDescent="0.25">
      <c r="A14173" s="2" t="str">
        <f ca="1">IFERROR(__xludf.DUMMYFUNCTION("""COMPUTED_VALUE"""),"wrapped-doge-21-co")</f>
        <v>wrapped-doge-21-co</v>
      </c>
      <c r="B14173" s="2" t="str">
        <f ca="1">IFERROR(__xludf.DUMMYFUNCTION("""COMPUTED_VALUE"""),"21doge")</f>
        <v>21doge</v>
      </c>
      <c r="C14173" s="2" t="str">
        <f ca="1">IFERROR(__xludf.DUMMYFUNCTION("""COMPUTED_VALUE"""),"21.co Wrapped DOGE")</f>
        <v>21.co Wrapped DOGE</v>
      </c>
    </row>
    <row r="14174" spans="1:3" x14ac:dyDescent="0.25">
      <c r="A14174" s="2" t="str">
        <f ca="1">IFERROR(__xludf.DUMMYFUNCTION("""COMPUTED_VALUE"""),"wrapped-doge-universal")</f>
        <v>wrapped-doge-universal</v>
      </c>
      <c r="B14174" s="2" t="str">
        <f ca="1">IFERROR(__xludf.DUMMYFUNCTION("""COMPUTED_VALUE"""),"udoge")</f>
        <v>udoge</v>
      </c>
      <c r="C14174" s="2" t="str">
        <f ca="1">IFERROR(__xludf.DUMMYFUNCTION("""COMPUTED_VALUE"""),"Wrapped DOGE (Universal)")</f>
        <v>Wrapped DOGE (Universal)</v>
      </c>
    </row>
    <row r="14175" spans="1:3" x14ac:dyDescent="0.25">
      <c r="A14175" s="2" t="str">
        <f ca="1">IFERROR(__xludf.DUMMYFUNCTION("""COMPUTED_VALUE"""),"wrapped-eeth")</f>
        <v>wrapped-eeth</v>
      </c>
      <c r="B14175" s="2" t="str">
        <f ca="1">IFERROR(__xludf.DUMMYFUNCTION("""COMPUTED_VALUE"""),"weeth")</f>
        <v>weeth</v>
      </c>
      <c r="C14175" s="2" t="str">
        <f ca="1">IFERROR(__xludf.DUMMYFUNCTION("""COMPUTED_VALUE"""),"Wrapped eETH")</f>
        <v>Wrapped eETH</v>
      </c>
    </row>
    <row r="14176" spans="1:3" x14ac:dyDescent="0.25">
      <c r="A14176" s="2" t="str">
        <f ca="1">IFERROR(__xludf.DUMMYFUNCTION("""COMPUTED_VALUE"""),"wrapped-ehmnd")</f>
        <v>wrapped-ehmnd</v>
      </c>
      <c r="B14176" s="2" t="str">
        <f ca="1">IFERROR(__xludf.DUMMYFUNCTION("""COMPUTED_VALUE"""),"wehmnd")</f>
        <v>wehmnd</v>
      </c>
      <c r="C14176" s="2" t="str">
        <f ca="1">IFERROR(__xludf.DUMMYFUNCTION("""COMPUTED_VALUE"""),"Wrapped eHMND")</f>
        <v>Wrapped eHMND</v>
      </c>
    </row>
    <row r="14177" spans="1:3" x14ac:dyDescent="0.25">
      <c r="A14177" s="2" t="str">
        <f ca="1">IFERROR(__xludf.DUMMYFUNCTION("""COMPUTED_VALUE"""),"wrapped-elastos")</f>
        <v>wrapped-elastos</v>
      </c>
      <c r="B14177" s="2" t="str">
        <f ca="1">IFERROR(__xludf.DUMMYFUNCTION("""COMPUTED_VALUE"""),"wela")</f>
        <v>wela</v>
      </c>
      <c r="C14177" s="2" t="str">
        <f ca="1">IFERROR(__xludf.DUMMYFUNCTION("""COMPUTED_VALUE"""),"Wrapped Elastos")</f>
        <v>Wrapped Elastos</v>
      </c>
    </row>
    <row r="14178" spans="1:3" x14ac:dyDescent="0.25">
      <c r="A14178" s="2" t="str">
        <f ca="1">IFERROR(__xludf.DUMMYFUNCTION("""COMPUTED_VALUE"""),"wrapped-elrond")</f>
        <v>wrapped-elrond</v>
      </c>
      <c r="B14178" s="2" t="str">
        <f ca="1">IFERROR(__xludf.DUMMYFUNCTION("""COMPUTED_VALUE"""),"wegld")</f>
        <v>wegld</v>
      </c>
      <c r="C14178" s="2" t="str">
        <f ca="1">IFERROR(__xludf.DUMMYFUNCTION("""COMPUTED_VALUE"""),"Wrapped EGLD")</f>
        <v>Wrapped EGLD</v>
      </c>
    </row>
    <row r="14179" spans="1:3" x14ac:dyDescent="0.25">
      <c r="A14179" s="2" t="str">
        <f ca="1">IFERROR(__xludf.DUMMYFUNCTION("""COMPUTED_VALUE"""),"wrapped-energi")</f>
        <v>wrapped-energi</v>
      </c>
      <c r="B14179" s="2" t="str">
        <f ca="1">IFERROR(__xludf.DUMMYFUNCTION("""COMPUTED_VALUE"""),"wnrg")</f>
        <v>wnrg</v>
      </c>
      <c r="C14179" s="2" t="str">
        <f ca="1">IFERROR(__xludf.DUMMYFUNCTION("""COMPUTED_VALUE"""),"Wrapped Energi")</f>
        <v>Wrapped Energi</v>
      </c>
    </row>
    <row r="14180" spans="1:3" x14ac:dyDescent="0.25">
      <c r="A14180" s="2" t="str">
        <f ca="1">IFERROR(__xludf.DUMMYFUNCTION("""COMPUTED_VALUE"""),"wrapped-eos")</f>
        <v>wrapped-eos</v>
      </c>
      <c r="B14180" s="2" t="str">
        <f ca="1">IFERROR(__xludf.DUMMYFUNCTION("""COMPUTED_VALUE"""),"weos")</f>
        <v>weos</v>
      </c>
      <c r="C14180" s="2" t="str">
        <f ca="1">IFERROR(__xludf.DUMMYFUNCTION("""COMPUTED_VALUE"""),"Wrapped EOS")</f>
        <v>Wrapped EOS</v>
      </c>
    </row>
    <row r="14181" spans="1:3" x14ac:dyDescent="0.25">
      <c r="A14181" s="2" t="str">
        <f ca="1">IFERROR(__xludf.DUMMYFUNCTION("""COMPUTED_VALUE"""),"wrapped-ether")</f>
        <v>wrapped-ether</v>
      </c>
      <c r="B14181" s="2" t="str">
        <f ca="1">IFERROR(__xludf.DUMMYFUNCTION("""COMPUTED_VALUE"""),"wetc")</f>
        <v>wetc</v>
      </c>
      <c r="C14181" s="2" t="str">
        <f ca="1">IFERROR(__xludf.DUMMYFUNCTION("""COMPUTED_VALUE"""),"Wrapped ETC")</f>
        <v>Wrapped ETC</v>
      </c>
    </row>
    <row r="14182" spans="1:3" x14ac:dyDescent="0.25">
      <c r="A14182" s="2" t="str">
        <f ca="1">IFERROR(__xludf.DUMMYFUNCTION("""COMPUTED_VALUE"""),"wrapped-ether-celer")</f>
        <v>wrapped-ether-celer</v>
      </c>
      <c r="B14182" s="2" t="str">
        <f ca="1">IFERROR(__xludf.DUMMYFUNCTION("""COMPUTED_VALUE"""),"ceweth")</f>
        <v>ceweth</v>
      </c>
      <c r="C14182" s="2" t="str">
        <f ca="1">IFERROR(__xludf.DUMMYFUNCTION("""COMPUTED_VALUE"""),"Wrapped Ether - Celer")</f>
        <v>Wrapped Ether - Celer</v>
      </c>
    </row>
    <row r="14183" spans="1:3" x14ac:dyDescent="0.25">
      <c r="A14183" s="2" t="str">
        <f ca="1">IFERROR(__xludf.DUMMYFUNCTION("""COMPUTED_VALUE"""),"wrapped-ethereum-sollet")</f>
        <v>wrapped-ethereum-sollet</v>
      </c>
      <c r="B14183" s="2" t="str">
        <f ca="1">IFERROR(__xludf.DUMMYFUNCTION("""COMPUTED_VALUE"""),"soeth")</f>
        <v>soeth</v>
      </c>
      <c r="C14183" s="2" t="str">
        <f ca="1">IFERROR(__xludf.DUMMYFUNCTION("""COMPUTED_VALUE"""),"Wrapped Ethereum (Sollet)")</f>
        <v>Wrapped Ethereum (Sollet)</v>
      </c>
    </row>
    <row r="14184" spans="1:3" x14ac:dyDescent="0.25">
      <c r="A14184" s="2" t="str">
        <f ca="1">IFERROR(__xludf.DUMMYFUNCTION("""COMPUTED_VALUE"""),"wrapped-ether-linea")</f>
        <v>wrapped-ether-linea</v>
      </c>
      <c r="B14184" s="2" t="str">
        <f ca="1">IFERROR(__xludf.DUMMYFUNCTION("""COMPUTED_VALUE"""),"weth")</f>
        <v>weth</v>
      </c>
      <c r="C14184" s="2" t="str">
        <f ca="1">IFERROR(__xludf.DUMMYFUNCTION("""COMPUTED_VALUE"""),"Bridged Wrapped Ether (Linea)")</f>
        <v>Bridged Wrapped Ether (Linea)</v>
      </c>
    </row>
    <row r="14185" spans="1:3" x14ac:dyDescent="0.25">
      <c r="A14185" s="2" t="str">
        <f ca="1">IFERROR(__xludf.DUMMYFUNCTION("""COMPUTED_VALUE"""),"wrapped-ether-mantle-bridge")</f>
        <v>wrapped-ether-mantle-bridge</v>
      </c>
      <c r="B14185" s="2" t="str">
        <f ca="1">IFERROR(__xludf.DUMMYFUNCTION("""COMPUTED_VALUE"""),"weth")</f>
        <v>weth</v>
      </c>
      <c r="C14185" s="2" t="str">
        <f ca="1">IFERROR(__xludf.DUMMYFUNCTION("""COMPUTED_VALUE"""),"Wrapped Ether (Mantle Bridge)")</f>
        <v>Wrapped Ether (Mantle Bridge)</v>
      </c>
    </row>
    <row r="14186" spans="1:3" x14ac:dyDescent="0.25">
      <c r="A14186" s="2" t="str">
        <f ca="1">IFERROR(__xludf.DUMMYFUNCTION("""COMPUTED_VALUE"""),"wrapped-ether-massa")</f>
        <v>wrapped-ether-massa</v>
      </c>
      <c r="B14186" s="2" t="str">
        <f ca="1">IFERROR(__xludf.DUMMYFUNCTION("""COMPUTED_VALUE"""),"weth")</f>
        <v>weth</v>
      </c>
      <c r="C14186" s="2" t="str">
        <f ca="1">IFERROR(__xludf.DUMMYFUNCTION("""COMPUTED_VALUE"""),"Massa Bridged WETH (Massa)")</f>
        <v>Massa Bridged WETH (Massa)</v>
      </c>
    </row>
    <row r="14187" spans="1:3" x14ac:dyDescent="0.25">
      <c r="A14187" s="2" t="str">
        <f ca="1">IFERROR(__xludf.DUMMYFUNCTION("""COMPUTED_VALUE"""),"wrapped-eth-skale")</f>
        <v>wrapped-eth-skale</v>
      </c>
      <c r="B14187" s="2" t="str">
        <f ca="1">IFERROR(__xludf.DUMMYFUNCTION("""COMPUTED_VALUE"""),"ethc")</f>
        <v>ethc</v>
      </c>
      <c r="C14187" s="2" t="str">
        <f ca="1">IFERROR(__xludf.DUMMYFUNCTION("""COMPUTED_VALUE"""),"Wrapped ETH (SKALE)")</f>
        <v>Wrapped ETH (SKALE)</v>
      </c>
    </row>
    <row r="14188" spans="1:3" x14ac:dyDescent="0.25">
      <c r="A14188" s="2" t="str">
        <f ca="1">IFERROR(__xludf.DUMMYFUNCTION("""COMPUTED_VALUE"""),"wrapped-eth-taiko")</f>
        <v>wrapped-eth-taiko</v>
      </c>
      <c r="B14188" s="2" t="str">
        <f ca="1">IFERROR(__xludf.DUMMYFUNCTION("""COMPUTED_VALUE"""),"weth")</f>
        <v>weth</v>
      </c>
      <c r="C14188" s="2" t="str">
        <f ca="1">IFERROR(__xludf.DUMMYFUNCTION("""COMPUTED_VALUE"""),"Wrapped ETH (Taiko)")</f>
        <v>Wrapped ETH (Taiko)</v>
      </c>
    </row>
    <row r="14189" spans="1:3" x14ac:dyDescent="0.25">
      <c r="A14189" s="2" t="str">
        <f ca="1">IFERROR(__xludf.DUMMYFUNCTION("""COMPUTED_VALUE"""),"wrapped-ethw")</f>
        <v>wrapped-ethw</v>
      </c>
      <c r="B14189" s="2" t="str">
        <f ca="1">IFERROR(__xludf.DUMMYFUNCTION("""COMPUTED_VALUE"""),"wethw")</f>
        <v>wethw</v>
      </c>
      <c r="C14189" s="2" t="str">
        <f ca="1">IFERROR(__xludf.DUMMYFUNCTION("""COMPUTED_VALUE"""),"Wrapped ETHW")</f>
        <v>Wrapped ETHW</v>
      </c>
    </row>
    <row r="14190" spans="1:3" x14ac:dyDescent="0.25">
      <c r="A14190" s="2" t="str">
        <f ca="1">IFERROR(__xludf.DUMMYFUNCTION("""COMPUTED_VALUE"""),"wrapped-ever")</f>
        <v>wrapped-ever</v>
      </c>
      <c r="B14190" s="2" t="str">
        <f ca="1">IFERROR(__xludf.DUMMYFUNCTION("""COMPUTED_VALUE"""),"wever")</f>
        <v>wever</v>
      </c>
      <c r="C14190" s="2" t="str">
        <f ca="1">IFERROR(__xludf.DUMMYFUNCTION("""COMPUTED_VALUE"""),"Wrapped Ever")</f>
        <v>Wrapped Ever</v>
      </c>
    </row>
    <row r="14191" spans="1:3" x14ac:dyDescent="0.25">
      <c r="A14191" s="2" t="str">
        <f ca="1">IFERROR(__xludf.DUMMYFUNCTION("""COMPUTED_VALUE"""),"wrapped-fantom")</f>
        <v>wrapped-fantom</v>
      </c>
      <c r="B14191" s="2" t="str">
        <f ca="1">IFERROR(__xludf.DUMMYFUNCTION("""COMPUTED_VALUE"""),"wftm")</f>
        <v>wftm</v>
      </c>
      <c r="C14191" s="2" t="str">
        <f ca="1">IFERROR(__xludf.DUMMYFUNCTION("""COMPUTED_VALUE"""),"Wrapped Fantom")</f>
        <v>Wrapped Fantom</v>
      </c>
    </row>
    <row r="14192" spans="1:3" x14ac:dyDescent="0.25">
      <c r="A14192" s="2" t="str">
        <f ca="1">IFERROR(__xludf.DUMMYFUNCTION("""COMPUTED_VALUE"""),"wrapped-fil")</f>
        <v>wrapped-fil</v>
      </c>
      <c r="B14192" s="2" t="str">
        <f ca="1">IFERROR(__xludf.DUMMYFUNCTION("""COMPUTED_VALUE"""),"wfil")</f>
        <v>wfil</v>
      </c>
      <c r="C14192" s="2" t="str">
        <f ca="1">IFERROR(__xludf.DUMMYFUNCTION("""COMPUTED_VALUE"""),"Wrapped FIL")</f>
        <v>Wrapped FIL</v>
      </c>
    </row>
    <row r="14193" spans="1:3" x14ac:dyDescent="0.25">
      <c r="A14193" s="2" t="str">
        <f ca="1">IFERROR(__xludf.DUMMYFUNCTION("""COMPUTED_VALUE"""),"wrapped-fio")</f>
        <v>wrapped-fio</v>
      </c>
      <c r="B14193" s="2" t="str">
        <f ca="1">IFERROR(__xludf.DUMMYFUNCTION("""COMPUTED_VALUE"""),"wfio")</f>
        <v>wfio</v>
      </c>
      <c r="C14193" s="2" t="str">
        <f ca="1">IFERROR(__xludf.DUMMYFUNCTION("""COMPUTED_VALUE"""),"Wrapped FIO")</f>
        <v>Wrapped FIO</v>
      </c>
    </row>
    <row r="14194" spans="1:3" x14ac:dyDescent="0.25">
      <c r="A14194" s="2" t="str">
        <f ca="1">IFERROR(__xludf.DUMMYFUNCTION("""COMPUTED_VALUE"""),"wrapped-flare")</f>
        <v>wrapped-flare</v>
      </c>
      <c r="B14194" s="2" t="str">
        <f ca="1">IFERROR(__xludf.DUMMYFUNCTION("""COMPUTED_VALUE"""),"wflr")</f>
        <v>wflr</v>
      </c>
      <c r="C14194" s="2" t="str">
        <f ca="1">IFERROR(__xludf.DUMMYFUNCTION("""COMPUTED_VALUE"""),"Wrapped Flare")</f>
        <v>Wrapped Flare</v>
      </c>
    </row>
    <row r="14195" spans="1:3" x14ac:dyDescent="0.25">
      <c r="A14195" s="2" t="str">
        <f ca="1">IFERROR(__xludf.DUMMYFUNCTION("""COMPUTED_VALUE"""),"wrapped-flow")</f>
        <v>wrapped-flow</v>
      </c>
      <c r="B14195" s="2" t="str">
        <f ca="1">IFERROR(__xludf.DUMMYFUNCTION("""COMPUTED_VALUE"""),"wflow")</f>
        <v>wflow</v>
      </c>
      <c r="C14195" s="2" t="str">
        <f ca="1">IFERROR(__xludf.DUMMYFUNCTION("""COMPUTED_VALUE"""),"Wrapped Flow")</f>
        <v>Wrapped Flow</v>
      </c>
    </row>
    <row r="14196" spans="1:3" x14ac:dyDescent="0.25">
      <c r="A14196" s="2" t="str">
        <f ca="1">IFERROR(__xludf.DUMMYFUNCTION("""COMPUTED_VALUE"""),"wrapped-frxeth")</f>
        <v>wrapped-frxeth</v>
      </c>
      <c r="B14196" s="2" t="str">
        <f ca="1">IFERROR(__xludf.DUMMYFUNCTION("""COMPUTED_VALUE"""),"wfrxeth")</f>
        <v>wfrxeth</v>
      </c>
      <c r="C14196" s="2" t="str">
        <f ca="1">IFERROR(__xludf.DUMMYFUNCTION("""COMPUTED_VALUE"""),"Wrapped frxETH")</f>
        <v>Wrapped frxETH</v>
      </c>
    </row>
    <row r="14197" spans="1:3" x14ac:dyDescent="0.25">
      <c r="A14197" s="2" t="str">
        <f ca="1">IFERROR(__xludf.DUMMYFUNCTION("""COMPUTED_VALUE"""),"wrapped-ftn")</f>
        <v>wrapped-ftn</v>
      </c>
      <c r="B14197" s="2" t="str">
        <f ca="1">IFERROR(__xludf.DUMMYFUNCTION("""COMPUTED_VALUE"""),"wftn")</f>
        <v>wftn</v>
      </c>
      <c r="C14197" s="2" t="str">
        <f ca="1">IFERROR(__xludf.DUMMYFUNCTION("""COMPUTED_VALUE"""),"Wrapped FTN")</f>
        <v>Wrapped FTN</v>
      </c>
    </row>
    <row r="14198" spans="1:3" x14ac:dyDescent="0.25">
      <c r="A14198" s="2" t="str">
        <f ca="1">IFERROR(__xludf.DUMMYFUNCTION("""COMPUTED_VALUE"""),"wrapped-fuse")</f>
        <v>wrapped-fuse</v>
      </c>
      <c r="B14198" s="2" t="str">
        <f ca="1">IFERROR(__xludf.DUMMYFUNCTION("""COMPUTED_VALUE"""),"wfuse")</f>
        <v>wfuse</v>
      </c>
      <c r="C14198" s="2" t="str">
        <f ca="1">IFERROR(__xludf.DUMMYFUNCTION("""COMPUTED_VALUE"""),"Wrapped FUSE")</f>
        <v>Wrapped FUSE</v>
      </c>
    </row>
    <row r="14199" spans="1:3" x14ac:dyDescent="0.25">
      <c r="A14199" s="2" t="str">
        <f ca="1">IFERROR(__xludf.DUMMYFUNCTION("""COMPUTED_VALUE"""),"wrapped-glq")</f>
        <v>wrapped-glq</v>
      </c>
      <c r="B14199" s="2" t="str">
        <f ca="1">IFERROR(__xludf.DUMMYFUNCTION("""COMPUTED_VALUE"""),"wglq")</f>
        <v>wglq</v>
      </c>
      <c r="C14199" s="2" t="str">
        <f ca="1">IFERROR(__xludf.DUMMYFUNCTION("""COMPUTED_VALUE"""),"Wrapped GLQ")</f>
        <v>Wrapped GLQ</v>
      </c>
    </row>
    <row r="14200" spans="1:3" x14ac:dyDescent="0.25">
      <c r="A14200" s="2" t="str">
        <f ca="1">IFERROR(__xludf.DUMMYFUNCTION("""COMPUTED_VALUE"""),"wrapped-gsys-bluelotusdao")</f>
        <v>wrapped-gsys-bluelotusdao</v>
      </c>
      <c r="B14200" s="2" t="str">
        <f ca="1">IFERROR(__xludf.DUMMYFUNCTION("""COMPUTED_VALUE"""),"wgsys")</f>
        <v>wgsys</v>
      </c>
      <c r="C14200" s="2" t="str">
        <f ca="1">IFERROR(__xludf.DUMMYFUNCTION("""COMPUTED_VALUE"""),"Wrapped GSYS (BlueLotusDAO)")</f>
        <v>Wrapped GSYS (BlueLotusDAO)</v>
      </c>
    </row>
    <row r="14201" spans="1:3" x14ac:dyDescent="0.25">
      <c r="A14201" s="2" t="str">
        <f ca="1">IFERROR(__xludf.DUMMYFUNCTION("""COMPUTED_VALUE"""),"wrapped-hbar")</f>
        <v>wrapped-hbar</v>
      </c>
      <c r="B14201" s="2" t="str">
        <f ca="1">IFERROR(__xludf.DUMMYFUNCTION("""COMPUTED_VALUE"""),"whbar")</f>
        <v>whbar</v>
      </c>
      <c r="C14201" s="2" t="str">
        <f ca="1">IFERROR(__xludf.DUMMYFUNCTION("""COMPUTED_VALUE"""),"Wrapped HBAR (SaucerSwap)")</f>
        <v>Wrapped HBAR (SaucerSwap)</v>
      </c>
    </row>
    <row r="14202" spans="1:3" x14ac:dyDescent="0.25">
      <c r="A14202" s="2" t="str">
        <f ca="1">IFERROR(__xludf.DUMMYFUNCTION("""COMPUTED_VALUE"""),"wrapped-hec")</f>
        <v>wrapped-hec</v>
      </c>
      <c r="B14202" s="2" t="str">
        <f ca="1">IFERROR(__xludf.DUMMYFUNCTION("""COMPUTED_VALUE"""),"wshec")</f>
        <v>wshec</v>
      </c>
      <c r="C14202" s="2" t="str">
        <f ca="1">IFERROR(__xludf.DUMMYFUNCTION("""COMPUTED_VALUE"""),"Wrapped HEC")</f>
        <v>Wrapped HEC</v>
      </c>
    </row>
    <row r="14203" spans="1:3" x14ac:dyDescent="0.25">
      <c r="A14203" s="2" t="str">
        <f ca="1">IFERROR(__xludf.DUMMYFUNCTION("""COMPUTED_VALUE"""),"wrapped-hypertensor")</f>
        <v>wrapped-hypertensor</v>
      </c>
      <c r="B14203" s="2" t="str">
        <f ca="1">IFERROR(__xludf.DUMMYFUNCTION("""COMPUTED_VALUE"""),"tensor")</f>
        <v>tensor</v>
      </c>
      <c r="C14203" s="2" t="str">
        <f ca="1">IFERROR(__xludf.DUMMYFUNCTION("""COMPUTED_VALUE"""),"Wrapped Hypertensor")</f>
        <v>Wrapped Hypertensor</v>
      </c>
    </row>
    <row r="14204" spans="1:3" x14ac:dyDescent="0.25">
      <c r="A14204" s="2" t="str">
        <f ca="1">IFERROR(__xludf.DUMMYFUNCTION("""COMPUTED_VALUE"""),"wrapped-icp")</f>
        <v>wrapped-icp</v>
      </c>
      <c r="B14204" s="2" t="str">
        <f ca="1">IFERROR(__xludf.DUMMYFUNCTION("""COMPUTED_VALUE"""),"wicp")</f>
        <v>wicp</v>
      </c>
      <c r="C14204" s="2" t="str">
        <f ca="1">IFERROR(__xludf.DUMMYFUNCTION("""COMPUTED_VALUE"""),"Wrapped ICP")</f>
        <v>Wrapped ICP</v>
      </c>
    </row>
    <row r="14205" spans="1:3" x14ac:dyDescent="0.25">
      <c r="A14205" s="2" t="str">
        <f ca="1">IFERROR(__xludf.DUMMYFUNCTION("""COMPUTED_VALUE"""),"wrapped-immutable")</f>
        <v>wrapped-immutable</v>
      </c>
      <c r="B14205" s="2" t="str">
        <f ca="1">IFERROR(__xludf.DUMMYFUNCTION("""COMPUTED_VALUE"""),"wimx")</f>
        <v>wimx</v>
      </c>
      <c r="C14205" s="2" t="str">
        <f ca="1">IFERROR(__xludf.DUMMYFUNCTION("""COMPUTED_VALUE"""),"Wrapped IMX")</f>
        <v>Wrapped IMX</v>
      </c>
    </row>
    <row r="14206" spans="1:3" x14ac:dyDescent="0.25">
      <c r="A14206" s="2" t="str">
        <f ca="1">IFERROR(__xludf.DUMMYFUNCTION("""COMPUTED_VALUE"""),"wrapped-iota")</f>
        <v>wrapped-iota</v>
      </c>
      <c r="B14206" s="2" t="str">
        <f ca="1">IFERROR(__xludf.DUMMYFUNCTION("""COMPUTED_VALUE"""),"wiota")</f>
        <v>wiota</v>
      </c>
      <c r="C14206" s="2" t="str">
        <f ca="1">IFERROR(__xludf.DUMMYFUNCTION("""COMPUTED_VALUE"""),"Wrapped IOTA")</f>
        <v>Wrapped IOTA</v>
      </c>
    </row>
    <row r="14207" spans="1:3" x14ac:dyDescent="0.25">
      <c r="A14207" s="2" t="str">
        <f ca="1">IFERROR(__xludf.DUMMYFUNCTION("""COMPUTED_VALUE"""),"wrapped-iotex")</f>
        <v>wrapped-iotex</v>
      </c>
      <c r="B14207" s="2" t="str">
        <f ca="1">IFERROR(__xludf.DUMMYFUNCTION("""COMPUTED_VALUE"""),"wiotx")</f>
        <v>wiotx</v>
      </c>
      <c r="C14207" s="2" t="str">
        <f ca="1">IFERROR(__xludf.DUMMYFUNCTION("""COMPUTED_VALUE"""),"Wrapped IoTex")</f>
        <v>Wrapped IoTex</v>
      </c>
    </row>
    <row r="14208" spans="1:3" x14ac:dyDescent="0.25">
      <c r="A14208" s="2" t="str">
        <f ca="1">IFERROR(__xludf.DUMMYFUNCTION("""COMPUTED_VALUE"""),"wrapped-jbc")</f>
        <v>wrapped-jbc</v>
      </c>
      <c r="B14208" s="2" t="str">
        <f ca="1">IFERROR(__xludf.DUMMYFUNCTION("""COMPUTED_VALUE"""),"wjbc")</f>
        <v>wjbc</v>
      </c>
      <c r="C14208" s="2" t="str">
        <f ca="1">IFERROR(__xludf.DUMMYFUNCTION("""COMPUTED_VALUE"""),"JibSwap Wrapped JBC (Jibchain)")</f>
        <v>JibSwap Wrapped JBC (Jibchain)</v>
      </c>
    </row>
    <row r="14209" spans="1:3" x14ac:dyDescent="0.25">
      <c r="A14209" s="2" t="str">
        <f ca="1">IFERROR(__xludf.DUMMYFUNCTION("""COMPUTED_VALUE"""),"wrapped-jones-aura")</f>
        <v>wrapped-jones-aura</v>
      </c>
      <c r="B14209" s="2" t="str">
        <f ca="1">IFERROR(__xludf.DUMMYFUNCTION("""COMPUTED_VALUE"""),"wjaura")</f>
        <v>wjaura</v>
      </c>
      <c r="C14209" s="2" t="str">
        <f ca="1">IFERROR(__xludf.DUMMYFUNCTION("""COMPUTED_VALUE"""),"Wrapped Jones AURA")</f>
        <v>Wrapped Jones AURA</v>
      </c>
    </row>
    <row r="14210" spans="1:3" x14ac:dyDescent="0.25">
      <c r="A14210" s="2" t="str">
        <f ca="1">IFERROR(__xludf.DUMMYFUNCTION("""COMPUTED_VALUE"""),"wrapped-kaspa")</f>
        <v>wrapped-kaspa</v>
      </c>
      <c r="B14210" s="2" t="str">
        <f ca="1">IFERROR(__xludf.DUMMYFUNCTION("""COMPUTED_VALUE"""),"kas")</f>
        <v>kas</v>
      </c>
      <c r="C14210" s="2" t="str">
        <f ca="1">IFERROR(__xludf.DUMMYFUNCTION("""COMPUTED_VALUE"""),"Wrapped Kaspa")</f>
        <v>Wrapped Kaspa</v>
      </c>
    </row>
    <row r="14211" spans="1:3" x14ac:dyDescent="0.25">
      <c r="A14211" s="2" t="str">
        <f ca="1">IFERROR(__xludf.DUMMYFUNCTION("""COMPUTED_VALUE"""),"wrapped-kava")</f>
        <v>wrapped-kava</v>
      </c>
      <c r="B14211" s="2" t="str">
        <f ca="1">IFERROR(__xludf.DUMMYFUNCTION("""COMPUTED_VALUE"""),"wkava")</f>
        <v>wkava</v>
      </c>
      <c r="C14211" s="2" t="str">
        <f ca="1">IFERROR(__xludf.DUMMYFUNCTION("""COMPUTED_VALUE"""),"Wrapped Kava")</f>
        <v>Wrapped Kava</v>
      </c>
    </row>
    <row r="14212" spans="1:3" x14ac:dyDescent="0.25">
      <c r="A14212" s="2" t="str">
        <f ca="1">IFERROR(__xludf.DUMMYFUNCTION("""COMPUTED_VALUE"""),"wrapped-kcs")</f>
        <v>wrapped-kcs</v>
      </c>
      <c r="B14212" s="2" t="str">
        <f ca="1">IFERROR(__xludf.DUMMYFUNCTION("""COMPUTED_VALUE"""),"wkcs")</f>
        <v>wkcs</v>
      </c>
      <c r="C14212" s="2" t="str">
        <f ca="1">IFERROR(__xludf.DUMMYFUNCTION("""COMPUTED_VALUE"""),"Wrapped KCS")</f>
        <v>Wrapped KCS</v>
      </c>
    </row>
    <row r="14213" spans="1:3" x14ac:dyDescent="0.25">
      <c r="A14213" s="2" t="str">
        <f ca="1">IFERROR(__xludf.DUMMYFUNCTION("""COMPUTED_VALUE"""),"wrapped-klay")</f>
        <v>wrapped-klay</v>
      </c>
      <c r="B14213" s="2" t="str">
        <f ca="1">IFERROR(__xludf.DUMMYFUNCTION("""COMPUTED_VALUE"""),"wklay")</f>
        <v>wklay</v>
      </c>
      <c r="C14213" s="2" t="str">
        <f ca="1">IFERROR(__xludf.DUMMYFUNCTION("""COMPUTED_VALUE"""),"Wrapped KLAY")</f>
        <v>Wrapped KLAY</v>
      </c>
    </row>
    <row r="14214" spans="1:3" x14ac:dyDescent="0.25">
      <c r="A14214" s="2" t="str">
        <f ca="1">IFERROR(__xludf.DUMMYFUNCTION("""COMPUTED_VALUE"""),"wrapped-libertas-omnibus")</f>
        <v>wrapped-libertas-omnibus</v>
      </c>
      <c r="B14214" s="2" t="str">
        <f ca="1">IFERROR(__xludf.DUMMYFUNCTION("""COMPUTED_VALUE"""),"libertas")</f>
        <v>libertas</v>
      </c>
      <c r="C14214" s="2" t="str">
        <f ca="1">IFERROR(__xludf.DUMMYFUNCTION("""COMPUTED_VALUE"""),"Wrapped LIBERTAS OMNIBUS")</f>
        <v>Wrapped LIBERTAS OMNIBUS</v>
      </c>
    </row>
    <row r="14215" spans="1:3" x14ac:dyDescent="0.25">
      <c r="A14215" s="2" t="str">
        <f ca="1">IFERROR(__xludf.DUMMYFUNCTION("""COMPUTED_VALUE"""),"wrapped-ltc-21-co")</f>
        <v>wrapped-ltc-21-co</v>
      </c>
      <c r="B14215" s="2" t="str">
        <f ca="1">IFERROR(__xludf.DUMMYFUNCTION("""COMPUTED_VALUE"""),"21ltc")</f>
        <v>21ltc</v>
      </c>
      <c r="C14215" s="2" t="str">
        <f ca="1">IFERROR(__xludf.DUMMYFUNCTION("""COMPUTED_VALUE"""),"21.co Wrapped LTC")</f>
        <v>21.co Wrapped LTC</v>
      </c>
    </row>
    <row r="14216" spans="1:3" x14ac:dyDescent="0.25">
      <c r="A14216" s="2" t="str">
        <f ca="1">IFERROR(__xludf.DUMMYFUNCTION("""COMPUTED_VALUE"""),"wrapped-lunagens")</f>
        <v>wrapped-lunagens</v>
      </c>
      <c r="B14216" s="2" t="str">
        <f ca="1">IFERROR(__xludf.DUMMYFUNCTION("""COMPUTED_VALUE"""),"wlung")</f>
        <v>wlung</v>
      </c>
      <c r="C14216" s="2" t="str">
        <f ca="1">IFERROR(__xludf.DUMMYFUNCTION("""COMPUTED_VALUE"""),"Wrapped LunaGens")</f>
        <v>Wrapped LunaGens</v>
      </c>
    </row>
    <row r="14217" spans="1:3" x14ac:dyDescent="0.25">
      <c r="A14217" s="2" t="str">
        <f ca="1">IFERROR(__xludf.DUMMYFUNCTION("""COMPUTED_VALUE"""),"wrapped-lyx-sigmaswap")</f>
        <v>wrapped-lyx-sigmaswap</v>
      </c>
      <c r="B14217" s="2" t="str">
        <f ca="1">IFERROR(__xludf.DUMMYFUNCTION("""COMPUTED_VALUE"""),"wlyx")</f>
        <v>wlyx</v>
      </c>
      <c r="C14217" s="2" t="str">
        <f ca="1">IFERROR(__xludf.DUMMYFUNCTION("""COMPUTED_VALUE"""),"Wrapped LYX (SigmaSwap)")</f>
        <v>Wrapped LYX (SigmaSwap)</v>
      </c>
    </row>
    <row r="14218" spans="1:3" x14ac:dyDescent="0.25">
      <c r="A14218" s="2" t="str">
        <f ca="1">IFERROR(__xludf.DUMMYFUNCTION("""COMPUTED_VALUE"""),"wrapped-lyx-universalswaps")</f>
        <v>wrapped-lyx-universalswaps</v>
      </c>
      <c r="B14218" s="2" t="str">
        <f ca="1">IFERROR(__xludf.DUMMYFUNCTION("""COMPUTED_VALUE"""),"wlyx")</f>
        <v>wlyx</v>
      </c>
      <c r="C14218" s="2" t="str">
        <f ca="1">IFERROR(__xludf.DUMMYFUNCTION("""COMPUTED_VALUE"""),"Wrapped Lyx (UniversalSwaps)")</f>
        <v>Wrapped Lyx (UniversalSwaps)</v>
      </c>
    </row>
    <row r="14219" spans="1:3" x14ac:dyDescent="0.25">
      <c r="A14219" s="2" t="str">
        <f ca="1">IFERROR(__xludf.DUMMYFUNCTION("""COMPUTED_VALUE"""),"wrapped-mantle")</f>
        <v>wrapped-mantle</v>
      </c>
      <c r="B14219" s="2" t="str">
        <f ca="1">IFERROR(__xludf.DUMMYFUNCTION("""COMPUTED_VALUE"""),"wmnt")</f>
        <v>wmnt</v>
      </c>
      <c r="C14219" s="2" t="str">
        <f ca="1">IFERROR(__xludf.DUMMYFUNCTION("""COMPUTED_VALUE"""),"Wrapped Mantle")</f>
        <v>Wrapped Mantle</v>
      </c>
    </row>
    <row r="14220" spans="1:3" x14ac:dyDescent="0.25">
      <c r="A14220" s="2" t="str">
        <f ca="1">IFERROR(__xludf.DUMMYFUNCTION("""COMPUTED_VALUE"""),"wrapped-mapo")</f>
        <v>wrapped-mapo</v>
      </c>
      <c r="B14220" s="2" t="str">
        <f ca="1">IFERROR(__xludf.DUMMYFUNCTION("""COMPUTED_VALUE"""),"wmapo")</f>
        <v>wmapo</v>
      </c>
      <c r="C14220" s="2" t="str">
        <f ca="1">IFERROR(__xludf.DUMMYFUNCTION("""COMPUTED_VALUE"""),"Wrapped MAPO")</f>
        <v>Wrapped MAPO</v>
      </c>
    </row>
    <row r="14221" spans="1:3" x14ac:dyDescent="0.25">
      <c r="A14221" s="2" t="str">
        <f ca="1">IFERROR(__xludf.DUMMYFUNCTION("""COMPUTED_VALUE"""),"wrapped-massa")</f>
        <v>wrapped-massa</v>
      </c>
      <c r="B14221" s="2" t="str">
        <f ca="1">IFERROR(__xludf.DUMMYFUNCTION("""COMPUTED_VALUE"""),"wmas")</f>
        <v>wmas</v>
      </c>
      <c r="C14221" s="2" t="str">
        <f ca="1">IFERROR(__xludf.DUMMYFUNCTION("""COMPUTED_VALUE"""),"Wrapped Massa")</f>
        <v>Wrapped Massa</v>
      </c>
    </row>
    <row r="14222" spans="1:3" x14ac:dyDescent="0.25">
      <c r="A14222" s="2" t="str">
        <f ca="1">IFERROR(__xludf.DUMMYFUNCTION("""COMPUTED_VALUE"""),"wrapped-memory")</f>
        <v>wrapped-memory</v>
      </c>
      <c r="B14222" s="2" t="str">
        <f ca="1">IFERROR(__xludf.DUMMYFUNCTION("""COMPUTED_VALUE"""),"wmemo")</f>
        <v>wmemo</v>
      </c>
      <c r="C14222" s="2" t="str">
        <f ca="1">IFERROR(__xludf.DUMMYFUNCTION("""COMPUTED_VALUE"""),"Wonderful Memories")</f>
        <v>Wonderful Memories</v>
      </c>
    </row>
    <row r="14223" spans="1:3" x14ac:dyDescent="0.25">
      <c r="A14223" s="2" t="str">
        <f ca="1">IFERROR(__xludf.DUMMYFUNCTION("""COMPUTED_VALUE"""),"wrapped-merit-circle")</f>
        <v>wrapped-merit-circle</v>
      </c>
      <c r="B14223" s="2" t="str">
        <f ca="1">IFERROR(__xludf.DUMMYFUNCTION("""COMPUTED_VALUE"""),"wbeam")</f>
        <v>wbeam</v>
      </c>
      <c r="C14223" s="2" t="str">
        <f ca="1">IFERROR(__xludf.DUMMYFUNCTION("""COMPUTED_VALUE"""),"Wrapped BEAM")</f>
        <v>Wrapped BEAM</v>
      </c>
    </row>
    <row r="14224" spans="1:3" x14ac:dyDescent="0.25">
      <c r="A14224" s="2" t="str">
        <f ca="1">IFERROR(__xludf.DUMMYFUNCTION("""COMPUTED_VALUE"""),"wrapped-millix")</f>
        <v>wrapped-millix</v>
      </c>
      <c r="B14224" s="2" t="str">
        <f ca="1">IFERROR(__xludf.DUMMYFUNCTION("""COMPUTED_VALUE"""),"wmlx")</f>
        <v>wmlx</v>
      </c>
      <c r="C14224" s="2" t="str">
        <f ca="1">IFERROR(__xludf.DUMMYFUNCTION("""COMPUTED_VALUE"""),"Wrapped Millix")</f>
        <v>Wrapped Millix</v>
      </c>
    </row>
    <row r="14225" spans="1:3" x14ac:dyDescent="0.25">
      <c r="A14225" s="2" t="str">
        <f ca="1">IFERROR(__xludf.DUMMYFUNCTION("""COMPUTED_VALUE"""),"wrapped-minima")</f>
        <v>wrapped-minima</v>
      </c>
      <c r="B14225" s="2" t="str">
        <f ca="1">IFERROR(__xludf.DUMMYFUNCTION("""COMPUTED_VALUE"""),"wminima")</f>
        <v>wminima</v>
      </c>
      <c r="C14225" s="2" t="str">
        <f ca="1">IFERROR(__xludf.DUMMYFUNCTION("""COMPUTED_VALUE"""),"Wrapped Minima")</f>
        <v>Wrapped Minima</v>
      </c>
    </row>
    <row r="14226" spans="1:3" x14ac:dyDescent="0.25">
      <c r="A14226" s="2" t="str">
        <f ca="1">IFERROR(__xludf.DUMMYFUNCTION("""COMPUTED_VALUE"""),"wrapped-mistcoin")</f>
        <v>wrapped-mistcoin</v>
      </c>
      <c r="B14226" s="2" t="str">
        <f ca="1">IFERROR(__xludf.DUMMYFUNCTION("""COMPUTED_VALUE"""),"wmc")</f>
        <v>wmc</v>
      </c>
      <c r="C14226" s="2" t="str">
        <f ca="1">IFERROR(__xludf.DUMMYFUNCTION("""COMPUTED_VALUE"""),"Wrapped MistCoin")</f>
        <v>Wrapped MistCoin</v>
      </c>
    </row>
    <row r="14227" spans="1:3" x14ac:dyDescent="0.25">
      <c r="A14227" s="2" t="str">
        <f ca="1">IFERROR(__xludf.DUMMYFUNCTION("""COMPUTED_VALUE"""),"wrapped-moonbeam")</f>
        <v>wrapped-moonbeam</v>
      </c>
      <c r="B14227" s="2" t="str">
        <f ca="1">IFERROR(__xludf.DUMMYFUNCTION("""COMPUTED_VALUE"""),"wglmr")</f>
        <v>wglmr</v>
      </c>
      <c r="C14227" s="2" t="str">
        <f ca="1">IFERROR(__xludf.DUMMYFUNCTION("""COMPUTED_VALUE"""),"Wrapped Moonbeam")</f>
        <v>Wrapped Moonbeam</v>
      </c>
    </row>
    <row r="14228" spans="1:3" x14ac:dyDescent="0.25">
      <c r="A14228" s="2" t="str">
        <f ca="1">IFERROR(__xludf.DUMMYFUNCTION("""COMPUTED_VALUE"""),"wrapped-moxy")</f>
        <v>wrapped-moxy</v>
      </c>
      <c r="B14228" s="2" t="str">
        <f ca="1">IFERROR(__xludf.DUMMYFUNCTION("""COMPUTED_VALUE"""),"wmoxy")</f>
        <v>wmoxy</v>
      </c>
      <c r="C14228" s="2" t="str">
        <f ca="1">IFERROR(__xludf.DUMMYFUNCTION("""COMPUTED_VALUE"""),"Wrapped MOXY")</f>
        <v>Wrapped MOXY</v>
      </c>
    </row>
    <row r="14229" spans="1:3" x14ac:dyDescent="0.25">
      <c r="A14229" s="2" t="str">
        <f ca="1">IFERROR(__xludf.DUMMYFUNCTION("""COMPUTED_VALUE"""),"wrapped-ncg")</f>
        <v>wrapped-ncg</v>
      </c>
      <c r="B14229" s="2" t="str">
        <f ca="1">IFERROR(__xludf.DUMMYFUNCTION("""COMPUTED_VALUE"""),"wncg")</f>
        <v>wncg</v>
      </c>
      <c r="C14229" s="2" t="str">
        <f ca="1">IFERROR(__xludf.DUMMYFUNCTION("""COMPUTED_VALUE"""),"Wrapped NCG")</f>
        <v>Wrapped NCG</v>
      </c>
    </row>
    <row r="14230" spans="1:3" x14ac:dyDescent="0.25">
      <c r="A14230" s="2" t="str">
        <f ca="1">IFERROR(__xludf.DUMMYFUNCTION("""COMPUTED_VALUE"""),"wrapped-near")</f>
        <v>wrapped-near</v>
      </c>
      <c r="B14230" s="2" t="str">
        <f ca="1">IFERROR(__xludf.DUMMYFUNCTION("""COMPUTED_VALUE"""),"wnear")</f>
        <v>wnear</v>
      </c>
      <c r="C14230" s="2" t="str">
        <f ca="1">IFERROR(__xludf.DUMMYFUNCTION("""COMPUTED_VALUE"""),"Wrapped Near")</f>
        <v>Wrapped Near</v>
      </c>
    </row>
    <row r="14231" spans="1:3" x14ac:dyDescent="0.25">
      <c r="A14231" s="2" t="str">
        <f ca="1">IFERROR(__xludf.DUMMYFUNCTION("""COMPUTED_VALUE"""),"wrapped-neon")</f>
        <v>wrapped-neon</v>
      </c>
      <c r="B14231" s="2" t="str">
        <f ca="1">IFERROR(__xludf.DUMMYFUNCTION("""COMPUTED_VALUE"""),"wneon")</f>
        <v>wneon</v>
      </c>
      <c r="C14231" s="2" t="str">
        <f ca="1">IFERROR(__xludf.DUMMYFUNCTION("""COMPUTED_VALUE"""),"Wrapped Neon")</f>
        <v>Wrapped Neon</v>
      </c>
    </row>
    <row r="14232" spans="1:3" x14ac:dyDescent="0.25">
      <c r="A14232" s="2" t="str">
        <f ca="1">IFERROR(__xludf.DUMMYFUNCTION("""COMPUTED_VALUE"""),"wrapped-newyorkcoin")</f>
        <v>wrapped-newyorkcoin</v>
      </c>
      <c r="B14232" s="2" t="str">
        <f ca="1">IFERROR(__xludf.DUMMYFUNCTION("""COMPUTED_VALUE"""),"wnyc")</f>
        <v>wnyc</v>
      </c>
      <c r="C14232" s="2" t="str">
        <f ca="1">IFERROR(__xludf.DUMMYFUNCTION("""COMPUTED_VALUE"""),"Wrapped NewYorkCoin")</f>
        <v>Wrapped NewYorkCoin</v>
      </c>
    </row>
    <row r="14233" spans="1:3" x14ac:dyDescent="0.25">
      <c r="A14233" s="2" t="str">
        <f ca="1">IFERROR(__xludf.DUMMYFUNCTION("""COMPUTED_VALUE"""),"wrapped-nxm")</f>
        <v>wrapped-nxm</v>
      </c>
      <c r="B14233" s="2" t="str">
        <f ca="1">IFERROR(__xludf.DUMMYFUNCTION("""COMPUTED_VALUE"""),"wnxm")</f>
        <v>wnxm</v>
      </c>
      <c r="C14233" s="2" t="str">
        <f ca="1">IFERROR(__xludf.DUMMYFUNCTION("""COMPUTED_VALUE"""),"Wrapped NXM")</f>
        <v>Wrapped NXM</v>
      </c>
    </row>
    <row r="14234" spans="1:3" x14ac:dyDescent="0.25">
      <c r="A14234" s="2" t="str">
        <f ca="1">IFERROR(__xludf.DUMMYFUNCTION("""COMPUTED_VALUE"""),"wrapped-oas")</f>
        <v>wrapped-oas</v>
      </c>
      <c r="B14234" s="2" t="str">
        <f ca="1">IFERROR(__xludf.DUMMYFUNCTION("""COMPUTED_VALUE"""),"woas")</f>
        <v>woas</v>
      </c>
      <c r="C14234" s="2" t="str">
        <f ca="1">IFERROR(__xludf.DUMMYFUNCTION("""COMPUTED_VALUE"""),"Wrapped OAS")</f>
        <v>Wrapped OAS</v>
      </c>
    </row>
    <row r="14235" spans="1:3" x14ac:dyDescent="0.25">
      <c r="A14235" s="2" t="str">
        <f ca="1">IFERROR(__xludf.DUMMYFUNCTION("""COMPUTED_VALUE"""),"wrapped-oasys")</f>
        <v>wrapped-oasys</v>
      </c>
      <c r="B14235" s="2" t="str">
        <f ca="1">IFERROR(__xludf.DUMMYFUNCTION("""COMPUTED_VALUE"""),"woasys")</f>
        <v>woasys</v>
      </c>
      <c r="C14235" s="2" t="str">
        <f ca="1">IFERROR(__xludf.DUMMYFUNCTION("""COMPUTED_VALUE"""),"Wrapped Oasys")</f>
        <v>Wrapped Oasys</v>
      </c>
    </row>
    <row r="14236" spans="1:3" x14ac:dyDescent="0.25">
      <c r="A14236" s="2" t="str">
        <f ca="1">IFERROR(__xludf.DUMMYFUNCTION("""COMPUTED_VALUE"""),"wrapped-oeth")</f>
        <v>wrapped-oeth</v>
      </c>
      <c r="B14236" s="2" t="str">
        <f ca="1">IFERROR(__xludf.DUMMYFUNCTION("""COMPUTED_VALUE"""),"woeth")</f>
        <v>woeth</v>
      </c>
      <c r="C14236" s="2" t="str">
        <f ca="1">IFERROR(__xludf.DUMMYFUNCTION("""COMPUTED_VALUE"""),"Wrapped OETH")</f>
        <v>Wrapped OETH</v>
      </c>
    </row>
    <row r="14237" spans="1:3" x14ac:dyDescent="0.25">
      <c r="A14237" s="2" t="str">
        <f ca="1">IFERROR(__xludf.DUMMYFUNCTION("""COMPUTED_VALUE"""),"wrapped-okb")</f>
        <v>wrapped-okb</v>
      </c>
      <c r="B14237" s="2" t="str">
        <f ca="1">IFERROR(__xludf.DUMMYFUNCTION("""COMPUTED_VALUE"""),"wokb")</f>
        <v>wokb</v>
      </c>
      <c r="C14237" s="2" t="str">
        <f ca="1">IFERROR(__xludf.DUMMYFUNCTION("""COMPUTED_VALUE"""),"Wrapped OKB")</f>
        <v>Wrapped OKB</v>
      </c>
    </row>
    <row r="14238" spans="1:3" x14ac:dyDescent="0.25">
      <c r="A14238" s="2" t="str">
        <f ca="1">IFERROR(__xludf.DUMMYFUNCTION("""COMPUTED_VALUE"""),"wrapped-omax")</f>
        <v>wrapped-omax</v>
      </c>
      <c r="B14238" s="2" t="str">
        <f ca="1">IFERROR(__xludf.DUMMYFUNCTION("""COMPUTED_VALUE"""),"womax")</f>
        <v>womax</v>
      </c>
      <c r="C14238" s="2" t="str">
        <f ca="1">IFERROR(__xludf.DUMMYFUNCTION("""COMPUTED_VALUE"""),"Wrapped OMAX")</f>
        <v>Wrapped OMAX</v>
      </c>
    </row>
    <row r="14239" spans="1:3" x14ac:dyDescent="0.25">
      <c r="A14239" s="2" t="str">
        <f ca="1">IFERROR(__xludf.DUMMYFUNCTION("""COMPUTED_VALUE"""),"wrapped-one")</f>
        <v>wrapped-one</v>
      </c>
      <c r="B14239" s="2" t="str">
        <f ca="1">IFERROR(__xludf.DUMMYFUNCTION("""COMPUTED_VALUE"""),"wone")</f>
        <v>wone</v>
      </c>
      <c r="C14239" s="2" t="str">
        <f ca="1">IFERROR(__xludf.DUMMYFUNCTION("""COMPUTED_VALUE"""),"Wrapped One")</f>
        <v>Wrapped One</v>
      </c>
    </row>
    <row r="14240" spans="1:3" x14ac:dyDescent="0.25">
      <c r="A14240" s="2" t="str">
        <f ca="1">IFERROR(__xludf.DUMMYFUNCTION("""COMPUTED_VALUE"""),"wrapped-optidoge")</f>
        <v>wrapped-optidoge</v>
      </c>
      <c r="B14240" s="2" t="str">
        <f ca="1">IFERROR(__xludf.DUMMYFUNCTION("""COMPUTED_VALUE"""),"woptidoge")</f>
        <v>woptidoge</v>
      </c>
      <c r="C14240" s="2" t="str">
        <f ca="1">IFERROR(__xludf.DUMMYFUNCTION("""COMPUTED_VALUE"""),"Wrapped OptiDoge")</f>
        <v>Wrapped OptiDoge</v>
      </c>
    </row>
    <row r="14241" spans="1:3" x14ac:dyDescent="0.25">
      <c r="A14241" s="2" t="str">
        <f ca="1">IFERROR(__xludf.DUMMYFUNCTION("""COMPUTED_VALUE"""),"wrapped-ousd")</f>
        <v>wrapped-ousd</v>
      </c>
      <c r="B14241" s="2" t="str">
        <f ca="1">IFERROR(__xludf.DUMMYFUNCTION("""COMPUTED_VALUE"""),"wousd")</f>
        <v>wousd</v>
      </c>
      <c r="C14241" s="2" t="str">
        <f ca="1">IFERROR(__xludf.DUMMYFUNCTION("""COMPUTED_VALUE"""),"Wrapped OUSD")</f>
        <v>Wrapped OUSD</v>
      </c>
    </row>
    <row r="14242" spans="1:3" x14ac:dyDescent="0.25">
      <c r="A14242" s="2" t="str">
        <f ca="1">IFERROR(__xludf.DUMMYFUNCTION("""COMPUTED_VALUE"""),"wrapped-paycoin")</f>
        <v>wrapped-paycoin</v>
      </c>
      <c r="B14242" s="2" t="str">
        <f ca="1">IFERROR(__xludf.DUMMYFUNCTION("""COMPUTED_VALUE"""),"wpci")</f>
        <v>wpci</v>
      </c>
      <c r="C14242" s="2" t="str">
        <f ca="1">IFERROR(__xludf.DUMMYFUNCTION("""COMPUTED_VALUE"""),"Wrapped Paycoin")</f>
        <v>Wrapped Paycoin</v>
      </c>
    </row>
    <row r="14243" spans="1:3" x14ac:dyDescent="0.25">
      <c r="A14243" s="2" t="str">
        <f ca="1">IFERROR(__xludf.DUMMYFUNCTION("""COMPUTED_VALUE"""),"wrapped-pfil")</f>
        <v>wrapped-pfil</v>
      </c>
      <c r="B14243" s="2" t="str">
        <f ca="1">IFERROR(__xludf.DUMMYFUNCTION("""COMPUTED_VALUE"""),"wpfil")</f>
        <v>wpfil</v>
      </c>
      <c r="C14243" s="2" t="str">
        <f ca="1">IFERROR(__xludf.DUMMYFUNCTION("""COMPUTED_VALUE"""),"Wrapped pFIL")</f>
        <v>Wrapped pFIL</v>
      </c>
    </row>
    <row r="14244" spans="1:3" x14ac:dyDescent="0.25">
      <c r="A14244" s="2" t="str">
        <f ca="1">IFERROR(__xludf.DUMMYFUNCTION("""COMPUTED_VALUE"""),"wrapped-pokt")</f>
        <v>wrapped-pokt</v>
      </c>
      <c r="B14244" s="2" t="str">
        <f ca="1">IFERROR(__xludf.DUMMYFUNCTION("""COMPUTED_VALUE"""),"wpokt")</f>
        <v>wpokt</v>
      </c>
      <c r="C14244" s="2" t="str">
        <f ca="1">IFERROR(__xludf.DUMMYFUNCTION("""COMPUTED_VALUE"""),"Wrapped POKT")</f>
        <v>Wrapped POKT</v>
      </c>
    </row>
    <row r="14245" spans="1:3" x14ac:dyDescent="0.25">
      <c r="A14245" s="2" t="str">
        <f ca="1">IFERROR(__xludf.DUMMYFUNCTION("""COMPUTED_VALUE"""),"wrapped-pulse-wpls")</f>
        <v>wrapped-pulse-wpls</v>
      </c>
      <c r="B14245" s="2" t="str">
        <f ca="1">IFERROR(__xludf.DUMMYFUNCTION("""COMPUTED_VALUE"""),"wpls")</f>
        <v>wpls</v>
      </c>
      <c r="C14245" s="2" t="str">
        <f ca="1">IFERROR(__xludf.DUMMYFUNCTION("""COMPUTED_VALUE"""),"Wrapped Pulse")</f>
        <v>Wrapped Pulse</v>
      </c>
    </row>
    <row r="14246" spans="1:3" x14ac:dyDescent="0.25">
      <c r="A14246" s="2" t="str">
        <f ca="1">IFERROR(__xludf.DUMMYFUNCTION("""COMPUTED_VALUE"""),"wrapped-q")</f>
        <v>wrapped-q</v>
      </c>
      <c r="B14246" s="2" t="str">
        <f ca="1">IFERROR(__xludf.DUMMYFUNCTION("""COMPUTED_VALUE"""),"wq")</f>
        <v>wq</v>
      </c>
      <c r="C14246" s="2" t="str">
        <f ca="1">IFERROR(__xludf.DUMMYFUNCTION("""COMPUTED_VALUE"""),"Wrapped Q")</f>
        <v>Wrapped Q</v>
      </c>
    </row>
    <row r="14247" spans="1:3" x14ac:dyDescent="0.25">
      <c r="A14247" s="2" t="str">
        <f ca="1">IFERROR(__xludf.DUMMYFUNCTION("""COMPUTED_VALUE"""),"wrapped-qom")</f>
        <v>wrapped-qom</v>
      </c>
      <c r="B14247" s="2" t="str">
        <f ca="1">IFERROR(__xludf.DUMMYFUNCTION("""COMPUTED_VALUE"""),"wqom")</f>
        <v>wqom</v>
      </c>
      <c r="C14247" s="2" t="str">
        <f ca="1">IFERROR(__xludf.DUMMYFUNCTION("""COMPUTED_VALUE"""),"Wrapped QOM")</f>
        <v>Wrapped QOM</v>
      </c>
    </row>
    <row r="14248" spans="1:3" x14ac:dyDescent="0.25">
      <c r="A14248" s="2" t="str">
        <f ca="1">IFERROR(__xludf.DUMMYFUNCTION("""COMPUTED_VALUE"""),"wrapped-quil")</f>
        <v>wrapped-quil</v>
      </c>
      <c r="B14248" s="2" t="str">
        <f ca="1">IFERROR(__xludf.DUMMYFUNCTION("""COMPUTED_VALUE"""),"quil")</f>
        <v>quil</v>
      </c>
      <c r="C14248" s="2" t="str">
        <f ca="1">IFERROR(__xludf.DUMMYFUNCTION("""COMPUTED_VALUE"""),"Wrapped QUIL")</f>
        <v>Wrapped QUIL</v>
      </c>
    </row>
    <row r="14249" spans="1:3" x14ac:dyDescent="0.25">
      <c r="A14249" s="2" t="str">
        <f ca="1">IFERROR(__xludf.DUMMYFUNCTION("""COMPUTED_VALUE"""),"wrapped-real-ether")</f>
        <v>wrapped-real-ether</v>
      </c>
      <c r="B14249" s="2" t="str">
        <f ca="1">IFERROR(__xludf.DUMMYFUNCTION("""COMPUTED_VALUE"""),"wreeth")</f>
        <v>wreeth</v>
      </c>
      <c r="C14249" s="2" t="str">
        <f ca="1">IFERROR(__xludf.DUMMYFUNCTION("""COMPUTED_VALUE"""),"Wrapped Real Ether")</f>
        <v>Wrapped Real Ether</v>
      </c>
    </row>
    <row r="14250" spans="1:3" x14ac:dyDescent="0.25">
      <c r="A14250" s="2" t="str">
        <f ca="1">IFERROR(__xludf.DUMMYFUNCTION("""COMPUTED_VALUE"""),"wrapped-rose")</f>
        <v>wrapped-rose</v>
      </c>
      <c r="B14250" s="2" t="str">
        <f ca="1">IFERROR(__xludf.DUMMYFUNCTION("""COMPUTED_VALUE"""),"wrose")</f>
        <v>wrose</v>
      </c>
      <c r="C14250" s="2" t="str">
        <f ca="1">IFERROR(__xludf.DUMMYFUNCTION("""COMPUTED_VALUE"""),"Wrapped ROSE")</f>
        <v>Wrapped ROSE</v>
      </c>
    </row>
    <row r="14251" spans="1:3" x14ac:dyDescent="0.25">
      <c r="A14251" s="2" t="str">
        <f ca="1">IFERROR(__xludf.DUMMYFUNCTION("""COMPUTED_VALUE"""),"wrapped-rseth")</f>
        <v>wrapped-rseth</v>
      </c>
      <c r="B14251" s="2" t="str">
        <f ca="1">IFERROR(__xludf.DUMMYFUNCTION("""COMPUTED_VALUE"""),"wrseth")</f>
        <v>wrseth</v>
      </c>
      <c r="C14251" s="2" t="str">
        <f ca="1">IFERROR(__xludf.DUMMYFUNCTION("""COMPUTED_VALUE"""),"Wrapped rsETH")</f>
        <v>Wrapped rsETH</v>
      </c>
    </row>
    <row r="14252" spans="1:3" x14ac:dyDescent="0.25">
      <c r="A14252" s="2" t="str">
        <f ca="1">IFERROR(__xludf.DUMMYFUNCTION("""COMPUTED_VALUE"""),"wrapped-runi")</f>
        <v>wrapped-runi</v>
      </c>
      <c r="B14252" s="2" t="str">
        <f ca="1">IFERROR(__xludf.DUMMYFUNCTION("""COMPUTED_VALUE"""),"wruni")</f>
        <v>wruni</v>
      </c>
      <c r="C14252" s="2" t="str">
        <f ca="1">IFERROR(__xludf.DUMMYFUNCTION("""COMPUTED_VALUE"""),"Wrapped RUNI")</f>
        <v>Wrapped RUNI</v>
      </c>
    </row>
    <row r="14253" spans="1:3" x14ac:dyDescent="0.25">
      <c r="A14253" s="2" t="str">
        <f ca="1">IFERROR(__xludf.DUMMYFUNCTION("""COMPUTED_VALUE"""),"wrapped-sei")</f>
        <v>wrapped-sei</v>
      </c>
      <c r="B14253" s="2" t="str">
        <f ca="1">IFERROR(__xludf.DUMMYFUNCTION("""COMPUTED_VALUE"""),"wsei")</f>
        <v>wsei</v>
      </c>
      <c r="C14253" s="2" t="str">
        <f ca="1">IFERROR(__xludf.DUMMYFUNCTION("""COMPUTED_VALUE"""),"Wrapped SEI")</f>
        <v>Wrapped SEI</v>
      </c>
    </row>
    <row r="14254" spans="1:3" x14ac:dyDescent="0.25">
      <c r="A14254" s="2" t="str">
        <f ca="1">IFERROR(__xludf.DUMMYFUNCTION("""COMPUTED_VALUE"""),"wrapped-shiden-network")</f>
        <v>wrapped-shiden-network</v>
      </c>
      <c r="B14254" s="2" t="str">
        <f ca="1">IFERROR(__xludf.DUMMYFUNCTION("""COMPUTED_VALUE"""),"wsdn")</f>
        <v>wsdn</v>
      </c>
      <c r="C14254" s="2" t="str">
        <f ca="1">IFERROR(__xludf.DUMMYFUNCTION("""COMPUTED_VALUE"""),"Wrapped Shiden Network")</f>
        <v>Wrapped Shiden Network</v>
      </c>
    </row>
    <row r="14255" spans="1:3" x14ac:dyDescent="0.25">
      <c r="A14255" s="2" t="str">
        <f ca="1">IFERROR(__xludf.DUMMYFUNCTION("""COMPUTED_VALUE"""),"wrapped-sol-21-co")</f>
        <v>wrapped-sol-21-co</v>
      </c>
      <c r="B14255" s="2" t="str">
        <f ca="1">IFERROR(__xludf.DUMMYFUNCTION("""COMPUTED_VALUE"""),"21sol")</f>
        <v>21sol</v>
      </c>
      <c r="C14255" s="2" t="str">
        <f ca="1">IFERROR(__xludf.DUMMYFUNCTION("""COMPUTED_VALUE"""),"21.co Wrapped SOL")</f>
        <v>21.co Wrapped SOL</v>
      </c>
    </row>
    <row r="14256" spans="1:3" x14ac:dyDescent="0.25">
      <c r="A14256" s="2" t="str">
        <f ca="1">IFERROR(__xludf.DUMMYFUNCTION("""COMPUTED_VALUE"""),"wrapped-solana")</f>
        <v>wrapped-solana</v>
      </c>
      <c r="B14256" s="2" t="str">
        <f ca="1">IFERROR(__xludf.DUMMYFUNCTION("""COMPUTED_VALUE"""),"sol")</f>
        <v>sol</v>
      </c>
      <c r="C14256" s="2" t="str">
        <f ca="1">IFERROR(__xludf.DUMMYFUNCTION("""COMPUTED_VALUE"""),"Wrapped SOL")</f>
        <v>Wrapped SOL</v>
      </c>
    </row>
    <row r="14257" spans="1:3" x14ac:dyDescent="0.25">
      <c r="A14257" s="2" t="str">
        <f ca="1">IFERROR(__xludf.DUMMYFUNCTION("""COMPUTED_VALUE"""),"wrapped-solana-universal")</f>
        <v>wrapped-solana-universal</v>
      </c>
      <c r="B14257" s="2" t="str">
        <f ca="1">IFERROR(__xludf.DUMMYFUNCTION("""COMPUTED_VALUE"""),"usol")</f>
        <v>usol</v>
      </c>
      <c r="C14257" s="2" t="str">
        <f ca="1">IFERROR(__xludf.DUMMYFUNCTION("""COMPUTED_VALUE"""),"Wrapped Solana (Universal)")</f>
        <v>Wrapped Solana (Universal)</v>
      </c>
    </row>
    <row r="14258" spans="1:3" x14ac:dyDescent="0.25">
      <c r="A14258" s="2" t="str">
        <f ca="1">IFERROR(__xludf.DUMMYFUNCTION("""COMPUTED_VALUE"""),"wrapped-songbird")</f>
        <v>wrapped-songbird</v>
      </c>
      <c r="B14258" s="2" t="str">
        <f ca="1">IFERROR(__xludf.DUMMYFUNCTION("""COMPUTED_VALUE"""),"wsgb")</f>
        <v>wsgb</v>
      </c>
      <c r="C14258" s="2" t="str">
        <f ca="1">IFERROR(__xludf.DUMMYFUNCTION("""COMPUTED_VALUE"""),"Wrapped Songbird")</f>
        <v>Wrapped Songbird</v>
      </c>
    </row>
    <row r="14259" spans="1:3" x14ac:dyDescent="0.25">
      <c r="A14259" s="2" t="str">
        <f ca="1">IFERROR(__xludf.DUMMYFUNCTION("""COMPUTED_VALUE"""),"wrapped-staked-link")</f>
        <v>wrapped-staked-link</v>
      </c>
      <c r="B14259" s="2" t="str">
        <f ca="1">IFERROR(__xludf.DUMMYFUNCTION("""COMPUTED_VALUE"""),"wstlink")</f>
        <v>wstlink</v>
      </c>
      <c r="C14259" s="2" t="str">
        <f ca="1">IFERROR(__xludf.DUMMYFUNCTION("""COMPUTED_VALUE"""),"Wrapped Staked LINK")</f>
        <v>Wrapped Staked LINK</v>
      </c>
    </row>
    <row r="14260" spans="1:3" x14ac:dyDescent="0.25">
      <c r="A14260" s="2" t="str">
        <f ca="1">IFERROR(__xludf.DUMMYFUNCTION("""COMPUTED_VALUE"""),"wrapped-staked-usdt")</f>
        <v>wrapped-staked-usdt</v>
      </c>
      <c r="B14260" s="2" t="str">
        <f ca="1">IFERROR(__xludf.DUMMYFUNCTION("""COMPUTED_VALUE"""),"wstusdt")</f>
        <v>wstusdt</v>
      </c>
      <c r="C14260" s="2" t="str">
        <f ca="1">IFERROR(__xludf.DUMMYFUNCTION("""COMPUTED_VALUE"""),"Wrapped Staked USDT")</f>
        <v>Wrapped Staked USDT</v>
      </c>
    </row>
    <row r="14261" spans="1:3" x14ac:dyDescent="0.25">
      <c r="A14261" s="2" t="str">
        <f ca="1">IFERROR(__xludf.DUMMYFUNCTION("""COMPUTED_VALUE"""),"wrapped-statera")</f>
        <v>wrapped-statera</v>
      </c>
      <c r="B14261" s="2" t="str">
        <f ca="1">IFERROR(__xludf.DUMMYFUNCTION("""COMPUTED_VALUE"""),"wsta")</f>
        <v>wsta</v>
      </c>
      <c r="C14261" s="2" t="str">
        <f ca="1">IFERROR(__xludf.DUMMYFUNCTION("""COMPUTED_VALUE"""),"Wrapped Statera")</f>
        <v>Wrapped Statera</v>
      </c>
    </row>
    <row r="14262" spans="1:3" x14ac:dyDescent="0.25">
      <c r="A14262" s="2" t="str">
        <f ca="1">IFERROR(__xludf.DUMMYFUNCTION("""COMPUTED_VALUE"""),"wrapped-stbtc")</f>
        <v>wrapped-stbtc</v>
      </c>
      <c r="B14262" s="2" t="str">
        <f ca="1">IFERROR(__xludf.DUMMYFUNCTION("""COMPUTED_VALUE"""),"wstbtc")</f>
        <v>wstbtc</v>
      </c>
      <c r="C14262" s="2" t="str">
        <f ca="1">IFERROR(__xludf.DUMMYFUNCTION("""COMPUTED_VALUE"""),"Wrapped stBTC")</f>
        <v>Wrapped stBTC</v>
      </c>
    </row>
    <row r="14263" spans="1:3" x14ac:dyDescent="0.25">
      <c r="A14263" s="2" t="str">
        <f ca="1">IFERROR(__xludf.DUMMYFUNCTION("""COMPUTED_VALUE"""),"wrapped-steth")</f>
        <v>wrapped-steth</v>
      </c>
      <c r="B14263" s="2" t="str">
        <f ca="1">IFERROR(__xludf.DUMMYFUNCTION("""COMPUTED_VALUE"""),"wsteth")</f>
        <v>wsteth</v>
      </c>
      <c r="C14263" s="2" t="str">
        <f ca="1">IFERROR(__xludf.DUMMYFUNCTION("""COMPUTED_VALUE"""),"Wrapped stETH")</f>
        <v>Wrapped stETH</v>
      </c>
    </row>
    <row r="14264" spans="1:3" x14ac:dyDescent="0.25">
      <c r="A14264" s="2" t="str">
        <f ca="1">IFERROR(__xludf.DUMMYFUNCTION("""COMPUTED_VALUE"""),"wrapped-stx-velar")</f>
        <v>wrapped-stx-velar</v>
      </c>
      <c r="B14264" s="2" t="str">
        <f ca="1">IFERROR(__xludf.DUMMYFUNCTION("""COMPUTED_VALUE"""),"wstx")</f>
        <v>wstx</v>
      </c>
      <c r="C14264" s="2" t="str">
        <f ca="1">IFERROR(__xludf.DUMMYFUNCTION("""COMPUTED_VALUE"""),"Wrapped STX (Velar)")</f>
        <v>Wrapped STX (Velar)</v>
      </c>
    </row>
    <row r="14265" spans="1:3" x14ac:dyDescent="0.25">
      <c r="A14265" s="2" t="str">
        <f ca="1">IFERROR(__xludf.DUMMYFUNCTION("""COMPUTED_VALUE"""),"wrapped-sui-universal")</f>
        <v>wrapped-sui-universal</v>
      </c>
      <c r="B14265" s="2" t="str">
        <f ca="1">IFERROR(__xludf.DUMMYFUNCTION("""COMPUTED_VALUE"""),"usui")</f>
        <v>usui</v>
      </c>
      <c r="C14265" s="2" t="str">
        <f ca="1">IFERROR(__xludf.DUMMYFUNCTION("""COMPUTED_VALUE"""),"Wrapped SUI (Universal)")</f>
        <v>Wrapped SUI (Universal)</v>
      </c>
    </row>
    <row r="14266" spans="1:3" x14ac:dyDescent="0.25">
      <c r="A14266" s="2" t="str">
        <f ca="1">IFERROR(__xludf.DUMMYFUNCTION("""COMPUTED_VALUE"""),"wrapped-super-oeth")</f>
        <v>wrapped-super-oeth</v>
      </c>
      <c r="B14266" s="2" t="str">
        <f ca="1">IFERROR(__xludf.DUMMYFUNCTION("""COMPUTED_VALUE"""),"wsuperoethb")</f>
        <v>wsuperoethb</v>
      </c>
      <c r="C14266" s="2" t="str">
        <f ca="1">IFERROR(__xludf.DUMMYFUNCTION("""COMPUTED_VALUE"""),"Wrapped Super OETH")</f>
        <v>Wrapped Super OETH</v>
      </c>
    </row>
    <row r="14267" spans="1:3" x14ac:dyDescent="0.25">
      <c r="A14267" s="2" t="str">
        <f ca="1">IFERROR(__xludf.DUMMYFUNCTION("""COMPUTED_VALUE"""),"wrapped-syscoin")</f>
        <v>wrapped-syscoin</v>
      </c>
      <c r="B14267" s="2" t="str">
        <f ca="1">IFERROR(__xludf.DUMMYFUNCTION("""COMPUTED_VALUE"""),"wsys")</f>
        <v>wsys</v>
      </c>
      <c r="C14267" s="2" t="str">
        <f ca="1">IFERROR(__xludf.DUMMYFUNCTION("""COMPUTED_VALUE"""),"Wrapped Syscoin")</f>
        <v>Wrapped Syscoin</v>
      </c>
    </row>
    <row r="14268" spans="1:3" x14ac:dyDescent="0.25">
      <c r="A14268" s="2" t="str">
        <f ca="1">IFERROR(__xludf.DUMMYFUNCTION("""COMPUTED_VALUE"""),"wrapped-tao")</f>
        <v>wrapped-tao</v>
      </c>
      <c r="B14268" s="2" t="str">
        <f ca="1">IFERROR(__xludf.DUMMYFUNCTION("""COMPUTED_VALUE"""),"wtao")</f>
        <v>wtao</v>
      </c>
      <c r="C14268" s="2" t="str">
        <f ca="1">IFERROR(__xludf.DUMMYFUNCTION("""COMPUTED_VALUE"""),"Wrapped TAO")</f>
        <v>Wrapped TAO</v>
      </c>
    </row>
    <row r="14269" spans="1:3" x14ac:dyDescent="0.25">
      <c r="A14269" s="2" t="str">
        <f ca="1">IFERROR(__xludf.DUMMYFUNCTION("""COMPUTED_VALUE"""),"wrapped-telos")</f>
        <v>wrapped-telos</v>
      </c>
      <c r="B14269" s="2" t="str">
        <f ca="1">IFERROR(__xludf.DUMMYFUNCTION("""COMPUTED_VALUE"""),"wtlos")</f>
        <v>wtlos</v>
      </c>
      <c r="C14269" s="2" t="str">
        <f ca="1">IFERROR(__xludf.DUMMYFUNCTION("""COMPUTED_VALUE"""),"Wrapped Telos")</f>
        <v>Wrapped Telos</v>
      </c>
    </row>
    <row r="14270" spans="1:3" x14ac:dyDescent="0.25">
      <c r="A14270" s="2" t="str">
        <f ca="1">IFERROR(__xludf.DUMMYFUNCTION("""COMPUTED_VALUE"""),"wrapped-terra")</f>
        <v>wrapped-terra</v>
      </c>
      <c r="B14270" s="2" t="str">
        <f ca="1">IFERROR(__xludf.DUMMYFUNCTION("""COMPUTED_VALUE"""),"lunc")</f>
        <v>lunc</v>
      </c>
      <c r="C14270" s="2" t="str">
        <f ca="1">IFERROR(__xludf.DUMMYFUNCTION("""COMPUTED_VALUE"""),"Wrapped Terra Classic")</f>
        <v>Wrapped Terra Classic</v>
      </c>
    </row>
    <row r="14271" spans="1:3" x14ac:dyDescent="0.25">
      <c r="A14271" s="2" t="str">
        <f ca="1">IFERROR(__xludf.DUMMYFUNCTION("""COMPUTED_VALUE"""),"wrapped-thunderpokt")</f>
        <v>wrapped-thunderpokt</v>
      </c>
      <c r="B14271" s="2" t="str">
        <f ca="1">IFERROR(__xludf.DUMMYFUNCTION("""COMPUTED_VALUE"""),"wtpokt")</f>
        <v>wtpokt</v>
      </c>
      <c r="C14271" s="2" t="str">
        <f ca="1">IFERROR(__xludf.DUMMYFUNCTION("""COMPUTED_VALUE"""),"Wrapped ThunderPOKT")</f>
        <v>Wrapped ThunderPOKT</v>
      </c>
    </row>
    <row r="14272" spans="1:3" x14ac:dyDescent="0.25">
      <c r="A14272" s="2" t="str">
        <f ca="1">IFERROR(__xludf.DUMMYFUNCTION("""COMPUTED_VALUE"""),"wrapped-thunder-token")</f>
        <v>wrapped-thunder-token</v>
      </c>
      <c r="B14272" s="2" t="str">
        <f ca="1">IFERROR(__xludf.DUMMYFUNCTION("""COMPUTED_VALUE"""),"wtt")</f>
        <v>wtt</v>
      </c>
      <c r="C14272" s="2" t="str">
        <f ca="1">IFERROR(__xludf.DUMMYFUNCTION("""COMPUTED_VALUE"""),"Wrapped Thunder Token")</f>
        <v>Wrapped Thunder Token</v>
      </c>
    </row>
    <row r="14273" spans="1:3" x14ac:dyDescent="0.25">
      <c r="A14273" s="2" t="str">
        <f ca="1">IFERROR(__xludf.DUMMYFUNCTION("""COMPUTED_VALUE"""),"wrapped-tomo")</f>
        <v>wrapped-tomo</v>
      </c>
      <c r="B14273" s="2" t="str">
        <f ca="1">IFERROR(__xludf.DUMMYFUNCTION("""COMPUTED_VALUE"""),"wtomo")</f>
        <v>wtomo</v>
      </c>
      <c r="C14273" s="2" t="str">
        <f ca="1">IFERROR(__xludf.DUMMYFUNCTION("""COMPUTED_VALUE"""),"Wrapped TOMO")</f>
        <v>Wrapped TOMO</v>
      </c>
    </row>
    <row r="14274" spans="1:3" x14ac:dyDescent="0.25">
      <c r="A14274" s="2" t="str">
        <f ca="1">IFERROR(__xludf.DUMMYFUNCTION("""COMPUTED_VALUE"""),"wrapped-trade-ai")</f>
        <v>wrapped-trade-ai</v>
      </c>
      <c r="B14274" s="2" t="str">
        <f ca="1">IFERROR(__xludf.DUMMYFUNCTION("""COMPUTED_VALUE"""),"wtai")</f>
        <v>wtai</v>
      </c>
      <c r="C14274" s="2" t="str">
        <f ca="1">IFERROR(__xludf.DUMMYFUNCTION("""COMPUTED_VALUE"""),"Wrapped Trade AI")</f>
        <v>Wrapped Trade AI</v>
      </c>
    </row>
    <row r="14275" spans="1:3" x14ac:dyDescent="0.25">
      <c r="A14275" s="2" t="str">
        <f ca="1">IFERROR(__xludf.DUMMYFUNCTION("""COMPUTED_VALUE"""),"wrapped-tron")</f>
        <v>wrapped-tron</v>
      </c>
      <c r="B14275" s="2" t="str">
        <f ca="1">IFERROR(__xludf.DUMMYFUNCTION("""COMPUTED_VALUE"""),"wtrx")</f>
        <v>wtrx</v>
      </c>
      <c r="C14275" s="2" t="str">
        <f ca="1">IFERROR(__xludf.DUMMYFUNCTION("""COMPUTED_VALUE"""),"Wrapped Tron")</f>
        <v>Wrapped Tron</v>
      </c>
    </row>
    <row r="14276" spans="1:3" x14ac:dyDescent="0.25">
      <c r="A14276" s="2" t="str">
        <f ca="1">IFERROR(__xludf.DUMMYFUNCTION("""COMPUTED_VALUE"""),"wrapped-usdc")</f>
        <v>wrapped-usdc</v>
      </c>
      <c r="B14276" s="2" t="str">
        <f ca="1">IFERROR(__xludf.DUMMYFUNCTION("""COMPUTED_VALUE"""),"xusd")</f>
        <v>xusd</v>
      </c>
      <c r="C14276" s="2" t="str">
        <f ca="1">IFERROR(__xludf.DUMMYFUNCTION("""COMPUTED_VALUE"""),"Bridged USD Coin (Wrapped)")</f>
        <v>Bridged USD Coin (Wrapped)</v>
      </c>
    </row>
    <row r="14277" spans="1:3" x14ac:dyDescent="0.25">
      <c r="A14277" s="2" t="str">
        <f ca="1">IFERROR(__xludf.DUMMYFUNCTION("""COMPUTED_VALUE"""),"wrapped-usdc-caviarnine")</f>
        <v>wrapped-usdc-caviarnine</v>
      </c>
      <c r="B14277" s="2" t="str">
        <f ca="1">IFERROR(__xludf.DUMMYFUNCTION("""COMPUTED_VALUE"""),"xusdc")</f>
        <v>xusdc</v>
      </c>
      <c r="C14277" s="2" t="str">
        <f ca="1">IFERROR(__xludf.DUMMYFUNCTION("""COMPUTED_VALUE"""),"Instabridge Wrapped USDC (Radix)")</f>
        <v>Instabridge Wrapped USDC (Radix)</v>
      </c>
    </row>
    <row r="14278" spans="1:3" x14ac:dyDescent="0.25">
      <c r="A14278" s="2" t="str">
        <f ca="1">IFERROR(__xludf.DUMMYFUNCTION("""COMPUTED_VALUE"""),"wrapped-usdm")</f>
        <v>wrapped-usdm</v>
      </c>
      <c r="B14278" s="2" t="str">
        <f ca="1">IFERROR(__xludf.DUMMYFUNCTION("""COMPUTED_VALUE"""),"wusdm")</f>
        <v>wusdm</v>
      </c>
      <c r="C14278" s="2" t="str">
        <f ca="1">IFERROR(__xludf.DUMMYFUNCTION("""COMPUTED_VALUE"""),"Wrapped USDM")</f>
        <v>Wrapped USDM</v>
      </c>
    </row>
    <row r="14279" spans="1:3" x14ac:dyDescent="0.25">
      <c r="A14279" s="2" t="str">
        <f ca="1">IFERROR(__xludf.DUMMYFUNCTION("""COMPUTED_VALUE"""),"wrapped-usdr")</f>
        <v>wrapped-usdr</v>
      </c>
      <c r="B14279" s="2" t="str">
        <f ca="1">IFERROR(__xludf.DUMMYFUNCTION("""COMPUTED_VALUE"""),"wusdr")</f>
        <v>wusdr</v>
      </c>
      <c r="C14279" s="2" t="str">
        <f ca="1">IFERROR(__xludf.DUMMYFUNCTION("""COMPUTED_VALUE"""),"Wrapped USDR")</f>
        <v>Wrapped USDR</v>
      </c>
    </row>
    <row r="14280" spans="1:3" x14ac:dyDescent="0.25">
      <c r="A14280" s="2" t="str">
        <f ca="1">IFERROR(__xludf.DUMMYFUNCTION("""COMPUTED_VALUE"""),"wrapped-ust")</f>
        <v>wrapped-ust</v>
      </c>
      <c r="B14280" s="2" t="str">
        <f ca="1">IFERROR(__xludf.DUMMYFUNCTION("""COMPUTED_VALUE"""),"ustc")</f>
        <v>ustc</v>
      </c>
      <c r="C14280" s="2" t="str">
        <f ca="1">IFERROR(__xludf.DUMMYFUNCTION("""COMPUTED_VALUE"""),"Wrapped USTC")</f>
        <v>Wrapped USTC</v>
      </c>
    </row>
    <row r="14281" spans="1:3" x14ac:dyDescent="0.25">
      <c r="A14281" s="2" t="str">
        <f ca="1">IFERROR(__xludf.DUMMYFUNCTION("""COMPUTED_VALUE"""),"wrapped-velas")</f>
        <v>wrapped-velas</v>
      </c>
      <c r="B14281" s="2" t="str">
        <f ca="1">IFERROR(__xludf.DUMMYFUNCTION("""COMPUTED_VALUE"""),"wvlx")</f>
        <v>wvlx</v>
      </c>
      <c r="C14281" s="2" t="str">
        <f ca="1">IFERROR(__xludf.DUMMYFUNCTION("""COMPUTED_VALUE"""),"Wrapped Velas")</f>
        <v>Wrapped Velas</v>
      </c>
    </row>
    <row r="14282" spans="1:3" x14ac:dyDescent="0.25">
      <c r="A14282" s="2" t="str">
        <f ca="1">IFERROR(__xludf.DUMMYFUNCTION("""COMPUTED_VALUE"""),"wrapped-venom")</f>
        <v>wrapped-venom</v>
      </c>
      <c r="B14282" s="2" t="str">
        <f ca="1">IFERROR(__xludf.DUMMYFUNCTION("""COMPUTED_VALUE"""),"wvenom")</f>
        <v>wvenom</v>
      </c>
      <c r="C14282" s="2" t="str">
        <f ca="1">IFERROR(__xludf.DUMMYFUNCTION("""COMPUTED_VALUE"""),"Wrapped VENOM")</f>
        <v>Wrapped VENOM</v>
      </c>
    </row>
    <row r="14283" spans="1:3" x14ac:dyDescent="0.25">
      <c r="A14283" s="2" t="str">
        <f ca="1">IFERROR(__xludf.DUMMYFUNCTION("""COMPUTED_VALUE"""),"wrapped-virgin-gen-0-cryptokitties")</f>
        <v>wrapped-virgin-gen-0-cryptokitties</v>
      </c>
      <c r="B14283" s="2" t="str">
        <f ca="1">IFERROR(__xludf.DUMMYFUNCTION("""COMPUTED_VALUE"""),"wvg0")</f>
        <v>wvg0</v>
      </c>
      <c r="C14283" s="2" t="str">
        <f ca="1">IFERROR(__xludf.DUMMYFUNCTION("""COMPUTED_VALUE"""),"Wrapped Virgin Gen-0 CryptoKittties")</f>
        <v>Wrapped Virgin Gen-0 CryptoKittties</v>
      </c>
    </row>
    <row r="14284" spans="1:3" x14ac:dyDescent="0.25">
      <c r="A14284" s="2" t="str">
        <f ca="1">IFERROR(__xludf.DUMMYFUNCTION("""COMPUTED_VALUE"""),"wrapped-vtru")</f>
        <v>wrapped-vtru</v>
      </c>
      <c r="B14284" s="2" t="str">
        <f ca="1">IFERROR(__xludf.DUMMYFUNCTION("""COMPUTED_VALUE"""),"wvtru")</f>
        <v>wvtru</v>
      </c>
      <c r="C14284" s="2" t="str">
        <f ca="1">IFERROR(__xludf.DUMMYFUNCTION("""COMPUTED_VALUE"""),"Wrapped VTRU")</f>
        <v>Wrapped VTRU</v>
      </c>
    </row>
    <row r="14285" spans="1:3" x14ac:dyDescent="0.25">
      <c r="A14285" s="2" t="str">
        <f ca="1">IFERROR(__xludf.DUMMYFUNCTION("""COMPUTED_VALUE"""),"wrapped-wan")</f>
        <v>wrapped-wan</v>
      </c>
      <c r="B14285" s="2" t="str">
        <f ca="1">IFERROR(__xludf.DUMMYFUNCTION("""COMPUTED_VALUE"""),"wwan")</f>
        <v>wwan</v>
      </c>
      <c r="C14285" s="2" t="str">
        <f ca="1">IFERROR(__xludf.DUMMYFUNCTION("""COMPUTED_VALUE"""),"Wrapped Wan")</f>
        <v>Wrapped Wan</v>
      </c>
    </row>
    <row r="14286" spans="1:3" x14ac:dyDescent="0.25">
      <c r="A14286" s="2" t="str">
        <f ca="1">IFERROR(__xludf.DUMMYFUNCTION("""COMPUTED_VALUE"""),"wrapped-wdoge")</f>
        <v>wrapped-wdoge</v>
      </c>
      <c r="B14286" s="2" t="str">
        <f ca="1">IFERROR(__xludf.DUMMYFUNCTION("""COMPUTED_VALUE"""),"wwdoge")</f>
        <v>wwdoge</v>
      </c>
      <c r="C14286" s="2" t="str">
        <f ca="1">IFERROR(__xludf.DUMMYFUNCTION("""COMPUTED_VALUE"""),"Wrapped WDOGE")</f>
        <v>Wrapped WDOGE</v>
      </c>
    </row>
    <row r="14287" spans="1:3" x14ac:dyDescent="0.25">
      <c r="A14287" s="2" t="str">
        <f ca="1">IFERROR(__xludf.DUMMYFUNCTION("""COMPUTED_VALUE"""),"wrapped-xdc")</f>
        <v>wrapped-xdc</v>
      </c>
      <c r="B14287" s="2" t="str">
        <f ca="1">IFERROR(__xludf.DUMMYFUNCTION("""COMPUTED_VALUE"""),"wxdc")</f>
        <v>wxdc</v>
      </c>
      <c r="C14287" s="2" t="str">
        <f ca="1">IFERROR(__xludf.DUMMYFUNCTION("""COMPUTED_VALUE"""),"Wrapped XDC")</f>
        <v>Wrapped XDC</v>
      </c>
    </row>
    <row r="14288" spans="1:3" x14ac:dyDescent="0.25">
      <c r="A14288" s="2" t="str">
        <f ca="1">IFERROR(__xludf.DUMMYFUNCTION("""COMPUTED_VALUE"""),"wrapped-xfi")</f>
        <v>wrapped-xfi</v>
      </c>
      <c r="B14288" s="2" t="str">
        <f ca="1">IFERROR(__xludf.DUMMYFUNCTION("""COMPUTED_VALUE"""),"wxfi")</f>
        <v>wxfi</v>
      </c>
      <c r="C14288" s="2" t="str">
        <f ca="1">IFERROR(__xludf.DUMMYFUNCTION("""COMPUTED_VALUE"""),"Wrapped XFI")</f>
        <v>Wrapped XFI</v>
      </c>
    </row>
    <row r="14289" spans="1:3" x14ac:dyDescent="0.25">
      <c r="A14289" s="2" t="str">
        <f ca="1">IFERROR(__xludf.DUMMYFUNCTION("""COMPUTED_VALUE"""),"wrapped-xrp")</f>
        <v>wrapped-xrp</v>
      </c>
      <c r="B14289" s="2" t="str">
        <f ca="1">IFERROR(__xludf.DUMMYFUNCTION("""COMPUTED_VALUE"""),"wxrp")</f>
        <v>wxrp</v>
      </c>
      <c r="C14289" s="2" t="str">
        <f ca="1">IFERROR(__xludf.DUMMYFUNCTION("""COMPUTED_VALUE"""),"Wrapped XRP")</f>
        <v>Wrapped XRP</v>
      </c>
    </row>
    <row r="14290" spans="1:3" x14ac:dyDescent="0.25">
      <c r="A14290" s="2" t="str">
        <f ca="1">IFERROR(__xludf.DUMMYFUNCTION("""COMPUTED_VALUE"""),"wrapped-zedxion")</f>
        <v>wrapped-zedxion</v>
      </c>
      <c r="B14290" s="2" t="str">
        <f ca="1">IFERROR(__xludf.DUMMYFUNCTION("""COMPUTED_VALUE"""),"wzedx")</f>
        <v>wzedx</v>
      </c>
      <c r="C14290" s="2" t="str">
        <f ca="1">IFERROR(__xludf.DUMMYFUNCTION("""COMPUTED_VALUE"""),"Wrapped Zedxion")</f>
        <v>Wrapped Zedxion</v>
      </c>
    </row>
    <row r="14291" spans="1:3" x14ac:dyDescent="0.25">
      <c r="A14291" s="2" t="str">
        <f ca="1">IFERROR(__xludf.DUMMYFUNCTION("""COMPUTED_VALUE"""),"wrapped-zetachain")</f>
        <v>wrapped-zetachain</v>
      </c>
      <c r="B14291" s="2" t="str">
        <f ca="1">IFERROR(__xludf.DUMMYFUNCTION("""COMPUTED_VALUE"""),"wzeta")</f>
        <v>wzeta</v>
      </c>
      <c r="C14291" s="2" t="str">
        <f ca="1">IFERROR(__xludf.DUMMYFUNCTION("""COMPUTED_VALUE"""),"Wrapped ZETA")</f>
        <v>Wrapped ZETA</v>
      </c>
    </row>
    <row r="14292" spans="1:3" x14ac:dyDescent="0.25">
      <c r="A14292" s="2" t="str">
        <f ca="1">IFERROR(__xludf.DUMMYFUNCTION("""COMPUTED_VALUE"""),"wrapped-zkcro")</f>
        <v>wrapped-zkcro</v>
      </c>
      <c r="B14292" s="2" t="str">
        <f ca="1">IFERROR(__xludf.DUMMYFUNCTION("""COMPUTED_VALUE"""),"wzkcro")</f>
        <v>wzkcro</v>
      </c>
      <c r="C14292" s="2" t="str">
        <f ca="1">IFERROR(__xludf.DUMMYFUNCTION("""COMPUTED_VALUE"""),"Wrapped zkCRO")</f>
        <v>Wrapped zkCRO</v>
      </c>
    </row>
    <row r="14293" spans="1:3" x14ac:dyDescent="0.25">
      <c r="A14293" s="2" t="str">
        <f ca="1">IFERROR(__xludf.DUMMYFUNCTION("""COMPUTED_VALUE"""),"wrinkle-the-duck")</f>
        <v>wrinkle-the-duck</v>
      </c>
      <c r="B14293" s="2" t="str">
        <f ca="1">IFERROR(__xludf.DUMMYFUNCTION("""COMPUTED_VALUE"""),"wrinkle")</f>
        <v>wrinkle</v>
      </c>
      <c r="C14293" s="2" t="str">
        <f ca="1">IFERROR(__xludf.DUMMYFUNCTION("""COMPUTED_VALUE"""),"Wrinkle The Duck")</f>
        <v>Wrinkle The Duck</v>
      </c>
    </row>
    <row r="14294" spans="1:3" x14ac:dyDescent="0.25">
      <c r="A14294" s="2" t="str">
        <f ca="1">IFERROR(__xludf.DUMMYFUNCTION("""COMPUTED_VALUE"""),"wsb-classic")</f>
        <v>wsb-classic</v>
      </c>
      <c r="B14294" s="2" t="str">
        <f ca="1">IFERROR(__xludf.DUMMYFUNCTION("""COMPUTED_VALUE"""),"wsbc")</f>
        <v>wsbc</v>
      </c>
      <c r="C14294" s="2" t="str">
        <f ca="1">IFERROR(__xludf.DUMMYFUNCTION("""COMPUTED_VALUE"""),"WSB Classic")</f>
        <v>WSB Classic</v>
      </c>
    </row>
    <row r="14295" spans="1:3" x14ac:dyDescent="0.25">
      <c r="A14295" s="2" t="str">
        <f ca="1">IFERROR(__xludf.DUMMYFUNCTION("""COMPUTED_VALUE"""),"wsb-coin")</f>
        <v>wsb-coin</v>
      </c>
      <c r="B14295" s="2" t="str">
        <f ca="1">IFERROR(__xludf.DUMMYFUNCTION("""COMPUTED_VALUE"""),"wsb")</f>
        <v>wsb</v>
      </c>
      <c r="C14295" s="2" t="str">
        <f ca="1">IFERROR(__xludf.DUMMYFUNCTION("""COMPUTED_VALUE"""),"WSB Coin")</f>
        <v>WSB Coin</v>
      </c>
    </row>
    <row r="14296" spans="1:3" x14ac:dyDescent="0.25">
      <c r="A14296" s="2" t="str">
        <f ca="1">IFERROR(__xludf.DUMMYFUNCTION("""COMPUTED_VALUE"""),"wuffi")</f>
        <v>wuffi</v>
      </c>
      <c r="B14296" s="2" t="str">
        <f ca="1">IFERROR(__xludf.DUMMYFUNCTION("""COMPUTED_VALUE"""),"wuf")</f>
        <v>wuf</v>
      </c>
      <c r="C14296" s="2" t="str">
        <f ca="1">IFERROR(__xludf.DUMMYFUNCTION("""COMPUTED_VALUE"""),"WUFFI")</f>
        <v>WUFFI</v>
      </c>
    </row>
    <row r="14297" spans="1:3" x14ac:dyDescent="0.25">
      <c r="A14297" s="2" t="str">
        <f ca="1">IFERROR(__xludf.DUMMYFUNCTION("""COMPUTED_VALUE"""),"wukong-musk")</f>
        <v>wukong-musk</v>
      </c>
      <c r="B14297" s="2" t="str">
        <f ca="1">IFERROR(__xludf.DUMMYFUNCTION("""COMPUTED_VALUE"""),"wukong")</f>
        <v>wukong</v>
      </c>
      <c r="C14297" s="2" t="str">
        <f ca="1">IFERROR(__xludf.DUMMYFUNCTION("""COMPUTED_VALUE"""),"Wukong Musk")</f>
        <v>Wukong Musk</v>
      </c>
    </row>
    <row r="14298" spans="1:3" x14ac:dyDescent="0.25">
      <c r="A14298" s="2" t="str">
        <f ca="1">IFERROR(__xludf.DUMMYFUNCTION("""COMPUTED_VALUE"""),"wusd")</f>
        <v>wusd</v>
      </c>
      <c r="B14298" s="2" t="str">
        <f ca="1">IFERROR(__xludf.DUMMYFUNCTION("""COMPUTED_VALUE"""),"wusd")</f>
        <v>wusd</v>
      </c>
      <c r="C14298" s="2" t="str">
        <f ca="1">IFERROR(__xludf.DUMMYFUNCTION("""COMPUTED_VALUE"""),"Wrapped USD")</f>
        <v>Wrapped USD</v>
      </c>
    </row>
    <row r="14299" spans="1:3" x14ac:dyDescent="0.25">
      <c r="A14299" s="2" t="str">
        <f ca="1">IFERROR(__xludf.DUMMYFUNCTION("""COMPUTED_VALUE"""),"wut")</f>
        <v>wut</v>
      </c>
      <c r="B14299" s="2" t="str">
        <f ca="1">IFERROR(__xludf.DUMMYFUNCTION("""COMPUTED_VALUE"""),"wut")</f>
        <v>wut</v>
      </c>
      <c r="C14299" s="2" t="str">
        <f ca="1">IFERROR(__xludf.DUMMYFUNCTION("""COMPUTED_VALUE"""),"WUT")</f>
        <v>WUT</v>
      </c>
    </row>
    <row r="14300" spans="1:3" x14ac:dyDescent="0.25">
      <c r="A14300" s="2" t="str">
        <f ca="1">IFERROR(__xludf.DUMMYFUNCTION("""COMPUTED_VALUE"""),"wwemix")</f>
        <v>wwemix</v>
      </c>
      <c r="B14300" s="2" t="str">
        <f ca="1">IFERROR(__xludf.DUMMYFUNCTION("""COMPUTED_VALUE"""),"wwemix")</f>
        <v>wwemix</v>
      </c>
      <c r="C14300" s="2" t="str">
        <f ca="1">IFERROR(__xludf.DUMMYFUNCTION("""COMPUTED_VALUE"""),"WWEMIX")</f>
        <v>WWEMIX</v>
      </c>
    </row>
    <row r="14301" spans="1:3" x14ac:dyDescent="0.25">
      <c r="A14301" s="2" t="str">
        <f ca="1">IFERROR(__xludf.DUMMYFUNCTION("""COMPUTED_VALUE"""),"wyscale")</f>
        <v>wyscale</v>
      </c>
      <c r="B14301" s="2" t="str">
        <f ca="1">IFERROR(__xludf.DUMMYFUNCTION("""COMPUTED_VALUE"""),"wys")</f>
        <v>wys</v>
      </c>
      <c r="C14301" s="2" t="str">
        <f ca="1">IFERROR(__xludf.DUMMYFUNCTION("""COMPUTED_VALUE"""),"WYscale")</f>
        <v>WYscale</v>
      </c>
    </row>
    <row r="14302" spans="1:3" x14ac:dyDescent="0.25">
      <c r="A14302" s="2" t="str">
        <f ca="1">IFERROR(__xludf.DUMMYFUNCTION("""COMPUTED_VALUE"""),"x-2")</f>
        <v>x-2</v>
      </c>
      <c r="B14302" s="2" t="str">
        <f ca="1">IFERROR(__xludf.DUMMYFUNCTION("""COMPUTED_VALUE"""),"x")</f>
        <v>x</v>
      </c>
      <c r="C14302" s="2" t="str">
        <f ca="1">IFERROR(__xludf.DUMMYFUNCTION("""COMPUTED_VALUE"""),"X")</f>
        <v>X</v>
      </c>
    </row>
    <row r="14303" spans="1:3" x14ac:dyDescent="0.25">
      <c r="A14303" s="2" t="str">
        <f ca="1">IFERROR(__xludf.DUMMYFUNCTION("""COMPUTED_VALUE"""),"x2y2")</f>
        <v>x2y2</v>
      </c>
      <c r="B14303" s="2" t="str">
        <f ca="1">IFERROR(__xludf.DUMMYFUNCTION("""COMPUTED_VALUE"""),"x2y2")</f>
        <v>x2y2</v>
      </c>
      <c r="C14303" s="2" t="str">
        <f ca="1">IFERROR(__xludf.DUMMYFUNCTION("""COMPUTED_VALUE"""),"X2Y2")</f>
        <v>X2Y2</v>
      </c>
    </row>
    <row r="14304" spans="1:3" x14ac:dyDescent="0.25">
      <c r="A14304" s="2" t="str">
        <f ca="1">IFERROR(__xludf.DUMMYFUNCTION("""COMPUTED_VALUE"""),"x42-protocol")</f>
        <v>x42-protocol</v>
      </c>
      <c r="B14304" s="2" t="str">
        <f ca="1">IFERROR(__xludf.DUMMYFUNCTION("""COMPUTED_VALUE"""),"x42")</f>
        <v>x42</v>
      </c>
      <c r="C14304" s="2" t="str">
        <f ca="1">IFERROR(__xludf.DUMMYFUNCTION("""COMPUTED_VALUE"""),"X42 Protocol")</f>
        <v>X42 Protocol</v>
      </c>
    </row>
    <row r="14305" spans="1:3" x14ac:dyDescent="0.25">
      <c r="A14305" s="2" t="str">
        <f ca="1">IFERROR(__xludf.DUMMYFUNCTION("""COMPUTED_VALUE"""),"x7dao")</f>
        <v>x7dao</v>
      </c>
      <c r="B14305" s="2" t="str">
        <f ca="1">IFERROR(__xludf.DUMMYFUNCTION("""COMPUTED_VALUE"""),"x7dao")</f>
        <v>x7dao</v>
      </c>
      <c r="C14305" s="2" t="str">
        <f ca="1">IFERROR(__xludf.DUMMYFUNCTION("""COMPUTED_VALUE"""),"X7DAO")</f>
        <v>X7DAO</v>
      </c>
    </row>
    <row r="14306" spans="1:3" x14ac:dyDescent="0.25">
      <c r="A14306" s="2" t="str">
        <f ca="1">IFERROR(__xludf.DUMMYFUNCTION("""COMPUTED_VALUE"""),"x7r")</f>
        <v>x7r</v>
      </c>
      <c r="B14306" s="2" t="str">
        <f ca="1">IFERROR(__xludf.DUMMYFUNCTION("""COMPUTED_VALUE"""),"x7r")</f>
        <v>x7r</v>
      </c>
      <c r="C14306" s="2" t="str">
        <f ca="1">IFERROR(__xludf.DUMMYFUNCTION("""COMPUTED_VALUE"""),"X7R")</f>
        <v>X7R</v>
      </c>
    </row>
    <row r="14307" spans="1:3" x14ac:dyDescent="0.25">
      <c r="A14307" s="2" t="str">
        <f ca="1">IFERROR(__xludf.DUMMYFUNCTION("""COMPUTED_VALUE"""),"x8-project")</f>
        <v>x8-project</v>
      </c>
      <c r="B14307" s="2" t="str">
        <f ca="1">IFERROR(__xludf.DUMMYFUNCTION("""COMPUTED_VALUE"""),"x8x")</f>
        <v>x8x</v>
      </c>
      <c r="C14307" s="2" t="str">
        <f ca="1">IFERROR(__xludf.DUMMYFUNCTION("""COMPUTED_VALUE"""),"X8X")</f>
        <v>X8X</v>
      </c>
    </row>
    <row r="14308" spans="1:3" x14ac:dyDescent="0.25">
      <c r="A14308" s="2" t="str">
        <f ca="1">IFERROR(__xludf.DUMMYFUNCTION("""COMPUTED_VALUE"""),"xactrewards")</f>
        <v>xactrewards</v>
      </c>
      <c r="B14308" s="2" t="str">
        <f ca="1">IFERROR(__xludf.DUMMYFUNCTION("""COMPUTED_VALUE"""),"xact")</f>
        <v>xact</v>
      </c>
      <c r="C14308" s="2" t="str">
        <f ca="1">IFERROR(__xludf.DUMMYFUNCTION("""COMPUTED_VALUE"""),"XActRewards")</f>
        <v>XActRewards</v>
      </c>
    </row>
    <row r="14309" spans="1:3" x14ac:dyDescent="0.25">
      <c r="A14309" s="2" t="str">
        <f ca="1">IFERROR(__xludf.DUMMYFUNCTION("""COMPUTED_VALUE"""),"xahau")</f>
        <v>xahau</v>
      </c>
      <c r="B14309" s="2" t="str">
        <f ca="1">IFERROR(__xludf.DUMMYFUNCTION("""COMPUTED_VALUE"""),"xah")</f>
        <v>xah</v>
      </c>
      <c r="C14309" s="2" t="str">
        <f ca="1">IFERROR(__xludf.DUMMYFUNCTION("""COMPUTED_VALUE"""),"Xahau")</f>
        <v>Xahau</v>
      </c>
    </row>
    <row r="14310" spans="1:3" x14ac:dyDescent="0.25">
      <c r="A14310" s="2" t="str">
        <f ca="1">IFERROR(__xludf.DUMMYFUNCTION("""COMPUTED_VALUE"""),"xai")</f>
        <v>xai</v>
      </c>
      <c r="B14310" s="2" t="str">
        <f ca="1">IFERROR(__xludf.DUMMYFUNCTION("""COMPUTED_VALUE"""),"xai")</f>
        <v>xai</v>
      </c>
      <c r="C14310" s="2" t="str">
        <f ca="1">IFERROR(__xludf.DUMMYFUNCTION("""COMPUTED_VALUE"""),"XAI Stablecoin")</f>
        <v>XAI Stablecoin</v>
      </c>
    </row>
    <row r="14311" spans="1:3" x14ac:dyDescent="0.25">
      <c r="A14311" s="2" t="str">
        <f ca="1">IFERROR(__xludf.DUMMYFUNCTION("""COMPUTED_VALUE"""),"xai-2")</f>
        <v>xai-2</v>
      </c>
      <c r="B14311" s="2" t="str">
        <f ca="1">IFERROR(__xludf.DUMMYFUNCTION("""COMPUTED_VALUE"""),"x")</f>
        <v>x</v>
      </c>
      <c r="C14311" s="2" t="str">
        <f ca="1">IFERROR(__xludf.DUMMYFUNCTION("""COMPUTED_VALUE"""),"XAI")</f>
        <v>XAI</v>
      </c>
    </row>
    <row r="14312" spans="1:3" x14ac:dyDescent="0.25">
      <c r="A14312" s="2" t="str">
        <f ca="1">IFERROR(__xludf.DUMMYFUNCTION("""COMPUTED_VALUE"""),"xai-3")</f>
        <v>xai-3</v>
      </c>
      <c r="B14312" s="2" t="str">
        <f ca="1">IFERROR(__xludf.DUMMYFUNCTION("""COMPUTED_VALUE"""),"xai")</f>
        <v>xai</v>
      </c>
      <c r="C14312" s="2" t="str">
        <f ca="1">IFERROR(__xludf.DUMMYFUNCTION("""COMPUTED_VALUE"""),"xAI")</f>
        <v>xAI</v>
      </c>
    </row>
    <row r="14313" spans="1:3" x14ac:dyDescent="0.25">
      <c r="A14313" s="2" t="str">
        <f ca="1">IFERROR(__xludf.DUMMYFUNCTION("""COMPUTED_VALUE"""),"xai-blockchain")</f>
        <v>xai-blockchain</v>
      </c>
      <c r="B14313" s="2" t="str">
        <f ca="1">IFERROR(__xludf.DUMMYFUNCTION("""COMPUTED_VALUE"""),"xai")</f>
        <v>xai</v>
      </c>
      <c r="C14313" s="2" t="str">
        <f ca="1">IFERROR(__xludf.DUMMYFUNCTION("""COMPUTED_VALUE"""),"Xai")</f>
        <v>Xai</v>
      </c>
    </row>
    <row r="14314" spans="1:3" x14ac:dyDescent="0.25">
      <c r="A14314" s="2" t="str">
        <f ca="1">IFERROR(__xludf.DUMMYFUNCTION("""COMPUTED_VALUE"""),"xai-corp")</f>
        <v>xai-corp</v>
      </c>
      <c r="B14314" s="2" t="str">
        <f ca="1">IFERROR(__xludf.DUMMYFUNCTION("""COMPUTED_VALUE"""),"xai")</f>
        <v>xai</v>
      </c>
      <c r="C14314" s="2" t="str">
        <f ca="1">IFERROR(__xludf.DUMMYFUNCTION("""COMPUTED_VALUE"""),"XAI Corp")</f>
        <v>XAI Corp</v>
      </c>
    </row>
    <row r="14315" spans="1:3" x14ac:dyDescent="0.25">
      <c r="A14315" s="2" t="str">
        <f ca="1">IFERROR(__xludf.DUMMYFUNCTION("""COMPUTED_VALUE"""),"xaigrok")</f>
        <v>xaigrok</v>
      </c>
      <c r="B14315" s="2" t="str">
        <f ca="1">IFERROR(__xludf.DUMMYFUNCTION("""COMPUTED_VALUE"""),"xaigrok")</f>
        <v>xaigrok</v>
      </c>
      <c r="C14315" s="2" t="str">
        <f ca="1">IFERROR(__xludf.DUMMYFUNCTION("""COMPUTED_VALUE"""),"XAIGROK")</f>
        <v>XAIGROK</v>
      </c>
    </row>
    <row r="14316" spans="1:3" x14ac:dyDescent="0.25">
      <c r="A14316" s="2" t="str">
        <f ca="1">IFERROR(__xludf.DUMMYFUNCTION("""COMPUTED_VALUE"""),"xakt_astrovault")</f>
        <v>xakt_astrovault</v>
      </c>
      <c r="B14316" s="2" t="str">
        <f ca="1">IFERROR(__xludf.DUMMYFUNCTION("""COMPUTED_VALUE"""),"xakt")</f>
        <v>xakt</v>
      </c>
      <c r="C14316" s="2" t="str">
        <f ca="1">IFERROR(__xludf.DUMMYFUNCTION("""COMPUTED_VALUE"""),"xAKT_Astrovault")</f>
        <v>xAKT_Astrovault</v>
      </c>
    </row>
    <row r="14317" spans="1:3" x14ac:dyDescent="0.25">
      <c r="A14317" s="2" t="str">
        <f ca="1">IFERROR(__xludf.DUMMYFUNCTION("""COMPUTED_VALUE"""),"xalpha-ai")</f>
        <v>xalpha-ai</v>
      </c>
      <c r="B14317" s="2" t="str">
        <f ca="1">IFERROR(__xludf.DUMMYFUNCTION("""COMPUTED_VALUE"""),"xalpha")</f>
        <v>xalpha</v>
      </c>
      <c r="C14317" s="3" t="str">
        <f ca="1">IFERROR(__xludf.DUMMYFUNCTION("""COMPUTED_VALUE"""),"XALPHA.AI")</f>
        <v>XALPHA.AI</v>
      </c>
    </row>
    <row r="14318" spans="1:3" x14ac:dyDescent="0.25">
      <c r="A14318" s="2" t="str">
        <f ca="1">IFERROR(__xludf.DUMMYFUNCTION("""COMPUTED_VALUE"""),"xana")</f>
        <v>xana</v>
      </c>
      <c r="B14318" s="2" t="str">
        <f ca="1">IFERROR(__xludf.DUMMYFUNCTION("""COMPUTED_VALUE"""),"xeta")</f>
        <v>xeta</v>
      </c>
      <c r="C14318" s="2" t="str">
        <f ca="1">IFERROR(__xludf.DUMMYFUNCTION("""COMPUTED_VALUE"""),"XANA")</f>
        <v>XANA</v>
      </c>
    </row>
    <row r="14319" spans="1:3" x14ac:dyDescent="0.25">
      <c r="A14319" s="2" t="str">
        <f ca="1">IFERROR(__xludf.DUMMYFUNCTION("""COMPUTED_VALUE"""),"xave-coin")</f>
        <v>xave-coin</v>
      </c>
      <c r="B14319" s="2" t="str">
        <f ca="1">IFERROR(__xludf.DUMMYFUNCTION("""COMPUTED_VALUE"""),"xvc")</f>
        <v>xvc</v>
      </c>
      <c r="C14319" s="2" t="str">
        <f ca="1">IFERROR(__xludf.DUMMYFUNCTION("""COMPUTED_VALUE"""),"Xave Coin")</f>
        <v>Xave Coin</v>
      </c>
    </row>
    <row r="14320" spans="1:3" x14ac:dyDescent="0.25">
      <c r="A14320" s="2" t="str">
        <f ca="1">IFERROR(__xludf.DUMMYFUNCTION("""COMPUTED_VALUE"""),"xave-token")</f>
        <v>xave-token</v>
      </c>
      <c r="B14320" s="2" t="str">
        <f ca="1">IFERROR(__xludf.DUMMYFUNCTION("""COMPUTED_VALUE"""),"xav")</f>
        <v>xav</v>
      </c>
      <c r="C14320" s="2" t="str">
        <f ca="1">IFERROR(__xludf.DUMMYFUNCTION("""COMPUTED_VALUE"""),"Xave")</f>
        <v>Xave</v>
      </c>
    </row>
    <row r="14321" spans="1:3" x14ac:dyDescent="0.25">
      <c r="A14321" s="2" t="str">
        <f ca="1">IFERROR(__xludf.DUMMYFUNCTION("""COMPUTED_VALUE"""),"xbanking")</f>
        <v>xbanking</v>
      </c>
      <c r="B14321" s="2" t="str">
        <f ca="1">IFERROR(__xludf.DUMMYFUNCTION("""COMPUTED_VALUE"""),"xb")</f>
        <v>xb</v>
      </c>
      <c r="C14321" s="2" t="str">
        <f ca="1">IFERROR(__xludf.DUMMYFUNCTION("""COMPUTED_VALUE"""),"XBANKING")</f>
        <v>XBANKING</v>
      </c>
    </row>
    <row r="14322" spans="1:3" x14ac:dyDescent="0.25">
      <c r="A14322" s="2" t="str">
        <f ca="1">IFERROR(__xludf.DUMMYFUNCTION("""COMPUTED_VALUE"""),"xbcna_astrovault")</f>
        <v>xbcna_astrovault</v>
      </c>
      <c r="B14322" s="2" t="str">
        <f ca="1">IFERROR(__xludf.DUMMYFUNCTION("""COMPUTED_VALUE"""),"xbcna")</f>
        <v>xbcna</v>
      </c>
      <c r="C14322" s="2" t="str">
        <f ca="1">IFERROR(__xludf.DUMMYFUNCTION("""COMPUTED_VALUE"""),"xBCNA_Astrovault")</f>
        <v>xBCNA_Astrovault</v>
      </c>
    </row>
    <row r="14323" spans="1:3" x14ac:dyDescent="0.25">
      <c r="A14323" s="2" t="str">
        <f ca="1">IFERROR(__xludf.DUMMYFUNCTION("""COMPUTED_VALUE"""),"xbear-network")</f>
        <v>xbear-network</v>
      </c>
      <c r="B14323" s="2" t="str">
        <f ca="1">IFERROR(__xludf.DUMMYFUNCTION("""COMPUTED_VALUE"""),"xbear")</f>
        <v>xbear</v>
      </c>
      <c r="C14323" s="2" t="str">
        <f ca="1">IFERROR(__xludf.DUMMYFUNCTION("""COMPUTED_VALUE"""),"xBear Network")</f>
        <v>xBear Network</v>
      </c>
    </row>
    <row r="14324" spans="1:3" x14ac:dyDescent="0.25">
      <c r="A14324" s="2" t="str">
        <f ca="1">IFERROR(__xludf.DUMMYFUNCTION("""COMPUTED_VALUE"""),"xbid")</f>
        <v>xbid</v>
      </c>
      <c r="B14324" s="2" t="str">
        <f ca="1">IFERROR(__xludf.DUMMYFUNCTION("""COMPUTED_VALUE"""),"xbid")</f>
        <v>xbid</v>
      </c>
      <c r="C14324" s="2" t="str">
        <f ca="1">IFERROR(__xludf.DUMMYFUNCTION("""COMPUTED_VALUE"""),"xBid")</f>
        <v>xBid</v>
      </c>
    </row>
    <row r="14325" spans="1:3" x14ac:dyDescent="0.25">
      <c r="A14325" s="2" t="str">
        <f ca="1">IFERROR(__xludf.DUMMYFUNCTION("""COMPUTED_VALUE"""),"xbit")</f>
        <v>xbit</v>
      </c>
      <c r="B14325" s="2" t="str">
        <f ca="1">IFERROR(__xludf.DUMMYFUNCTION("""COMPUTED_VALUE"""),"xbt")</f>
        <v>xbt</v>
      </c>
      <c r="C14325" s="2" t="str">
        <f ca="1">IFERROR(__xludf.DUMMYFUNCTION("""COMPUTED_VALUE"""),"Xbit")</f>
        <v>Xbit</v>
      </c>
    </row>
    <row r="14326" spans="1:3" x14ac:dyDescent="0.25">
      <c r="A14326" s="2" t="str">
        <f ca="1">IFERROR(__xludf.DUMMYFUNCTION("""COMPUTED_VALUE"""),"xbld_astrovault")</f>
        <v>xbld_astrovault</v>
      </c>
      <c r="B14326" s="2" t="str">
        <f ca="1">IFERROR(__xludf.DUMMYFUNCTION("""COMPUTED_VALUE"""),"xbld")</f>
        <v>xbld</v>
      </c>
      <c r="C14326" s="2" t="str">
        <f ca="1">IFERROR(__xludf.DUMMYFUNCTION("""COMPUTED_VALUE"""),"xBLD_Astrovault")</f>
        <v>xBLD_Astrovault</v>
      </c>
    </row>
    <row r="14327" spans="1:3" x14ac:dyDescent="0.25">
      <c r="A14327" s="2" t="str">
        <f ca="1">IFERROR(__xludf.DUMMYFUNCTION("""COMPUTED_VALUE"""),"xborg")</f>
        <v>xborg</v>
      </c>
      <c r="B14327" s="2" t="str">
        <f ca="1">IFERROR(__xludf.DUMMYFUNCTION("""COMPUTED_VALUE"""),"xbg")</f>
        <v>xbg</v>
      </c>
      <c r="C14327" s="2" t="str">
        <f ca="1">IFERROR(__xludf.DUMMYFUNCTION("""COMPUTED_VALUE"""),"XBorg")</f>
        <v>XBorg</v>
      </c>
    </row>
    <row r="14328" spans="1:3" x14ac:dyDescent="0.25">
      <c r="A14328" s="2" t="str">
        <f ca="1">IFERROR(__xludf.DUMMYFUNCTION("""COMPUTED_VALUE"""),"xbot")</f>
        <v>xbot</v>
      </c>
      <c r="B14328" s="2" t="str">
        <f ca="1">IFERROR(__xludf.DUMMYFUNCTION("""COMPUTED_VALUE"""),"xbot")</f>
        <v>xbot</v>
      </c>
      <c r="C14328" s="2" t="str">
        <f ca="1">IFERROR(__xludf.DUMMYFUNCTION("""COMPUTED_VALUE"""),"XBot")</f>
        <v>XBot</v>
      </c>
    </row>
    <row r="14329" spans="1:3" x14ac:dyDescent="0.25">
      <c r="A14329" s="2" t="str">
        <f ca="1">IFERROR(__xludf.DUMMYFUNCTION("""COMPUTED_VALUE"""),"xbtsg_astrovault")</f>
        <v>xbtsg_astrovault</v>
      </c>
      <c r="B14329" s="2" t="str">
        <f ca="1">IFERROR(__xludf.DUMMYFUNCTION("""COMPUTED_VALUE"""),"xbtsg")</f>
        <v>xbtsg</v>
      </c>
      <c r="C14329" s="2" t="str">
        <f ca="1">IFERROR(__xludf.DUMMYFUNCTION("""COMPUTED_VALUE"""),"xBTSG_Astrovault")</f>
        <v>xBTSG_Astrovault</v>
      </c>
    </row>
    <row r="14330" spans="1:3" x14ac:dyDescent="0.25">
      <c r="A14330" s="2" t="str">
        <f ca="1">IFERROR(__xludf.DUMMYFUNCTION("""COMPUTED_VALUE"""),"xcad-network")</f>
        <v>xcad-network</v>
      </c>
      <c r="B14330" s="2" t="str">
        <f ca="1">IFERROR(__xludf.DUMMYFUNCTION("""COMPUTED_VALUE"""),"xcad")</f>
        <v>xcad</v>
      </c>
      <c r="C14330" s="2" t="str">
        <f ca="1">IFERROR(__xludf.DUMMYFUNCTION("""COMPUTED_VALUE"""),"XCAD Network")</f>
        <v>XCAD Network</v>
      </c>
    </row>
    <row r="14331" spans="1:3" x14ac:dyDescent="0.25">
      <c r="A14331" s="2" t="str">
        <f ca="1">IFERROR(__xludf.DUMMYFUNCTION("""COMPUTED_VALUE"""),"xcad-network-play")</f>
        <v>xcad-network-play</v>
      </c>
      <c r="B14331" s="2" t="str">
        <f ca="1">IFERROR(__xludf.DUMMYFUNCTION("""COMPUTED_VALUE"""),"play")</f>
        <v>play</v>
      </c>
      <c r="C14331" s="2" t="str">
        <f ca="1">IFERROR(__xludf.DUMMYFUNCTION("""COMPUTED_VALUE"""),"Play Token")</f>
        <v>Play Token</v>
      </c>
    </row>
    <row r="14332" spans="1:3" x14ac:dyDescent="0.25">
      <c r="A14332" s="2" t="str">
        <f ca="1">IFERROR(__xludf.DUMMYFUNCTION("""COMPUTED_VALUE"""),"xcarnival")</f>
        <v>xcarnival</v>
      </c>
      <c r="B14332" s="2" t="str">
        <f ca="1">IFERROR(__xludf.DUMMYFUNCTION("""COMPUTED_VALUE"""),"xcv")</f>
        <v>xcv</v>
      </c>
      <c r="C14332" s="2" t="str">
        <f ca="1">IFERROR(__xludf.DUMMYFUNCTION("""COMPUTED_VALUE"""),"XCarnival")</f>
        <v>XCarnival</v>
      </c>
    </row>
    <row r="14333" spans="1:3" x14ac:dyDescent="0.25">
      <c r="A14333" s="2" t="str">
        <f ca="1">IFERROR(__xludf.DUMMYFUNCTION("""COMPUTED_VALUE"""),"x-cash")</f>
        <v>x-cash</v>
      </c>
      <c r="B14333" s="2" t="str">
        <f ca="1">IFERROR(__xludf.DUMMYFUNCTION("""COMPUTED_VALUE"""),"xcash")</f>
        <v>xcash</v>
      </c>
      <c r="C14333" s="2" t="str">
        <f ca="1">IFERROR(__xludf.DUMMYFUNCTION("""COMPUTED_VALUE"""),"X-CASH")</f>
        <v>X-CASH</v>
      </c>
    </row>
    <row r="14334" spans="1:3" x14ac:dyDescent="0.25">
      <c r="A14334" s="2" t="str">
        <f ca="1">IFERROR(__xludf.DUMMYFUNCTION("""COMPUTED_VALUE"""),"xcdot")</f>
        <v>xcdot</v>
      </c>
      <c r="B14334" s="2" t="str">
        <f ca="1">IFERROR(__xludf.DUMMYFUNCTION("""COMPUTED_VALUE"""),"dot")</f>
        <v>dot</v>
      </c>
      <c r="C14334" s="2" t="str">
        <f ca="1">IFERROR(__xludf.DUMMYFUNCTION("""COMPUTED_VALUE"""),"xcDOT")</f>
        <v>xcDOT</v>
      </c>
    </row>
    <row r="14335" spans="1:3" x14ac:dyDescent="0.25">
      <c r="A14335" s="2" t="str">
        <f ca="1">IFERROR(__xludf.DUMMYFUNCTION("""COMPUTED_VALUE"""),"xcel-swap")</f>
        <v>xcel-swap</v>
      </c>
      <c r="B14335" s="2" t="str">
        <f ca="1">IFERROR(__xludf.DUMMYFUNCTION("""COMPUTED_VALUE"""),"xld")</f>
        <v>xld</v>
      </c>
      <c r="C14335" s="2" t="str">
        <f ca="1">IFERROR(__xludf.DUMMYFUNCTION("""COMPUTED_VALUE"""),"Xcel Defi")</f>
        <v>Xcel Defi</v>
      </c>
    </row>
    <row r="14336" spans="1:3" x14ac:dyDescent="0.25">
      <c r="A14336" s="2" t="str">
        <f ca="1">IFERROR(__xludf.DUMMYFUNCTION("""COMPUTED_VALUE"""),"xceltoken-plus")</f>
        <v>xceltoken-plus</v>
      </c>
      <c r="B14336" s="2" t="str">
        <f ca="1">IFERROR(__xludf.DUMMYFUNCTION("""COMPUTED_VALUE"""),"xlab")</f>
        <v>xlab</v>
      </c>
      <c r="C14336" s="2" t="str">
        <f ca="1">IFERROR(__xludf.DUMMYFUNCTION("""COMPUTED_VALUE"""),"XCELTOKEN PLUS")</f>
        <v>XCELTOKEN PLUS</v>
      </c>
    </row>
    <row r="14337" spans="1:3" x14ac:dyDescent="0.25">
      <c r="A14337" s="2" t="str">
        <f ca="1">IFERROR(__xludf.DUMMYFUNCTION("""COMPUTED_VALUE"""),"xception")</f>
        <v>xception</v>
      </c>
      <c r="B14337" s="2" t="str">
        <f ca="1">IFERROR(__xludf.DUMMYFUNCTION("""COMPUTED_VALUE"""),"xcept")</f>
        <v>xcept</v>
      </c>
      <c r="C14337" s="2" t="str">
        <f ca="1">IFERROR(__xludf.DUMMYFUNCTION("""COMPUTED_VALUE"""),"XCeption")</f>
        <v>XCeption</v>
      </c>
    </row>
    <row r="14338" spans="1:3" x14ac:dyDescent="0.25">
      <c r="A14338" s="2" t="str">
        <f ca="1">IFERROR(__xludf.DUMMYFUNCTION("""COMPUTED_VALUE"""),"xcksm")</f>
        <v>xcksm</v>
      </c>
      <c r="B14338" s="2" t="str">
        <f ca="1">IFERROR(__xludf.DUMMYFUNCTION("""COMPUTED_VALUE"""),"xcksm")</f>
        <v>xcksm</v>
      </c>
      <c r="C14338" s="2" t="str">
        <f ca="1">IFERROR(__xludf.DUMMYFUNCTION("""COMPUTED_VALUE"""),"xcKSM")</f>
        <v>xcKSM</v>
      </c>
    </row>
    <row r="14339" spans="1:3" x14ac:dyDescent="0.25">
      <c r="A14339" s="2" t="str">
        <f ca="1">IFERROR(__xludf.DUMMYFUNCTION("""COMPUTED_VALUE"""),"xcmdx_astrovault")</f>
        <v>xcmdx_astrovault</v>
      </c>
      <c r="B14339" s="2" t="str">
        <f ca="1">IFERROR(__xludf.DUMMYFUNCTION("""COMPUTED_VALUE"""),"xcmdx")</f>
        <v>xcmdx</v>
      </c>
      <c r="C14339" s="2" t="str">
        <f ca="1">IFERROR(__xludf.DUMMYFUNCTION("""COMPUTED_VALUE"""),"xCMDX_Astrovault")</f>
        <v>xCMDX_Astrovault</v>
      </c>
    </row>
    <row r="14340" spans="1:3" x14ac:dyDescent="0.25">
      <c r="A14340" s="2" t="str">
        <f ca="1">IFERROR(__xludf.DUMMYFUNCTION("""COMPUTED_VALUE"""),"x-coin-2")</f>
        <v>x-coin-2</v>
      </c>
      <c r="B14340" s="2" t="str">
        <f ca="1">IFERROR(__xludf.DUMMYFUNCTION("""COMPUTED_VALUE"""),"xco")</f>
        <v>xco</v>
      </c>
      <c r="C14340" s="2" t="str">
        <f ca="1">IFERROR(__xludf.DUMMYFUNCTION("""COMPUTED_VALUE"""),"X-Coin")</f>
        <v>X-Coin</v>
      </c>
    </row>
    <row r="14341" spans="1:3" x14ac:dyDescent="0.25">
      <c r="A14341" s="2" t="str">
        <f ca="1">IFERROR(__xludf.DUMMYFUNCTION("""COMPUTED_VALUE"""),"xcoinmeme")</f>
        <v>xcoinmeme</v>
      </c>
      <c r="B14341" s="2" t="str">
        <f ca="1">IFERROR(__xludf.DUMMYFUNCTION("""COMPUTED_VALUE"""),"x")</f>
        <v>x</v>
      </c>
      <c r="C14341" s="2" t="str">
        <f ca="1">IFERROR(__xludf.DUMMYFUNCTION("""COMPUTED_VALUE"""),"Xcoinmeme")</f>
        <v>Xcoinmeme</v>
      </c>
    </row>
    <row r="14342" spans="1:3" x14ac:dyDescent="0.25">
      <c r="A14342" s="2" t="str">
        <f ca="1">IFERROR(__xludf.DUMMYFUNCTION("""COMPUTED_VALUE"""),"x-com")</f>
        <v>x-com</v>
      </c>
      <c r="B14342" s="2" t="str">
        <f ca="1">IFERROR(__xludf.DUMMYFUNCTION("""COMPUTED_VALUE"""),"x")</f>
        <v>x</v>
      </c>
      <c r="C14342" s="2" t="str">
        <f ca="1">IFERROR(__xludf.DUMMYFUNCTION("""COMPUTED_VALUE"""),"CruxDecussata")</f>
        <v>CruxDecussata</v>
      </c>
    </row>
    <row r="14343" spans="1:3" x14ac:dyDescent="0.25">
      <c r="A14343" s="2" t="str">
        <f ca="1">IFERROR(__xludf.DUMMYFUNCTION("""COMPUTED_VALUE"""),"xcrx")</f>
        <v>xcrx</v>
      </c>
      <c r="B14343" s="2" t="str">
        <f ca="1">IFERROR(__xludf.DUMMYFUNCTION("""COMPUTED_VALUE"""),"xcrx")</f>
        <v>xcrx</v>
      </c>
      <c r="C14343" s="2" t="str">
        <f ca="1">IFERROR(__xludf.DUMMYFUNCTION("""COMPUTED_VALUE"""),"xCRX")</f>
        <v>xCRX</v>
      </c>
    </row>
    <row r="14344" spans="1:3" x14ac:dyDescent="0.25">
      <c r="A14344" s="2" t="str">
        <f ca="1">IFERROR(__xludf.DUMMYFUNCTION("""COMPUTED_VALUE"""),"xcudos_astrovault")</f>
        <v>xcudos_astrovault</v>
      </c>
      <c r="B14344" s="2" t="str">
        <f ca="1">IFERROR(__xludf.DUMMYFUNCTION("""COMPUTED_VALUE"""),"xcudos")</f>
        <v>xcudos</v>
      </c>
      <c r="C14344" s="2" t="str">
        <f ca="1">IFERROR(__xludf.DUMMYFUNCTION("""COMPUTED_VALUE"""),"xCUDOS_Astrovault")</f>
        <v>xCUDOS_Astrovault</v>
      </c>
    </row>
    <row r="14345" spans="1:3" x14ac:dyDescent="0.25">
      <c r="A14345" s="2" t="str">
        <f ca="1">IFERROR(__xludf.DUMMYFUNCTION("""COMPUTED_VALUE"""),"xcusdt")</f>
        <v>xcusdt</v>
      </c>
      <c r="B14345" s="2" t="str">
        <f ca="1">IFERROR(__xludf.DUMMYFUNCTION("""COMPUTED_VALUE"""),"xcusdt")</f>
        <v>xcusdt</v>
      </c>
      <c r="C14345" s="2" t="str">
        <f ca="1">IFERROR(__xludf.DUMMYFUNCTION("""COMPUTED_VALUE"""),"xcUSDT")</f>
        <v>xcUSDT</v>
      </c>
    </row>
    <row r="14346" spans="1:3" x14ac:dyDescent="0.25">
      <c r="A14346" s="2" t="str">
        <f ca="1">IFERROR(__xludf.DUMMYFUNCTION("""COMPUTED_VALUE"""),"xdai")</f>
        <v>xdai</v>
      </c>
      <c r="B14346" s="2" t="str">
        <f ca="1">IFERROR(__xludf.DUMMYFUNCTION("""COMPUTED_VALUE"""),"xdai")</f>
        <v>xdai</v>
      </c>
      <c r="C14346" s="2" t="str">
        <f ca="1">IFERROR(__xludf.DUMMYFUNCTION("""COMPUTED_VALUE"""),"XDAI")</f>
        <v>XDAI</v>
      </c>
    </row>
    <row r="14347" spans="1:3" x14ac:dyDescent="0.25">
      <c r="A14347" s="2" t="str">
        <f ca="1">IFERROR(__xludf.DUMMYFUNCTION("""COMPUTED_VALUE"""),"xdai-native-comb")</f>
        <v>xdai-native-comb</v>
      </c>
      <c r="B14347" s="2" t="str">
        <f ca="1">IFERROR(__xludf.DUMMYFUNCTION("""COMPUTED_VALUE"""),"xcomb")</f>
        <v>xcomb</v>
      </c>
      <c r="C14347" s="2" t="str">
        <f ca="1">IFERROR(__xludf.DUMMYFUNCTION("""COMPUTED_VALUE"""),"xDai Native Comb")</f>
        <v>xDai Native Comb</v>
      </c>
    </row>
    <row r="14348" spans="1:3" x14ac:dyDescent="0.25">
      <c r="A14348" s="2" t="str">
        <f ca="1">IFERROR(__xludf.DUMMYFUNCTION("""COMPUTED_VALUE"""),"xdai-stake")</f>
        <v>xdai-stake</v>
      </c>
      <c r="B14348" s="2" t="str">
        <f ca="1">IFERROR(__xludf.DUMMYFUNCTION("""COMPUTED_VALUE"""),"stake")</f>
        <v>stake</v>
      </c>
      <c r="C14348" s="2" t="str">
        <f ca="1">IFERROR(__xludf.DUMMYFUNCTION("""COMPUTED_VALUE"""),"STAKE")</f>
        <v>STAKE</v>
      </c>
    </row>
    <row r="14349" spans="1:3" x14ac:dyDescent="0.25">
      <c r="A14349" s="2" t="str">
        <f ca="1">IFERROR(__xludf.DUMMYFUNCTION("""COMPUTED_VALUE"""),"xdao")</f>
        <v>xdao</v>
      </c>
      <c r="B14349" s="2" t="str">
        <f ca="1">IFERROR(__xludf.DUMMYFUNCTION("""COMPUTED_VALUE"""),"xdao")</f>
        <v>xdao</v>
      </c>
      <c r="C14349" s="2" t="str">
        <f ca="1">IFERROR(__xludf.DUMMYFUNCTION("""COMPUTED_VALUE"""),"XDAO")</f>
        <v>XDAO</v>
      </c>
    </row>
    <row r="14350" spans="1:3" x14ac:dyDescent="0.25">
      <c r="A14350" s="2" t="str">
        <f ca="1">IFERROR(__xludf.DUMMYFUNCTION("""COMPUTED_VALUE"""),"xdce-crowd-sale")</f>
        <v>xdce-crowd-sale</v>
      </c>
      <c r="B14350" s="2" t="str">
        <f ca="1">IFERROR(__xludf.DUMMYFUNCTION("""COMPUTED_VALUE"""),"xdc")</f>
        <v>xdc</v>
      </c>
      <c r="C14350" s="2" t="str">
        <f ca="1">IFERROR(__xludf.DUMMYFUNCTION("""COMPUTED_VALUE"""),"XDC Network")</f>
        <v>XDC Network</v>
      </c>
    </row>
    <row r="14351" spans="1:3" x14ac:dyDescent="0.25">
      <c r="A14351" s="2" t="str">
        <f ca="1">IFERROR(__xludf.DUMMYFUNCTION("""COMPUTED_VALUE"""),"xdec-astrovault")</f>
        <v>xdec-astrovault</v>
      </c>
      <c r="B14351" s="2" t="str">
        <f ca="1">IFERROR(__xludf.DUMMYFUNCTION("""COMPUTED_VALUE"""),"xdec")</f>
        <v>xdec</v>
      </c>
      <c r="C14351" s="2" t="str">
        <f ca="1">IFERROR(__xludf.DUMMYFUNCTION("""COMPUTED_VALUE"""),"xDEC_Astrovault")</f>
        <v>xDEC_Astrovault</v>
      </c>
    </row>
    <row r="14352" spans="1:3" x14ac:dyDescent="0.25">
      <c r="A14352" s="2" t="str">
        <f ca="1">IFERROR(__xludf.DUMMYFUNCTION("""COMPUTED_VALUE"""),"xdefi")</f>
        <v>xdefi</v>
      </c>
      <c r="B14352" s="2" t="str">
        <f ca="1">IFERROR(__xludf.DUMMYFUNCTION("""COMPUTED_VALUE"""),"xdefi")</f>
        <v>xdefi</v>
      </c>
      <c r="C14352" s="2" t="str">
        <f ca="1">IFERROR(__xludf.DUMMYFUNCTION("""COMPUTED_VALUE"""),"XDEFI")</f>
        <v>XDEFI</v>
      </c>
    </row>
    <row r="14353" spans="1:3" x14ac:dyDescent="0.25">
      <c r="A14353" s="2" t="str">
        <f ca="1">IFERROR(__xludf.DUMMYFUNCTION("""COMPUTED_VALUE"""),"xdoge")</f>
        <v>xdoge</v>
      </c>
      <c r="B14353" s="2" t="str">
        <f ca="1">IFERROR(__xludf.DUMMYFUNCTION("""COMPUTED_VALUE"""),"xdoge")</f>
        <v>xdoge</v>
      </c>
      <c r="C14353" s="2" t="str">
        <f ca="1">IFERROR(__xludf.DUMMYFUNCTION("""COMPUTED_VALUE"""),"Xdoge")</f>
        <v>Xdoge</v>
      </c>
    </row>
    <row r="14354" spans="1:3" x14ac:dyDescent="0.25">
      <c r="A14354" s="2" t="str">
        <f ca="1">IFERROR(__xludf.DUMMYFUNCTION("""COMPUTED_VALUE"""),"xdoge-2")</f>
        <v>xdoge-2</v>
      </c>
      <c r="B14354" s="2" t="str">
        <f ca="1">IFERROR(__xludf.DUMMYFUNCTION("""COMPUTED_VALUE"""),"xdoge")</f>
        <v>xdoge</v>
      </c>
      <c r="C14354" s="2" t="str">
        <f ca="1">IFERROR(__xludf.DUMMYFUNCTION("""COMPUTED_VALUE"""),"XDOGE")</f>
        <v>XDOGE</v>
      </c>
    </row>
    <row r="14355" spans="1:3" x14ac:dyDescent="0.25">
      <c r="A14355" s="2" t="str">
        <f ca="1">IFERROR(__xludf.DUMMYFUNCTION("""COMPUTED_VALUE"""),"xdoge-3")</f>
        <v>xdoge-3</v>
      </c>
      <c r="B14355" s="2" t="str">
        <f ca="1">IFERROR(__xludf.DUMMYFUNCTION("""COMPUTED_VALUE"""),"xdoge")</f>
        <v>xdoge</v>
      </c>
      <c r="C14355" s="2" t="str">
        <f ca="1">IFERROR(__xludf.DUMMYFUNCTION("""COMPUTED_VALUE"""),"XDOGE")</f>
        <v>XDOGE</v>
      </c>
    </row>
    <row r="14356" spans="1:3" x14ac:dyDescent="0.25">
      <c r="A14356" s="2" t="str">
        <f ca="1">IFERROR(__xludf.DUMMYFUNCTION("""COMPUTED_VALUE"""),"xdoge-4")</f>
        <v>xdoge-4</v>
      </c>
      <c r="B14356" s="2" t="str">
        <f ca="1">IFERROR(__xludf.DUMMYFUNCTION("""COMPUTED_VALUE"""),"xd")</f>
        <v>xd</v>
      </c>
      <c r="C14356" s="2" t="str">
        <f ca="1">IFERROR(__xludf.DUMMYFUNCTION("""COMPUTED_VALUE"""),"XDoge")</f>
        <v>XDoge</v>
      </c>
    </row>
    <row r="14357" spans="1:3" x14ac:dyDescent="0.25">
      <c r="A14357" s="2" t="str">
        <f ca="1">IFERROR(__xludf.DUMMYFUNCTION("""COMPUTED_VALUE"""),"xdollar-stablecoin")</f>
        <v>xdollar-stablecoin</v>
      </c>
      <c r="B14357" s="2" t="str">
        <f ca="1">IFERROR(__xludf.DUMMYFUNCTION("""COMPUTED_VALUE"""),"xusd")</f>
        <v>xusd</v>
      </c>
      <c r="C14357" s="2" t="str">
        <f ca="1">IFERROR(__xludf.DUMMYFUNCTION("""COMPUTED_VALUE"""),"xDollar Stablecoin")</f>
        <v>xDollar Stablecoin</v>
      </c>
    </row>
    <row r="14358" spans="1:3" x14ac:dyDescent="0.25">
      <c r="A14358" s="2" t="str">
        <f ca="1">IFERROR(__xludf.DUMMYFUNCTION("""COMPUTED_VALUE"""),"xdvpn_astrovault")</f>
        <v>xdvpn_astrovault</v>
      </c>
      <c r="B14358" s="2" t="str">
        <f ca="1">IFERROR(__xludf.DUMMYFUNCTION("""COMPUTED_VALUE"""),"xdvpn")</f>
        <v>xdvpn</v>
      </c>
      <c r="C14358" s="2" t="str">
        <f ca="1">IFERROR(__xludf.DUMMYFUNCTION("""COMPUTED_VALUE"""),"xDVPN_Astrovault")</f>
        <v>xDVPN_Astrovault</v>
      </c>
    </row>
    <row r="14359" spans="1:3" x14ac:dyDescent="0.25">
      <c r="A14359" s="2" t="str">
        <f ca="1">IFERROR(__xludf.DUMMYFUNCTION("""COMPUTED_VALUE"""),"xelis")</f>
        <v>xelis</v>
      </c>
      <c r="B14359" s="2" t="str">
        <f ca="1">IFERROR(__xludf.DUMMYFUNCTION("""COMPUTED_VALUE"""),"xel")</f>
        <v>xel</v>
      </c>
      <c r="C14359" s="2" t="str">
        <f ca="1">IFERROR(__xludf.DUMMYFUNCTION("""COMPUTED_VALUE"""),"Xelis")</f>
        <v>Xelis</v>
      </c>
    </row>
    <row r="14360" spans="1:3" x14ac:dyDescent="0.25">
      <c r="A14360" s="2" t="str">
        <f ca="1">IFERROR(__xludf.DUMMYFUNCTION("""COMPUTED_VALUE"""),"xels")</f>
        <v>xels</v>
      </c>
      <c r="B14360" s="2" t="str">
        <f ca="1">IFERROR(__xludf.DUMMYFUNCTION("""COMPUTED_VALUE"""),"xels")</f>
        <v>xels</v>
      </c>
      <c r="C14360" s="2" t="str">
        <f ca="1">IFERROR(__xludf.DUMMYFUNCTION("""COMPUTED_VALUE"""),"XELS")</f>
        <v>XELS</v>
      </c>
    </row>
    <row r="14361" spans="1:3" x14ac:dyDescent="0.25">
      <c r="A14361" s="2" t="str">
        <f ca="1">IFERROR(__xludf.DUMMYFUNCTION("""COMPUTED_VALUE"""),"xena-finance")</f>
        <v>xena-finance</v>
      </c>
      <c r="B14361" s="2" t="str">
        <f ca="1">IFERROR(__xludf.DUMMYFUNCTION("""COMPUTED_VALUE"""),"xen")</f>
        <v>xen</v>
      </c>
      <c r="C14361" s="2" t="str">
        <f ca="1">IFERROR(__xludf.DUMMYFUNCTION("""COMPUTED_VALUE"""),"Xena Finance")</f>
        <v>Xena Finance</v>
      </c>
    </row>
    <row r="14362" spans="1:3" x14ac:dyDescent="0.25">
      <c r="A14362" s="2" t="str">
        <f ca="1">IFERROR(__xludf.DUMMYFUNCTION("""COMPUTED_VALUE"""),"xenbitcoin")</f>
        <v>xenbitcoin</v>
      </c>
      <c r="B14362" s="2" t="str">
        <f ca="1">IFERROR(__xludf.DUMMYFUNCTION("""COMPUTED_VALUE"""),"xbtc")</f>
        <v>xbtc</v>
      </c>
      <c r="C14362" s="2" t="str">
        <f ca="1">IFERROR(__xludf.DUMMYFUNCTION("""COMPUTED_VALUE"""),"XenBitcoin")</f>
        <v>XenBitcoin</v>
      </c>
    </row>
    <row r="14363" spans="1:3" x14ac:dyDescent="0.25">
      <c r="A14363" s="2" t="str">
        <f ca="1">IFERROR(__xludf.DUMMYFUNCTION("""COMPUTED_VALUE"""),"xen-crypto")</f>
        <v>xen-crypto</v>
      </c>
      <c r="B14363" s="2" t="str">
        <f ca="1">IFERROR(__xludf.DUMMYFUNCTION("""COMPUTED_VALUE"""),"xen")</f>
        <v>xen</v>
      </c>
      <c r="C14363" s="2" t="str">
        <f ca="1">IFERROR(__xludf.DUMMYFUNCTION("""COMPUTED_VALUE"""),"XEN Crypto")</f>
        <v>XEN Crypto</v>
      </c>
    </row>
    <row r="14364" spans="1:3" x14ac:dyDescent="0.25">
      <c r="A14364" s="2" t="str">
        <f ca="1">IFERROR(__xludf.DUMMYFUNCTION("""COMPUTED_VALUE"""),"xen-crypto-bsc")</f>
        <v>xen-crypto-bsc</v>
      </c>
      <c r="B14364" s="2" t="str">
        <f ca="1">IFERROR(__xludf.DUMMYFUNCTION("""COMPUTED_VALUE"""),"bxen")</f>
        <v>bxen</v>
      </c>
      <c r="C14364" s="2" t="str">
        <f ca="1">IFERROR(__xludf.DUMMYFUNCTION("""COMPUTED_VALUE"""),"XEN Crypto (BSC)")</f>
        <v>XEN Crypto (BSC)</v>
      </c>
    </row>
    <row r="14365" spans="1:3" x14ac:dyDescent="0.25">
      <c r="A14365" s="2" t="str">
        <f ca="1">IFERROR(__xludf.DUMMYFUNCTION("""COMPUTED_VALUE"""),"xen-crypto-fantom")</f>
        <v>xen-crypto-fantom</v>
      </c>
      <c r="B14365" s="2" t="str">
        <f ca="1">IFERROR(__xludf.DUMMYFUNCTION("""COMPUTED_VALUE"""),"fmxen")</f>
        <v>fmxen</v>
      </c>
      <c r="C14365" s="2" t="str">
        <f ca="1">IFERROR(__xludf.DUMMYFUNCTION("""COMPUTED_VALUE"""),"Xen Crypto (Fantom)")</f>
        <v>Xen Crypto (Fantom)</v>
      </c>
    </row>
    <row r="14366" spans="1:3" x14ac:dyDescent="0.25">
      <c r="A14366" s="2" t="str">
        <f ca="1">IFERROR(__xludf.DUMMYFUNCTION("""COMPUTED_VALUE"""),"xen-crypto-matic")</f>
        <v>xen-crypto-matic</v>
      </c>
      <c r="B14366" s="2" t="str">
        <f ca="1">IFERROR(__xludf.DUMMYFUNCTION("""COMPUTED_VALUE"""),"mxen")</f>
        <v>mxen</v>
      </c>
      <c r="C14366" s="2" t="str">
        <f ca="1">IFERROR(__xludf.DUMMYFUNCTION("""COMPUTED_VALUE"""),"Xen Crypto (MATIC)")</f>
        <v>Xen Crypto (MATIC)</v>
      </c>
    </row>
    <row r="14367" spans="1:3" x14ac:dyDescent="0.25">
      <c r="A14367" s="2" t="str">
        <f ca="1">IFERROR(__xludf.DUMMYFUNCTION("""COMPUTED_VALUE"""),"xen-crypto-pulsechain")</f>
        <v>xen-crypto-pulsechain</v>
      </c>
      <c r="B14367" s="2" t="str">
        <f ca="1">IFERROR(__xludf.DUMMYFUNCTION("""COMPUTED_VALUE"""),"pxen")</f>
        <v>pxen</v>
      </c>
      <c r="C14367" s="2" t="str">
        <f ca="1">IFERROR(__xludf.DUMMYFUNCTION("""COMPUTED_VALUE"""),"XEN Crypto (PulseChain)")</f>
        <v>XEN Crypto (PulseChain)</v>
      </c>
    </row>
    <row r="14368" spans="1:3" x14ac:dyDescent="0.25">
      <c r="A14368" s="2" t="str">
        <f ca="1">IFERROR(__xludf.DUMMYFUNCTION("""COMPUTED_VALUE"""),"xend-finance")</f>
        <v>xend-finance</v>
      </c>
      <c r="B14368" s="2" t="str">
        <f ca="1">IFERROR(__xludf.DUMMYFUNCTION("""COMPUTED_VALUE"""),"rwa")</f>
        <v>rwa</v>
      </c>
      <c r="C14368" s="2" t="str">
        <f ca="1">IFERROR(__xludf.DUMMYFUNCTION("""COMPUTED_VALUE"""),"Xend Finance")</f>
        <v>Xend Finance</v>
      </c>
    </row>
    <row r="14369" spans="1:3" x14ac:dyDescent="0.25">
      <c r="A14369" s="2" t="str">
        <f ca="1">IFERROR(__xludf.DUMMYFUNCTION("""COMPUTED_VALUE"""),"xenify-bxnf-bnb-chain")</f>
        <v>xenify-bxnf-bnb-chain</v>
      </c>
      <c r="B14369" s="2" t="str">
        <f ca="1">IFERROR(__xludf.DUMMYFUNCTION("""COMPUTED_VALUE"""),"bxnf")</f>
        <v>bxnf</v>
      </c>
      <c r="C14369" s="2" t="str">
        <f ca="1">IFERROR(__xludf.DUMMYFUNCTION("""COMPUTED_VALUE"""),"bXNF")</f>
        <v>bXNF</v>
      </c>
    </row>
    <row r="14370" spans="1:3" x14ac:dyDescent="0.25">
      <c r="A14370" s="2" t="str">
        <f ca="1">IFERROR(__xludf.DUMMYFUNCTION("""COMPUTED_VALUE"""),"xeno")</f>
        <v>xeno</v>
      </c>
      <c r="B14370" s="2" t="str">
        <f ca="1">IFERROR(__xludf.DUMMYFUNCTION("""COMPUTED_VALUE"""),"xeno")</f>
        <v>xeno</v>
      </c>
      <c r="C14370" s="2" t="str">
        <f ca="1">IFERROR(__xludf.DUMMYFUNCTION("""COMPUTED_VALUE"""),"Xeno")</f>
        <v>Xeno</v>
      </c>
    </row>
    <row r="14371" spans="1:3" x14ac:dyDescent="0.25">
      <c r="A14371" s="2" t="str">
        <f ca="1">IFERROR(__xludf.DUMMYFUNCTION("""COMPUTED_VALUE"""),"xeno-token")</f>
        <v>xeno-token</v>
      </c>
      <c r="B14371" s="2" t="str">
        <f ca="1">IFERROR(__xludf.DUMMYFUNCTION("""COMPUTED_VALUE"""),"xno")</f>
        <v>xno</v>
      </c>
      <c r="C14371" s="2" t="str">
        <f ca="1">IFERROR(__xludf.DUMMYFUNCTION("""COMPUTED_VALUE"""),"Xeno")</f>
        <v>Xeno</v>
      </c>
    </row>
    <row r="14372" spans="1:3" x14ac:dyDescent="0.25">
      <c r="A14372" s="2" t="str">
        <f ca="1">IFERROR(__xludf.DUMMYFUNCTION("""COMPUTED_VALUE"""),"xenowave")</f>
        <v>xenowave</v>
      </c>
      <c r="B14372" s="2" t="str">
        <f ca="1">IFERROR(__xludf.DUMMYFUNCTION("""COMPUTED_VALUE"""),"xwave")</f>
        <v>xwave</v>
      </c>
      <c r="C14372" s="2" t="str">
        <f ca="1">IFERROR(__xludf.DUMMYFUNCTION("""COMPUTED_VALUE"""),"XenoWave")</f>
        <v>XenoWave</v>
      </c>
    </row>
    <row r="14373" spans="1:3" x14ac:dyDescent="0.25">
      <c r="A14373" s="2" t="str">
        <f ca="1">IFERROR(__xludf.DUMMYFUNCTION("""COMPUTED_VALUE"""),"xensei")</f>
        <v>xensei</v>
      </c>
      <c r="B14373" s="2" t="str">
        <f ca="1">IFERROR(__xludf.DUMMYFUNCTION("""COMPUTED_VALUE"""),"xsei")</f>
        <v>xsei</v>
      </c>
      <c r="C14373" s="2" t="str">
        <f ca="1">IFERROR(__xludf.DUMMYFUNCTION("""COMPUTED_VALUE"""),"Xensei")</f>
        <v>Xensei</v>
      </c>
    </row>
    <row r="14374" spans="1:3" x14ac:dyDescent="0.25">
      <c r="A14374" s="2" t="str">
        <f ca="1">IFERROR(__xludf.DUMMYFUNCTION("""COMPUTED_VALUE"""),"xeon-protocol")</f>
        <v>xeon-protocol</v>
      </c>
      <c r="B14374" s="2" t="str">
        <f ca="1">IFERROR(__xludf.DUMMYFUNCTION("""COMPUTED_VALUE"""),"xeon")</f>
        <v>xeon</v>
      </c>
      <c r="C14374" s="2" t="str">
        <f ca="1">IFERROR(__xludf.DUMMYFUNCTION("""COMPUTED_VALUE"""),"Xeon Protocol")</f>
        <v>Xeon Protocol</v>
      </c>
    </row>
    <row r="14375" spans="1:3" x14ac:dyDescent="0.25">
      <c r="A14375" s="2" t="str">
        <f ca="1">IFERROR(__xludf.DUMMYFUNCTION("""COMPUTED_VALUE"""),"xerc20-pro")</f>
        <v>xerc20-pro</v>
      </c>
      <c r="B14375" s="2" t="str">
        <f ca="1">IFERROR(__xludf.DUMMYFUNCTION("""COMPUTED_VALUE"""),"x")</f>
        <v>x</v>
      </c>
      <c r="C14375" s="2" t="str">
        <f ca="1">IFERROR(__xludf.DUMMYFUNCTION("""COMPUTED_VALUE"""),"X")</f>
        <v>X</v>
      </c>
    </row>
    <row r="14376" spans="1:3" x14ac:dyDescent="0.25">
      <c r="A14376" s="2" t="str">
        <f ca="1">IFERROR(__xludf.DUMMYFUNCTION("""COMPUTED_VALUE"""),"xero-ai")</f>
        <v>xero-ai</v>
      </c>
      <c r="B14376" s="2" t="str">
        <f ca="1">IFERROR(__xludf.DUMMYFUNCTION("""COMPUTED_VALUE"""),"xeroai")</f>
        <v>xeroai</v>
      </c>
      <c r="C14376" s="2" t="str">
        <f ca="1">IFERROR(__xludf.DUMMYFUNCTION("""COMPUTED_VALUE"""),"Xero AI")</f>
        <v>Xero AI</v>
      </c>
    </row>
    <row r="14377" spans="1:3" x14ac:dyDescent="0.25">
      <c r="A14377" s="2" t="str">
        <f ca="1">IFERROR(__xludf.DUMMYFUNCTION("""COMPUTED_VALUE"""),"xertinet")</f>
        <v>xertinet</v>
      </c>
      <c r="B14377" s="2" t="str">
        <f ca="1">IFERROR(__xludf.DUMMYFUNCTION("""COMPUTED_VALUE"""),"xert")</f>
        <v>xert</v>
      </c>
      <c r="C14377" s="2" t="str">
        <f ca="1">IFERROR(__xludf.DUMMYFUNCTION("""COMPUTED_VALUE"""),"XertiNet")</f>
        <v>XertiNet</v>
      </c>
    </row>
    <row r="14378" spans="1:3" x14ac:dyDescent="0.25">
      <c r="A14378" s="2" t="str">
        <f ca="1">IFERROR(__xludf.DUMMYFUNCTION("""COMPUTED_VALUE"""),"xfai")</f>
        <v>xfai</v>
      </c>
      <c r="B14378" s="2" t="str">
        <f ca="1">IFERROR(__xludf.DUMMYFUNCTION("""COMPUTED_VALUE"""),"xfit")</f>
        <v>xfit</v>
      </c>
      <c r="C14378" s="2" t="str">
        <f ca="1">IFERROR(__xludf.DUMMYFUNCTION("""COMPUTED_VALUE"""),"Xfai")</f>
        <v>Xfai</v>
      </c>
    </row>
    <row r="14379" spans="1:3" x14ac:dyDescent="0.25">
      <c r="A14379" s="2" t="str">
        <f ca="1">IFERROR(__xludf.DUMMYFUNCTION("""COMPUTED_VALUE"""),"xfile")</f>
        <v>xfile</v>
      </c>
      <c r="B14379" s="2" t="str">
        <f ca="1">IFERROR(__xludf.DUMMYFUNCTION("""COMPUTED_VALUE"""),"x-file")</f>
        <v>x-file</v>
      </c>
      <c r="C14379" s="2" t="str">
        <f ca="1">IFERROR(__xludf.DUMMYFUNCTION("""COMPUTED_VALUE"""),"XFILE")</f>
        <v>XFILE</v>
      </c>
    </row>
    <row r="14380" spans="1:3" x14ac:dyDescent="0.25">
      <c r="A14380" s="2" t="str">
        <f ca="1">IFERROR(__xludf.DUMMYFUNCTION("""COMPUTED_VALUE"""),"xfinance")</f>
        <v>xfinance</v>
      </c>
      <c r="B14380" s="2" t="str">
        <f ca="1">IFERROR(__xludf.DUMMYFUNCTION("""COMPUTED_VALUE"""),"xfi")</f>
        <v>xfi</v>
      </c>
      <c r="C14380" s="2" t="str">
        <f ca="1">IFERROR(__xludf.DUMMYFUNCTION("""COMPUTED_VALUE"""),"Xfinance")</f>
        <v>Xfinance</v>
      </c>
    </row>
    <row r="14381" spans="1:3" x14ac:dyDescent="0.25">
      <c r="A14381" s="2" t="str">
        <f ca="1">IFERROR(__xludf.DUMMYFUNCTION("""COMPUTED_VALUE"""),"xfinite-entertainment-token")</f>
        <v>xfinite-entertainment-token</v>
      </c>
      <c r="B14381" s="2" t="str">
        <f ca="1">IFERROR(__xludf.DUMMYFUNCTION("""COMPUTED_VALUE"""),"xet")</f>
        <v>xet</v>
      </c>
      <c r="C14381" s="2" t="str">
        <f ca="1">IFERROR(__xludf.DUMMYFUNCTION("""COMPUTED_VALUE"""),"Xfinite Entertainment")</f>
        <v>Xfinite Entertainment</v>
      </c>
    </row>
    <row r="14382" spans="1:3" x14ac:dyDescent="0.25">
      <c r="A14382" s="2" t="str">
        <f ca="1">IFERROR(__xludf.DUMMYFUNCTION("""COMPUTED_VALUE"""),"xfit")</f>
        <v>xfit</v>
      </c>
      <c r="B14382" s="2" t="str">
        <f ca="1">IFERROR(__xludf.DUMMYFUNCTION("""COMPUTED_VALUE"""),"xfit")</f>
        <v>xfit</v>
      </c>
      <c r="C14382" s="2" t="str">
        <f ca="1">IFERROR(__xludf.DUMMYFUNCTION("""COMPUTED_VALUE"""),"XFai")</f>
        <v>XFai</v>
      </c>
    </row>
    <row r="14383" spans="1:3" x14ac:dyDescent="0.25">
      <c r="A14383" s="2" t="str">
        <f ca="1">IFERROR(__xludf.DUMMYFUNCTION("""COMPUTED_VALUE"""),"xflix_astrovault")</f>
        <v>xflix_astrovault</v>
      </c>
      <c r="B14383" s="2" t="str">
        <f ca="1">IFERROR(__xludf.DUMMYFUNCTION("""COMPUTED_VALUE"""),"xflix")</f>
        <v>xflix</v>
      </c>
      <c r="C14383" s="2" t="str">
        <f ca="1">IFERROR(__xludf.DUMMYFUNCTION("""COMPUTED_VALUE"""),"xFLIX_Astrovault")</f>
        <v>xFLIX_Astrovault</v>
      </c>
    </row>
    <row r="14384" spans="1:3" x14ac:dyDescent="0.25">
      <c r="A14384" s="2" t="str">
        <f ca="1">IFERROR(__xludf.DUMMYFUNCTION("""COMPUTED_VALUE"""),"xfund")</f>
        <v>xfund</v>
      </c>
      <c r="B14384" s="2" t="str">
        <f ca="1">IFERROR(__xludf.DUMMYFUNCTION("""COMPUTED_VALUE"""),"xfund")</f>
        <v>xfund</v>
      </c>
      <c r="C14384" s="2" t="str">
        <f ca="1">IFERROR(__xludf.DUMMYFUNCTION("""COMPUTED_VALUE"""),"xFUND")</f>
        <v>xFUND</v>
      </c>
    </row>
    <row r="14385" spans="1:3" x14ac:dyDescent="0.25">
      <c r="A14385" s="2" t="str">
        <f ca="1">IFERROR(__xludf.DUMMYFUNCTION("""COMPUTED_VALUE"""),"x-game")</f>
        <v>x-game</v>
      </c>
      <c r="B14385" s="2" t="str">
        <f ca="1">IFERROR(__xludf.DUMMYFUNCTION("""COMPUTED_VALUE"""),"xg")</f>
        <v>xg</v>
      </c>
      <c r="C14385" s="2" t="str">
        <f ca="1">IFERROR(__xludf.DUMMYFUNCTION("""COMPUTED_VALUE"""),"X-GAME")</f>
        <v>X-GAME</v>
      </c>
    </row>
    <row r="14386" spans="1:3" x14ac:dyDescent="0.25">
      <c r="A14386" s="2" t="str">
        <f ca="1">IFERROR(__xludf.DUMMYFUNCTION("""COMPUTED_VALUE"""),"xgold-coin")</f>
        <v>xgold-coin</v>
      </c>
      <c r="B14386" s="2" t="str">
        <f ca="1">IFERROR(__xludf.DUMMYFUNCTION("""COMPUTED_VALUE"""),"xgold")</f>
        <v>xgold</v>
      </c>
      <c r="C14386" s="2" t="str">
        <f ca="1">IFERROR(__xludf.DUMMYFUNCTION("""COMPUTED_VALUE"""),"Xgold Coin")</f>
        <v>Xgold Coin</v>
      </c>
    </row>
    <row r="14387" spans="1:3" x14ac:dyDescent="0.25">
      <c r="A14387" s="2" t="str">
        <f ca="1">IFERROR(__xludf.DUMMYFUNCTION("""COMPUTED_VALUE"""),"x-gpt")</f>
        <v>x-gpt</v>
      </c>
      <c r="B14387" s="2" t="str">
        <f ca="1">IFERROR(__xludf.DUMMYFUNCTION("""COMPUTED_VALUE"""),"xgpt")</f>
        <v>xgpt</v>
      </c>
      <c r="C14387" s="2" t="str">
        <f ca="1">IFERROR(__xludf.DUMMYFUNCTION("""COMPUTED_VALUE"""),"X-GPT")</f>
        <v>X-GPT</v>
      </c>
    </row>
    <row r="14388" spans="1:3" x14ac:dyDescent="0.25">
      <c r="A14388" s="2" t="str">
        <f ca="1">IFERROR(__xludf.DUMMYFUNCTION("""COMPUTED_VALUE"""),"xgpu-ai")</f>
        <v>xgpu-ai</v>
      </c>
      <c r="B14388" s="2" t="str">
        <f ca="1">IFERROR(__xludf.DUMMYFUNCTION("""COMPUTED_VALUE"""),"xgpu")</f>
        <v>xgpu</v>
      </c>
      <c r="C14388" s="2" t="str">
        <f ca="1">IFERROR(__xludf.DUMMYFUNCTION("""COMPUTED_VALUE"""),"XGPU AI")</f>
        <v>XGPU AI</v>
      </c>
    </row>
    <row r="14389" spans="1:3" x14ac:dyDescent="0.25">
      <c r="A14389" s="2" t="str">
        <f ca="1">IFERROR(__xludf.DUMMYFUNCTION("""COMPUTED_VALUE"""),"xgrav_astrovault")</f>
        <v>xgrav_astrovault</v>
      </c>
      <c r="B14389" s="2" t="str">
        <f ca="1">IFERROR(__xludf.DUMMYFUNCTION("""COMPUTED_VALUE"""),"xgrav")</f>
        <v>xgrav</v>
      </c>
      <c r="C14389" s="2" t="str">
        <f ca="1">IFERROR(__xludf.DUMMYFUNCTION("""COMPUTED_VALUE"""),"xGRAV_Astrovault")</f>
        <v>xGRAV_Astrovault</v>
      </c>
    </row>
    <row r="14390" spans="1:3" x14ac:dyDescent="0.25">
      <c r="A14390" s="2" t="str">
        <f ca="1">IFERROR(__xludf.DUMMYFUNCTION("""COMPUTED_VALUE"""),"xhashtag")</f>
        <v>xhashtag</v>
      </c>
      <c r="B14390" s="2" t="str">
        <f ca="1">IFERROR(__xludf.DUMMYFUNCTION("""COMPUTED_VALUE"""),"xtag")</f>
        <v>xtag</v>
      </c>
      <c r="C14390" s="2" t="str">
        <f ca="1">IFERROR(__xludf.DUMMYFUNCTION("""COMPUTED_VALUE"""),"xHashtag")</f>
        <v>xHashtag</v>
      </c>
    </row>
    <row r="14391" spans="1:3" x14ac:dyDescent="0.25">
      <c r="A14391" s="2" t="str">
        <f ca="1">IFERROR(__xludf.DUMMYFUNCTION("""COMPUTED_VALUE"""),"xhype")</f>
        <v>xhype</v>
      </c>
      <c r="B14391" s="2" t="str">
        <f ca="1">IFERROR(__xludf.DUMMYFUNCTION("""COMPUTED_VALUE"""),"xhp")</f>
        <v>xhp</v>
      </c>
      <c r="C14391" s="2" t="str">
        <f ca="1">IFERROR(__xludf.DUMMYFUNCTION("""COMPUTED_VALUE"""),"XHYPE")</f>
        <v>XHYPE</v>
      </c>
    </row>
    <row r="14392" spans="1:3" x14ac:dyDescent="0.25">
      <c r="A14392" s="2" t="str">
        <f ca="1">IFERROR(__xludf.DUMMYFUNCTION("""COMPUTED_VALUE"""),"xiaojie")</f>
        <v>xiaojie</v>
      </c>
      <c r="B14392" s="2" t="str">
        <f ca="1">IFERROR(__xludf.DUMMYFUNCTION("""COMPUTED_VALUE"""),"xiao")</f>
        <v>xiao</v>
      </c>
      <c r="C14392" s="2" t="str">
        <f ca="1">IFERROR(__xludf.DUMMYFUNCTION("""COMPUTED_VALUE"""),"Xiaojie")</f>
        <v>Xiaojie</v>
      </c>
    </row>
    <row r="14393" spans="1:3" x14ac:dyDescent="0.25">
      <c r="A14393" s="2" t="str">
        <f ca="1">IFERROR(__xludf.DUMMYFUNCTION("""COMPUTED_VALUE"""),"xiao-lang-gou")</f>
        <v>xiao-lang-gou</v>
      </c>
      <c r="B14393" s="2" t="str">
        <f ca="1">IFERROR(__xludf.DUMMYFUNCTION("""COMPUTED_VALUE"""),"xlg")</f>
        <v>xlg</v>
      </c>
      <c r="C14393" s="2" t="str">
        <f ca="1">IFERROR(__xludf.DUMMYFUNCTION("""COMPUTED_VALUE"""),"xiao lang gou")</f>
        <v>xiao lang gou</v>
      </c>
    </row>
    <row r="14394" spans="1:3" x14ac:dyDescent="0.25">
      <c r="A14394" s="2" t="str">
        <f ca="1">IFERROR(__xludf.DUMMYFUNCTION("""COMPUTED_VALUE"""),"xidar")</f>
        <v>xidar</v>
      </c>
      <c r="B14394" s="2" t="str">
        <f ca="1">IFERROR(__xludf.DUMMYFUNCTION("""COMPUTED_VALUE"""),"ida")</f>
        <v>ida</v>
      </c>
      <c r="C14394" s="2" t="str">
        <f ca="1">IFERROR(__xludf.DUMMYFUNCTION("""COMPUTED_VALUE"""),"Xidar")</f>
        <v>Xidar</v>
      </c>
    </row>
    <row r="14395" spans="1:3" x14ac:dyDescent="0.25">
      <c r="A14395" s="2" t="str">
        <f ca="1">IFERROR(__xludf.DUMMYFUNCTION("""COMPUTED_VALUE"""),"xiden")</f>
        <v>xiden</v>
      </c>
      <c r="B14395" s="2" t="str">
        <f ca="1">IFERROR(__xludf.DUMMYFUNCTION("""COMPUTED_VALUE"""),"xden")</f>
        <v>xden</v>
      </c>
      <c r="C14395" s="2" t="str">
        <f ca="1">IFERROR(__xludf.DUMMYFUNCTION("""COMPUTED_VALUE"""),"Xiden")</f>
        <v>Xiden</v>
      </c>
    </row>
    <row r="14396" spans="1:3" x14ac:dyDescent="0.25">
      <c r="A14396" s="2" t="str">
        <f ca="1">IFERROR(__xludf.DUMMYFUNCTION("""COMPUTED_VALUE"""),"xido-finance")</f>
        <v>xido-finance</v>
      </c>
      <c r="B14396" s="2" t="str">
        <f ca="1">IFERROR(__xludf.DUMMYFUNCTION("""COMPUTED_VALUE"""),"xido")</f>
        <v>xido</v>
      </c>
      <c r="C14396" s="2" t="str">
        <f ca="1">IFERROR(__xludf.DUMMYFUNCTION("""COMPUTED_VALUE"""),"Xido Finance")</f>
        <v>Xido Finance</v>
      </c>
    </row>
    <row r="14397" spans="1:3" x14ac:dyDescent="0.25">
      <c r="A14397" s="2" t="str">
        <f ca="1">IFERROR(__xludf.DUMMYFUNCTION("""COMPUTED_VALUE"""),"xiiicoin")</f>
        <v>xiiicoin</v>
      </c>
      <c r="B14397" s="2" t="str">
        <f ca="1">IFERROR(__xludf.DUMMYFUNCTION("""COMPUTED_VALUE"""),"xiii")</f>
        <v>xiii</v>
      </c>
      <c r="C14397" s="2" t="str">
        <f ca="1">IFERROR(__xludf.DUMMYFUNCTION("""COMPUTED_VALUE"""),"XIIICOIN")</f>
        <v>XIIICOIN</v>
      </c>
    </row>
    <row r="14398" spans="1:3" x14ac:dyDescent="0.25">
      <c r="A14398" s="2" t="str">
        <f ca="1">IFERROR(__xludf.DUMMYFUNCTION("""COMPUTED_VALUE"""),"xio")</f>
        <v>xio</v>
      </c>
      <c r="B14398" s="2" t="str">
        <f ca="1">IFERROR(__xludf.DUMMYFUNCTION("""COMPUTED_VALUE"""),"xio")</f>
        <v>xio</v>
      </c>
      <c r="C14398" s="2" t="str">
        <f ca="1">IFERROR(__xludf.DUMMYFUNCTION("""COMPUTED_VALUE"""),"Blockzero Labs")</f>
        <v>Blockzero Labs</v>
      </c>
    </row>
    <row r="14399" spans="1:3" x14ac:dyDescent="0.25">
      <c r="A14399" s="2" t="str">
        <f ca="1">IFERROR(__xludf.DUMMYFUNCTION("""COMPUTED_VALUE"""),"xion-2")</f>
        <v>xion-2</v>
      </c>
      <c r="B14399" s="2" t="str">
        <f ca="1">IFERROR(__xludf.DUMMYFUNCTION("""COMPUTED_VALUE"""),"xion")</f>
        <v>xion</v>
      </c>
      <c r="C14399" s="2" t="str">
        <f ca="1">IFERROR(__xludf.DUMMYFUNCTION("""COMPUTED_VALUE"""),"XION")</f>
        <v>XION</v>
      </c>
    </row>
    <row r="14400" spans="1:3" x14ac:dyDescent="0.25">
      <c r="A14400" s="2" t="str">
        <f ca="1">IFERROR(__xludf.DUMMYFUNCTION("""COMPUTED_VALUE"""),"xi-token")</f>
        <v>xi-token</v>
      </c>
      <c r="B14400" s="2" t="str">
        <f ca="1">IFERROR(__xludf.DUMMYFUNCTION("""COMPUTED_VALUE"""),"xi")</f>
        <v>xi</v>
      </c>
      <c r="C14400" s="2" t="str">
        <f ca="1">IFERROR(__xludf.DUMMYFUNCTION("""COMPUTED_VALUE"""),"Xi")</f>
        <v>Xi</v>
      </c>
    </row>
    <row r="14401" spans="1:3" x14ac:dyDescent="0.25">
      <c r="A14401" s="2" t="str">
        <f ca="1">IFERROR(__xludf.DUMMYFUNCTION("""COMPUTED_VALUE"""),"xjewel")</f>
        <v>xjewel</v>
      </c>
      <c r="B14401" s="2" t="str">
        <f ca="1">IFERROR(__xludf.DUMMYFUNCTION("""COMPUTED_VALUE"""),"xjewel")</f>
        <v>xjewel</v>
      </c>
      <c r="C14401" s="2" t="str">
        <f ca="1">IFERROR(__xludf.DUMMYFUNCTION("""COMPUTED_VALUE"""),"xJEWEL")</f>
        <v>xJEWEL</v>
      </c>
    </row>
    <row r="14402" spans="1:3" x14ac:dyDescent="0.25">
      <c r="A14402" s="2" t="str">
        <f ca="1">IFERROR(__xludf.DUMMYFUNCTION("""COMPUTED_VALUE"""),"xlauncher")</f>
        <v>xlauncher</v>
      </c>
      <c r="B14402" s="2" t="str">
        <f ca="1">IFERROR(__xludf.DUMMYFUNCTION("""COMPUTED_VALUE"""),"xlh")</f>
        <v>xlh</v>
      </c>
      <c r="C14402" s="2" t="str">
        <f ca="1">IFERROR(__xludf.DUMMYFUNCTION("""COMPUTED_VALUE"""),"xLauncher")</f>
        <v>xLauncher</v>
      </c>
    </row>
    <row r="14403" spans="1:3" x14ac:dyDescent="0.25">
      <c r="A14403" s="2" t="str">
        <f ca="1">IFERROR(__xludf.DUMMYFUNCTION("""COMPUTED_VALUE"""),"xl-bully")</f>
        <v>xl-bully</v>
      </c>
      <c r="B14403" s="2" t="str">
        <f ca="1">IFERROR(__xludf.DUMMYFUNCTION("""COMPUTED_VALUE"""),"xlbully")</f>
        <v>xlbully</v>
      </c>
      <c r="C14403" s="2" t="str">
        <f ca="1">IFERROR(__xludf.DUMMYFUNCTION("""COMPUTED_VALUE"""),"XL BULLY")</f>
        <v>XL BULLY</v>
      </c>
    </row>
    <row r="14404" spans="1:3" x14ac:dyDescent="0.25">
      <c r="A14404" s="2" t="str">
        <f ca="1">IFERROR(__xludf.DUMMYFUNCTION("""COMPUTED_VALUE"""),"xlink-bridged-btc-stacks")</f>
        <v>xlink-bridged-btc-stacks</v>
      </c>
      <c r="B14404" s="2" t="str">
        <f ca="1">IFERROR(__xludf.DUMMYFUNCTION("""COMPUTED_VALUE"""),"abtc")</f>
        <v>abtc</v>
      </c>
      <c r="C14404" s="2" t="str">
        <f ca="1">IFERROR(__xludf.DUMMYFUNCTION("""COMPUTED_VALUE"""),"XLink Bridged BTC")</f>
        <v>XLink Bridged BTC</v>
      </c>
    </row>
    <row r="14405" spans="1:3" x14ac:dyDescent="0.25">
      <c r="A14405" s="2" t="str">
        <f ca="1">IFERROR(__xludf.DUMMYFUNCTION("""COMPUTED_VALUE"""),"xlist")</f>
        <v>xlist</v>
      </c>
      <c r="B14405" s="2" t="str">
        <f ca="1">IFERROR(__xludf.DUMMYFUNCTION("""COMPUTED_VALUE"""),"xlist")</f>
        <v>xlist</v>
      </c>
      <c r="C14405" s="2" t="str">
        <f ca="1">IFERROR(__xludf.DUMMYFUNCTION("""COMPUTED_VALUE"""),"XList")</f>
        <v>XList</v>
      </c>
    </row>
    <row r="14406" spans="1:3" x14ac:dyDescent="0.25">
      <c r="A14406" s="2" t="str">
        <f ca="1">IFERROR(__xludf.DUMMYFUNCTION("""COMPUTED_VALUE"""),"xmax")</f>
        <v>xmax</v>
      </c>
      <c r="B14406" s="2" t="str">
        <f ca="1">IFERROR(__xludf.DUMMYFUNCTION("""COMPUTED_VALUE"""),"xmx")</f>
        <v>xmx</v>
      </c>
      <c r="C14406" s="2" t="str">
        <f ca="1">IFERROR(__xludf.DUMMYFUNCTION("""COMPUTED_VALUE"""),"XMax")</f>
        <v>XMax</v>
      </c>
    </row>
    <row r="14407" spans="1:3" x14ac:dyDescent="0.25">
      <c r="A14407" s="2" t="str">
        <f ca="1">IFERROR(__xludf.DUMMYFUNCTION("""COMPUTED_VALUE"""),"xmon")</f>
        <v>xmon</v>
      </c>
      <c r="B14407" s="2" t="str">
        <f ca="1">IFERROR(__xludf.DUMMYFUNCTION("""COMPUTED_VALUE"""),"xmon")</f>
        <v>xmon</v>
      </c>
      <c r="C14407" s="2" t="str">
        <f ca="1">IFERROR(__xludf.DUMMYFUNCTION("""COMPUTED_VALUE"""),"XMON")</f>
        <v>XMON</v>
      </c>
    </row>
    <row r="14408" spans="1:3" x14ac:dyDescent="0.25">
      <c r="A14408" s="2" t="str">
        <f ca="1">IFERROR(__xludf.DUMMYFUNCTION("""COMPUTED_VALUE"""),"xmpwr_astrovault")</f>
        <v>xmpwr_astrovault</v>
      </c>
      <c r="B14408" s="2" t="str">
        <f ca="1">IFERROR(__xludf.DUMMYFUNCTION("""COMPUTED_VALUE"""),"xmpwr")</f>
        <v>xmpwr</v>
      </c>
      <c r="C14408" s="2" t="str">
        <f ca="1">IFERROR(__xludf.DUMMYFUNCTION("""COMPUTED_VALUE"""),"xMPWR_Astrovault")</f>
        <v>xMPWR_Astrovault</v>
      </c>
    </row>
    <row r="14409" spans="1:3" x14ac:dyDescent="0.25">
      <c r="A14409" s="2" t="str">
        <f ca="1">IFERROR(__xludf.DUMMYFUNCTION("""COMPUTED_VALUE"""),"xnet-mobile")</f>
        <v>xnet-mobile</v>
      </c>
      <c r="B14409" s="2" t="str">
        <f ca="1">IFERROR(__xludf.DUMMYFUNCTION("""COMPUTED_VALUE"""),"xnet")</f>
        <v>xnet</v>
      </c>
      <c r="C14409" s="2" t="str">
        <f ca="1">IFERROR(__xludf.DUMMYFUNCTION("""COMPUTED_VALUE"""),"XNET Mobile [OLD]")</f>
        <v>XNET Mobile [OLD]</v>
      </c>
    </row>
    <row r="14410" spans="1:3" x14ac:dyDescent="0.25">
      <c r="A14410" s="2" t="str">
        <f ca="1">IFERROR(__xludf.DUMMYFUNCTION("""COMPUTED_VALUE"""),"xnet-mobile-2")</f>
        <v>xnet-mobile-2</v>
      </c>
      <c r="B14410" s="2" t="str">
        <f ca="1">IFERROR(__xludf.DUMMYFUNCTION("""COMPUTED_VALUE"""),"xnet")</f>
        <v>xnet</v>
      </c>
      <c r="C14410" s="2" t="str">
        <f ca="1">IFERROR(__xludf.DUMMYFUNCTION("""COMPUTED_VALUE"""),"XNET Mobile")</f>
        <v>XNET Mobile</v>
      </c>
    </row>
    <row r="14411" spans="1:3" x14ac:dyDescent="0.25">
      <c r="A14411" s="2" t="str">
        <f ca="1">IFERROR(__xludf.DUMMYFUNCTION("""COMPUTED_VALUE"""),"xnf")</f>
        <v>xnf</v>
      </c>
      <c r="B14411" s="2" t="str">
        <f ca="1">IFERROR(__xludf.DUMMYFUNCTION("""COMPUTED_VALUE"""),"xnf")</f>
        <v>xnf</v>
      </c>
      <c r="C14411" s="2" t="str">
        <f ca="1">IFERROR(__xludf.DUMMYFUNCTION("""COMPUTED_VALUE"""),"XNF")</f>
        <v>XNF</v>
      </c>
    </row>
    <row r="14412" spans="1:3" x14ac:dyDescent="0.25">
      <c r="A14412" s="2" t="str">
        <f ca="1">IFERROR(__xludf.DUMMYFUNCTION("""COMPUTED_VALUE"""),"xnft")</f>
        <v>xnft</v>
      </c>
      <c r="B14412" s="2" t="str">
        <f ca="1">IFERROR(__xludf.DUMMYFUNCTION("""COMPUTED_VALUE"""),"xnft")</f>
        <v>xnft</v>
      </c>
      <c r="C14412" s="2" t="str">
        <f ca="1">IFERROR(__xludf.DUMMYFUNCTION("""COMPUTED_VALUE"""),"xNFT Protocol")</f>
        <v>xNFT Protocol</v>
      </c>
    </row>
    <row r="14413" spans="1:3" x14ac:dyDescent="0.25">
      <c r="A14413" s="2" t="str">
        <f ca="1">IFERROR(__xludf.DUMMYFUNCTION("""COMPUTED_VALUE"""),"xninja-tech-token")</f>
        <v>xninja-tech-token</v>
      </c>
      <c r="B14413" s="2" t="str">
        <f ca="1">IFERROR(__xludf.DUMMYFUNCTION("""COMPUTED_VALUE"""),"xnj")</f>
        <v>xnj</v>
      </c>
      <c r="C14413" s="2" t="str">
        <f ca="1">IFERROR(__xludf.DUMMYFUNCTION("""COMPUTED_VALUE"""),"xNinja.Tech Token")</f>
        <v>xNinja.Tech Token</v>
      </c>
    </row>
    <row r="14414" spans="1:3" x14ac:dyDescent="0.25">
      <c r="A14414" s="2" t="str">
        <f ca="1">IFERROR(__xludf.DUMMYFUNCTION("""COMPUTED_VALUE"""),"xodex")</f>
        <v>xodex</v>
      </c>
      <c r="B14414" s="2" t="str">
        <f ca="1">IFERROR(__xludf.DUMMYFUNCTION("""COMPUTED_VALUE"""),"xodex")</f>
        <v>xodex</v>
      </c>
      <c r="C14414" s="2" t="str">
        <f ca="1">IFERROR(__xludf.DUMMYFUNCTION("""COMPUTED_VALUE"""),"Xodex")</f>
        <v>Xodex</v>
      </c>
    </row>
    <row r="14415" spans="1:3" x14ac:dyDescent="0.25">
      <c r="A14415" s="2" t="str">
        <f ca="1">IFERROR(__xludf.DUMMYFUNCTION("""COMPUTED_VALUE"""),"xosmo_astrovault")</f>
        <v>xosmo_astrovault</v>
      </c>
      <c r="B14415" s="2" t="str">
        <f ca="1">IFERROR(__xludf.DUMMYFUNCTION("""COMPUTED_VALUE"""),"xosmo")</f>
        <v>xosmo</v>
      </c>
      <c r="C14415" s="2" t="str">
        <f ca="1">IFERROR(__xludf.DUMMYFUNCTION("""COMPUTED_VALUE"""),"xOSMO_Astrovault")</f>
        <v>xOSMO_Astrovault</v>
      </c>
    </row>
    <row r="14416" spans="1:3" x14ac:dyDescent="0.25">
      <c r="A14416" s="2" t="str">
        <f ca="1">IFERROR(__xludf.DUMMYFUNCTION("""COMPUTED_VALUE"""),"xover")</f>
        <v>xover</v>
      </c>
      <c r="B14416" s="2" t="str">
        <f ca="1">IFERROR(__xludf.DUMMYFUNCTION("""COMPUTED_VALUE"""),"xvr")</f>
        <v>xvr</v>
      </c>
      <c r="C14416" s="2" t="str">
        <f ca="1">IFERROR(__xludf.DUMMYFUNCTION("""COMPUTED_VALUE"""),"Xover")</f>
        <v>Xover</v>
      </c>
    </row>
    <row r="14417" spans="1:3" x14ac:dyDescent="0.25">
      <c r="A14417" s="2" t="str">
        <f ca="1">IFERROR(__xludf.DUMMYFUNCTION("""COMPUTED_VALUE"""),"xox-labs")</f>
        <v>xox-labs</v>
      </c>
      <c r="B14417" s="2" t="str">
        <f ca="1">IFERROR(__xludf.DUMMYFUNCTION("""COMPUTED_VALUE"""),"xox")</f>
        <v>xox</v>
      </c>
      <c r="C14417" s="2" t="str">
        <f ca="1">IFERROR(__xludf.DUMMYFUNCTION("""COMPUTED_VALUE"""),"XOX Labs")</f>
        <v>XOX Labs</v>
      </c>
    </row>
    <row r="14418" spans="1:3" x14ac:dyDescent="0.25">
      <c r="A14418" s="2" t="str">
        <f ca="1">IFERROR(__xludf.DUMMYFUNCTION("""COMPUTED_VALUE"""),"xoxno")</f>
        <v>xoxno</v>
      </c>
      <c r="B14418" s="2" t="str">
        <f ca="1">IFERROR(__xludf.DUMMYFUNCTION("""COMPUTED_VALUE"""),"xoxno")</f>
        <v>xoxno</v>
      </c>
      <c r="C14418" s="2" t="str">
        <f ca="1">IFERROR(__xludf.DUMMYFUNCTION("""COMPUTED_VALUE"""),"XOXNO")</f>
        <v>XOXNO</v>
      </c>
    </row>
    <row r="14419" spans="1:3" x14ac:dyDescent="0.25">
      <c r="A14419" s="2" t="str">
        <f ca="1">IFERROR(__xludf.DUMMYFUNCTION("""COMPUTED_VALUE"""),"xp")</f>
        <v>xp</v>
      </c>
      <c r="B14419" s="2" t="str">
        <f ca="1">IFERROR(__xludf.DUMMYFUNCTION("""COMPUTED_VALUE"""),"xp")</f>
        <v>xp</v>
      </c>
      <c r="C14419" s="2" t="str">
        <f ca="1">IFERROR(__xludf.DUMMYFUNCTION("""COMPUTED_VALUE"""),"XP")</f>
        <v>XP</v>
      </c>
    </row>
    <row r="14420" spans="1:3" x14ac:dyDescent="0.25">
      <c r="A14420" s="2" t="str">
        <f ca="1">IFERROR(__xludf.DUMMYFUNCTION("""COMPUTED_VALUE"""),"xp-2")</f>
        <v>xp-2</v>
      </c>
      <c r="B14420" s="2" t="str">
        <f ca="1">IFERROR(__xludf.DUMMYFUNCTION("""COMPUTED_VALUE"""),"t3xp")</f>
        <v>t3xp</v>
      </c>
      <c r="C14420" s="2" t="str">
        <f ca="1">IFERROR(__xludf.DUMMYFUNCTION("""COMPUTED_VALUE"""),"XP")</f>
        <v>XP</v>
      </c>
    </row>
    <row r="14421" spans="1:3" x14ac:dyDescent="0.25">
      <c r="A14421" s="2" t="str">
        <f ca="1">IFERROR(__xludf.DUMMYFUNCTION("""COMPUTED_VALUE"""),"xp-3")</f>
        <v>xp-3</v>
      </c>
      <c r="B14421" s="2" t="str">
        <f ca="1">IFERROR(__xludf.DUMMYFUNCTION("""COMPUTED_VALUE"""),"xp")</f>
        <v>xp</v>
      </c>
      <c r="C14421" s="2" t="str">
        <f ca="1">IFERROR(__xludf.DUMMYFUNCTION("""COMPUTED_VALUE"""),"XP")</f>
        <v>XP</v>
      </c>
    </row>
    <row r="14422" spans="1:3" x14ac:dyDescent="0.25">
      <c r="A14422" s="2" t="str">
        <f ca="1">IFERROR(__xludf.DUMMYFUNCTION("""COMPUTED_VALUE"""),"xpad-pro")</f>
        <v>xpad-pro</v>
      </c>
      <c r="B14422" s="2" t="str">
        <f ca="1">IFERROR(__xludf.DUMMYFUNCTION("""COMPUTED_VALUE"""),"xpp")</f>
        <v>xpp</v>
      </c>
      <c r="C14422" s="3" t="str">
        <f ca="1">IFERROR(__xludf.DUMMYFUNCTION("""COMPUTED_VALUE"""),"Xpad.pro")</f>
        <v>Xpad.pro</v>
      </c>
    </row>
    <row r="14423" spans="1:3" x14ac:dyDescent="0.25">
      <c r="A14423" s="2" t="str">
        <f ca="1">IFERROR(__xludf.DUMMYFUNCTION("""COMPUTED_VALUE"""),"xpansion-game")</f>
        <v>xpansion-game</v>
      </c>
      <c r="B14423" s="2" t="str">
        <f ca="1">IFERROR(__xludf.DUMMYFUNCTION("""COMPUTED_VALUE"""),"xps")</f>
        <v>xps</v>
      </c>
      <c r="C14423" s="2" t="str">
        <f ca="1">IFERROR(__xludf.DUMMYFUNCTION("""COMPUTED_VALUE"""),"Xpansion Game")</f>
        <v>Xpansion Game</v>
      </c>
    </row>
    <row r="14424" spans="1:3" x14ac:dyDescent="0.25">
      <c r="A14424" s="2" t="str">
        <f ca="1">IFERROR(__xludf.DUMMYFUNCTION("""COMPUTED_VALUE"""),"xpasg_astrovault")</f>
        <v>xpasg_astrovault</v>
      </c>
      <c r="B14424" s="2" t="str">
        <f ca="1">IFERROR(__xludf.DUMMYFUNCTION("""COMPUTED_VALUE"""),"xpasg")</f>
        <v>xpasg</v>
      </c>
      <c r="C14424" s="2" t="str">
        <f ca="1">IFERROR(__xludf.DUMMYFUNCTION("""COMPUTED_VALUE"""),"xPASG_Astrovault")</f>
        <v>xPASG_Astrovault</v>
      </c>
    </row>
    <row r="14425" spans="1:3" x14ac:dyDescent="0.25">
      <c r="A14425" s="2" t="str">
        <f ca="1">IFERROR(__xludf.DUMMYFUNCTION("""COMPUTED_VALUE"""),"xpendium")</f>
        <v>xpendium</v>
      </c>
      <c r="B14425" s="2" t="str">
        <f ca="1">IFERROR(__xludf.DUMMYFUNCTION("""COMPUTED_VALUE"""),"xpnd")</f>
        <v>xpnd</v>
      </c>
      <c r="C14425" s="2" t="str">
        <f ca="1">IFERROR(__xludf.DUMMYFUNCTION("""COMPUTED_VALUE"""),"Xpendium")</f>
        <v>Xpendium</v>
      </c>
    </row>
    <row r="14426" spans="1:3" x14ac:dyDescent="0.25">
      <c r="A14426" s="2" t="str">
        <f ca="1">IFERROR(__xludf.DUMMYFUNCTION("""COMPUTED_VALUE"""),"xpense-2")</f>
        <v>xpense-2</v>
      </c>
      <c r="B14426" s="2" t="str">
        <f ca="1">IFERROR(__xludf.DUMMYFUNCTION("""COMPUTED_VALUE"""),"xpe")</f>
        <v>xpe</v>
      </c>
      <c r="C14426" s="2" t="str">
        <f ca="1">IFERROR(__xludf.DUMMYFUNCTION("""COMPUTED_VALUE"""),"Xpense")</f>
        <v>Xpense</v>
      </c>
    </row>
    <row r="14427" spans="1:3" x14ac:dyDescent="0.25">
      <c r="A14427" s="2" t="str">
        <f ca="1">IFERROR(__xludf.DUMMYFUNCTION("""COMPUTED_VALUE"""),"xpet-tech")</f>
        <v>xpet-tech</v>
      </c>
      <c r="B14427" s="2" t="str">
        <f ca="1">IFERROR(__xludf.DUMMYFUNCTION("""COMPUTED_VALUE"""),"xpet")</f>
        <v>xpet</v>
      </c>
      <c r="C14427" s="2" t="str">
        <f ca="1">IFERROR(__xludf.DUMMYFUNCTION("""COMPUTED_VALUE"""),"xPet.tech")</f>
        <v>xPet.tech</v>
      </c>
    </row>
    <row r="14428" spans="1:3" x14ac:dyDescent="0.25">
      <c r="A14428" s="2" t="str">
        <f ca="1">IFERROR(__xludf.DUMMYFUNCTION("""COMPUTED_VALUE"""),"xpet-tech-bpet")</f>
        <v>xpet-tech-bpet</v>
      </c>
      <c r="B14428" s="2" t="str">
        <f ca="1">IFERROR(__xludf.DUMMYFUNCTION("""COMPUTED_VALUE"""),"bpet")</f>
        <v>bpet</v>
      </c>
      <c r="C14428" s="2" t="str">
        <f ca="1">IFERROR(__xludf.DUMMYFUNCTION("""COMPUTED_VALUE"""),"xPet.tech BPET")</f>
        <v>xPet.tech BPET</v>
      </c>
    </row>
    <row r="14429" spans="1:3" x14ac:dyDescent="0.25">
      <c r="A14429" s="2" t="str">
        <f ca="1">IFERROR(__xludf.DUMMYFUNCTION("""COMPUTED_VALUE"""),"xpla")</f>
        <v>xpla</v>
      </c>
      <c r="B14429" s="2" t="str">
        <f ca="1">IFERROR(__xludf.DUMMYFUNCTION("""COMPUTED_VALUE"""),"xpla")</f>
        <v>xpla</v>
      </c>
      <c r="C14429" s="2" t="str">
        <f ca="1">IFERROR(__xludf.DUMMYFUNCTION("""COMPUTED_VALUE"""),"XPLA")</f>
        <v>XPLA</v>
      </c>
    </row>
    <row r="14430" spans="1:3" x14ac:dyDescent="0.25">
      <c r="A14430" s="2" t="str">
        <f ca="1">IFERROR(__xludf.DUMMYFUNCTION("""COMPUTED_VALUE"""),"xplq_astrovault")</f>
        <v>xplq_astrovault</v>
      </c>
      <c r="B14430" s="2" t="str">
        <f ca="1">IFERROR(__xludf.DUMMYFUNCTION("""COMPUTED_VALUE"""),"xplq")</f>
        <v>xplq</v>
      </c>
      <c r="C14430" s="2" t="str">
        <f ca="1">IFERROR(__xludf.DUMMYFUNCTION("""COMPUTED_VALUE"""),"xPLQ_Astrovault")</f>
        <v>xPLQ_Astrovault</v>
      </c>
    </row>
    <row r="14431" spans="1:3" x14ac:dyDescent="0.25">
      <c r="A14431" s="2" t="str">
        <f ca="1">IFERROR(__xludf.DUMMYFUNCTION("""COMPUTED_VALUE"""),"xplus-ai")</f>
        <v>xplus-ai</v>
      </c>
      <c r="B14431" s="2" t="str">
        <f ca="1">IFERROR(__xludf.DUMMYFUNCTION("""COMPUTED_VALUE"""),"xpai")</f>
        <v>xpai</v>
      </c>
      <c r="C14431" s="2" t="str">
        <f ca="1">IFERROR(__xludf.DUMMYFUNCTION("""COMPUTED_VALUE"""),"XPlus AI")</f>
        <v>XPlus AI</v>
      </c>
    </row>
    <row r="14432" spans="1:3" x14ac:dyDescent="0.25">
      <c r="A14432" s="2" t="str">
        <f ca="1">IFERROR(__xludf.DUMMYFUNCTION("""COMPUTED_VALUE"""),"xp-network")</f>
        <v>xp-network</v>
      </c>
      <c r="B14432" s="2" t="str">
        <f ca="1">IFERROR(__xludf.DUMMYFUNCTION("""COMPUTED_VALUE"""),"xpnet")</f>
        <v>xpnet</v>
      </c>
      <c r="C14432" s="2" t="str">
        <f ca="1">IFERROR(__xludf.DUMMYFUNCTION("""COMPUTED_VALUE"""),"XP Network")</f>
        <v>XP Network</v>
      </c>
    </row>
    <row r="14433" spans="1:3" x14ac:dyDescent="0.25">
      <c r="A14433" s="2" t="str">
        <f ca="1">IFERROR(__xludf.DUMMYFUNCTION("""COMPUTED_VALUE"""),"xpowermine-com-apow")</f>
        <v>xpowermine-com-apow</v>
      </c>
      <c r="B14433" s="2" t="str">
        <f ca="1">IFERROR(__xludf.DUMMYFUNCTION("""COMPUTED_VALUE"""),"apow")</f>
        <v>apow</v>
      </c>
      <c r="C14433" s="2" t="str">
        <f ca="1">IFERROR(__xludf.DUMMYFUNCTION("""COMPUTED_VALUE"""),"XPowermine.com APOW")</f>
        <v>XPowermine.com APOW</v>
      </c>
    </row>
    <row r="14434" spans="1:3" x14ac:dyDescent="0.25">
      <c r="A14434" s="2" t="str">
        <f ca="1">IFERROR(__xludf.DUMMYFUNCTION("""COMPUTED_VALUE"""),"xpowermine-com-xpow")</f>
        <v>xpowermine-com-xpow</v>
      </c>
      <c r="B14434" s="2" t="str">
        <f ca="1">IFERROR(__xludf.DUMMYFUNCTION("""COMPUTED_VALUE"""),"xpow")</f>
        <v>xpow</v>
      </c>
      <c r="C14434" s="2" t="str">
        <f ca="1">IFERROR(__xludf.DUMMYFUNCTION("""COMPUTED_VALUE"""),"XPowermine.com XPOW")</f>
        <v>XPowermine.com XPOW</v>
      </c>
    </row>
    <row r="14435" spans="1:3" x14ac:dyDescent="0.25">
      <c r="A14435" s="2" t="str">
        <f ca="1">IFERROR(__xludf.DUMMYFUNCTION("""COMPUTED_VALUE"""),"x-project-erc")</f>
        <v>x-project-erc</v>
      </c>
      <c r="B14435" s="2" t="str">
        <f ca="1">IFERROR(__xludf.DUMMYFUNCTION("""COMPUTED_VALUE"""),"xers")</f>
        <v>xers</v>
      </c>
      <c r="C14435" s="2" t="str">
        <f ca="1">IFERROR(__xludf.DUMMYFUNCTION("""COMPUTED_VALUE"""),"X Project ERC")</f>
        <v>X Project ERC</v>
      </c>
    </row>
    <row r="14436" spans="1:3" x14ac:dyDescent="0.25">
      <c r="A14436" s="2" t="str">
        <f ca="1">IFERROR(__xludf.DUMMYFUNCTION("""COMPUTED_VALUE"""),"x-protocol")</f>
        <v>x-protocol</v>
      </c>
      <c r="B14436" s="2" t="str">
        <f ca="1">IFERROR(__xludf.DUMMYFUNCTION("""COMPUTED_VALUE"""),"pot")</f>
        <v>pot</v>
      </c>
      <c r="C14436" s="2" t="str">
        <f ca="1">IFERROR(__xludf.DUMMYFUNCTION("""COMPUTED_VALUE"""),"X Protocol")</f>
        <v>X Protocol</v>
      </c>
    </row>
    <row r="14437" spans="1:3" x14ac:dyDescent="0.25">
      <c r="A14437" s="2" t="str">
        <f ca="1">IFERROR(__xludf.DUMMYFUNCTION("""COMPUTED_VALUE"""),"xptp")</f>
        <v>xptp</v>
      </c>
      <c r="B14437" s="2" t="str">
        <f ca="1">IFERROR(__xludf.DUMMYFUNCTION("""COMPUTED_VALUE"""),"xptp")</f>
        <v>xptp</v>
      </c>
      <c r="C14437" s="2" t="str">
        <f ca="1">IFERROR(__xludf.DUMMYFUNCTION("""COMPUTED_VALUE"""),"xPTP")</f>
        <v>xPTP</v>
      </c>
    </row>
    <row r="14438" spans="1:3" x14ac:dyDescent="0.25">
      <c r="A14438" s="2" t="str">
        <f ca="1">IFERROR(__xludf.DUMMYFUNCTION("""COMPUTED_VALUE"""),"xpx")</f>
        <v>xpx</v>
      </c>
      <c r="B14438" s="2" t="str">
        <f ca="1">IFERROR(__xludf.DUMMYFUNCTION("""COMPUTED_VALUE"""),"xpx")</f>
        <v>xpx</v>
      </c>
      <c r="C14438" s="2" t="str">
        <f ca="1">IFERROR(__xludf.DUMMYFUNCTION("""COMPUTED_VALUE"""),"XPX")</f>
        <v>XPX</v>
      </c>
    </row>
    <row r="14439" spans="1:3" x14ac:dyDescent="0.25">
      <c r="A14439" s="2" t="str">
        <f ca="1">IFERROR(__xludf.DUMMYFUNCTION("""COMPUTED_VALUE"""),"xquok")</f>
        <v>xquok</v>
      </c>
      <c r="B14439" s="2" t="str">
        <f ca="1">IFERROR(__xludf.DUMMYFUNCTION("""COMPUTED_VALUE"""),"xquok")</f>
        <v>xquok</v>
      </c>
      <c r="C14439" s="2" t="str">
        <f ca="1">IFERROR(__xludf.DUMMYFUNCTION("""COMPUTED_VALUE"""),"XQUOK")</f>
        <v>XQUOK</v>
      </c>
    </row>
    <row r="14440" spans="1:3" x14ac:dyDescent="0.25">
      <c r="A14440" s="2" t="str">
        <f ca="1">IFERROR(__xludf.DUMMYFUNCTION("""COMPUTED_VALUE"""),"xqwoyn_astrovault")</f>
        <v>xqwoyn_astrovault</v>
      </c>
      <c r="B14440" s="2" t="str">
        <f ca="1">IFERROR(__xludf.DUMMYFUNCTION("""COMPUTED_VALUE"""),"xqwoyn")</f>
        <v>xqwoyn</v>
      </c>
      <c r="C14440" s="2" t="str">
        <f ca="1">IFERROR(__xludf.DUMMYFUNCTION("""COMPUTED_VALUE"""),"xQWOYN_Astrovault")</f>
        <v>xQWOYN_Astrovault</v>
      </c>
    </row>
    <row r="14441" spans="1:3" x14ac:dyDescent="0.25">
      <c r="A14441" s="2" t="str">
        <f ca="1">IFERROR(__xludf.DUMMYFUNCTION("""COMPUTED_VALUE"""),"xraders")</f>
        <v>xraders</v>
      </c>
      <c r="B14441" s="2" t="str">
        <f ca="1">IFERROR(__xludf.DUMMYFUNCTION("""COMPUTED_VALUE"""),"xr")</f>
        <v>xr</v>
      </c>
      <c r="C14441" s="2" t="str">
        <f ca="1">IFERROR(__xludf.DUMMYFUNCTION("""COMPUTED_VALUE"""),"Xraders")</f>
        <v>Xraders</v>
      </c>
    </row>
    <row r="14442" spans="1:3" x14ac:dyDescent="0.25">
      <c r="A14442" s="2" t="str">
        <f ca="1">IFERROR(__xludf.DUMMYFUNCTION("""COMPUTED_VALUE"""),"xraid")</f>
        <v>xraid</v>
      </c>
      <c r="B14442" s="2" t="str">
        <f ca="1">IFERROR(__xludf.DUMMYFUNCTION("""COMPUTED_VALUE"""),"xraid")</f>
        <v>xraid</v>
      </c>
      <c r="C14442" s="2" t="str">
        <f ca="1">IFERROR(__xludf.DUMMYFUNCTION("""COMPUTED_VALUE"""),"XRAID")</f>
        <v>XRAID</v>
      </c>
    </row>
    <row r="14443" spans="1:3" x14ac:dyDescent="0.25">
      <c r="A14443" s="2" t="str">
        <f ca="1">IFERROR(__xludf.DUMMYFUNCTION("""COMPUTED_VALUE"""),"x-ratio-ai")</f>
        <v>x-ratio-ai</v>
      </c>
      <c r="B14443" s="2" t="str">
        <f ca="1">IFERROR(__xludf.DUMMYFUNCTION("""COMPUTED_VALUE"""),"xrai")</f>
        <v>xrai</v>
      </c>
      <c r="C14443" s="2" t="str">
        <f ca="1">IFERROR(__xludf.DUMMYFUNCTION("""COMPUTED_VALUE"""),"X-Ratio AI")</f>
        <v>X-Ratio AI</v>
      </c>
    </row>
    <row r="14444" spans="1:3" x14ac:dyDescent="0.25">
      <c r="A14444" s="2" t="str">
        <f ca="1">IFERROR(__xludf.DUMMYFUNCTION("""COMPUTED_VALUE"""),"xrdoge")</f>
        <v>xrdoge</v>
      </c>
      <c r="B14444" s="2" t="str">
        <f ca="1">IFERROR(__xludf.DUMMYFUNCTION("""COMPUTED_VALUE"""),"xrdoge")</f>
        <v>xrdoge</v>
      </c>
      <c r="C14444" s="2" t="str">
        <f ca="1">IFERROR(__xludf.DUMMYFUNCTION("""COMPUTED_VALUE"""),"XRdoge")</f>
        <v>XRdoge</v>
      </c>
    </row>
    <row r="14445" spans="1:3" x14ac:dyDescent="0.25">
      <c r="A14445" s="2" t="str">
        <f ca="1">IFERROR(__xludf.DUMMYFUNCTION("""COMPUTED_VALUE"""),"xreators")</f>
        <v>xreators</v>
      </c>
      <c r="B14445" s="2" t="str">
        <f ca="1">IFERROR(__xludf.DUMMYFUNCTION("""COMPUTED_VALUE"""),"ort")</f>
        <v>ort</v>
      </c>
      <c r="C14445" s="2" t="str">
        <f ca="1">IFERROR(__xludf.DUMMYFUNCTION("""COMPUTED_VALUE"""),"XREATORS")</f>
        <v>XREATORS</v>
      </c>
    </row>
    <row r="14446" spans="1:3" x14ac:dyDescent="0.25">
      <c r="A14446" s="2" t="str">
        <f ca="1">IFERROR(__xludf.DUMMYFUNCTION("""COMPUTED_VALUE"""),"xrgb")</f>
        <v>xrgb</v>
      </c>
      <c r="B14446" s="2" t="str">
        <f ca="1">IFERROR(__xludf.DUMMYFUNCTION("""COMPUTED_VALUE"""),"xrgb")</f>
        <v>xrgb</v>
      </c>
      <c r="C14446" s="2" t="str">
        <f ca="1">IFERROR(__xludf.DUMMYFUNCTION("""COMPUTED_VALUE"""),"XRGB")</f>
        <v>XRGB</v>
      </c>
    </row>
    <row r="14447" spans="1:3" x14ac:dyDescent="0.25">
      <c r="A14447" s="2" t="str">
        <f ca="1">IFERROR(__xludf.DUMMYFUNCTION("""COMPUTED_VALUE"""),"xrocket")</f>
        <v>xrocket</v>
      </c>
      <c r="B14447" s="2" t="str">
        <f ca="1">IFERROR(__xludf.DUMMYFUNCTION("""COMPUTED_VALUE"""),"xrock")</f>
        <v>xrock</v>
      </c>
      <c r="C14447" s="2" t="str">
        <f ca="1">IFERROR(__xludf.DUMMYFUNCTION("""COMPUTED_VALUE"""),"xRocket")</f>
        <v>xRocket</v>
      </c>
    </row>
    <row r="14448" spans="1:3" x14ac:dyDescent="0.25">
      <c r="A14448" s="2" t="str">
        <f ca="1">IFERROR(__xludf.DUMMYFUNCTION("""COMPUTED_VALUE"""),"xrootai")</f>
        <v>xrootai</v>
      </c>
      <c r="B14448" s="2" t="str">
        <f ca="1">IFERROR(__xludf.DUMMYFUNCTION("""COMPUTED_VALUE"""),"xrootai")</f>
        <v>xrootai</v>
      </c>
      <c r="C14448" s="2" t="str">
        <f ca="1">IFERROR(__xludf.DUMMYFUNCTION("""COMPUTED_VALUE"""),"XRootAI")</f>
        <v>XRootAI</v>
      </c>
    </row>
    <row r="14449" spans="1:3" x14ac:dyDescent="0.25">
      <c r="A14449" s="2" t="str">
        <f ca="1">IFERROR(__xludf.DUMMYFUNCTION("""COMPUTED_VALUE"""),"xrow")</f>
        <v>xrow</v>
      </c>
      <c r="B14449" s="2" t="str">
        <f ca="1">IFERROR(__xludf.DUMMYFUNCTION("""COMPUTED_VALUE"""),"xrow")</f>
        <v>xrow</v>
      </c>
      <c r="C14449" s="2" t="str">
        <f ca="1">IFERROR(__xludf.DUMMYFUNCTION("""COMPUTED_VALUE"""),"XROW")</f>
        <v>XROW</v>
      </c>
    </row>
    <row r="14450" spans="1:3" x14ac:dyDescent="0.25">
      <c r="A14450" s="2" t="str">
        <f ca="1">IFERROR(__xludf.DUMMYFUNCTION("""COMPUTED_VALUE"""),"xrp20")</f>
        <v>xrp20</v>
      </c>
      <c r="B14450" s="2" t="str">
        <f ca="1">IFERROR(__xludf.DUMMYFUNCTION("""COMPUTED_VALUE"""),"xrp20")</f>
        <v>xrp20</v>
      </c>
      <c r="C14450" s="2" t="str">
        <f ca="1">IFERROR(__xludf.DUMMYFUNCTION("""COMPUTED_VALUE"""),"XRP20")</f>
        <v>XRP20</v>
      </c>
    </row>
    <row r="14451" spans="1:3" x14ac:dyDescent="0.25">
      <c r="A14451" s="2" t="str">
        <f ca="1">IFERROR(__xludf.DUMMYFUNCTION("""COMPUTED_VALUE"""),"xrpaynet")</f>
        <v>xrpaynet</v>
      </c>
      <c r="B14451" s="2" t="str">
        <f ca="1">IFERROR(__xludf.DUMMYFUNCTION("""COMPUTED_VALUE"""),"xrpaynet")</f>
        <v>xrpaynet</v>
      </c>
      <c r="C14451" s="2" t="str">
        <f ca="1">IFERROR(__xludf.DUMMYFUNCTION("""COMPUTED_VALUE"""),"XRPayNet")</f>
        <v>XRPayNet</v>
      </c>
    </row>
    <row r="14452" spans="1:3" x14ac:dyDescent="0.25">
      <c r="A14452" s="2" t="str">
        <f ca="1">IFERROR(__xludf.DUMMYFUNCTION("""COMPUTED_VALUE"""),"xrp-classic-new")</f>
        <v>xrp-classic-new</v>
      </c>
      <c r="B14452" s="2" t="str">
        <f ca="1">IFERROR(__xludf.DUMMYFUNCTION("""COMPUTED_VALUE"""),"xrpc")</f>
        <v>xrpc</v>
      </c>
      <c r="C14452" s="2" t="str">
        <f ca="1">IFERROR(__xludf.DUMMYFUNCTION("""COMPUTED_VALUE"""),"XRP Classic")</f>
        <v>XRP Classic</v>
      </c>
    </row>
    <row r="14453" spans="1:3" x14ac:dyDescent="0.25">
      <c r="A14453" s="2" t="str">
        <f ca="1">IFERROR(__xludf.DUMMYFUNCTION("""COMPUTED_VALUE"""),"xrp-healthcare")</f>
        <v>xrp-healthcare</v>
      </c>
      <c r="B14453" s="2" t="str">
        <f ca="1">IFERROR(__xludf.DUMMYFUNCTION("""COMPUTED_VALUE"""),"xrph")</f>
        <v>xrph</v>
      </c>
      <c r="C14453" s="2" t="str">
        <f ca="1">IFERROR(__xludf.DUMMYFUNCTION("""COMPUTED_VALUE"""),"XRP Healthcare")</f>
        <v>XRP Healthcare</v>
      </c>
    </row>
    <row r="14454" spans="1:3" x14ac:dyDescent="0.25">
      <c r="A14454" s="2" t="str">
        <f ca="1">IFERROR(__xludf.DUMMYFUNCTION("""COMPUTED_VALUE"""),"xrps")</f>
        <v>xrps</v>
      </c>
      <c r="B14454" s="2" t="str">
        <f ca="1">IFERROR(__xludf.DUMMYFUNCTION("""COMPUTED_VALUE"""),"xrps")</f>
        <v>xrps</v>
      </c>
      <c r="C14454" s="2" t="str">
        <f ca="1">IFERROR(__xludf.DUMMYFUNCTION("""COMPUTED_VALUE"""),"XRPS")</f>
        <v>XRPS</v>
      </c>
    </row>
    <row r="14455" spans="1:3" x14ac:dyDescent="0.25">
      <c r="A14455" s="2" t="str">
        <f ca="1">IFERROR(__xludf.DUMMYFUNCTION("""COMPUTED_VALUE"""),"xrun")</f>
        <v>xrun</v>
      </c>
      <c r="B14455" s="2" t="str">
        <f ca="1">IFERROR(__xludf.DUMMYFUNCTION("""COMPUTED_VALUE"""),"xrun")</f>
        <v>xrun</v>
      </c>
      <c r="C14455" s="2" t="str">
        <f ca="1">IFERROR(__xludf.DUMMYFUNCTION("""COMPUTED_VALUE"""),"XRun")</f>
        <v>XRun</v>
      </c>
    </row>
    <row r="14456" spans="1:3" x14ac:dyDescent="0.25">
      <c r="A14456" s="2" t="str">
        <f ca="1">IFERROR(__xludf.DUMMYFUNCTION("""COMPUTED_VALUE"""),"xsauce")</f>
        <v>xsauce</v>
      </c>
      <c r="B14456" s="2" t="str">
        <f ca="1">IFERROR(__xludf.DUMMYFUNCTION("""COMPUTED_VALUE"""),"xsauce")</f>
        <v>xsauce</v>
      </c>
      <c r="C14456" s="2" t="str">
        <f ca="1">IFERROR(__xludf.DUMMYFUNCTION("""COMPUTED_VALUE"""),"xSAUCE")</f>
        <v>xSAUCE</v>
      </c>
    </row>
    <row r="14457" spans="1:3" x14ac:dyDescent="0.25">
      <c r="A14457" s="2" t="str">
        <f ca="1">IFERROR(__xludf.DUMMYFUNCTION("""COMPUTED_VALUE"""),"xsgd")</f>
        <v>xsgd</v>
      </c>
      <c r="B14457" s="2" t="str">
        <f ca="1">IFERROR(__xludf.DUMMYFUNCTION("""COMPUTED_VALUE"""),"xsgd")</f>
        <v>xsgd</v>
      </c>
      <c r="C14457" s="2" t="str">
        <f ca="1">IFERROR(__xludf.DUMMYFUNCTION("""COMPUTED_VALUE"""),"XSGD")</f>
        <v>XSGD</v>
      </c>
    </row>
    <row r="14458" spans="1:3" x14ac:dyDescent="0.25">
      <c r="A14458" s="2" t="str">
        <f ca="1">IFERROR(__xludf.DUMMYFUNCTION("""COMPUTED_VALUE"""),"xshib")</f>
        <v>xshib</v>
      </c>
      <c r="B14458" s="2" t="str">
        <f ca="1">IFERROR(__xludf.DUMMYFUNCTION("""COMPUTED_VALUE"""),"xshib")</f>
        <v>xshib</v>
      </c>
      <c r="C14458" s="2" t="str">
        <f ca="1">IFERROR(__xludf.DUMMYFUNCTION("""COMPUTED_VALUE"""),"XSHIB")</f>
        <v>XSHIB</v>
      </c>
    </row>
    <row r="14459" spans="1:3" x14ac:dyDescent="0.25">
      <c r="A14459" s="2" t="str">
        <f ca="1">IFERROR(__xludf.DUMMYFUNCTION("""COMPUTED_VALUE"""),"xsl-labs")</f>
        <v>xsl-labs</v>
      </c>
      <c r="B14459" s="2" t="str">
        <f ca="1">IFERROR(__xludf.DUMMYFUNCTION("""COMPUTED_VALUE"""),"syl")</f>
        <v>syl</v>
      </c>
      <c r="C14459" s="2" t="str">
        <f ca="1">IFERROR(__xludf.DUMMYFUNCTION("""COMPUTED_VALUE"""),"myDid")</f>
        <v>myDid</v>
      </c>
    </row>
    <row r="14460" spans="1:3" x14ac:dyDescent="0.25">
      <c r="A14460" s="2" t="str">
        <f ca="1">IFERROR(__xludf.DUMMYFUNCTION("""COMPUTED_VALUE"""),"xspace")</f>
        <v>xspace</v>
      </c>
      <c r="B14460" s="2" t="str">
        <f ca="1">IFERROR(__xludf.DUMMYFUNCTION("""COMPUTED_VALUE"""),"xsp")</f>
        <v>xsp</v>
      </c>
      <c r="C14460" s="2" t="str">
        <f ca="1">IFERROR(__xludf.DUMMYFUNCTION("""COMPUTED_VALUE"""),"XSPACE")</f>
        <v>XSPACE</v>
      </c>
    </row>
    <row r="14461" spans="1:3" x14ac:dyDescent="0.25">
      <c r="A14461" s="2" t="str">
        <f ca="1">IFERROR(__xludf.DUMMYFUNCTION("""COMPUTED_VALUE"""),"xspectar")</f>
        <v>xspectar</v>
      </c>
      <c r="B14461" s="2" t="str">
        <f ca="1">IFERROR(__xludf.DUMMYFUNCTION("""COMPUTED_VALUE"""),"xspectar")</f>
        <v>xspectar</v>
      </c>
      <c r="C14461" s="2" t="str">
        <f ca="1">IFERROR(__xludf.DUMMYFUNCTION("""COMPUTED_VALUE"""),"xSPECTAR")</f>
        <v>xSPECTAR</v>
      </c>
    </row>
    <row r="14462" spans="1:3" x14ac:dyDescent="0.25">
      <c r="A14462" s="2" t="str">
        <f ca="1">IFERROR(__xludf.DUMMYFUNCTION("""COMPUTED_VALUE"""),"xsushi")</f>
        <v>xsushi</v>
      </c>
      <c r="B14462" s="2" t="str">
        <f ca="1">IFERROR(__xludf.DUMMYFUNCTION("""COMPUTED_VALUE"""),"xsushi")</f>
        <v>xsushi</v>
      </c>
      <c r="C14462" s="2" t="str">
        <f ca="1">IFERROR(__xludf.DUMMYFUNCTION("""COMPUTED_VALUE"""),"xSUSHI")</f>
        <v>xSUSHI</v>
      </c>
    </row>
    <row r="14463" spans="1:3" x14ac:dyDescent="0.25">
      <c r="A14463" s="2" t="str">
        <f ca="1">IFERROR(__xludf.DUMMYFUNCTION("""COMPUTED_VALUE"""),"xswap-2")</f>
        <v>xswap-2</v>
      </c>
      <c r="B14463" s="2" t="str">
        <f ca="1">IFERROR(__xludf.DUMMYFUNCTION("""COMPUTED_VALUE"""),"xswap")</f>
        <v>xswap</v>
      </c>
      <c r="C14463" s="2" t="str">
        <f ca="1">IFERROR(__xludf.DUMMYFUNCTION("""COMPUTED_VALUE"""),"XSwap")</f>
        <v>XSwap</v>
      </c>
    </row>
    <row r="14464" spans="1:3" x14ac:dyDescent="0.25">
      <c r="A14464" s="2" t="str">
        <f ca="1">IFERROR(__xludf.DUMMYFUNCTION("""COMPUTED_VALUE"""),"xswap-protocol")</f>
        <v>xswap-protocol</v>
      </c>
      <c r="B14464" s="2" t="str">
        <f ca="1">IFERROR(__xludf.DUMMYFUNCTION("""COMPUTED_VALUE"""),"xsp")</f>
        <v>xsp</v>
      </c>
      <c r="C14464" s="2" t="str">
        <f ca="1">IFERROR(__xludf.DUMMYFUNCTION("""COMPUTED_VALUE"""),"XSwap Protocol")</f>
        <v>XSwap Protocol</v>
      </c>
    </row>
    <row r="14465" spans="1:3" x14ac:dyDescent="0.25">
      <c r="A14465" s="2" t="str">
        <f ca="1">IFERROR(__xludf.DUMMYFUNCTION("""COMPUTED_VALUE"""),"xswap-treasure")</f>
        <v>xswap-treasure</v>
      </c>
      <c r="B14465" s="2" t="str">
        <f ca="1">IFERROR(__xludf.DUMMYFUNCTION("""COMPUTED_VALUE"""),"xtt")</f>
        <v>xtt</v>
      </c>
      <c r="C14465" s="2" t="str">
        <f ca="1">IFERROR(__xludf.DUMMYFUNCTION("""COMPUTED_VALUE"""),"XSwap Treasure")</f>
        <v>XSwap Treasure</v>
      </c>
    </row>
    <row r="14466" spans="1:3" x14ac:dyDescent="0.25">
      <c r="A14466" s="2" t="str">
        <f ca="1">IFERROR(__xludf.DUMMYFUNCTION("""COMPUTED_VALUE"""),"xtblock-token")</f>
        <v>xtblock-token</v>
      </c>
      <c r="B14466" s="2" t="str">
        <f ca="1">IFERROR(__xludf.DUMMYFUNCTION("""COMPUTED_VALUE"""),"xtt-b20")</f>
        <v>xtt-b20</v>
      </c>
      <c r="C14466" s="2" t="str">
        <f ca="1">IFERROR(__xludf.DUMMYFUNCTION("""COMPUTED_VALUE"""),"XTblock")</f>
        <v>XTblock</v>
      </c>
    </row>
    <row r="14467" spans="1:3" x14ac:dyDescent="0.25">
      <c r="A14467" s="2" t="str">
        <f ca="1">IFERROR(__xludf.DUMMYFUNCTION("""COMPUTED_VALUE"""),"xtcom-token")</f>
        <v>xtcom-token</v>
      </c>
      <c r="B14467" s="2" t="str">
        <f ca="1">IFERROR(__xludf.DUMMYFUNCTION("""COMPUTED_VALUE"""),"xt")</f>
        <v>xt</v>
      </c>
      <c r="C14467" s="3" t="str">
        <f ca="1">IFERROR(__xludf.DUMMYFUNCTION("""COMPUTED_VALUE"""),"XT.com")</f>
        <v>XT.com</v>
      </c>
    </row>
    <row r="14468" spans="1:3" x14ac:dyDescent="0.25">
      <c r="A14468" s="2" t="str">
        <f ca="1">IFERROR(__xludf.DUMMYFUNCTION("""COMPUTED_VALUE"""),"xtoken")</f>
        <v>xtoken</v>
      </c>
      <c r="B14468" s="2" t="str">
        <f ca="1">IFERROR(__xludf.DUMMYFUNCTION("""COMPUTED_VALUE"""),"xtk")</f>
        <v>xtk</v>
      </c>
      <c r="C14468" s="2" t="str">
        <f ca="1">IFERROR(__xludf.DUMMYFUNCTION("""COMPUTED_VALUE"""),"xToken")</f>
        <v>xToken</v>
      </c>
    </row>
    <row r="14469" spans="1:3" x14ac:dyDescent="0.25">
      <c r="A14469" s="2" t="str">
        <f ca="1">IFERROR(__xludf.DUMMYFUNCTION("""COMPUTED_VALUE"""),"xtrabytes")</f>
        <v>xtrabytes</v>
      </c>
      <c r="B14469" s="2" t="str">
        <f ca="1">IFERROR(__xludf.DUMMYFUNCTION("""COMPUTED_VALUE"""),"xby")</f>
        <v>xby</v>
      </c>
      <c r="C14469" s="2" t="str">
        <f ca="1">IFERROR(__xludf.DUMMYFUNCTION("""COMPUTED_VALUE"""),"XTRABYTES")</f>
        <v>XTRABYTES</v>
      </c>
    </row>
    <row r="14470" spans="1:3" x14ac:dyDescent="0.25">
      <c r="A14470" s="2" t="str">
        <f ca="1">IFERROR(__xludf.DUMMYFUNCTION("""COMPUTED_VALUE"""),"xtrack-ai")</f>
        <v>xtrack-ai</v>
      </c>
      <c r="B14470" s="2" t="str">
        <f ca="1">IFERROR(__xludf.DUMMYFUNCTION("""COMPUTED_VALUE"""),"xtrack")</f>
        <v>xtrack</v>
      </c>
      <c r="C14470" s="2" t="str">
        <f ca="1">IFERROR(__xludf.DUMMYFUNCTION("""COMPUTED_VALUE"""),"Xtrack AI")</f>
        <v>Xtrack AI</v>
      </c>
    </row>
    <row r="14471" spans="1:3" x14ac:dyDescent="0.25">
      <c r="A14471" s="2" t="str">
        <f ca="1">IFERROR(__xludf.DUMMYFUNCTION("""COMPUTED_VALUE"""),"xtremeverse")</f>
        <v>xtremeverse</v>
      </c>
      <c r="B14471" s="2" t="str">
        <f ca="1">IFERROR(__xludf.DUMMYFUNCTION("""COMPUTED_VALUE"""),"xtreme")</f>
        <v>xtreme</v>
      </c>
      <c r="C14471" s="2" t="str">
        <f ca="1">IFERROR(__xludf.DUMMYFUNCTION("""COMPUTED_VALUE"""),"Xtremeverse")</f>
        <v>Xtremeverse</v>
      </c>
    </row>
    <row r="14472" spans="1:3" x14ac:dyDescent="0.25">
      <c r="A14472" s="2" t="str">
        <f ca="1">IFERROR(__xludf.DUMMYFUNCTION("""COMPUTED_VALUE"""),"xtusd")</f>
        <v>xtusd</v>
      </c>
      <c r="B14472" s="2" t="str">
        <f ca="1">IFERROR(__xludf.DUMMYFUNCTION("""COMPUTED_VALUE"""),"xtusd")</f>
        <v>xtusd</v>
      </c>
      <c r="C14472" s="2" t="str">
        <f ca="1">IFERROR(__xludf.DUMMYFUNCTION("""COMPUTED_VALUE"""),"XT Stablecoin XTUSD")</f>
        <v>XT Stablecoin XTUSD</v>
      </c>
    </row>
    <row r="14473" spans="1:3" x14ac:dyDescent="0.25">
      <c r="A14473" s="2" t="str">
        <f ca="1">IFERROR(__xludf.DUMMYFUNCTION("""COMPUTED_VALUE"""),"xusd")</f>
        <v>xusd</v>
      </c>
      <c r="B14473" s="2" t="str">
        <f ca="1">IFERROR(__xludf.DUMMYFUNCTION("""COMPUTED_VALUE"""),"xusd")</f>
        <v>xusd</v>
      </c>
      <c r="C14473" s="2" t="str">
        <f ca="1">IFERROR(__xludf.DUMMYFUNCTION("""COMPUTED_VALUE"""),"xUSD")</f>
        <v>xUSD</v>
      </c>
    </row>
    <row r="14474" spans="1:3" x14ac:dyDescent="0.25">
      <c r="A14474" s="2" t="str">
        <f ca="1">IFERROR(__xludf.DUMMYFUNCTION("""COMPUTED_VALUE"""),"xusd-babelfish")</f>
        <v>xusd-babelfish</v>
      </c>
      <c r="B14474" s="2" t="str">
        <f ca="1">IFERROR(__xludf.DUMMYFUNCTION("""COMPUTED_VALUE"""),"xusd")</f>
        <v>xusd</v>
      </c>
      <c r="C14474" s="2" t="str">
        <f ca="1">IFERROR(__xludf.DUMMYFUNCTION("""COMPUTED_VALUE"""),"XUSD (BabelFish)")</f>
        <v>XUSD (BabelFish)</v>
      </c>
    </row>
    <row r="14475" spans="1:3" x14ac:dyDescent="0.25">
      <c r="A14475" s="2" t="str">
        <f ca="1">IFERROR(__xludf.DUMMYFUNCTION("""COMPUTED_VALUE"""),"xv")</f>
        <v>xv</v>
      </c>
      <c r="B14475" s="2" t="str">
        <f ca="1">IFERROR(__xludf.DUMMYFUNCTION("""COMPUTED_VALUE"""),"xv")</f>
        <v>xv</v>
      </c>
      <c r="C14475" s="2" t="str">
        <f ca="1">IFERROR(__xludf.DUMMYFUNCTION("""COMPUTED_VALUE"""),"XV")</f>
        <v>XV</v>
      </c>
    </row>
    <row r="14476" spans="1:3" x14ac:dyDescent="0.25">
      <c r="A14476" s="2" t="str">
        <f ca="1">IFERROR(__xludf.DUMMYFUNCTION("""COMPUTED_VALUE"""),"xvm")</f>
        <v>xvm</v>
      </c>
      <c r="B14476" s="2" t="str">
        <f ca="1">IFERROR(__xludf.DUMMYFUNCTION("""COMPUTED_VALUE"""),"xvm")</f>
        <v>xvm</v>
      </c>
      <c r="C14476" s="2" t="str">
        <f ca="1">IFERROR(__xludf.DUMMYFUNCTION("""COMPUTED_VALUE"""),"XVM")</f>
        <v>XVM</v>
      </c>
    </row>
    <row r="14477" spans="1:3" x14ac:dyDescent="0.25">
      <c r="A14477" s="2" t="str">
        <f ca="1">IFERROR(__xludf.DUMMYFUNCTION("""COMPUTED_VALUE"""),"xwin-finance")</f>
        <v>xwin-finance</v>
      </c>
      <c r="B14477" s="2" t="str">
        <f ca="1">IFERROR(__xludf.DUMMYFUNCTION("""COMPUTED_VALUE"""),"xwin")</f>
        <v>xwin</v>
      </c>
      <c r="C14477" s="2" t="str">
        <f ca="1">IFERROR(__xludf.DUMMYFUNCTION("""COMPUTED_VALUE"""),"xWIN Finance")</f>
        <v>xWIN Finance</v>
      </c>
    </row>
    <row r="14478" spans="1:3" x14ac:dyDescent="0.25">
      <c r="A14478" s="2" t="str">
        <f ca="1">IFERROR(__xludf.DUMMYFUNCTION("""COMPUTED_VALUE"""),"x-world-games")</f>
        <v>x-world-games</v>
      </c>
      <c r="B14478" s="2" t="str">
        <f ca="1">IFERROR(__xludf.DUMMYFUNCTION("""COMPUTED_VALUE"""),"xwg")</f>
        <v>xwg</v>
      </c>
      <c r="C14478" s="2" t="str">
        <f ca="1">IFERROR(__xludf.DUMMYFUNCTION("""COMPUTED_VALUE"""),"X World Games")</f>
        <v>X World Games</v>
      </c>
    </row>
    <row r="14479" spans="1:3" x14ac:dyDescent="0.25">
      <c r="A14479" s="2" t="str">
        <f ca="1">IFERROR(__xludf.DUMMYFUNCTION("""COMPUTED_VALUE"""),"xxcoin")</f>
        <v>xxcoin</v>
      </c>
      <c r="B14479" s="2" t="str">
        <f ca="1">IFERROR(__xludf.DUMMYFUNCTION("""COMPUTED_VALUE"""),"xx")</f>
        <v>xx</v>
      </c>
      <c r="C14479" s="2" t="str">
        <f ca="1">IFERROR(__xludf.DUMMYFUNCTION("""COMPUTED_VALUE"""),"XX Network")</f>
        <v>XX Network</v>
      </c>
    </row>
    <row r="14480" spans="1:3" x14ac:dyDescent="0.25">
      <c r="A14480" s="2" t="str">
        <f ca="1">IFERROR(__xludf.DUMMYFUNCTION("""COMPUTED_VALUE"""),"xxcoin-2")</f>
        <v>xxcoin-2</v>
      </c>
      <c r="B14480" s="2" t="str">
        <f ca="1">IFERROR(__xludf.DUMMYFUNCTION("""COMPUTED_VALUE"""),"xx")</f>
        <v>xx</v>
      </c>
      <c r="C14480" s="2" t="str">
        <f ca="1">IFERROR(__xludf.DUMMYFUNCTION("""COMPUTED_VALUE"""),"XX")</f>
        <v>XX</v>
      </c>
    </row>
    <row r="14481" spans="1:3" x14ac:dyDescent="0.25">
      <c r="A14481" s="2" t="str">
        <f ca="1">IFERROR(__xludf.DUMMYFUNCTION("""COMPUTED_VALUE"""),"x-xrc-20")</f>
        <v>x-xrc-20</v>
      </c>
      <c r="B14481" s="2" t="str">
        <f ca="1">IFERROR(__xludf.DUMMYFUNCTION("""COMPUTED_VALUE"""),"x")</f>
        <v>x</v>
      </c>
      <c r="C14481" s="2" t="str">
        <f ca="1">IFERROR(__xludf.DUMMYFUNCTION("""COMPUTED_VALUE"""),"x (XRC-20)")</f>
        <v>x (XRC-20)</v>
      </c>
    </row>
    <row r="14482" spans="1:3" x14ac:dyDescent="0.25">
      <c r="A14482" s="2" t="str">
        <f ca="1">IFERROR(__xludf.DUMMYFUNCTION("""COMPUTED_VALUE"""),"xy-finance")</f>
        <v>xy-finance</v>
      </c>
      <c r="B14482" s="2" t="str">
        <f ca="1">IFERROR(__xludf.DUMMYFUNCTION("""COMPUTED_VALUE"""),"xy")</f>
        <v>xy</v>
      </c>
      <c r="C14482" s="2" t="str">
        <f ca="1">IFERROR(__xludf.DUMMYFUNCTION("""COMPUTED_VALUE"""),"XY Finance")</f>
        <v>XY Finance</v>
      </c>
    </row>
    <row r="14483" spans="1:3" x14ac:dyDescent="0.25">
      <c r="A14483" s="2" t="str">
        <f ca="1">IFERROR(__xludf.DUMMYFUNCTION("""COMPUTED_VALUE"""),"xyo-network")</f>
        <v>xyo-network</v>
      </c>
      <c r="B14483" s="2" t="str">
        <f ca="1">IFERROR(__xludf.DUMMYFUNCTION("""COMPUTED_VALUE"""),"xyo")</f>
        <v>xyo</v>
      </c>
      <c r="C14483" s="2" t="str">
        <f ca="1">IFERROR(__xludf.DUMMYFUNCTION("""COMPUTED_VALUE"""),"XYO Network")</f>
        <v>XYO Network</v>
      </c>
    </row>
    <row r="14484" spans="1:3" x14ac:dyDescent="0.25">
      <c r="A14484" s="2" t="str">
        <f ca="1">IFERROR(__xludf.DUMMYFUNCTION("""COMPUTED_VALUE"""),"xyxyx")</f>
        <v>xyxyx</v>
      </c>
      <c r="B14484" s="2" t="str">
        <f ca="1">IFERROR(__xludf.DUMMYFUNCTION("""COMPUTED_VALUE"""),"xyxyx")</f>
        <v>xyxyx</v>
      </c>
      <c r="C14484" s="2" t="str">
        <f ca="1">IFERROR(__xludf.DUMMYFUNCTION("""COMPUTED_VALUE"""),"Xyxyx")</f>
        <v>Xyxyx</v>
      </c>
    </row>
    <row r="14485" spans="1:3" x14ac:dyDescent="0.25">
      <c r="A14485" s="2" t="str">
        <f ca="1">IFERROR(__xludf.DUMMYFUNCTION("""COMPUTED_VALUE"""),"xzk")</f>
        <v>xzk</v>
      </c>
      <c r="B14485" s="2" t="str">
        <f ca="1">IFERROR(__xludf.DUMMYFUNCTION("""COMPUTED_VALUE"""),"xzk")</f>
        <v>xzk</v>
      </c>
      <c r="C14485" s="2" t="str">
        <f ca="1">IFERROR(__xludf.DUMMYFUNCTION("""COMPUTED_VALUE"""),"Mystiko")</f>
        <v>Mystiko</v>
      </c>
    </row>
    <row r="14486" spans="1:3" x14ac:dyDescent="0.25">
      <c r="A14486" s="2" t="str">
        <f ca="1">IFERROR(__xludf.DUMMYFUNCTION("""COMPUTED_VALUE"""),"y")</f>
        <v>y</v>
      </c>
      <c r="B14486" s="2" t="str">
        <f ca="1">IFERROR(__xludf.DUMMYFUNCTION("""COMPUTED_VALUE"""),"yai")</f>
        <v>yai</v>
      </c>
      <c r="C14486" s="2" t="str">
        <f ca="1">IFERROR(__xludf.DUMMYFUNCTION("""COMPUTED_VALUE"""),"Ÿ")</f>
        <v>Ÿ</v>
      </c>
    </row>
    <row r="14487" spans="1:3" x14ac:dyDescent="0.25">
      <c r="A14487" s="2" t="str">
        <f ca="1">IFERROR(__xludf.DUMMYFUNCTION("""COMPUTED_VALUE"""),"y2k")</f>
        <v>y2k</v>
      </c>
      <c r="B14487" s="2" t="str">
        <f ca="1">IFERROR(__xludf.DUMMYFUNCTION("""COMPUTED_VALUE"""),"y2k")</f>
        <v>y2k</v>
      </c>
      <c r="C14487" s="2" t="str">
        <f ca="1">IFERROR(__xludf.DUMMYFUNCTION("""COMPUTED_VALUE"""),"Y2K")</f>
        <v>Y2K</v>
      </c>
    </row>
    <row r="14488" spans="1:3" x14ac:dyDescent="0.25">
      <c r="A14488" s="2" t="str">
        <f ca="1">IFERROR(__xludf.DUMMYFUNCTION("""COMPUTED_VALUE"""),"y2k-2")</f>
        <v>y2k-2</v>
      </c>
      <c r="B14488" s="2" t="str">
        <f ca="1">IFERROR(__xludf.DUMMYFUNCTION("""COMPUTED_VALUE"""),"y2k")</f>
        <v>y2k</v>
      </c>
      <c r="C14488" s="2" t="str">
        <f ca="1">IFERROR(__xludf.DUMMYFUNCTION("""COMPUTED_VALUE"""),"Y2K")</f>
        <v>Y2K</v>
      </c>
    </row>
    <row r="14489" spans="1:3" x14ac:dyDescent="0.25">
      <c r="A14489" s="2" t="str">
        <f ca="1">IFERROR(__xludf.DUMMYFUNCTION("""COMPUTED_VALUE"""),"y8u")</f>
        <v>y8u</v>
      </c>
      <c r="B14489" s="2" t="str">
        <f ca="1">IFERROR(__xludf.DUMMYFUNCTION("""COMPUTED_VALUE"""),"y8u")</f>
        <v>y8u</v>
      </c>
      <c r="C14489" s="2" t="str">
        <f ca="1">IFERROR(__xludf.DUMMYFUNCTION("""COMPUTED_VALUE"""),"Y8U")</f>
        <v>Y8U</v>
      </c>
    </row>
    <row r="14490" spans="1:3" x14ac:dyDescent="0.25">
      <c r="A14490" s="2" t="str">
        <f ca="1">IFERROR(__xludf.DUMMYFUNCTION("""COMPUTED_VALUE"""),"yachtingverse-old")</f>
        <v>yachtingverse-old</v>
      </c>
      <c r="B14490" s="2" t="str">
        <f ca="1">IFERROR(__xludf.DUMMYFUNCTION("""COMPUTED_VALUE"""),"yacht")</f>
        <v>yacht</v>
      </c>
      <c r="C14490" s="2" t="str">
        <f ca="1">IFERROR(__xludf.DUMMYFUNCTION("""COMPUTED_VALUE"""),"YachtingVerse")</f>
        <v>YachtingVerse</v>
      </c>
    </row>
    <row r="14491" spans="1:3" x14ac:dyDescent="0.25">
      <c r="A14491" s="2" t="str">
        <f ca="1">IFERROR(__xludf.DUMMYFUNCTION("""COMPUTED_VALUE"""),"yadacoin")</f>
        <v>yadacoin</v>
      </c>
      <c r="B14491" s="2" t="str">
        <f ca="1">IFERROR(__xludf.DUMMYFUNCTION("""COMPUTED_VALUE"""),"yda")</f>
        <v>yda</v>
      </c>
      <c r="C14491" s="2" t="str">
        <f ca="1">IFERROR(__xludf.DUMMYFUNCTION("""COMPUTED_VALUE"""),"YadaCoin")</f>
        <v>YadaCoin</v>
      </c>
    </row>
    <row r="14492" spans="1:3" x14ac:dyDescent="0.25">
      <c r="A14492" s="2" t="str">
        <f ca="1">IFERROR(__xludf.DUMMYFUNCTION("""COMPUTED_VALUE"""),"yak")</f>
        <v>yak</v>
      </c>
      <c r="B14492" s="2" t="str">
        <f ca="1">IFERROR(__xludf.DUMMYFUNCTION("""COMPUTED_VALUE"""),"yak")</f>
        <v>yak</v>
      </c>
      <c r="C14492" s="2" t="str">
        <f ca="1">IFERROR(__xludf.DUMMYFUNCTION("""COMPUTED_VALUE"""),"YAK")</f>
        <v>YAK</v>
      </c>
    </row>
    <row r="14493" spans="1:3" x14ac:dyDescent="0.25">
      <c r="A14493" s="2" t="str">
        <f ca="1">IFERROR(__xludf.DUMMYFUNCTION("""COMPUTED_VALUE"""),"yak-dao")</f>
        <v>yak-dao</v>
      </c>
      <c r="B14493" s="2" t="str">
        <f ca="1">IFERROR(__xludf.DUMMYFUNCTION("""COMPUTED_VALUE"""),"yaks")</f>
        <v>yaks</v>
      </c>
      <c r="C14493" s="2" t="str">
        <f ca="1">IFERROR(__xludf.DUMMYFUNCTION("""COMPUTED_VALUE"""),"Yak DAO")</f>
        <v>Yak DAO</v>
      </c>
    </row>
    <row r="14494" spans="1:3" x14ac:dyDescent="0.25">
      <c r="A14494" s="2" t="str">
        <f ca="1">IFERROR(__xludf.DUMMYFUNCTION("""COMPUTED_VALUE"""),"yaku")</f>
        <v>yaku</v>
      </c>
      <c r="B14494" s="2" t="str">
        <f ca="1">IFERROR(__xludf.DUMMYFUNCTION("""COMPUTED_VALUE"""),"yaku")</f>
        <v>yaku</v>
      </c>
      <c r="C14494" s="2" t="str">
        <f ca="1">IFERROR(__xludf.DUMMYFUNCTION("""COMPUTED_VALUE"""),"Yaku")</f>
        <v>Yaku</v>
      </c>
    </row>
    <row r="14495" spans="1:3" x14ac:dyDescent="0.25">
      <c r="A14495" s="2" t="str">
        <f ca="1">IFERROR(__xludf.DUMMYFUNCTION("""COMPUTED_VALUE"""),"yalla-sun")</f>
        <v>yalla-sun</v>
      </c>
      <c r="B14495" s="2" t="str">
        <f ca="1">IFERROR(__xludf.DUMMYFUNCTION("""COMPUTED_VALUE"""),"ysu")</f>
        <v>ysu</v>
      </c>
      <c r="C14495" s="2" t="str">
        <f ca="1">IFERROR(__xludf.DUMMYFUNCTION("""COMPUTED_VALUE"""),"Yalla Sun")</f>
        <v>Yalla Sun</v>
      </c>
    </row>
    <row r="14496" spans="1:3" x14ac:dyDescent="0.25">
      <c r="A14496" s="2" t="str">
        <f ca="1">IFERROR(__xludf.DUMMYFUNCTION("""COMPUTED_VALUE"""),"yam-2")</f>
        <v>yam-2</v>
      </c>
      <c r="B14496" s="2" t="str">
        <f ca="1">IFERROR(__xludf.DUMMYFUNCTION("""COMPUTED_VALUE"""),"yam")</f>
        <v>yam</v>
      </c>
      <c r="C14496" s="2" t="str">
        <f ca="1">IFERROR(__xludf.DUMMYFUNCTION("""COMPUTED_VALUE"""),"YAM")</f>
        <v>YAM</v>
      </c>
    </row>
    <row r="14497" spans="1:3" x14ac:dyDescent="0.25">
      <c r="A14497" s="2" t="str">
        <f ca="1">IFERROR(__xludf.DUMMYFUNCTION("""COMPUTED_VALUE"""),"yama-inu")</f>
        <v>yama-inu</v>
      </c>
      <c r="B14497" s="2" t="str">
        <f ca="1">IFERROR(__xludf.DUMMYFUNCTION("""COMPUTED_VALUE"""),"yama")</f>
        <v>yama</v>
      </c>
      <c r="C14497" s="2" t="str">
        <f ca="1">IFERROR(__xludf.DUMMYFUNCTION("""COMPUTED_VALUE"""),"YAMA Inu")</f>
        <v>YAMA Inu</v>
      </c>
    </row>
    <row r="14498" spans="1:3" x14ac:dyDescent="0.25">
      <c r="A14498" s="2" t="str">
        <f ca="1">IFERROR(__xludf.DUMMYFUNCTION("""COMPUTED_VALUE"""),"yamfore")</f>
        <v>yamfore</v>
      </c>
      <c r="B14498" s="2" t="str">
        <f ca="1">IFERROR(__xludf.DUMMYFUNCTION("""COMPUTED_VALUE"""),"cblp")</f>
        <v>cblp</v>
      </c>
      <c r="C14498" s="2" t="str">
        <f ca="1">IFERROR(__xludf.DUMMYFUNCTION("""COMPUTED_VALUE"""),"Yamfore")</f>
        <v>Yamfore</v>
      </c>
    </row>
    <row r="14499" spans="1:3" x14ac:dyDescent="0.25">
      <c r="A14499" s="2" t="str">
        <f ca="1">IFERROR(__xludf.DUMMYFUNCTION("""COMPUTED_VALUE"""),"yawn")</f>
        <v>yawn</v>
      </c>
      <c r="B14499" s="2" t="str">
        <f ca="1">IFERROR(__xludf.DUMMYFUNCTION("""COMPUTED_VALUE"""),"yawn")</f>
        <v>yawn</v>
      </c>
      <c r="C14499" s="2" t="str">
        <f ca="1">IFERROR(__xludf.DUMMYFUNCTION("""COMPUTED_VALUE"""),"YAWN")</f>
        <v>YAWN</v>
      </c>
    </row>
    <row r="14500" spans="1:3" x14ac:dyDescent="0.25">
      <c r="A14500" s="2" t="str">
        <f ca="1">IFERROR(__xludf.DUMMYFUNCTION("""COMPUTED_VALUE"""),"yawn-s-world")</f>
        <v>yawn-s-world</v>
      </c>
      <c r="B14500" s="2" t="str">
        <f ca="1">IFERROR(__xludf.DUMMYFUNCTION("""COMPUTED_VALUE"""),"yawn")</f>
        <v>yawn</v>
      </c>
      <c r="C14500" s="2" t="str">
        <f ca="1">IFERROR(__xludf.DUMMYFUNCTION("""COMPUTED_VALUE"""),"Yawn's World")</f>
        <v>Yawn's World</v>
      </c>
    </row>
    <row r="14501" spans="1:3" x14ac:dyDescent="0.25">
      <c r="A14501" s="2" t="str">
        <f ca="1">IFERROR(__xludf.DUMMYFUNCTION("""COMPUTED_VALUE"""),"yawww")</f>
        <v>yawww</v>
      </c>
      <c r="B14501" s="2" t="str">
        <f ca="1">IFERROR(__xludf.DUMMYFUNCTION("""COMPUTED_VALUE"""),"yaw")</f>
        <v>yaw</v>
      </c>
      <c r="C14501" s="2" t="str">
        <f ca="1">IFERROR(__xludf.DUMMYFUNCTION("""COMPUTED_VALUE"""),"Yawww")</f>
        <v>Yawww</v>
      </c>
    </row>
    <row r="14502" spans="1:3" x14ac:dyDescent="0.25">
      <c r="A14502" s="2" t="str">
        <f ca="1">IFERROR(__xludf.DUMMYFUNCTION("""COMPUTED_VALUE"""),"yay-games")</f>
        <v>yay-games</v>
      </c>
      <c r="B14502" s="2" t="str">
        <f ca="1">IFERROR(__xludf.DUMMYFUNCTION("""COMPUTED_VALUE"""),"yay")</f>
        <v>yay</v>
      </c>
      <c r="C14502" s="2" t="str">
        <f ca="1">IFERROR(__xludf.DUMMYFUNCTION("""COMPUTED_VALUE"""),"YAY Network")</f>
        <v>YAY Network</v>
      </c>
    </row>
    <row r="14503" spans="1:3" x14ac:dyDescent="0.25">
      <c r="A14503" s="2" t="str">
        <f ca="1">IFERROR(__xludf.DUMMYFUNCTION("""COMPUTED_VALUE"""),"ycash")</f>
        <v>ycash</v>
      </c>
      <c r="B14503" s="2" t="str">
        <f ca="1">IFERROR(__xludf.DUMMYFUNCTION("""COMPUTED_VALUE"""),"yec")</f>
        <v>yec</v>
      </c>
      <c r="C14503" s="2" t="str">
        <f ca="1">IFERROR(__xludf.DUMMYFUNCTION("""COMPUTED_VALUE"""),"Ycash")</f>
        <v>Ycash</v>
      </c>
    </row>
    <row r="14504" spans="1:3" x14ac:dyDescent="0.25">
      <c r="A14504" s="2" t="str">
        <f ca="1">IFERROR(__xludf.DUMMYFUNCTION("""COMPUTED_VALUE"""),"ydragon")</f>
        <v>ydragon</v>
      </c>
      <c r="B14504" s="2" t="str">
        <f ca="1">IFERROR(__xludf.DUMMYFUNCTION("""COMPUTED_VALUE"""),"ydr")</f>
        <v>ydr</v>
      </c>
      <c r="C14504" s="2" t="str">
        <f ca="1">IFERROR(__xludf.DUMMYFUNCTION("""COMPUTED_VALUE"""),"YDragon")</f>
        <v>YDragon</v>
      </c>
    </row>
    <row r="14505" spans="1:3" x14ac:dyDescent="0.25">
      <c r="A14505" s="2" t="str">
        <f ca="1">IFERROR(__xludf.DUMMYFUNCTION("""COMPUTED_VALUE"""),"yearn-crv")</f>
        <v>yearn-crv</v>
      </c>
      <c r="B14505" s="2" t="str">
        <f ca="1">IFERROR(__xludf.DUMMYFUNCTION("""COMPUTED_VALUE"""),"ycrv")</f>
        <v>ycrv</v>
      </c>
      <c r="C14505" s="2" t="str">
        <f ca="1">IFERROR(__xludf.DUMMYFUNCTION("""COMPUTED_VALUE"""),"Yearn CRV")</f>
        <v>Yearn CRV</v>
      </c>
    </row>
    <row r="14506" spans="1:3" x14ac:dyDescent="0.25">
      <c r="A14506" s="2" t="str">
        <f ca="1">IFERROR(__xludf.DUMMYFUNCTION("""COMPUTED_VALUE"""),"yearn-ether")</f>
        <v>yearn-ether</v>
      </c>
      <c r="B14506" s="2" t="str">
        <f ca="1">IFERROR(__xludf.DUMMYFUNCTION("""COMPUTED_VALUE"""),"yeth")</f>
        <v>yeth</v>
      </c>
      <c r="C14506" s="2" t="str">
        <f ca="1">IFERROR(__xludf.DUMMYFUNCTION("""COMPUTED_VALUE"""),"Yearn Ether")</f>
        <v>Yearn Ether</v>
      </c>
    </row>
    <row r="14507" spans="1:3" x14ac:dyDescent="0.25">
      <c r="A14507" s="2" t="str">
        <f ca="1">IFERROR(__xludf.DUMMYFUNCTION("""COMPUTED_VALUE"""),"yearn-finance")</f>
        <v>yearn-finance</v>
      </c>
      <c r="B14507" s="2" t="str">
        <f ca="1">IFERROR(__xludf.DUMMYFUNCTION("""COMPUTED_VALUE"""),"yfi")</f>
        <v>yfi</v>
      </c>
      <c r="C14507" s="2" t="str">
        <f ca="1">IFERROR(__xludf.DUMMYFUNCTION("""COMPUTED_VALUE"""),"yearn.finance")</f>
        <v>yearn.finance</v>
      </c>
    </row>
    <row r="14508" spans="1:3" x14ac:dyDescent="0.25">
      <c r="A14508" s="2" t="str">
        <f ca="1">IFERROR(__xludf.DUMMYFUNCTION("""COMPUTED_VALUE"""),"yearntogether")</f>
        <v>yearntogether</v>
      </c>
      <c r="B14508" s="2" t="str">
        <f ca="1">IFERROR(__xludf.DUMMYFUNCTION("""COMPUTED_VALUE"""),"yearn")</f>
        <v>yearn</v>
      </c>
      <c r="C14508" s="2" t="str">
        <f ca="1">IFERROR(__xludf.DUMMYFUNCTION("""COMPUTED_VALUE"""),"YearnTogether")</f>
        <v>YearnTogether</v>
      </c>
    </row>
    <row r="14509" spans="1:3" x14ac:dyDescent="0.25">
      <c r="A14509" s="2" t="str">
        <f ca="1">IFERROR(__xludf.DUMMYFUNCTION("""COMPUTED_VALUE"""),"yearn-yprisma")</f>
        <v>yearn-yprisma</v>
      </c>
      <c r="B14509" s="2" t="str">
        <f ca="1">IFERROR(__xludf.DUMMYFUNCTION("""COMPUTED_VALUE"""),"yprisma")</f>
        <v>yprisma</v>
      </c>
      <c r="C14509" s="2" t="str">
        <f ca="1">IFERROR(__xludf.DUMMYFUNCTION("""COMPUTED_VALUE"""),"Yearn yPRISMA")</f>
        <v>Yearn yPRISMA</v>
      </c>
    </row>
    <row r="14510" spans="1:3" x14ac:dyDescent="0.25">
      <c r="A14510" s="2" t="str">
        <f ca="1">IFERROR(__xludf.DUMMYFUNCTION("""COMPUTED_VALUE"""),"year-of-the-dragon")</f>
        <v>year-of-the-dragon</v>
      </c>
      <c r="B14510" s="2" t="str">
        <f ca="1">IFERROR(__xludf.DUMMYFUNCTION("""COMPUTED_VALUE"""),"yod")</f>
        <v>yod</v>
      </c>
      <c r="C14510" s="2" t="str">
        <f ca="1">IFERROR(__xludf.DUMMYFUNCTION("""COMPUTED_VALUE"""),"Year of the Dragon")</f>
        <v>Year of the Dragon</v>
      </c>
    </row>
    <row r="14511" spans="1:3" x14ac:dyDescent="0.25">
      <c r="A14511" s="2" t="str">
        <f ca="1">IFERROR(__xludf.DUMMYFUNCTION("""COMPUTED_VALUE"""),"yel-finance")</f>
        <v>yel-finance</v>
      </c>
      <c r="B14511" s="2" t="str">
        <f ca="1">IFERROR(__xludf.DUMMYFUNCTION("""COMPUTED_VALUE"""),"yel")</f>
        <v>yel</v>
      </c>
      <c r="C14511" s="2" t="str">
        <f ca="1">IFERROR(__xludf.DUMMYFUNCTION("""COMPUTED_VALUE"""),"Yel.Finance")</f>
        <v>Yel.Finance</v>
      </c>
    </row>
    <row r="14512" spans="1:3" x14ac:dyDescent="0.25">
      <c r="A14512" s="2" t="str">
        <f ca="1">IFERROR(__xludf.DUMMYFUNCTION("""COMPUTED_VALUE"""),"yellow-road")</f>
        <v>yellow-road</v>
      </c>
      <c r="B14512" s="2" t="str">
        <f ca="1">IFERROR(__xludf.DUMMYFUNCTION("""COMPUTED_VALUE"""),"road")</f>
        <v>road</v>
      </c>
      <c r="C14512" s="2" t="str">
        <f ca="1">IFERROR(__xludf.DUMMYFUNCTION("""COMPUTED_VALUE"""),"Yellow Road")</f>
        <v>Yellow Road</v>
      </c>
    </row>
    <row r="14513" spans="1:3" x14ac:dyDescent="0.25">
      <c r="A14513" s="2" t="str">
        <f ca="1">IFERROR(__xludf.DUMMYFUNCTION("""COMPUTED_VALUE"""),"yelo-cat")</f>
        <v>yelo-cat</v>
      </c>
      <c r="B14513" s="2" t="str">
        <f ca="1">IFERROR(__xludf.DUMMYFUNCTION("""COMPUTED_VALUE"""),"yelo")</f>
        <v>yelo</v>
      </c>
      <c r="C14513" s="2" t="str">
        <f ca="1">IFERROR(__xludf.DUMMYFUNCTION("""COMPUTED_VALUE"""),"Yelo Cat")</f>
        <v>Yelo Cat</v>
      </c>
    </row>
    <row r="14514" spans="1:3" x14ac:dyDescent="0.25">
      <c r="A14514" s="2" t="str">
        <f ca="1">IFERROR(__xludf.DUMMYFUNCTION("""COMPUTED_VALUE"""),"yenten")</f>
        <v>yenten</v>
      </c>
      <c r="B14514" s="2" t="str">
        <f ca="1">IFERROR(__xludf.DUMMYFUNCTION("""COMPUTED_VALUE"""),"ytn")</f>
        <v>ytn</v>
      </c>
      <c r="C14514" s="2" t="str">
        <f ca="1">IFERROR(__xludf.DUMMYFUNCTION("""COMPUTED_VALUE"""),"YENTEN")</f>
        <v>YENTEN</v>
      </c>
    </row>
    <row r="14515" spans="1:3" x14ac:dyDescent="0.25">
      <c r="A14515" s="2" t="str">
        <f ca="1">IFERROR(__xludf.DUMMYFUNCTION("""COMPUTED_VALUE"""),"yertle-the-turtle")</f>
        <v>yertle-the-turtle</v>
      </c>
      <c r="B14515" s="2" t="str">
        <f ca="1">IFERROR(__xludf.DUMMYFUNCTION("""COMPUTED_VALUE"""),"yertle")</f>
        <v>yertle</v>
      </c>
      <c r="C14515" s="2" t="str">
        <f ca="1">IFERROR(__xludf.DUMMYFUNCTION("""COMPUTED_VALUE"""),"Yertle The Turtle")</f>
        <v>Yertle The Turtle</v>
      </c>
    </row>
    <row r="14516" spans="1:3" x14ac:dyDescent="0.25">
      <c r="A14516" s="2" t="str">
        <f ca="1">IFERROR(__xludf.DUMMYFUNCTION("""COMPUTED_VALUE"""),"yes-3")</f>
        <v>yes-3</v>
      </c>
      <c r="B14516" s="2" t="str">
        <f ca="1">IFERROR(__xludf.DUMMYFUNCTION("""COMPUTED_VALUE"""),"yes")</f>
        <v>yes</v>
      </c>
      <c r="C14516" s="2" t="str">
        <f ca="1">IFERROR(__xludf.DUMMYFUNCTION("""COMPUTED_VALUE"""),"YES")</f>
        <v>YES</v>
      </c>
    </row>
    <row r="14517" spans="1:3" x14ac:dyDescent="0.25">
      <c r="A14517" s="2" t="str">
        <f ca="1">IFERROR(__xludf.DUMMYFUNCTION("""COMPUTED_VALUE"""),"yes-but")</f>
        <v>yes-but</v>
      </c>
      <c r="B14517" s="2" t="str">
        <f ca="1">IFERROR(__xludf.DUMMYFUNCTION("""COMPUTED_VALUE"""),"yesbut")</f>
        <v>yesbut</v>
      </c>
      <c r="C14517" s="2" t="str">
        <f ca="1">IFERROR(__xludf.DUMMYFUNCTION("""COMPUTED_VALUE"""),"Yes, But")</f>
        <v>Yes, But</v>
      </c>
    </row>
    <row r="14518" spans="1:3" x14ac:dyDescent="0.25">
      <c r="A14518" s="2" t="str">
        <f ca="1">IFERROR(__xludf.DUMMYFUNCTION("""COMPUTED_VALUE"""),"yes-money")</f>
        <v>yes-money</v>
      </c>
      <c r="B14518" s="2" t="str">
        <f ca="1">IFERROR(__xludf.DUMMYFUNCTION("""COMPUTED_VALUE"""),"yes")</f>
        <v>yes</v>
      </c>
      <c r="C14518" s="2" t="str">
        <f ca="1">IFERROR(__xludf.DUMMYFUNCTION("""COMPUTED_VALUE"""),"YES Money")</f>
        <v>YES Money</v>
      </c>
    </row>
    <row r="14519" spans="1:3" x14ac:dyDescent="0.25">
      <c r="A14519" s="2" t="str">
        <f ca="1">IFERROR(__xludf.DUMMYFUNCTION("""COMPUTED_VALUE"""),"yesorno")</f>
        <v>yesorno</v>
      </c>
      <c r="B14519" s="2" t="str">
        <f ca="1">IFERROR(__xludf.DUMMYFUNCTION("""COMPUTED_VALUE"""),"yon")</f>
        <v>yon</v>
      </c>
      <c r="C14519" s="2" t="str">
        <f ca="1">IFERROR(__xludf.DUMMYFUNCTION("""COMPUTED_VALUE"""),"YESorNO [OLD]")</f>
        <v>YESorNO [OLD]</v>
      </c>
    </row>
    <row r="14520" spans="1:3" x14ac:dyDescent="0.25">
      <c r="A14520" s="2" t="str">
        <f ca="1">IFERROR(__xludf.DUMMYFUNCTION("""COMPUTED_VALUE"""),"yesorno-2")</f>
        <v>yesorno-2</v>
      </c>
      <c r="B14520" s="2" t="str">
        <f ca="1">IFERROR(__xludf.DUMMYFUNCTION("""COMPUTED_VALUE"""),"yon")</f>
        <v>yon</v>
      </c>
      <c r="C14520" s="2" t="str">
        <f ca="1">IFERROR(__xludf.DUMMYFUNCTION("""COMPUTED_VALUE"""),"YESorNO")</f>
        <v>YESorNO</v>
      </c>
    </row>
    <row r="14521" spans="1:3" x14ac:dyDescent="0.25">
      <c r="A14521" s="2" t="str">
        <f ca="1">IFERROR(__xludf.DUMMYFUNCTION("""COMPUTED_VALUE"""),"yesports")</f>
        <v>yesports</v>
      </c>
      <c r="B14521" s="2" t="str">
        <f ca="1">IFERROR(__xludf.DUMMYFUNCTION("""COMPUTED_VALUE"""),"yesp")</f>
        <v>yesp</v>
      </c>
      <c r="C14521" s="2" t="str">
        <f ca="1">IFERROR(__xludf.DUMMYFUNCTION("""COMPUTED_VALUE"""),"Yesports")</f>
        <v>Yesports</v>
      </c>
    </row>
    <row r="14522" spans="1:3" x14ac:dyDescent="0.25">
      <c r="A14522" s="2" t="str">
        <f ca="1">IFERROR(__xludf.DUMMYFUNCTION("""COMPUTED_VALUE"""),"yes-token")</f>
        <v>yes-token</v>
      </c>
      <c r="B14522" s="2" t="str">
        <f ca="1">IFERROR(__xludf.DUMMYFUNCTION("""COMPUTED_VALUE"""),"yes")</f>
        <v>yes</v>
      </c>
      <c r="C14522" s="2" t="str">
        <f ca="1">IFERROR(__xludf.DUMMYFUNCTION("""COMPUTED_VALUE"""),"YES Token")</f>
        <v>YES Token</v>
      </c>
    </row>
    <row r="14523" spans="1:3" x14ac:dyDescent="0.25">
      <c r="A14523" s="2" t="str">
        <f ca="1">IFERROR(__xludf.DUMMYFUNCTION("""COMPUTED_VALUE"""),"yeth")</f>
        <v>yeth</v>
      </c>
      <c r="B14523" s="2" t="str">
        <f ca="1">IFERROR(__xludf.DUMMYFUNCTION("""COMPUTED_VALUE"""),"yeth")</f>
        <v>yeth</v>
      </c>
      <c r="C14523" s="2" t="str">
        <f ca="1">IFERROR(__xludf.DUMMYFUNCTION("""COMPUTED_VALUE"""),"yETH")</f>
        <v>yETH</v>
      </c>
    </row>
    <row r="14524" spans="1:3" x14ac:dyDescent="0.25">
      <c r="A14524" s="2" t="str">
        <f ca="1">IFERROR(__xludf.DUMMYFUNCTION("""COMPUTED_VALUE"""),"yeti")</f>
        <v>yeti</v>
      </c>
      <c r="B14524" s="2" t="str">
        <f ca="1">IFERROR(__xludf.DUMMYFUNCTION("""COMPUTED_VALUE"""),"yeti")</f>
        <v>yeti</v>
      </c>
      <c r="C14524" s="2" t="str">
        <f ca="1">IFERROR(__xludf.DUMMYFUNCTION("""COMPUTED_VALUE"""),"Yeti")</f>
        <v>Yeti</v>
      </c>
    </row>
    <row r="14525" spans="1:3" x14ac:dyDescent="0.25">
      <c r="A14525" s="2" t="str">
        <f ca="1">IFERROR(__xludf.DUMMYFUNCTION("""COMPUTED_VALUE"""),"yeti-finance")</f>
        <v>yeti-finance</v>
      </c>
      <c r="B14525" s="2" t="str">
        <f ca="1">IFERROR(__xludf.DUMMYFUNCTION("""COMPUTED_VALUE"""),"yeti")</f>
        <v>yeti</v>
      </c>
      <c r="C14525" s="2" t="str">
        <f ca="1">IFERROR(__xludf.DUMMYFUNCTION("""COMPUTED_VALUE"""),"Yeti Finance")</f>
        <v>Yeti Finance</v>
      </c>
    </row>
    <row r="14526" spans="1:3" x14ac:dyDescent="0.25">
      <c r="A14526" s="2" t="str">
        <f ca="1">IFERROR(__xludf.DUMMYFUNCTION("""COMPUTED_VALUE"""),"yfdai-finance")</f>
        <v>yfdai-finance</v>
      </c>
      <c r="B14526" s="2" t="str">
        <f ca="1">IFERROR(__xludf.DUMMYFUNCTION("""COMPUTED_VALUE"""),"yf-dai")</f>
        <v>yf-dai</v>
      </c>
      <c r="C14526" s="2" t="str">
        <f ca="1">IFERROR(__xludf.DUMMYFUNCTION("""COMPUTED_VALUE"""),"YfDAI.finance")</f>
        <v>YfDAI.finance</v>
      </c>
    </row>
    <row r="14527" spans="1:3" x14ac:dyDescent="0.25">
      <c r="A14527" s="2" t="str">
        <f ca="1">IFERROR(__xludf.DUMMYFUNCTION("""COMPUTED_VALUE"""),"yfii-finance")</f>
        <v>yfii-finance</v>
      </c>
      <c r="B14527" s="2" t="str">
        <f ca="1">IFERROR(__xludf.DUMMYFUNCTION("""COMPUTED_VALUE"""),"yfii")</f>
        <v>yfii</v>
      </c>
      <c r="C14527" s="2" t="str">
        <f ca="1">IFERROR(__xludf.DUMMYFUNCTION("""COMPUTED_VALUE"""),"DFI.money")</f>
        <v>DFI.money</v>
      </c>
    </row>
    <row r="14528" spans="1:3" x14ac:dyDescent="0.25">
      <c r="A14528" s="2" t="str">
        <f ca="1">IFERROR(__xludf.DUMMYFUNCTION("""COMPUTED_VALUE"""),"yfione-2")</f>
        <v>yfione-2</v>
      </c>
      <c r="B14528" s="2" t="str">
        <f ca="1">IFERROR(__xludf.DUMMYFUNCTION("""COMPUTED_VALUE"""),"yfo")</f>
        <v>yfo</v>
      </c>
      <c r="C14528" s="2" t="str">
        <f ca="1">IFERROR(__xludf.DUMMYFUNCTION("""COMPUTED_VALUE"""),"YFIONE")</f>
        <v>YFIONE</v>
      </c>
    </row>
    <row r="14529" spans="1:3" x14ac:dyDescent="0.25">
      <c r="A14529" s="2" t="str">
        <f ca="1">IFERROR(__xludf.DUMMYFUNCTION("""COMPUTED_VALUE"""),"yfi-yvault")</f>
        <v>yfi-yvault</v>
      </c>
      <c r="B14529" s="2" t="str">
        <f ca="1">IFERROR(__xludf.DUMMYFUNCTION("""COMPUTED_VALUE"""),"yvyfi")</f>
        <v>yvyfi</v>
      </c>
      <c r="C14529" s="2" t="str">
        <f ca="1">IFERROR(__xludf.DUMMYFUNCTION("""COMPUTED_VALUE"""),"YFI yVault")</f>
        <v>YFI yVault</v>
      </c>
    </row>
    <row r="14530" spans="1:3" x14ac:dyDescent="0.25">
      <c r="A14530" s="2" t="str">
        <f ca="1">IFERROR(__xludf.DUMMYFUNCTION("""COMPUTED_VALUE"""),"yfx")</f>
        <v>yfx</v>
      </c>
      <c r="B14530" s="2" t="str">
        <f ca="1">IFERROR(__xludf.DUMMYFUNCTION("""COMPUTED_VALUE"""),"yfx")</f>
        <v>yfx</v>
      </c>
      <c r="C14530" s="2" t="str">
        <f ca="1">IFERROR(__xludf.DUMMYFUNCTION("""COMPUTED_VALUE"""),"Your Futures Exchange")</f>
        <v>Your Futures Exchange</v>
      </c>
    </row>
    <row r="14531" spans="1:3" x14ac:dyDescent="0.25">
      <c r="A14531" s="2" t="str">
        <f ca="1">IFERROR(__xludf.DUMMYFUNCTION("""COMPUTED_VALUE"""),"yield-24")</f>
        <v>yield-24</v>
      </c>
      <c r="B14531" s="2" t="str">
        <f ca="1">IFERROR(__xludf.DUMMYFUNCTION("""COMPUTED_VALUE"""),"y24")</f>
        <v>y24</v>
      </c>
      <c r="C14531" s="2" t="str">
        <f ca="1">IFERROR(__xludf.DUMMYFUNCTION("""COMPUTED_VALUE"""),"Yield 24")</f>
        <v>Yield 24</v>
      </c>
    </row>
    <row r="14532" spans="1:3" x14ac:dyDescent="0.25">
      <c r="A14532" s="2" t="str">
        <f ca="1">IFERROR(__xludf.DUMMYFUNCTION("""COMPUTED_VALUE"""),"yield-app")</f>
        <v>yield-app</v>
      </c>
      <c r="B14532" s="2" t="str">
        <f ca="1">IFERROR(__xludf.DUMMYFUNCTION("""COMPUTED_VALUE"""),"yld")</f>
        <v>yld</v>
      </c>
      <c r="C14532" s="2" t="str">
        <f ca="1">IFERROR(__xludf.DUMMYFUNCTION("""COMPUTED_VALUE"""),"Yield App")</f>
        <v>Yield App</v>
      </c>
    </row>
    <row r="14533" spans="1:3" x14ac:dyDescent="0.25">
      <c r="A14533" s="2" t="str">
        <f ca="1">IFERROR(__xludf.DUMMYFUNCTION("""COMPUTED_VALUE"""),"yieldblox")</f>
        <v>yieldblox</v>
      </c>
      <c r="B14533" s="2" t="str">
        <f ca="1">IFERROR(__xludf.DUMMYFUNCTION("""COMPUTED_VALUE"""),"ybx")</f>
        <v>ybx</v>
      </c>
      <c r="C14533" s="2" t="str">
        <f ca="1">IFERROR(__xludf.DUMMYFUNCTION("""COMPUTED_VALUE"""),"YieldBlox")</f>
        <v>YieldBlox</v>
      </c>
    </row>
    <row r="14534" spans="1:3" x14ac:dyDescent="0.25">
      <c r="A14534" s="2" t="str">
        <f ca="1">IFERROR(__xludf.DUMMYFUNCTION("""COMPUTED_VALUE"""),"yieldeth-sommelier")</f>
        <v>yieldeth-sommelier</v>
      </c>
      <c r="B14534" s="2" t="str">
        <f ca="1">IFERROR(__xludf.DUMMYFUNCTION("""COMPUTED_VALUE"""),"yieldeth")</f>
        <v>yieldeth</v>
      </c>
      <c r="C14534" s="2" t="str">
        <f ca="1">IFERROR(__xludf.DUMMYFUNCTION("""COMPUTED_VALUE"""),"YieldETH (Sommelier)")</f>
        <v>YieldETH (Sommelier)</v>
      </c>
    </row>
    <row r="14535" spans="1:3" x14ac:dyDescent="0.25">
      <c r="A14535" s="2" t="str">
        <f ca="1">IFERROR(__xludf.DUMMYFUNCTION("""COMPUTED_VALUE"""),"yieldfarming-index")</f>
        <v>yieldfarming-index</v>
      </c>
      <c r="B14535" s="2" t="str">
        <f ca="1">IFERROR(__xludf.DUMMYFUNCTION("""COMPUTED_VALUE"""),"yfx")</f>
        <v>yfx</v>
      </c>
      <c r="C14535" s="2" t="str">
        <f ca="1">IFERROR(__xludf.DUMMYFUNCTION("""COMPUTED_VALUE"""),"YieldFarming Index")</f>
        <v>YieldFarming Index</v>
      </c>
    </row>
    <row r="14536" spans="1:3" x14ac:dyDescent="0.25">
      <c r="A14536" s="2" t="str">
        <f ca="1">IFERROR(__xludf.DUMMYFUNCTION("""COMPUTED_VALUE"""),"yield-guild-games")</f>
        <v>yield-guild-games</v>
      </c>
      <c r="B14536" s="2" t="str">
        <f ca="1">IFERROR(__xludf.DUMMYFUNCTION("""COMPUTED_VALUE"""),"ygg")</f>
        <v>ygg</v>
      </c>
      <c r="C14536" s="2" t="str">
        <f ca="1">IFERROR(__xludf.DUMMYFUNCTION("""COMPUTED_VALUE"""),"Yield Guild Games")</f>
        <v>Yield Guild Games</v>
      </c>
    </row>
    <row r="14537" spans="1:3" x14ac:dyDescent="0.25">
      <c r="A14537" s="2" t="str">
        <f ca="1">IFERROR(__xludf.DUMMYFUNCTION("""COMPUTED_VALUE"""),"yieldification")</f>
        <v>yieldification</v>
      </c>
      <c r="B14537" s="2" t="str">
        <f ca="1">IFERROR(__xludf.DUMMYFUNCTION("""COMPUTED_VALUE"""),"ydf")</f>
        <v>ydf</v>
      </c>
      <c r="C14537" s="2" t="str">
        <f ca="1">IFERROR(__xludf.DUMMYFUNCTION("""COMPUTED_VALUE"""),"Yieldification")</f>
        <v>Yieldification</v>
      </c>
    </row>
    <row r="14538" spans="1:3" x14ac:dyDescent="0.25">
      <c r="A14538" s="2" t="str">
        <f ca="1">IFERROR(__xludf.DUMMYFUNCTION("""COMPUTED_VALUE"""),"yieldly")</f>
        <v>yieldly</v>
      </c>
      <c r="B14538" s="2" t="str">
        <f ca="1">IFERROR(__xludf.DUMMYFUNCTION("""COMPUTED_VALUE"""),"yldy")</f>
        <v>yldy</v>
      </c>
      <c r="C14538" s="2" t="str">
        <f ca="1">IFERROR(__xludf.DUMMYFUNCTION("""COMPUTED_VALUE"""),"Yieldly")</f>
        <v>Yieldly</v>
      </c>
    </row>
    <row r="14539" spans="1:3" x14ac:dyDescent="0.25">
      <c r="A14539" s="2" t="str">
        <f ca="1">IFERROR(__xludf.DUMMYFUNCTION("""COMPUTED_VALUE"""),"yieldnest-restaked-bnb")</f>
        <v>yieldnest-restaked-bnb</v>
      </c>
      <c r="B14539" s="2" t="str">
        <f ca="1">IFERROR(__xludf.DUMMYFUNCTION("""COMPUTED_VALUE"""),"ynbnb")</f>
        <v>ynbnb</v>
      </c>
      <c r="C14539" s="2" t="str">
        <f ca="1">IFERROR(__xludf.DUMMYFUNCTION("""COMPUTED_VALUE"""),"YieldNest Restaked BNB")</f>
        <v>YieldNest Restaked BNB</v>
      </c>
    </row>
    <row r="14540" spans="1:3" x14ac:dyDescent="0.25">
      <c r="A14540" s="2" t="str">
        <f ca="1">IFERROR(__xludf.DUMMYFUNCTION("""COMPUTED_VALUE"""),"yieldnest-restaked-eth")</f>
        <v>yieldnest-restaked-eth</v>
      </c>
      <c r="B14540" s="2" t="str">
        <f ca="1">IFERROR(__xludf.DUMMYFUNCTION("""COMPUTED_VALUE"""),"yneth")</f>
        <v>yneth</v>
      </c>
      <c r="C14540" s="2" t="str">
        <f ca="1">IFERROR(__xludf.DUMMYFUNCTION("""COMPUTED_VALUE"""),"YieldNest Restaked ETH")</f>
        <v>YieldNest Restaked ETH</v>
      </c>
    </row>
    <row r="14541" spans="1:3" x14ac:dyDescent="0.25">
      <c r="A14541" s="2" t="str">
        <f ca="1">IFERROR(__xludf.DUMMYFUNCTION("""COMPUTED_VALUE"""),"yieldnest-restaked-lsd-eigenlayer")</f>
        <v>yieldnest-restaked-lsd-eigenlayer</v>
      </c>
      <c r="B14541" s="2" t="str">
        <f ca="1">IFERROR(__xludf.DUMMYFUNCTION("""COMPUTED_VALUE"""),"ynlsde")</f>
        <v>ynlsde</v>
      </c>
      <c r="C14541" s="2" t="str">
        <f ca="1">IFERROR(__xludf.DUMMYFUNCTION("""COMPUTED_VALUE"""),"YieldNest Restaked LSD - Eigenlayer")</f>
        <v>YieldNest Restaked LSD - Eigenlayer</v>
      </c>
    </row>
    <row r="14542" spans="1:3" x14ac:dyDescent="0.25">
      <c r="A14542" s="2" t="str">
        <f ca="1">IFERROR(__xludf.DUMMYFUNCTION("""COMPUTED_VALUE"""),"yield-protocol")</f>
        <v>yield-protocol</v>
      </c>
      <c r="B14542" s="2" t="str">
        <f ca="1">IFERROR(__xludf.DUMMYFUNCTION("""COMPUTED_VALUE"""),"yield")</f>
        <v>yield</v>
      </c>
      <c r="C14542" s="2" t="str">
        <f ca="1">IFERROR(__xludf.DUMMYFUNCTION("""COMPUTED_VALUE"""),"Yield Protocol")</f>
        <v>Yield Protocol</v>
      </c>
    </row>
    <row r="14543" spans="1:3" x14ac:dyDescent="0.25">
      <c r="A14543" s="2" t="str">
        <f ca="1">IFERROR(__xludf.DUMMYFUNCTION("""COMPUTED_VALUE"""),"yieldstone")</f>
        <v>yieldstone</v>
      </c>
      <c r="B14543" s="2" t="str">
        <f ca="1">IFERROR(__xludf.DUMMYFUNCTION("""COMPUTED_VALUE"""),"$yield")</f>
        <v>$yield</v>
      </c>
      <c r="C14543" s="2" t="str">
        <f ca="1">IFERROR(__xludf.DUMMYFUNCTION("""COMPUTED_VALUE"""),"YieldStone")</f>
        <v>YieldStone</v>
      </c>
    </row>
    <row r="14544" spans="1:3" x14ac:dyDescent="0.25">
      <c r="A14544" s="2" t="str">
        <f ca="1">IFERROR(__xludf.DUMMYFUNCTION("""COMPUTED_VALUE"""),"yieldwatch")</f>
        <v>yieldwatch</v>
      </c>
      <c r="B14544" s="2" t="str">
        <f ca="1">IFERROR(__xludf.DUMMYFUNCTION("""COMPUTED_VALUE"""),"watch")</f>
        <v>watch</v>
      </c>
      <c r="C14544" s="2" t="str">
        <f ca="1">IFERROR(__xludf.DUMMYFUNCTION("""COMPUTED_VALUE"""),"Yieldwatch")</f>
        <v>Yieldwatch</v>
      </c>
    </row>
    <row r="14545" spans="1:3" x14ac:dyDescent="0.25">
      <c r="A14545" s="2" t="str">
        <f ca="1">IFERROR(__xludf.DUMMYFUNCTION("""COMPUTED_VALUE"""),"yield-yak")</f>
        <v>yield-yak</v>
      </c>
      <c r="B14545" s="2" t="str">
        <f ca="1">IFERROR(__xludf.DUMMYFUNCTION("""COMPUTED_VALUE"""),"yak")</f>
        <v>yak</v>
      </c>
      <c r="C14545" s="2" t="str">
        <f ca="1">IFERROR(__xludf.DUMMYFUNCTION("""COMPUTED_VALUE"""),"Yield Yak")</f>
        <v>Yield Yak</v>
      </c>
    </row>
    <row r="14546" spans="1:3" x14ac:dyDescent="0.25">
      <c r="A14546" s="2" t="str">
        <f ca="1">IFERROR(__xludf.DUMMYFUNCTION("""COMPUTED_VALUE"""),"yield-yak-avax")</f>
        <v>yield-yak-avax</v>
      </c>
      <c r="B14546" s="2" t="str">
        <f ca="1">IFERROR(__xludf.DUMMYFUNCTION("""COMPUTED_VALUE"""),"yyavax")</f>
        <v>yyavax</v>
      </c>
      <c r="C14546" s="2" t="str">
        <f ca="1">IFERROR(__xludf.DUMMYFUNCTION("""COMPUTED_VALUE"""),"Yield Yak AVAX")</f>
        <v>Yield Yak AVAX</v>
      </c>
    </row>
    <row r="14547" spans="1:3" x14ac:dyDescent="0.25">
      <c r="A14547" s="2" t="str">
        <f ca="1">IFERROR(__xludf.DUMMYFUNCTION("""COMPUTED_VALUE"""),"yikes-dog")</f>
        <v>yikes-dog</v>
      </c>
      <c r="B14547" s="2" t="str">
        <f ca="1">IFERROR(__xludf.DUMMYFUNCTION("""COMPUTED_VALUE"""),"yikes")</f>
        <v>yikes</v>
      </c>
      <c r="C14547" s="2" t="str">
        <f ca="1">IFERROR(__xludf.DUMMYFUNCTION("""COMPUTED_VALUE"""),"Yikes Dog")</f>
        <v>Yikes Dog</v>
      </c>
    </row>
    <row r="14548" spans="1:3" x14ac:dyDescent="0.25">
      <c r="A14548" s="2" t="str">
        <f ca="1">IFERROR(__xludf.DUMMYFUNCTION("""COMPUTED_VALUE"""),"yocoinyoco")</f>
        <v>yocoinyoco</v>
      </c>
      <c r="B14548" s="2" t="str">
        <f ca="1">IFERROR(__xludf.DUMMYFUNCTION("""COMPUTED_VALUE"""),"yoco")</f>
        <v>yoco</v>
      </c>
      <c r="C14548" s="2" t="str">
        <f ca="1">IFERROR(__xludf.DUMMYFUNCTION("""COMPUTED_VALUE"""),"YocoinYOCO")</f>
        <v>YocoinYOCO</v>
      </c>
    </row>
    <row r="14549" spans="1:3" x14ac:dyDescent="0.25">
      <c r="A14549" s="2" t="str">
        <f ca="1">IFERROR(__xludf.DUMMYFUNCTION("""COMPUTED_VALUE"""),"yoda-coin-swap")</f>
        <v>yoda-coin-swap</v>
      </c>
      <c r="B14549" s="2" t="str">
        <f ca="1">IFERROR(__xludf.DUMMYFUNCTION("""COMPUTED_VALUE"""),"jedals")</f>
        <v>jedals</v>
      </c>
      <c r="C14549" s="2" t="str">
        <f ca="1">IFERROR(__xludf.DUMMYFUNCTION("""COMPUTED_VALUE"""),"Yoda Coin Swap")</f>
        <v>Yoda Coin Swap</v>
      </c>
    </row>
    <row r="14550" spans="1:3" x14ac:dyDescent="0.25">
      <c r="A14550" s="2" t="str">
        <f ca="1">IFERROR(__xludf.DUMMYFUNCTION("""COMPUTED_VALUE"""),"yodeswap")</f>
        <v>yodeswap</v>
      </c>
      <c r="B14550" s="2" t="str">
        <f ca="1">IFERROR(__xludf.DUMMYFUNCTION("""COMPUTED_VALUE"""),"yode")</f>
        <v>yode</v>
      </c>
      <c r="C14550" s="2" t="str">
        <f ca="1">IFERROR(__xludf.DUMMYFUNCTION("""COMPUTED_VALUE"""),"YodeSwap")</f>
        <v>YodeSwap</v>
      </c>
    </row>
    <row r="14551" spans="1:3" x14ac:dyDescent="0.25">
      <c r="A14551" s="2" t="str">
        <f ca="1">IFERROR(__xludf.DUMMYFUNCTION("""COMPUTED_VALUE"""),"yokaiswap")</f>
        <v>yokaiswap</v>
      </c>
      <c r="B14551" s="2" t="str">
        <f ca="1">IFERROR(__xludf.DUMMYFUNCTION("""COMPUTED_VALUE"""),"yok")</f>
        <v>yok</v>
      </c>
      <c r="C14551" s="2" t="str">
        <f ca="1">IFERROR(__xludf.DUMMYFUNCTION("""COMPUTED_VALUE"""),"YokaiSwap")</f>
        <v>YokaiSwap</v>
      </c>
    </row>
    <row r="14552" spans="1:3" x14ac:dyDescent="0.25">
      <c r="A14552" s="2" t="str">
        <f ca="1">IFERROR(__xludf.DUMMYFUNCTION("""COMPUTED_VALUE"""),"yolo")</f>
        <v>yolo</v>
      </c>
      <c r="B14552" s="2" t="str">
        <f ca="1">IFERROR(__xludf.DUMMYFUNCTION("""COMPUTED_VALUE"""),"yolo")</f>
        <v>yolo</v>
      </c>
      <c r="C14552" s="2" t="str">
        <f ca="1">IFERROR(__xludf.DUMMYFUNCTION("""COMPUTED_VALUE"""),"YOLO")</f>
        <v>YOLO</v>
      </c>
    </row>
    <row r="14553" spans="1:3" x14ac:dyDescent="0.25">
      <c r="A14553" s="2" t="str">
        <f ca="1">IFERROR(__xludf.DUMMYFUNCTION("""COMPUTED_VALUE"""),"yolo-games")</f>
        <v>yolo-games</v>
      </c>
      <c r="B14553" s="2" t="str">
        <f ca="1">IFERROR(__xludf.DUMMYFUNCTION("""COMPUTED_VALUE"""),"yolo")</f>
        <v>yolo</v>
      </c>
      <c r="C14553" s="2" t="str">
        <f ca="1">IFERROR(__xludf.DUMMYFUNCTION("""COMPUTED_VALUE"""),"YOLO Games")</f>
        <v>YOLO Games</v>
      </c>
    </row>
    <row r="14554" spans="1:3" x14ac:dyDescent="0.25">
      <c r="A14554" s="2" t="str">
        <f ca="1">IFERROR(__xludf.DUMMYFUNCTION("""COMPUTED_VALUE"""),"yooldo")</f>
        <v>yooldo</v>
      </c>
      <c r="B14554" s="2" t="str">
        <f ca="1">IFERROR(__xludf.DUMMYFUNCTION("""COMPUTED_VALUE"""),"yool")</f>
        <v>yool</v>
      </c>
      <c r="C14554" s="2" t="str">
        <f ca="1">IFERROR(__xludf.DUMMYFUNCTION("""COMPUTED_VALUE"""),"Yooldo")</f>
        <v>Yooldo</v>
      </c>
    </row>
    <row r="14555" spans="1:3" x14ac:dyDescent="0.25">
      <c r="A14555" s="2" t="str">
        <f ca="1">IFERROR(__xludf.DUMMYFUNCTION("""COMPUTED_VALUE"""),"yooshi")</f>
        <v>yooshi</v>
      </c>
      <c r="B14555" s="2" t="str">
        <f ca="1">IFERROR(__xludf.DUMMYFUNCTION("""COMPUTED_VALUE"""),"yooshi")</f>
        <v>yooshi</v>
      </c>
      <c r="C14555" s="2" t="str">
        <f ca="1">IFERROR(__xludf.DUMMYFUNCTION("""COMPUTED_VALUE"""),"YooShi")</f>
        <v>YooShi</v>
      </c>
    </row>
    <row r="14556" spans="1:3" x14ac:dyDescent="0.25">
      <c r="A14556" s="2" t="str">
        <f ca="1">IFERROR(__xludf.DUMMYFUNCTION("""COMPUTED_VALUE"""),"yoshi-exchange")</f>
        <v>yoshi-exchange</v>
      </c>
      <c r="B14556" s="2" t="str">
        <f ca="1">IFERROR(__xludf.DUMMYFUNCTION("""COMPUTED_VALUE"""),"yoshi")</f>
        <v>yoshi</v>
      </c>
      <c r="C14556" s="2" t="str">
        <f ca="1">IFERROR(__xludf.DUMMYFUNCTION("""COMPUTED_VALUE"""),"Yoshi.exchange")</f>
        <v>Yoshi.exchange</v>
      </c>
    </row>
    <row r="14557" spans="1:3" x14ac:dyDescent="0.25">
      <c r="A14557" s="2" t="str">
        <f ca="1">IFERROR(__xludf.DUMMYFUNCTION("""COMPUTED_VALUE"""),"yotoshi")</f>
        <v>yotoshi</v>
      </c>
      <c r="B14557" s="2" t="str">
        <f ca="1">IFERROR(__xludf.DUMMYFUNCTION("""COMPUTED_VALUE"""),"yoto")</f>
        <v>yoto</v>
      </c>
      <c r="C14557" s="2" t="str">
        <f ca="1">IFERROR(__xludf.DUMMYFUNCTION("""COMPUTED_VALUE"""),"Yotoshi")</f>
        <v>Yotoshi</v>
      </c>
    </row>
    <row r="14558" spans="1:3" x14ac:dyDescent="0.25">
      <c r="A14558" s="2" t="str">
        <f ca="1">IFERROR(__xludf.DUMMYFUNCTION("""COMPUTED_VALUE"""),"youclout")</f>
        <v>youclout</v>
      </c>
      <c r="B14558" s="2" t="str">
        <f ca="1">IFERROR(__xludf.DUMMYFUNCTION("""COMPUTED_VALUE"""),"yct")</f>
        <v>yct</v>
      </c>
      <c r="C14558" s="2" t="str">
        <f ca="1">IFERROR(__xludf.DUMMYFUNCTION("""COMPUTED_VALUE"""),"Youclout")</f>
        <v>Youclout</v>
      </c>
    </row>
    <row r="14559" spans="1:3" x14ac:dyDescent="0.25">
      <c r="A14559" s="2" t="str">
        <f ca="1">IFERROR(__xludf.DUMMYFUNCTION("""COMPUTED_VALUE"""),"youcoin-2")</f>
        <v>youcoin-2</v>
      </c>
      <c r="B14559" s="2" t="str">
        <f ca="1">IFERROR(__xludf.DUMMYFUNCTION("""COMPUTED_VALUE"""),"you")</f>
        <v>you</v>
      </c>
      <c r="C14559" s="2" t="str">
        <f ca="1">IFERROR(__xludf.DUMMYFUNCTION("""COMPUTED_VALUE"""),"Youcoin")</f>
        <v>Youcoin</v>
      </c>
    </row>
    <row r="14560" spans="1:3" x14ac:dyDescent="0.25">
      <c r="A14560" s="2" t="str">
        <f ca="1">IFERROR(__xludf.DUMMYFUNCTION("""COMPUTED_VALUE"""),"you-looked")</f>
        <v>you-looked</v>
      </c>
      <c r="B14560" s="2" t="str">
        <f ca="1">IFERROR(__xludf.DUMMYFUNCTION("""COMPUTED_VALUE"""),"circle")</f>
        <v>circle</v>
      </c>
      <c r="C14560" s="2" t="str">
        <f ca="1">IFERROR(__xludf.DUMMYFUNCTION("""COMPUTED_VALUE"""),"You Looked")</f>
        <v>You Looked</v>
      </c>
    </row>
    <row r="14561" spans="1:3" x14ac:dyDescent="0.25">
      <c r="A14561" s="2" t="str">
        <f ca="1">IFERROR(__xludf.DUMMYFUNCTION("""COMPUTED_VALUE"""),"younes")</f>
        <v>younes</v>
      </c>
      <c r="B14561" s="2" t="str">
        <f ca="1">IFERROR(__xludf.DUMMYFUNCTION("""COMPUTED_VALUE"""),"younes")</f>
        <v>younes</v>
      </c>
      <c r="C14561" s="2" t="str">
        <f ca="1">IFERROR(__xludf.DUMMYFUNCTION("""COMPUTED_VALUE"""),"YOUNES")</f>
        <v>YOUNES</v>
      </c>
    </row>
    <row r="14562" spans="1:3" x14ac:dyDescent="0.25">
      <c r="A14562" s="2" t="str">
        <f ca="1">IFERROR(__xludf.DUMMYFUNCTION("""COMPUTED_VALUE"""),"young-boys-fan-token")</f>
        <v>young-boys-fan-token</v>
      </c>
      <c r="B14562" s="2" t="str">
        <f ca="1">IFERROR(__xludf.DUMMYFUNCTION("""COMPUTED_VALUE"""),"ybo")</f>
        <v>ybo</v>
      </c>
      <c r="C14562" s="2" t="str">
        <f ca="1">IFERROR(__xludf.DUMMYFUNCTION("""COMPUTED_VALUE"""),"Young Boys Fan Token")</f>
        <v>Young Boys Fan Token</v>
      </c>
    </row>
    <row r="14563" spans="1:3" x14ac:dyDescent="0.25">
      <c r="A14563" s="2" t="str">
        <f ca="1">IFERROR(__xludf.DUMMYFUNCTION("""COMPUTED_VALUE"""),"young-mids-inspired")</f>
        <v>young-mids-inspired</v>
      </c>
      <c r="B14563" s="2" t="str">
        <f ca="1">IFERROR(__xludf.DUMMYFUNCTION("""COMPUTED_VALUE"""),"ymii")</f>
        <v>ymii</v>
      </c>
      <c r="C14563" s="2" t="str">
        <f ca="1">IFERROR(__xludf.DUMMYFUNCTION("""COMPUTED_VALUE"""),"Young Mids Inspired")</f>
        <v>Young Mids Inspired</v>
      </c>
    </row>
    <row r="14564" spans="1:3" x14ac:dyDescent="0.25">
      <c r="A14564" s="2" t="str">
        <f ca="1">IFERROR(__xludf.DUMMYFUNCTION("""COMPUTED_VALUE"""),"young-peezy")</f>
        <v>young-peezy</v>
      </c>
      <c r="B14564" s="2" t="str">
        <f ca="1">IFERROR(__xludf.DUMMYFUNCTION("""COMPUTED_VALUE"""),"peezy")</f>
        <v>peezy</v>
      </c>
      <c r="C14564" s="2" t="str">
        <f ca="1">IFERROR(__xludf.DUMMYFUNCTION("""COMPUTED_VALUE"""),"Young Peezy")</f>
        <v>Young Peezy</v>
      </c>
    </row>
    <row r="14565" spans="1:3" x14ac:dyDescent="0.25">
      <c r="A14565" s="2" t="str">
        <f ca="1">IFERROR(__xludf.DUMMYFUNCTION("""COMPUTED_VALUE"""),"young-peezy-2")</f>
        <v>young-peezy-2</v>
      </c>
      <c r="B14565" s="2" t="str">
        <f ca="1">IFERROR(__xludf.DUMMYFUNCTION("""COMPUTED_VALUE"""),"peezy")</f>
        <v>peezy</v>
      </c>
      <c r="C14565" s="2" t="str">
        <f ca="1">IFERROR(__xludf.DUMMYFUNCTION("""COMPUTED_VALUE"""),"Young Peezy")</f>
        <v>Young Peezy</v>
      </c>
    </row>
    <row r="14566" spans="1:3" x14ac:dyDescent="0.25">
      <c r="A14566" s="2" t="str">
        <f ca="1">IFERROR(__xludf.DUMMYFUNCTION("""COMPUTED_VALUE"""),"young-peezy-aka-pepe")</f>
        <v>young-peezy-aka-pepe</v>
      </c>
      <c r="B14566" s="2" t="str">
        <f ca="1">IFERROR(__xludf.DUMMYFUNCTION("""COMPUTED_VALUE"""),"peezy")</f>
        <v>peezy</v>
      </c>
      <c r="C14566" s="2" t="str">
        <f ca="1">IFERROR(__xludf.DUMMYFUNCTION("""COMPUTED_VALUE"""),"Young Peezy AKA Pepe")</f>
        <v>Young Peezy AKA Pepe</v>
      </c>
    </row>
    <row r="14567" spans="1:3" x14ac:dyDescent="0.25">
      <c r="A14567" s="2" t="str">
        <f ca="1">IFERROR(__xludf.DUMMYFUNCTION("""COMPUTED_VALUE"""),"your-ai")</f>
        <v>your-ai</v>
      </c>
      <c r="B14567" s="2" t="str">
        <f ca="1">IFERROR(__xludf.DUMMYFUNCTION("""COMPUTED_VALUE"""),"yourai")</f>
        <v>yourai</v>
      </c>
      <c r="C14567" s="2" t="str">
        <f ca="1">IFERROR(__xludf.DUMMYFUNCTION("""COMPUTED_VALUE"""),"YOUR AI")</f>
        <v>YOUR AI</v>
      </c>
    </row>
    <row r="14568" spans="1:3" x14ac:dyDescent="0.25">
      <c r="A14568" s="2" t="str">
        <f ca="1">IFERROR(__xludf.DUMMYFUNCTION("""COMPUTED_VALUE"""),"yourkiss")</f>
        <v>yourkiss</v>
      </c>
      <c r="B14568" s="2" t="str">
        <f ca="1">IFERROR(__xludf.DUMMYFUNCTION("""COMPUTED_VALUE"""),"yks")</f>
        <v>yks</v>
      </c>
      <c r="C14568" s="2" t="str">
        <f ca="1">IFERROR(__xludf.DUMMYFUNCTION("""COMPUTED_VALUE"""),"YourKiss")</f>
        <v>YourKiss</v>
      </c>
    </row>
    <row r="14569" spans="1:3" x14ac:dyDescent="0.25">
      <c r="A14569" s="2" t="str">
        <f ca="1">IFERROR(__xludf.DUMMYFUNCTION("""COMPUTED_VALUE"""),"yourmom")</f>
        <v>yourmom</v>
      </c>
      <c r="B14569" s="2" t="str">
        <f ca="1">IFERROR(__xludf.DUMMYFUNCTION("""COMPUTED_VALUE"""),"yourmom")</f>
        <v>yourmom</v>
      </c>
      <c r="C14569" s="2" t="str">
        <f ca="1">IFERROR(__xludf.DUMMYFUNCTION("""COMPUTED_VALUE"""),"YourMom")</f>
        <v>YourMom</v>
      </c>
    </row>
    <row r="14570" spans="1:3" x14ac:dyDescent="0.25">
      <c r="A14570" s="2" t="str">
        <f ca="1">IFERROR(__xludf.DUMMYFUNCTION("""COMPUTED_VALUE"""),"your-open-metaverse")</f>
        <v>your-open-metaverse</v>
      </c>
      <c r="B14570" s="2" t="str">
        <f ca="1">IFERROR(__xludf.DUMMYFUNCTION("""COMPUTED_VALUE"""),"yom")</f>
        <v>yom</v>
      </c>
      <c r="C14570" s="2" t="str">
        <f ca="1">IFERROR(__xludf.DUMMYFUNCTION("""COMPUTED_VALUE"""),"YOM")</f>
        <v>YOM</v>
      </c>
    </row>
    <row r="14571" spans="1:3" x14ac:dyDescent="0.25">
      <c r="A14571" s="2" t="str">
        <f ca="1">IFERROR(__xludf.DUMMYFUNCTION("""COMPUTED_VALUE"""),"yousui")</f>
        <v>yousui</v>
      </c>
      <c r="B14571" s="2" t="str">
        <f ca="1">IFERROR(__xludf.DUMMYFUNCTION("""COMPUTED_VALUE"""),"xui")</f>
        <v>xui</v>
      </c>
      <c r="C14571" s="2" t="str">
        <f ca="1">IFERROR(__xludf.DUMMYFUNCTION("""COMPUTED_VALUE"""),"YouSUI")</f>
        <v>YouSUI</v>
      </c>
    </row>
    <row r="14572" spans="1:3" x14ac:dyDescent="0.25">
      <c r="A14572" s="2" t="str">
        <f ca="1">IFERROR(__xludf.DUMMYFUNCTION("""COMPUTED_VALUE"""),"youves-uusd")</f>
        <v>youves-uusd</v>
      </c>
      <c r="B14572" s="2" t="str">
        <f ca="1">IFERROR(__xludf.DUMMYFUNCTION("""COMPUTED_VALUE"""),"uusd")</f>
        <v>uusd</v>
      </c>
      <c r="C14572" s="2" t="str">
        <f ca="1">IFERROR(__xludf.DUMMYFUNCTION("""COMPUTED_VALUE"""),"Youves uUSD")</f>
        <v>Youves uUSD</v>
      </c>
    </row>
    <row r="14573" spans="1:3" x14ac:dyDescent="0.25">
      <c r="A14573" s="2" t="str">
        <f ca="1">IFERROR(__xludf.DUMMYFUNCTION("""COMPUTED_VALUE"""),"youves-you-governance")</f>
        <v>youves-you-governance</v>
      </c>
      <c r="B14573" s="2" t="str">
        <f ca="1">IFERROR(__xludf.DUMMYFUNCTION("""COMPUTED_VALUE"""),"you")</f>
        <v>you</v>
      </c>
      <c r="C14573" s="2" t="str">
        <f ca="1">IFERROR(__xludf.DUMMYFUNCTION("""COMPUTED_VALUE"""),"Youves YOU Governance")</f>
        <v>Youves YOU Governance</v>
      </c>
    </row>
    <row r="14574" spans="1:3" x14ac:dyDescent="0.25">
      <c r="A14574" s="2" t="str">
        <f ca="1">IFERROR(__xludf.DUMMYFUNCTION("""COMPUTED_VALUE"""),"youwho")</f>
        <v>youwho</v>
      </c>
      <c r="B14574" s="2" t="str">
        <f ca="1">IFERROR(__xludf.DUMMYFUNCTION("""COMPUTED_VALUE"""),"you")</f>
        <v>you</v>
      </c>
      <c r="C14574" s="2" t="str">
        <f ca="1">IFERROR(__xludf.DUMMYFUNCTION("""COMPUTED_VALUE"""),"Youwho")</f>
        <v>Youwho</v>
      </c>
    </row>
    <row r="14575" spans="1:3" x14ac:dyDescent="0.25">
      <c r="A14575" s="2" t="str">
        <f ca="1">IFERROR(__xludf.DUMMYFUNCTION("""COMPUTED_VALUE"""),"yoyo")</f>
        <v>yoyo</v>
      </c>
      <c r="B14575" s="2" t="str">
        <f ca="1">IFERROR(__xludf.DUMMYFUNCTION("""COMPUTED_VALUE"""),"yoyo")</f>
        <v>yoyo</v>
      </c>
      <c r="C14575" s="2" t="str">
        <f ca="1">IFERROR(__xludf.DUMMYFUNCTION("""COMPUTED_VALUE"""),"Yoyo")</f>
        <v>Yoyo</v>
      </c>
    </row>
    <row r="14576" spans="1:3" x14ac:dyDescent="0.25">
      <c r="A14576" s="2" t="str">
        <f ca="1">IFERROR(__xludf.DUMMYFUNCTION("""COMPUTED_VALUE"""),"yoyo-market")</f>
        <v>yoyo-market</v>
      </c>
      <c r="B14576" s="2" t="str">
        <f ca="1">IFERROR(__xludf.DUMMYFUNCTION("""COMPUTED_VALUE"""),"yoyo")</f>
        <v>yoyo</v>
      </c>
      <c r="C14576" s="2" t="str">
        <f ca="1">IFERROR(__xludf.DUMMYFUNCTION("""COMPUTED_VALUE"""),"Yoyo Market")</f>
        <v>Yoyo Market</v>
      </c>
    </row>
    <row r="14577" spans="1:3" x14ac:dyDescent="0.25">
      <c r="A14577" s="2" t="str">
        <f ca="1">IFERROR(__xludf.DUMMYFUNCTION("""COMPUTED_VALUE"""),"yozi-protocol")</f>
        <v>yozi-protocol</v>
      </c>
      <c r="B14577" s="2" t="str">
        <f ca="1">IFERROR(__xludf.DUMMYFUNCTION("""COMPUTED_VALUE"""),"yozi")</f>
        <v>yozi</v>
      </c>
      <c r="C14577" s="2" t="str">
        <f ca="1">IFERROR(__xludf.DUMMYFUNCTION("""COMPUTED_VALUE"""),"YoZi Protocol")</f>
        <v>YoZi Protocol</v>
      </c>
    </row>
    <row r="14578" spans="1:3" x14ac:dyDescent="0.25">
      <c r="A14578" s="2" t="str">
        <f ca="1">IFERROR(__xludf.DUMMYFUNCTION("""COMPUTED_VALUE"""),"yuge-meme")</f>
        <v>yuge-meme</v>
      </c>
      <c r="B14578" s="2" t="str">
        <f ca="1">IFERROR(__xludf.DUMMYFUNCTION("""COMPUTED_VALUE"""),"yuge")</f>
        <v>yuge</v>
      </c>
      <c r="C14578" s="2" t="str">
        <f ca="1">IFERROR(__xludf.DUMMYFUNCTION("""COMPUTED_VALUE"""),"Yuge Meme")</f>
        <v>Yuge Meme</v>
      </c>
    </row>
    <row r="14579" spans="1:3" x14ac:dyDescent="0.25">
      <c r="A14579" s="2" t="str">
        <f ca="1">IFERROR(__xludf.DUMMYFUNCTION("""COMPUTED_VALUE"""),"yuge-on-eth")</f>
        <v>yuge-on-eth</v>
      </c>
      <c r="B14579" s="2" t="str">
        <f ca="1">IFERROR(__xludf.DUMMYFUNCTION("""COMPUTED_VALUE"""),"yuge")</f>
        <v>yuge</v>
      </c>
      <c r="C14579" s="2" t="str">
        <f ca="1">IFERROR(__xludf.DUMMYFUNCTION("""COMPUTED_VALUE"""),"Yuge")</f>
        <v>Yuge</v>
      </c>
    </row>
    <row r="14580" spans="1:3" x14ac:dyDescent="0.25">
      <c r="A14580" s="2" t="str">
        <f ca="1">IFERROR(__xludf.DUMMYFUNCTION("""COMPUTED_VALUE"""),"yukie")</f>
        <v>yukie</v>
      </c>
      <c r="B14580" s="2" t="str">
        <f ca="1">IFERROR(__xludf.DUMMYFUNCTION("""COMPUTED_VALUE"""),"yukie")</f>
        <v>yukie</v>
      </c>
      <c r="C14580" s="2" t="str">
        <f ca="1">IFERROR(__xludf.DUMMYFUNCTION("""COMPUTED_VALUE"""),"Yukie")</f>
        <v>Yukie</v>
      </c>
    </row>
    <row r="14581" spans="1:3" x14ac:dyDescent="0.25">
      <c r="A14581" s="2" t="str">
        <f ca="1">IFERROR(__xludf.DUMMYFUNCTION("""COMPUTED_VALUE"""),"yukky")</f>
        <v>yukky</v>
      </c>
      <c r="B14581" s="2" t="str">
        <f ca="1">IFERROR(__xludf.DUMMYFUNCTION("""COMPUTED_VALUE"""),"yukky")</f>
        <v>yukky</v>
      </c>
      <c r="C14581" s="2" t="str">
        <f ca="1">IFERROR(__xludf.DUMMYFUNCTION("""COMPUTED_VALUE"""),"YUKKY")</f>
        <v>YUKKY</v>
      </c>
    </row>
    <row r="14582" spans="1:3" x14ac:dyDescent="0.25">
      <c r="A14582" s="2" t="str">
        <f ca="1">IFERROR(__xludf.DUMMYFUNCTION("""COMPUTED_VALUE"""),"yum")</f>
        <v>yum</v>
      </c>
      <c r="B14582" s="2" t="str">
        <f ca="1">IFERROR(__xludf.DUMMYFUNCTION("""COMPUTED_VALUE"""),"yum")</f>
        <v>yum</v>
      </c>
      <c r="C14582" s="2" t="str">
        <f ca="1">IFERROR(__xludf.DUMMYFUNCTION("""COMPUTED_VALUE"""),"Yum")</f>
        <v>Yum</v>
      </c>
    </row>
    <row r="14583" spans="1:3" x14ac:dyDescent="0.25">
      <c r="A14583" s="2" t="str">
        <f ca="1">IFERROR(__xludf.DUMMYFUNCTION("""COMPUTED_VALUE"""),"yumi")</f>
        <v>yumi</v>
      </c>
      <c r="B14583" s="2" t="str">
        <f ca="1">IFERROR(__xludf.DUMMYFUNCTION("""COMPUTED_VALUE"""),"$yumi")</f>
        <v>$yumi</v>
      </c>
      <c r="C14583" s="2" t="str">
        <f ca="1">IFERROR(__xludf.DUMMYFUNCTION("""COMPUTED_VALUE"""),"Yumi")</f>
        <v>Yumi</v>
      </c>
    </row>
    <row r="14584" spans="1:3" x14ac:dyDescent="0.25">
      <c r="A14584" s="2" t="str">
        <f ca="1">IFERROR(__xludf.DUMMYFUNCTION("""COMPUTED_VALUE"""),"yummi-universe")</f>
        <v>yummi-universe</v>
      </c>
      <c r="B14584" s="2" t="str">
        <f ca="1">IFERROR(__xludf.DUMMYFUNCTION("""COMPUTED_VALUE"""),"yummi")</f>
        <v>yummi</v>
      </c>
      <c r="C14584" s="2" t="str">
        <f ca="1">IFERROR(__xludf.DUMMYFUNCTION("""COMPUTED_VALUE"""),"Yummi Universe")</f>
        <v>Yummi Universe</v>
      </c>
    </row>
    <row r="14585" spans="1:3" x14ac:dyDescent="0.25">
      <c r="A14585" s="2" t="str">
        <f ca="1">IFERROR(__xludf.DUMMYFUNCTION("""COMPUTED_VALUE"""),"yummy")</f>
        <v>yummy</v>
      </c>
      <c r="B14585" s="2" t="str">
        <f ca="1">IFERROR(__xludf.DUMMYFUNCTION("""COMPUTED_VALUE"""),"yummy")</f>
        <v>yummy</v>
      </c>
      <c r="C14585" s="2" t="str">
        <f ca="1">IFERROR(__xludf.DUMMYFUNCTION("""COMPUTED_VALUE"""),"Yummy")</f>
        <v>Yummy</v>
      </c>
    </row>
    <row r="14586" spans="1:3" x14ac:dyDescent="0.25">
      <c r="A14586" s="2" t="str">
        <f ca="1">IFERROR(__xludf.DUMMYFUNCTION("""COMPUTED_VALUE"""),"yunki")</f>
        <v>yunki</v>
      </c>
      <c r="B14586" s="2" t="str">
        <f ca="1">IFERROR(__xludf.DUMMYFUNCTION("""COMPUTED_VALUE"""),"yunki")</f>
        <v>yunki</v>
      </c>
      <c r="C14586" s="2" t="str">
        <f ca="1">IFERROR(__xludf.DUMMYFUNCTION("""COMPUTED_VALUE"""),"Yunki")</f>
        <v>Yunki</v>
      </c>
    </row>
    <row r="14587" spans="1:3" x14ac:dyDescent="0.25">
      <c r="A14587" s="2" t="str">
        <f ca="1">IFERROR(__xludf.DUMMYFUNCTION("""COMPUTED_VALUE"""),"yup")</f>
        <v>yup</v>
      </c>
      <c r="B14587" s="2" t="str">
        <f ca="1">IFERROR(__xludf.DUMMYFUNCTION("""COMPUTED_VALUE"""),"yup")</f>
        <v>yup</v>
      </c>
      <c r="C14587" s="2" t="str">
        <f ca="1">IFERROR(__xludf.DUMMYFUNCTION("""COMPUTED_VALUE"""),"Yup")</f>
        <v>Yup</v>
      </c>
    </row>
    <row r="14588" spans="1:3" x14ac:dyDescent="0.25">
      <c r="A14588" s="2" t="str">
        <f ca="1">IFERROR(__xludf.DUMMYFUNCTION("""COMPUTED_VALUE"""),"yuro-2024")</f>
        <v>yuro-2024</v>
      </c>
      <c r="B14588" s="2" t="str">
        <f ca="1">IFERROR(__xludf.DUMMYFUNCTION("""COMPUTED_VALUE"""),"yuro")</f>
        <v>yuro</v>
      </c>
      <c r="C14588" s="2" t="str">
        <f ca="1">IFERROR(__xludf.DUMMYFUNCTION("""COMPUTED_VALUE"""),"Yuro 2024")</f>
        <v>Yuro 2024</v>
      </c>
    </row>
    <row r="14589" spans="1:3" x14ac:dyDescent="0.25">
      <c r="A14589" s="2" t="str">
        <f ca="1">IFERROR(__xludf.DUMMYFUNCTION("""COMPUTED_VALUE"""),"yusd-stablecoin")</f>
        <v>yusd-stablecoin</v>
      </c>
      <c r="B14589" s="2" t="str">
        <f ca="1">IFERROR(__xludf.DUMMYFUNCTION("""COMPUTED_VALUE"""),"yusd")</f>
        <v>yusd</v>
      </c>
      <c r="C14589" s="2" t="str">
        <f ca="1">IFERROR(__xludf.DUMMYFUNCTION("""COMPUTED_VALUE"""),"YUSD Stablecoin")</f>
        <v>YUSD Stablecoin</v>
      </c>
    </row>
    <row r="14590" spans="1:3" x14ac:dyDescent="0.25">
      <c r="A14590" s="2" t="str">
        <f ca="1">IFERROR(__xludf.DUMMYFUNCTION("""COMPUTED_VALUE"""),"yvboost")</f>
        <v>yvboost</v>
      </c>
      <c r="B14590" s="2" t="str">
        <f ca="1">IFERROR(__xludf.DUMMYFUNCTION("""COMPUTED_VALUE"""),"yvboost")</f>
        <v>yvboost</v>
      </c>
      <c r="C14590" s="2" t="str">
        <f ca="1">IFERROR(__xludf.DUMMYFUNCTION("""COMPUTED_VALUE"""),"Yearn Compounding veCRV yVault")</f>
        <v>Yearn Compounding veCRV yVault</v>
      </c>
    </row>
    <row r="14591" spans="1:3" x14ac:dyDescent="0.25">
      <c r="A14591" s="2" t="str">
        <f ca="1">IFERROR(__xludf.DUMMYFUNCTION("""COMPUTED_VALUE"""),"yvdai")</f>
        <v>yvdai</v>
      </c>
      <c r="B14591" s="2" t="str">
        <f ca="1">IFERROR(__xludf.DUMMYFUNCTION("""COMPUTED_VALUE"""),"yvdai")</f>
        <v>yvdai</v>
      </c>
      <c r="C14591" s="2" t="str">
        <f ca="1">IFERROR(__xludf.DUMMYFUNCTION("""COMPUTED_VALUE"""),"yvDAI")</f>
        <v>yvDAI</v>
      </c>
    </row>
    <row r="14592" spans="1:3" x14ac:dyDescent="0.25">
      <c r="A14592" s="2" t="str">
        <f ca="1">IFERROR(__xludf.DUMMYFUNCTION("""COMPUTED_VALUE"""),"yyolo")</f>
        <v>yyolo</v>
      </c>
      <c r="B14592" s="2" t="str">
        <f ca="1">IFERROR(__xludf.DUMMYFUNCTION("""COMPUTED_VALUE"""),"yyolo")</f>
        <v>yyolo</v>
      </c>
      <c r="C14592" s="2" t="str">
        <f ca="1">IFERROR(__xludf.DUMMYFUNCTION("""COMPUTED_VALUE"""),"yYOLO")</f>
        <v>yYOLO</v>
      </c>
    </row>
    <row r="14593" spans="1:3" x14ac:dyDescent="0.25">
      <c r="A14593" s="2" t="str">
        <f ca="1">IFERROR(__xludf.DUMMYFUNCTION("""COMPUTED_VALUE"""),"zack-morris")</f>
        <v>zack-morris</v>
      </c>
      <c r="B14593" s="2" t="str">
        <f ca="1">IFERROR(__xludf.DUMMYFUNCTION("""COMPUTED_VALUE"""),"zack")</f>
        <v>zack</v>
      </c>
      <c r="C14593" s="2" t="str">
        <f ca="1">IFERROR(__xludf.DUMMYFUNCTION("""COMPUTED_VALUE"""),"Zack Morris")</f>
        <v>Zack Morris</v>
      </c>
    </row>
    <row r="14594" spans="1:3" x14ac:dyDescent="0.25">
      <c r="A14594" s="2" t="str">
        <f ca="1">IFERROR(__xludf.DUMMYFUNCTION("""COMPUTED_VALUE"""),"zada")</f>
        <v>zada</v>
      </c>
      <c r="B14594" s="2" t="str">
        <f ca="1">IFERROR(__xludf.DUMMYFUNCTION("""COMPUTED_VALUE"""),"zada")</f>
        <v>zada</v>
      </c>
      <c r="C14594" s="2" t="str">
        <f ca="1">IFERROR(__xludf.DUMMYFUNCTION("""COMPUTED_VALUE"""),"Zada")</f>
        <v>Zada</v>
      </c>
    </row>
    <row r="14595" spans="1:3" x14ac:dyDescent="0.25">
      <c r="A14595" s="2" t="str">
        <f ca="1">IFERROR(__xludf.DUMMYFUNCTION("""COMPUTED_VALUE"""),"zaibot")</f>
        <v>zaibot</v>
      </c>
      <c r="B14595" s="2" t="str">
        <f ca="1">IFERROR(__xludf.DUMMYFUNCTION("""COMPUTED_VALUE"""),"zai")</f>
        <v>zai</v>
      </c>
      <c r="C14595" s="2" t="str">
        <f ca="1">IFERROR(__xludf.DUMMYFUNCTION("""COMPUTED_VALUE"""),"Zaibot")</f>
        <v>Zaibot</v>
      </c>
    </row>
    <row r="14596" spans="1:3" x14ac:dyDescent="0.25">
      <c r="A14596" s="2" t="str">
        <f ca="1">IFERROR(__xludf.DUMMYFUNCTION("""COMPUTED_VALUE"""),"zaif-token")</f>
        <v>zaif-token</v>
      </c>
      <c r="B14596" s="2" t="str">
        <f ca="1">IFERROR(__xludf.DUMMYFUNCTION("""COMPUTED_VALUE"""),"zaif")</f>
        <v>zaif</v>
      </c>
      <c r="C14596" s="2" t="str">
        <f ca="1">IFERROR(__xludf.DUMMYFUNCTION("""COMPUTED_VALUE"""),"Zaif")</f>
        <v>Zaif</v>
      </c>
    </row>
    <row r="14597" spans="1:3" x14ac:dyDescent="0.25">
      <c r="A14597" s="2" t="str">
        <f ca="1">IFERROR(__xludf.DUMMYFUNCTION("""COMPUTED_VALUE"""),"zaiho")</f>
        <v>zaiho</v>
      </c>
      <c r="B14597" s="2" t="str">
        <f ca="1">IFERROR(__xludf.DUMMYFUNCTION("""COMPUTED_VALUE"""),"zai")</f>
        <v>zai</v>
      </c>
      <c r="C14597" s="2" t="str">
        <f ca="1">IFERROR(__xludf.DUMMYFUNCTION("""COMPUTED_VALUE"""),"ZAIHO")</f>
        <v>ZAIHO</v>
      </c>
    </row>
    <row r="14598" spans="1:3" x14ac:dyDescent="0.25">
      <c r="A14598" s="2" t="str">
        <f ca="1">IFERROR(__xludf.DUMMYFUNCTION("""COMPUTED_VALUE"""),"zai-stablecoin")</f>
        <v>zai-stablecoin</v>
      </c>
      <c r="B14598" s="2" t="str">
        <f ca="1">IFERROR(__xludf.DUMMYFUNCTION("""COMPUTED_VALUE"""),"usdz")</f>
        <v>usdz</v>
      </c>
      <c r="C14598" s="2" t="str">
        <f ca="1">IFERROR(__xludf.DUMMYFUNCTION("""COMPUTED_VALUE"""),"ZAI Stablecoin")</f>
        <v>ZAI Stablecoin</v>
      </c>
    </row>
    <row r="14599" spans="1:3" x14ac:dyDescent="0.25">
      <c r="A14599" s="2" t="str">
        <f ca="1">IFERROR(__xludf.DUMMYFUNCTION("""COMPUTED_VALUE"""),"zakumifi")</f>
        <v>zakumifi</v>
      </c>
      <c r="B14599" s="2" t="str">
        <f ca="1">IFERROR(__xludf.DUMMYFUNCTION("""COMPUTED_VALUE"""),"zafi")</f>
        <v>zafi</v>
      </c>
      <c r="C14599" s="2" t="str">
        <f ca="1">IFERROR(__xludf.DUMMYFUNCTION("""COMPUTED_VALUE"""),"ZakumiFi")</f>
        <v>ZakumiFi</v>
      </c>
    </row>
    <row r="14600" spans="1:3" x14ac:dyDescent="0.25">
      <c r="A14600" s="2" t="str">
        <f ca="1">IFERROR(__xludf.DUMMYFUNCTION("""COMPUTED_VALUE"""),"zambesigold")</f>
        <v>zambesigold</v>
      </c>
      <c r="B14600" s="2" t="str">
        <f ca="1">IFERROR(__xludf.DUMMYFUNCTION("""COMPUTED_VALUE"""),"zgd")</f>
        <v>zgd</v>
      </c>
      <c r="C14600" s="2" t="str">
        <f ca="1">IFERROR(__xludf.DUMMYFUNCTION("""COMPUTED_VALUE"""),"ZambesiGold")</f>
        <v>ZambesiGold</v>
      </c>
    </row>
    <row r="14601" spans="1:3" x14ac:dyDescent="0.25">
      <c r="A14601" s="2" t="str">
        <f ca="1">IFERROR(__xludf.DUMMYFUNCTION("""COMPUTED_VALUE"""),"zam-io")</f>
        <v>zam-io</v>
      </c>
      <c r="B14601" s="2" t="str">
        <f ca="1">IFERROR(__xludf.DUMMYFUNCTION("""COMPUTED_VALUE"""),"zam")</f>
        <v>zam</v>
      </c>
      <c r="C14601" s="3" t="str">
        <f ca="1">IFERROR(__xludf.DUMMYFUNCTION("""COMPUTED_VALUE"""),"Zam.io")</f>
        <v>Zam.io</v>
      </c>
    </row>
    <row r="14602" spans="1:3" x14ac:dyDescent="0.25">
      <c r="A14602" s="2" t="str">
        <f ca="1">IFERROR(__xludf.DUMMYFUNCTION("""COMPUTED_VALUE"""),"zanix")</f>
        <v>zanix</v>
      </c>
      <c r="B14602" s="2" t="str">
        <f ca="1">IFERROR(__xludf.DUMMYFUNCTION("""COMPUTED_VALUE"""),"nix")</f>
        <v>nix</v>
      </c>
      <c r="C14602" s="2" t="str">
        <f ca="1">IFERROR(__xludf.DUMMYFUNCTION("""COMPUTED_VALUE"""),"Zanix")</f>
        <v>Zanix</v>
      </c>
    </row>
    <row r="14603" spans="1:3" x14ac:dyDescent="0.25">
      <c r="A14603" s="2" t="str">
        <f ca="1">IFERROR(__xludf.DUMMYFUNCTION("""COMPUTED_VALUE"""),"zano")</f>
        <v>zano</v>
      </c>
      <c r="B14603" s="2" t="str">
        <f ca="1">IFERROR(__xludf.DUMMYFUNCTION("""COMPUTED_VALUE"""),"zano")</f>
        <v>zano</v>
      </c>
      <c r="C14603" s="2" t="str">
        <f ca="1">IFERROR(__xludf.DUMMYFUNCTION("""COMPUTED_VALUE"""),"Zano")</f>
        <v>Zano</v>
      </c>
    </row>
    <row r="14604" spans="1:3" x14ac:dyDescent="0.25">
      <c r="A14604" s="2" t="str">
        <f ca="1">IFERROR(__xludf.DUMMYFUNCTION("""COMPUTED_VALUE"""),"zap")</f>
        <v>zap</v>
      </c>
      <c r="B14604" s="2" t="str">
        <f ca="1">IFERROR(__xludf.DUMMYFUNCTION("""COMPUTED_VALUE"""),"zap")</f>
        <v>zap</v>
      </c>
      <c r="C14604" s="2" t="str">
        <f ca="1">IFERROR(__xludf.DUMMYFUNCTION("""COMPUTED_VALUE"""),"Zap")</f>
        <v>Zap</v>
      </c>
    </row>
    <row r="14605" spans="1:3" x14ac:dyDescent="0.25">
      <c r="A14605" s="2" t="str">
        <f ca="1">IFERROR(__xludf.DUMMYFUNCTION("""COMPUTED_VALUE"""),"zap-2")</f>
        <v>zap-2</v>
      </c>
      <c r="B14605" s="2" t="str">
        <f ca="1">IFERROR(__xludf.DUMMYFUNCTION("""COMPUTED_VALUE"""),"zap")</f>
        <v>zap</v>
      </c>
      <c r="C14605" s="2" t="str">
        <f ca="1">IFERROR(__xludf.DUMMYFUNCTION("""COMPUTED_VALUE"""),"ZAP")</f>
        <v>ZAP</v>
      </c>
    </row>
    <row r="14606" spans="1:3" x14ac:dyDescent="0.25">
      <c r="A14606" s="2" t="str">
        <f ca="1">IFERROR(__xludf.DUMMYFUNCTION("""COMPUTED_VALUE"""),"zapexchange")</f>
        <v>zapexchange</v>
      </c>
      <c r="B14606" s="2" t="str">
        <f ca="1">IFERROR(__xludf.DUMMYFUNCTION("""COMPUTED_VALUE"""),"zapex")</f>
        <v>zapex</v>
      </c>
      <c r="C14606" s="2" t="str">
        <f ca="1">IFERROR(__xludf.DUMMYFUNCTION("""COMPUTED_VALUE"""),"ZapExchange")</f>
        <v>ZapExchange</v>
      </c>
    </row>
    <row r="14607" spans="1:3" x14ac:dyDescent="0.25">
      <c r="A14607" s="2" t="str">
        <f ca="1">IFERROR(__xludf.DUMMYFUNCTION("""COMPUTED_VALUE"""),"zapicorn")</f>
        <v>zapicorn</v>
      </c>
      <c r="B14607" s="2" t="str">
        <f ca="1">IFERROR(__xludf.DUMMYFUNCTION("""COMPUTED_VALUE"""),"zapi")</f>
        <v>zapi</v>
      </c>
      <c r="C14607" s="2" t="str">
        <f ca="1">IFERROR(__xludf.DUMMYFUNCTION("""COMPUTED_VALUE"""),"Zapicorn")</f>
        <v>Zapicorn</v>
      </c>
    </row>
    <row r="14608" spans="1:3" x14ac:dyDescent="0.25">
      <c r="A14608" s="2" t="str">
        <f ca="1">IFERROR(__xludf.DUMMYFUNCTION("""COMPUTED_VALUE"""),"zapo")</f>
        <v>zapo</v>
      </c>
      <c r="B14608" s="2" t="str">
        <f ca="1">IFERROR(__xludf.DUMMYFUNCTION("""COMPUTED_VALUE"""),"zapo")</f>
        <v>zapo</v>
      </c>
      <c r="C14608" s="2" t="str">
        <f ca="1">IFERROR(__xludf.DUMMYFUNCTION("""COMPUTED_VALUE"""),"ZAPO")</f>
        <v>ZAPO</v>
      </c>
    </row>
    <row r="14609" spans="1:3" x14ac:dyDescent="0.25">
      <c r="A14609" s="2" t="str">
        <f ca="1">IFERROR(__xludf.DUMMYFUNCTION("""COMPUTED_VALUE"""),"zapper-protocol")</f>
        <v>zapper-protocol</v>
      </c>
      <c r="B14609" s="2" t="str">
        <f ca="1">IFERROR(__xludf.DUMMYFUNCTION("""COMPUTED_VALUE"""),"zap")</f>
        <v>zap</v>
      </c>
      <c r="C14609" s="2" t="str">
        <f ca="1">IFERROR(__xludf.DUMMYFUNCTION("""COMPUTED_VALUE"""),"Zapper Protocol")</f>
        <v>Zapper Protocol</v>
      </c>
    </row>
    <row r="14610" spans="1:3" x14ac:dyDescent="0.25">
      <c r="A14610" s="2" t="str">
        <f ca="1">IFERROR(__xludf.DUMMYFUNCTION("""COMPUTED_VALUE"""),"zaros")</f>
        <v>zaros</v>
      </c>
      <c r="B14610" s="2" t="str">
        <f ca="1">IFERROR(__xludf.DUMMYFUNCTION("""COMPUTED_VALUE"""),"zrs")</f>
        <v>zrs</v>
      </c>
      <c r="C14610" s="2" t="str">
        <f ca="1">IFERROR(__xludf.DUMMYFUNCTION("""COMPUTED_VALUE"""),"Zaros")</f>
        <v>Zaros</v>
      </c>
    </row>
    <row r="14611" spans="1:3" x14ac:dyDescent="0.25">
      <c r="A14611" s="2" t="str">
        <f ca="1">IFERROR(__xludf.DUMMYFUNCTION("""COMPUTED_VALUE"""),"zarp-stablecoin")</f>
        <v>zarp-stablecoin</v>
      </c>
      <c r="B14611" s="2" t="str">
        <f ca="1">IFERROR(__xludf.DUMMYFUNCTION("""COMPUTED_VALUE"""),"zarp")</f>
        <v>zarp</v>
      </c>
      <c r="C14611" s="2" t="str">
        <f ca="1">IFERROR(__xludf.DUMMYFUNCTION("""COMPUTED_VALUE"""),"ZARP Stablecoin")</f>
        <v>ZARP Stablecoin</v>
      </c>
    </row>
    <row r="14612" spans="1:3" x14ac:dyDescent="0.25">
      <c r="A14612" s="2" t="str">
        <f ca="1">IFERROR(__xludf.DUMMYFUNCTION("""COMPUTED_VALUE"""),"zasset-zusd")</f>
        <v>zasset-zusd</v>
      </c>
      <c r="B14612" s="2" t="str">
        <f ca="1">IFERROR(__xludf.DUMMYFUNCTION("""COMPUTED_VALUE"""),"zusd")</f>
        <v>zusd</v>
      </c>
      <c r="C14612" s="2" t="str">
        <f ca="1">IFERROR(__xludf.DUMMYFUNCTION("""COMPUTED_VALUE"""),"Zasset zUSD")</f>
        <v>Zasset zUSD</v>
      </c>
    </row>
    <row r="14613" spans="1:3" x14ac:dyDescent="0.25">
      <c r="A14613" s="2" t="str">
        <f ca="1">IFERROR(__xludf.DUMMYFUNCTION("""COMPUTED_VALUE"""),"zaza-2")</f>
        <v>zaza-2</v>
      </c>
      <c r="B14613" s="2" t="str">
        <f ca="1">IFERROR(__xludf.DUMMYFUNCTION("""COMPUTED_VALUE"""),"zaza")</f>
        <v>zaza</v>
      </c>
      <c r="C14613" s="2" t="str">
        <f ca="1">IFERROR(__xludf.DUMMYFUNCTION("""COMPUTED_VALUE"""),"ZAZA")</f>
        <v>ZAZA</v>
      </c>
    </row>
    <row r="14614" spans="1:3" x14ac:dyDescent="0.25">
      <c r="A14614" s="2" t="str">
        <f ca="1">IFERROR(__xludf.DUMMYFUNCTION("""COMPUTED_VALUE"""),"zaza-sol")</f>
        <v>zaza-sol</v>
      </c>
      <c r="B14614" s="2" t="str">
        <f ca="1">IFERROR(__xludf.DUMMYFUNCTION("""COMPUTED_VALUE"""),"zaza")</f>
        <v>zaza</v>
      </c>
      <c r="C14614" s="2" t="str">
        <f ca="1">IFERROR(__xludf.DUMMYFUNCTION("""COMPUTED_VALUE"""),"Zaza (SOL)")</f>
        <v>Zaza (SOL)</v>
      </c>
    </row>
    <row r="14615" spans="1:3" x14ac:dyDescent="0.25">
      <c r="A14615" s="2" t="str">
        <f ca="1">IFERROR(__xludf.DUMMYFUNCTION("""COMPUTED_VALUE"""),"zazu")</f>
        <v>zazu</v>
      </c>
      <c r="B14615" s="2" t="str">
        <f ca="1">IFERROR(__xludf.DUMMYFUNCTION("""COMPUTED_VALUE"""),"zazu")</f>
        <v>zazu</v>
      </c>
      <c r="C14615" s="2" t="str">
        <f ca="1">IFERROR(__xludf.DUMMYFUNCTION("""COMPUTED_VALUE"""),"ZAZU")</f>
        <v>ZAZU</v>
      </c>
    </row>
    <row r="14616" spans="1:3" x14ac:dyDescent="0.25">
      <c r="A14616" s="2" t="str">
        <f ca="1">IFERROR(__xludf.DUMMYFUNCTION("""COMPUTED_VALUE"""),"zazzles")</f>
        <v>zazzles</v>
      </c>
      <c r="B14616" s="2" t="str">
        <f ca="1">IFERROR(__xludf.DUMMYFUNCTION("""COMPUTED_VALUE"""),"zazzles")</f>
        <v>zazzles</v>
      </c>
      <c r="C14616" s="2" t="str">
        <f ca="1">IFERROR(__xludf.DUMMYFUNCTION("""COMPUTED_VALUE"""),"Zazzles")</f>
        <v>Zazzles</v>
      </c>
    </row>
    <row r="14617" spans="1:3" x14ac:dyDescent="0.25">
      <c r="A14617" s="2" t="str">
        <f ca="1">IFERROR(__xludf.DUMMYFUNCTION("""COMPUTED_VALUE"""),"zbit-ordinals")</f>
        <v>zbit-ordinals</v>
      </c>
      <c r="B14617" s="2" t="str">
        <f ca="1">IFERROR(__xludf.DUMMYFUNCTION("""COMPUTED_VALUE"""),"zbit")</f>
        <v>zbit</v>
      </c>
      <c r="C14617" s="2" t="str">
        <f ca="1">IFERROR(__xludf.DUMMYFUNCTION("""COMPUTED_VALUE"""),"ZBIT•BLUE•BITCOIN")</f>
        <v>ZBIT•BLUE•BITCOIN</v>
      </c>
    </row>
    <row r="14618" spans="1:3" x14ac:dyDescent="0.25">
      <c r="A14618" s="2" t="str">
        <f ca="1">IFERROR(__xludf.DUMMYFUNCTION("""COMPUTED_VALUE"""),"zcash")</f>
        <v>zcash</v>
      </c>
      <c r="B14618" s="2" t="str">
        <f ca="1">IFERROR(__xludf.DUMMYFUNCTION("""COMPUTED_VALUE"""),"zec")</f>
        <v>zec</v>
      </c>
      <c r="C14618" s="2" t="str">
        <f ca="1">IFERROR(__xludf.DUMMYFUNCTION("""COMPUTED_VALUE"""),"Zcash")</f>
        <v>Zcash</v>
      </c>
    </row>
    <row r="14619" spans="1:3" x14ac:dyDescent="0.25">
      <c r="A14619" s="2" t="str">
        <f ca="1">IFERROR(__xludf.DUMMYFUNCTION("""COMPUTED_VALUE"""),"zchains")</f>
        <v>zchains</v>
      </c>
      <c r="B14619" s="2" t="str">
        <f ca="1">IFERROR(__xludf.DUMMYFUNCTION("""COMPUTED_VALUE"""),"zcd")</f>
        <v>zcd</v>
      </c>
      <c r="C14619" s="2" t="str">
        <f ca="1">IFERROR(__xludf.DUMMYFUNCTION("""COMPUTED_VALUE"""),"ZChains")</f>
        <v>ZChains</v>
      </c>
    </row>
    <row r="14620" spans="1:3" x14ac:dyDescent="0.25">
      <c r="A14620" s="2" t="str">
        <f ca="1">IFERROR(__xludf.DUMMYFUNCTION("""COMPUTED_VALUE"""),"zclassic")</f>
        <v>zclassic</v>
      </c>
      <c r="B14620" s="2" t="str">
        <f ca="1">IFERROR(__xludf.DUMMYFUNCTION("""COMPUTED_VALUE"""),"zcl")</f>
        <v>zcl</v>
      </c>
      <c r="C14620" s="2" t="str">
        <f ca="1">IFERROR(__xludf.DUMMYFUNCTION("""COMPUTED_VALUE"""),"Zclassic")</f>
        <v>Zclassic</v>
      </c>
    </row>
    <row r="14621" spans="1:3" x14ac:dyDescent="0.25">
      <c r="A14621" s="2" t="str">
        <f ca="1">IFERROR(__xludf.DUMMYFUNCTION("""COMPUTED_VALUE"""),"zcoin")</f>
        <v>zcoin</v>
      </c>
      <c r="B14621" s="2" t="str">
        <f ca="1">IFERROR(__xludf.DUMMYFUNCTION("""COMPUTED_VALUE"""),"firo")</f>
        <v>firo</v>
      </c>
      <c r="C14621" s="2" t="str">
        <f ca="1">IFERROR(__xludf.DUMMYFUNCTION("""COMPUTED_VALUE"""),"Firo")</f>
        <v>Firo</v>
      </c>
    </row>
    <row r="14622" spans="1:3" x14ac:dyDescent="0.25">
      <c r="A14622" s="2" t="str">
        <f ca="1">IFERROR(__xludf.DUMMYFUNCTION("""COMPUTED_VALUE"""),"zcore-2")</f>
        <v>zcore-2</v>
      </c>
      <c r="B14622" s="2" t="str">
        <f ca="1">IFERROR(__xludf.DUMMYFUNCTION("""COMPUTED_VALUE"""),"zcr")</f>
        <v>zcr</v>
      </c>
      <c r="C14622" s="2" t="str">
        <f ca="1">IFERROR(__xludf.DUMMYFUNCTION("""COMPUTED_VALUE"""),"ZCore")</f>
        <v>ZCore</v>
      </c>
    </row>
    <row r="14623" spans="1:3" x14ac:dyDescent="0.25">
      <c r="A14623" s="2" t="str">
        <f ca="1">IFERROR(__xludf.DUMMYFUNCTION("""COMPUTED_VALUE"""),"zcore-finance")</f>
        <v>zcore-finance</v>
      </c>
      <c r="B14623" s="2" t="str">
        <f ca="1">IFERROR(__xludf.DUMMYFUNCTION("""COMPUTED_VALUE"""),"zefi")</f>
        <v>zefi</v>
      </c>
      <c r="C14623" s="2" t="str">
        <f ca="1">IFERROR(__xludf.DUMMYFUNCTION("""COMPUTED_VALUE"""),"ZCore Finance")</f>
        <v>ZCore Finance</v>
      </c>
    </row>
    <row r="14624" spans="1:3" x14ac:dyDescent="0.25">
      <c r="A14624" s="2" t="str">
        <f ca="1">IFERROR(__xludf.DUMMYFUNCTION("""COMPUTED_VALUE"""),"z-cubed")</f>
        <v>z-cubed</v>
      </c>
      <c r="B14624" s="2" t="str">
        <f ca="1">IFERROR(__xludf.DUMMYFUNCTION("""COMPUTED_VALUE"""),"z3")</f>
        <v>z3</v>
      </c>
      <c r="C14624" s="2" t="str">
        <f ca="1">IFERROR(__xludf.DUMMYFUNCTION("""COMPUTED_VALUE"""),"Z-Cubed")</f>
        <v>Z-Cubed</v>
      </c>
    </row>
    <row r="14625" spans="1:3" x14ac:dyDescent="0.25">
      <c r="A14625" s="2" t="str">
        <f ca="1">IFERROR(__xludf.DUMMYFUNCTION("""COMPUTED_VALUE"""),"zebec-network")</f>
        <v>zebec-network</v>
      </c>
      <c r="B14625" s="2" t="str">
        <f ca="1">IFERROR(__xludf.DUMMYFUNCTION("""COMPUTED_VALUE"""),"zbcn")</f>
        <v>zbcn</v>
      </c>
      <c r="C14625" s="2" t="str">
        <f ca="1">IFERROR(__xludf.DUMMYFUNCTION("""COMPUTED_VALUE"""),"Zebec Network")</f>
        <v>Zebec Network</v>
      </c>
    </row>
    <row r="14626" spans="1:3" x14ac:dyDescent="0.25">
      <c r="A14626" s="2" t="str">
        <f ca="1">IFERROR(__xludf.DUMMYFUNCTION("""COMPUTED_VALUE"""),"zebec-protocol")</f>
        <v>zebec-protocol</v>
      </c>
      <c r="B14626" s="2" t="str">
        <f ca="1">IFERROR(__xludf.DUMMYFUNCTION("""COMPUTED_VALUE"""),"zbc")</f>
        <v>zbc</v>
      </c>
      <c r="C14626" s="2" t="str">
        <f ca="1">IFERROR(__xludf.DUMMYFUNCTION("""COMPUTED_VALUE"""),"Zebec Protocol")</f>
        <v>Zebec Protocol</v>
      </c>
    </row>
    <row r="14627" spans="1:3" x14ac:dyDescent="0.25">
      <c r="A14627" s="2" t="str">
        <f ca="1">IFERROR(__xludf.DUMMYFUNCTION("""COMPUTED_VALUE"""),"zebi")</f>
        <v>zebi</v>
      </c>
      <c r="B14627" s="2" t="str">
        <f ca="1">IFERROR(__xludf.DUMMYFUNCTION("""COMPUTED_VALUE"""),"zco")</f>
        <v>zco</v>
      </c>
      <c r="C14627" s="2" t="str">
        <f ca="1">IFERROR(__xludf.DUMMYFUNCTION("""COMPUTED_VALUE"""),"Zebi")</f>
        <v>Zebi</v>
      </c>
    </row>
    <row r="14628" spans="1:3" x14ac:dyDescent="0.25">
      <c r="A14628" s="2" t="str">
        <f ca="1">IFERROR(__xludf.DUMMYFUNCTION("""COMPUTED_VALUE"""),"zebu")</f>
        <v>zebu</v>
      </c>
      <c r="B14628" s="2" t="str">
        <f ca="1">IFERROR(__xludf.DUMMYFUNCTION("""COMPUTED_VALUE"""),"zebu")</f>
        <v>zebu</v>
      </c>
      <c r="C14628" s="2" t="str">
        <f ca="1">IFERROR(__xludf.DUMMYFUNCTION("""COMPUTED_VALUE"""),"ZEBU")</f>
        <v>ZEBU</v>
      </c>
    </row>
    <row r="14629" spans="1:3" x14ac:dyDescent="0.25">
      <c r="A14629" s="2" t="str">
        <f ca="1">IFERROR(__xludf.DUMMYFUNCTION("""COMPUTED_VALUE"""),"zeck-murris")</f>
        <v>zeck-murris</v>
      </c>
      <c r="B14629" s="2" t="str">
        <f ca="1">IFERROR(__xludf.DUMMYFUNCTION("""COMPUTED_VALUE"""),"zeck")</f>
        <v>zeck</v>
      </c>
      <c r="C14629" s="2" t="str">
        <f ca="1">IFERROR(__xludf.DUMMYFUNCTION("""COMPUTED_VALUE"""),"Zeck Murris")</f>
        <v>Zeck Murris</v>
      </c>
    </row>
    <row r="14630" spans="1:3" x14ac:dyDescent="0.25">
      <c r="A14630" s="2" t="str">
        <f ca="1">IFERROR(__xludf.DUMMYFUNCTION("""COMPUTED_VALUE"""),"zeddex")</f>
        <v>zeddex</v>
      </c>
      <c r="B14630" s="2" t="str">
        <f ca="1">IFERROR(__xludf.DUMMYFUNCTION("""COMPUTED_VALUE"""),"zed")</f>
        <v>zed</v>
      </c>
      <c r="C14630" s="2" t="str">
        <f ca="1">IFERROR(__xludf.DUMMYFUNCTION("""COMPUTED_VALUE"""),"ZedDex")</f>
        <v>ZedDex</v>
      </c>
    </row>
    <row r="14631" spans="1:3" x14ac:dyDescent="0.25">
      <c r="A14631" s="2" t="str">
        <f ca="1">IFERROR(__xludf.DUMMYFUNCTION("""COMPUTED_VALUE"""),"zed-run")</f>
        <v>zed-run</v>
      </c>
      <c r="B14631" s="2" t="str">
        <f ca="1">IFERROR(__xludf.DUMMYFUNCTION("""COMPUTED_VALUE"""),"zed")</f>
        <v>zed</v>
      </c>
      <c r="C14631" s="2" t="str">
        <f ca="1">IFERROR(__xludf.DUMMYFUNCTION("""COMPUTED_VALUE"""),"ZED RUN")</f>
        <v>ZED RUN</v>
      </c>
    </row>
    <row r="14632" spans="1:3" x14ac:dyDescent="0.25">
      <c r="A14632" s="2" t="str">
        <f ca="1">IFERROR(__xludf.DUMMYFUNCTION("""COMPUTED_VALUE"""),"zedxion")</f>
        <v>zedxion</v>
      </c>
      <c r="B14632" s="2" t="str">
        <f ca="1">IFERROR(__xludf.DUMMYFUNCTION("""COMPUTED_VALUE"""),"zedxion")</f>
        <v>zedxion</v>
      </c>
      <c r="C14632" s="2" t="str">
        <f ca="1">IFERROR(__xludf.DUMMYFUNCTION("""COMPUTED_VALUE"""),"Zedxion")</f>
        <v>Zedxion</v>
      </c>
    </row>
    <row r="14633" spans="1:3" x14ac:dyDescent="0.25">
      <c r="A14633" s="2" t="str">
        <f ca="1">IFERROR(__xludf.DUMMYFUNCTION("""COMPUTED_VALUE"""),"zedxion-2")</f>
        <v>zedxion-2</v>
      </c>
      <c r="B14633" s="2" t="str">
        <f ca="1">IFERROR(__xludf.DUMMYFUNCTION("""COMPUTED_VALUE"""),"zedx")</f>
        <v>zedx</v>
      </c>
      <c r="C14633" s="2" t="str">
        <f ca="1">IFERROR(__xludf.DUMMYFUNCTION("""COMPUTED_VALUE"""),"Zedxion")</f>
        <v>Zedxion</v>
      </c>
    </row>
    <row r="14634" spans="1:3" x14ac:dyDescent="0.25">
      <c r="A14634" s="2" t="str">
        <f ca="1">IFERROR(__xludf.DUMMYFUNCTION("""COMPUTED_VALUE"""),"zedxion-usdz")</f>
        <v>zedxion-usdz</v>
      </c>
      <c r="B14634" s="2" t="str">
        <f ca="1">IFERROR(__xludf.DUMMYFUNCTION("""COMPUTED_VALUE"""),"usdz")</f>
        <v>usdz</v>
      </c>
      <c r="C14634" s="2" t="str">
        <f ca="1">IFERROR(__xludf.DUMMYFUNCTION("""COMPUTED_VALUE"""),"Zedxion USDZ")</f>
        <v>Zedxion USDZ</v>
      </c>
    </row>
    <row r="14635" spans="1:3" x14ac:dyDescent="0.25">
      <c r="A14635" s="2" t="str">
        <f ca="1">IFERROR(__xludf.DUMMYFUNCTION("""COMPUTED_VALUE"""),"zeebu")</f>
        <v>zeebu</v>
      </c>
      <c r="B14635" s="2" t="str">
        <f ca="1">IFERROR(__xludf.DUMMYFUNCTION("""COMPUTED_VALUE"""),"zbu")</f>
        <v>zbu</v>
      </c>
      <c r="C14635" s="2" t="str">
        <f ca="1">IFERROR(__xludf.DUMMYFUNCTION("""COMPUTED_VALUE"""),"Zeebu")</f>
        <v>Zeebu</v>
      </c>
    </row>
    <row r="14636" spans="1:3" x14ac:dyDescent="0.25">
      <c r="A14636" s="2" t="str">
        <f ca="1">IFERROR(__xludf.DUMMYFUNCTION("""COMPUTED_VALUE"""),"zeek-coin")</f>
        <v>zeek-coin</v>
      </c>
      <c r="B14636" s="2" t="str">
        <f ca="1">IFERROR(__xludf.DUMMYFUNCTION("""COMPUTED_VALUE"""),"meow")</f>
        <v>meow</v>
      </c>
      <c r="C14636" s="2" t="str">
        <f ca="1">IFERROR(__xludf.DUMMYFUNCTION("""COMPUTED_VALUE"""),"Zeek Coin")</f>
        <v>Zeek Coin</v>
      </c>
    </row>
    <row r="14637" spans="1:3" x14ac:dyDescent="0.25">
      <c r="A14637" s="2" t="str">
        <f ca="1">IFERROR(__xludf.DUMMYFUNCTION("""COMPUTED_VALUE"""),"zeekwifhat")</f>
        <v>zeekwifhat</v>
      </c>
      <c r="B14637" s="2" t="str">
        <f ca="1">IFERROR(__xludf.DUMMYFUNCTION("""COMPUTED_VALUE"""),"zwif")</f>
        <v>zwif</v>
      </c>
      <c r="C14637" s="2" t="str">
        <f ca="1">IFERROR(__xludf.DUMMYFUNCTION("""COMPUTED_VALUE"""),"Zeekwifhat")</f>
        <v>Zeekwifhat</v>
      </c>
    </row>
    <row r="14638" spans="1:3" x14ac:dyDescent="0.25">
      <c r="A14638" s="2" t="str">
        <f ca="1">IFERROR(__xludf.DUMMYFUNCTION("""COMPUTED_VALUE"""),"zeepin")</f>
        <v>zeepin</v>
      </c>
      <c r="B14638" s="2" t="str">
        <f ca="1">IFERROR(__xludf.DUMMYFUNCTION("""COMPUTED_VALUE"""),"zpt")</f>
        <v>zpt</v>
      </c>
      <c r="C14638" s="2" t="str">
        <f ca="1">IFERROR(__xludf.DUMMYFUNCTION("""COMPUTED_VALUE"""),"Zeepin")</f>
        <v>Zeepin</v>
      </c>
    </row>
    <row r="14639" spans="1:3" x14ac:dyDescent="0.25">
      <c r="A14639" s="2" t="str">
        <f ca="1">IFERROR(__xludf.DUMMYFUNCTION("""COMPUTED_VALUE"""),"zeepr")</f>
        <v>zeepr</v>
      </c>
      <c r="B14639" s="2" t="str">
        <f ca="1">IFERROR(__xludf.DUMMYFUNCTION("""COMPUTED_VALUE"""),"zeep")</f>
        <v>zeep</v>
      </c>
      <c r="C14639" s="2" t="str">
        <f ca="1">IFERROR(__xludf.DUMMYFUNCTION("""COMPUTED_VALUE"""),"Zeepr")</f>
        <v>Zeepr</v>
      </c>
    </row>
    <row r="14640" spans="1:3" x14ac:dyDescent="0.25">
      <c r="A14640" s="2" t="str">
        <f ca="1">IFERROR(__xludf.DUMMYFUNCTION("""COMPUTED_VALUE"""),"zefi")</f>
        <v>zefi</v>
      </c>
      <c r="B14640" s="2" t="str">
        <f ca="1">IFERROR(__xludf.DUMMYFUNCTION("""COMPUTED_VALUE"""),"ztk")</f>
        <v>ztk</v>
      </c>
      <c r="C14640" s="2" t="str">
        <f ca="1">IFERROR(__xludf.DUMMYFUNCTION("""COMPUTED_VALUE"""),"Zefi")</f>
        <v>Zefi</v>
      </c>
    </row>
    <row r="14641" spans="1:3" x14ac:dyDescent="0.25">
      <c r="A14641" s="2" t="str">
        <f ca="1">IFERROR(__xludf.DUMMYFUNCTION("""COMPUTED_VALUE"""),"zegent-ai")</f>
        <v>zegent-ai</v>
      </c>
      <c r="B14641" s="2" t="str">
        <f ca="1">IFERROR(__xludf.DUMMYFUNCTION("""COMPUTED_VALUE"""),"zgen")</f>
        <v>zgen</v>
      </c>
      <c r="C14641" s="2" t="str">
        <f ca="1">IFERROR(__xludf.DUMMYFUNCTION("""COMPUTED_VALUE"""),"Zegent AI")</f>
        <v>Zegent AI</v>
      </c>
    </row>
    <row r="14642" spans="1:3" x14ac:dyDescent="0.25">
      <c r="A14642" s="2" t="str">
        <f ca="1">IFERROR(__xludf.DUMMYFUNCTION("""COMPUTED_VALUE"""),"zeitgeist")</f>
        <v>zeitgeist</v>
      </c>
      <c r="B14642" s="2" t="str">
        <f ca="1">IFERROR(__xludf.DUMMYFUNCTION("""COMPUTED_VALUE"""),"ztg")</f>
        <v>ztg</v>
      </c>
      <c r="C14642" s="2" t="str">
        <f ca="1">IFERROR(__xludf.DUMMYFUNCTION("""COMPUTED_VALUE"""),"Zeitgeist")</f>
        <v>Zeitgeist</v>
      </c>
    </row>
    <row r="14643" spans="1:3" x14ac:dyDescent="0.25">
      <c r="A14643" s="2" t="str">
        <f ca="1">IFERROR(__xludf.DUMMYFUNCTION("""COMPUTED_VALUE"""),"zelcash")</f>
        <v>zelcash</v>
      </c>
      <c r="B14643" s="2" t="str">
        <f ca="1">IFERROR(__xludf.DUMMYFUNCTION("""COMPUTED_VALUE"""),"flux")</f>
        <v>flux</v>
      </c>
      <c r="C14643" s="2" t="str">
        <f ca="1">IFERROR(__xludf.DUMMYFUNCTION("""COMPUTED_VALUE"""),"Flux")</f>
        <v>Flux</v>
      </c>
    </row>
    <row r="14644" spans="1:3" x14ac:dyDescent="0.25">
      <c r="A14644" s="2" t="str">
        <f ca="1">IFERROR(__xludf.DUMMYFUNCTION("""COMPUTED_VALUE"""),"zelda-2-0")</f>
        <v>zelda-2-0</v>
      </c>
      <c r="B14644" s="2" t="str">
        <f ca="1">IFERROR(__xludf.DUMMYFUNCTION("""COMPUTED_VALUE"""),"zlda")</f>
        <v>zlda</v>
      </c>
      <c r="C14644" s="2" t="str">
        <f ca="1">IFERROR(__xludf.DUMMYFUNCTION("""COMPUTED_VALUE"""),"ZELDA 2.0")</f>
        <v>ZELDA 2.0</v>
      </c>
    </row>
    <row r="14645" spans="1:3" x14ac:dyDescent="0.25">
      <c r="A14645" s="2" t="str">
        <f ca="1">IFERROR(__xludf.DUMMYFUNCTION("""COMPUTED_VALUE"""),"zelix")</f>
        <v>zelix</v>
      </c>
      <c r="B14645" s="2" t="str">
        <f ca="1">IFERROR(__xludf.DUMMYFUNCTION("""COMPUTED_VALUE"""),"zelix")</f>
        <v>zelix</v>
      </c>
      <c r="C14645" s="2" t="str">
        <f ca="1">IFERROR(__xludf.DUMMYFUNCTION("""COMPUTED_VALUE"""),"ZELIX")</f>
        <v>ZELIX</v>
      </c>
    </row>
    <row r="14646" spans="1:3" x14ac:dyDescent="0.25">
      <c r="A14646" s="2" t="str">
        <f ca="1">IFERROR(__xludf.DUMMYFUNCTION("""COMPUTED_VALUE"""),"zeloop-eco-reward")</f>
        <v>zeloop-eco-reward</v>
      </c>
      <c r="B14646" s="2" t="str">
        <f ca="1">IFERROR(__xludf.DUMMYFUNCTION("""COMPUTED_VALUE"""),"erw")</f>
        <v>erw</v>
      </c>
      <c r="C14646" s="2" t="str">
        <f ca="1">IFERROR(__xludf.DUMMYFUNCTION("""COMPUTED_VALUE"""),"ZeLoop Eco Reward")</f>
        <v>ZeLoop Eco Reward</v>
      </c>
    </row>
    <row r="14647" spans="1:3" x14ac:dyDescent="0.25">
      <c r="A14647" s="2" t="str">
        <f ca="1">IFERROR(__xludf.DUMMYFUNCTION("""COMPUTED_VALUE"""),"zelwin")</f>
        <v>zelwin</v>
      </c>
      <c r="B14647" s="2" t="str">
        <f ca="1">IFERROR(__xludf.DUMMYFUNCTION("""COMPUTED_VALUE"""),"zlw")</f>
        <v>zlw</v>
      </c>
      <c r="C14647" s="2" t="str">
        <f ca="1">IFERROR(__xludf.DUMMYFUNCTION("""COMPUTED_VALUE"""),"Zelwin")</f>
        <v>Zelwin</v>
      </c>
    </row>
    <row r="14648" spans="1:3" x14ac:dyDescent="0.25">
      <c r="A14648" s="2" t="str">
        <f ca="1">IFERROR(__xludf.DUMMYFUNCTION("""COMPUTED_VALUE"""),"zen")</f>
        <v>zen</v>
      </c>
      <c r="B14648" s="2" t="str">
        <f ca="1">IFERROR(__xludf.DUMMYFUNCTION("""COMPUTED_VALUE"""),"zen")</f>
        <v>zen</v>
      </c>
      <c r="C14648" s="2" t="str">
        <f ca="1">IFERROR(__xludf.DUMMYFUNCTION("""COMPUTED_VALUE"""),"Zen")</f>
        <v>Zen</v>
      </c>
    </row>
    <row r="14649" spans="1:3" x14ac:dyDescent="0.25">
      <c r="A14649" s="2" t="str">
        <f ca="1">IFERROR(__xludf.DUMMYFUNCTION("""COMPUTED_VALUE"""),"zenbase-zentoken")</f>
        <v>zenbase-zentoken</v>
      </c>
      <c r="B14649" s="2" t="str">
        <f ca="1">IFERROR(__xludf.DUMMYFUNCTION("""COMPUTED_VALUE"""),"zent")</f>
        <v>zent</v>
      </c>
      <c r="C14649" s="2" t="str">
        <f ca="1">IFERROR(__xludf.DUMMYFUNCTION("""COMPUTED_VALUE"""),"Zenbase ZenToken")</f>
        <v>Zenbase ZenToken</v>
      </c>
    </row>
    <row r="14650" spans="1:3" x14ac:dyDescent="0.25">
      <c r="A14650" s="2" t="str">
        <f ca="1">IFERROR(__xludf.DUMMYFUNCTION("""COMPUTED_VALUE"""),"zencash")</f>
        <v>zencash</v>
      </c>
      <c r="B14650" s="2" t="str">
        <f ca="1">IFERROR(__xludf.DUMMYFUNCTION("""COMPUTED_VALUE"""),"zen")</f>
        <v>zen</v>
      </c>
      <c r="C14650" s="2" t="str">
        <f ca="1">IFERROR(__xludf.DUMMYFUNCTION("""COMPUTED_VALUE"""),"Horizen")</f>
        <v>Horizen</v>
      </c>
    </row>
    <row r="14651" spans="1:3" x14ac:dyDescent="0.25">
      <c r="A14651" s="2" t="str">
        <f ca="1">IFERROR(__xludf.DUMMYFUNCTION("""COMPUTED_VALUE"""),"zenc-coin")</f>
        <v>zenc-coin</v>
      </c>
      <c r="B14651" s="2" t="str">
        <f ca="1">IFERROR(__xludf.DUMMYFUNCTION("""COMPUTED_VALUE"""),"zenc")</f>
        <v>zenc</v>
      </c>
      <c r="C14651" s="2" t="str">
        <f ca="1">IFERROR(__xludf.DUMMYFUNCTION("""COMPUTED_VALUE"""),"Zenc Coin")</f>
        <v>Zenc Coin</v>
      </c>
    </row>
    <row r="14652" spans="1:3" x14ac:dyDescent="0.25">
      <c r="A14652" s="2" t="str">
        <f ca="1">IFERROR(__xludf.DUMMYFUNCTION("""COMPUTED_VALUE"""),"zenex")</f>
        <v>zenex</v>
      </c>
      <c r="B14652" s="2" t="str">
        <f ca="1">IFERROR(__xludf.DUMMYFUNCTION("""COMPUTED_VALUE"""),"znx")</f>
        <v>znx</v>
      </c>
      <c r="C14652" s="2" t="str">
        <f ca="1">IFERROR(__xludf.DUMMYFUNCTION("""COMPUTED_VALUE"""),"ZENEX")</f>
        <v>ZENEX</v>
      </c>
    </row>
    <row r="14653" spans="1:3" x14ac:dyDescent="0.25">
      <c r="A14653" s="2" t="str">
        <f ca="1">IFERROR(__xludf.DUMMYFUNCTION("""COMPUTED_VALUE"""),"zeniq")</f>
        <v>zeniq</v>
      </c>
      <c r="B14653" s="2" t="str">
        <f ca="1">IFERROR(__xludf.DUMMYFUNCTION("""COMPUTED_VALUE"""),"zeniq")</f>
        <v>zeniq</v>
      </c>
      <c r="C14653" s="2" t="str">
        <f ca="1">IFERROR(__xludf.DUMMYFUNCTION("""COMPUTED_VALUE"""),"ZENIQ")</f>
        <v>ZENIQ</v>
      </c>
    </row>
    <row r="14654" spans="1:3" x14ac:dyDescent="0.25">
      <c r="A14654" s="2" t="str">
        <f ca="1">IFERROR(__xludf.DUMMYFUNCTION("""COMPUTED_VALUE"""),"zenith-2")</f>
        <v>zenith-2</v>
      </c>
      <c r="B14654" s="2" t="str">
        <f ca="1">IFERROR(__xludf.DUMMYFUNCTION("""COMPUTED_VALUE"""),"zen")</f>
        <v>zen</v>
      </c>
      <c r="C14654" s="2" t="str">
        <f ca="1">IFERROR(__xludf.DUMMYFUNCTION("""COMPUTED_VALUE"""),"Zenith")</f>
        <v>Zenith</v>
      </c>
    </row>
    <row r="14655" spans="1:3" x14ac:dyDescent="0.25">
      <c r="A14655" s="2" t="str">
        <f ca="1">IFERROR(__xludf.DUMMYFUNCTION("""COMPUTED_VALUE"""),"zenith-chain")</f>
        <v>zenith-chain</v>
      </c>
      <c r="B14655" s="2" t="str">
        <f ca="1">IFERROR(__xludf.DUMMYFUNCTION("""COMPUTED_VALUE"""),"zenith")</f>
        <v>zenith</v>
      </c>
      <c r="C14655" s="2" t="str">
        <f ca="1">IFERROR(__xludf.DUMMYFUNCTION("""COMPUTED_VALUE"""),"Zenith Chain")</f>
        <v>Zenith Chain</v>
      </c>
    </row>
    <row r="14656" spans="1:3" x14ac:dyDescent="0.25">
      <c r="A14656" s="2" t="str">
        <f ca="1">IFERROR(__xludf.DUMMYFUNCTION("""COMPUTED_VALUE"""),"zenith-wallet")</f>
        <v>zenith-wallet</v>
      </c>
      <c r="B14656" s="2" t="str">
        <f ca="1">IFERROR(__xludf.DUMMYFUNCTION("""COMPUTED_VALUE"""),"zw")</f>
        <v>zw</v>
      </c>
      <c r="C14656" s="2" t="str">
        <f ca="1">IFERROR(__xludf.DUMMYFUNCTION("""COMPUTED_VALUE"""),"Zenith Wallet")</f>
        <v>Zenith Wallet</v>
      </c>
    </row>
    <row r="14657" spans="1:3" x14ac:dyDescent="0.25">
      <c r="A14657" s="2" t="str">
        <f ca="1">IFERROR(__xludf.DUMMYFUNCTION("""COMPUTED_VALUE"""),"zenland")</f>
        <v>zenland</v>
      </c>
      <c r="B14657" s="2" t="str">
        <f ca="1">IFERROR(__xludf.DUMMYFUNCTION("""COMPUTED_VALUE"""),"zenf")</f>
        <v>zenf</v>
      </c>
      <c r="C14657" s="2" t="str">
        <f ca="1">IFERROR(__xludf.DUMMYFUNCTION("""COMPUTED_VALUE"""),"Zenland")</f>
        <v>Zenland</v>
      </c>
    </row>
    <row r="14658" spans="1:3" x14ac:dyDescent="0.25">
      <c r="A14658" s="2" t="str">
        <f ca="1">IFERROR(__xludf.DUMMYFUNCTION("""COMPUTED_VALUE"""),"zenlink-network-token")</f>
        <v>zenlink-network-token</v>
      </c>
      <c r="B14658" s="2" t="str">
        <f ca="1">IFERROR(__xludf.DUMMYFUNCTION("""COMPUTED_VALUE"""),"zlk")</f>
        <v>zlk</v>
      </c>
      <c r="C14658" s="2" t="str">
        <f ca="1">IFERROR(__xludf.DUMMYFUNCTION("""COMPUTED_VALUE"""),"Zenlink Network")</f>
        <v>Zenlink Network</v>
      </c>
    </row>
    <row r="14659" spans="1:3" x14ac:dyDescent="0.25">
      <c r="A14659" s="2" t="str">
        <f ca="1">IFERROR(__xludf.DUMMYFUNCTION("""COMPUTED_VALUE"""),"zenoai")</f>
        <v>zenoai</v>
      </c>
      <c r="B14659" s="2" t="str">
        <f ca="1">IFERROR(__xludf.DUMMYFUNCTION("""COMPUTED_VALUE"""),"zoai")</f>
        <v>zoai</v>
      </c>
      <c r="C14659" s="2" t="str">
        <f ca="1">IFERROR(__xludf.DUMMYFUNCTION("""COMPUTED_VALUE"""),"ZenoAI")</f>
        <v>ZenoAI</v>
      </c>
    </row>
    <row r="14660" spans="1:3" x14ac:dyDescent="0.25">
      <c r="A14660" s="2" t="str">
        <f ca="1">IFERROR(__xludf.DUMMYFUNCTION("""COMPUTED_VALUE"""),"zenocard")</f>
        <v>zenocard</v>
      </c>
      <c r="B14660" s="2" t="str">
        <f ca="1">IFERROR(__xludf.DUMMYFUNCTION("""COMPUTED_VALUE"""),"zeno")</f>
        <v>zeno</v>
      </c>
      <c r="C14660" s="2" t="str">
        <f ca="1">IFERROR(__xludf.DUMMYFUNCTION("""COMPUTED_VALUE"""),"ZenoCard")</f>
        <v>ZenoCard</v>
      </c>
    </row>
    <row r="14661" spans="1:3" x14ac:dyDescent="0.25">
      <c r="A14661" s="2" t="str">
        <f ca="1">IFERROR(__xludf.DUMMYFUNCTION("""COMPUTED_VALUE"""),"zenon-2")</f>
        <v>zenon-2</v>
      </c>
      <c r="B14661" s="2" t="str">
        <f ca="1">IFERROR(__xludf.DUMMYFUNCTION("""COMPUTED_VALUE"""),"znn")</f>
        <v>znn</v>
      </c>
      <c r="C14661" s="2" t="str">
        <f ca="1">IFERROR(__xludf.DUMMYFUNCTION("""COMPUTED_VALUE"""),"Zenon")</f>
        <v>Zenon</v>
      </c>
    </row>
    <row r="14662" spans="1:3" x14ac:dyDescent="0.25">
      <c r="A14662" s="2" t="str">
        <f ca="1">IFERROR(__xludf.DUMMYFUNCTION("""COMPUTED_VALUE"""),"zenpandacoin")</f>
        <v>zenpandacoin</v>
      </c>
      <c r="B14662" s="2" t="str">
        <f ca="1">IFERROR(__xludf.DUMMYFUNCTION("""COMPUTED_VALUE"""),"$zpc")</f>
        <v>$zpc</v>
      </c>
      <c r="C14662" s="2" t="str">
        <f ca="1">IFERROR(__xludf.DUMMYFUNCTION("""COMPUTED_VALUE"""),"ZenPandaCoin")</f>
        <v>ZenPandaCoin</v>
      </c>
    </row>
    <row r="14663" spans="1:3" x14ac:dyDescent="0.25">
      <c r="A14663" s="2" t="str">
        <f ca="1">IFERROR(__xludf.DUMMYFUNCTION("""COMPUTED_VALUE"""),"zenqira")</f>
        <v>zenqira</v>
      </c>
      <c r="B14663" s="2" t="str">
        <f ca="1">IFERROR(__xludf.DUMMYFUNCTION("""COMPUTED_VALUE"""),"zenq")</f>
        <v>zenq</v>
      </c>
      <c r="C14663" s="2" t="str">
        <f ca="1">IFERROR(__xludf.DUMMYFUNCTION("""COMPUTED_VALUE"""),"ZENQIRA")</f>
        <v>ZENQIRA</v>
      </c>
    </row>
    <row r="14664" spans="1:3" x14ac:dyDescent="0.25">
      <c r="A14664" s="2" t="str">
        <f ca="1">IFERROR(__xludf.DUMMYFUNCTION("""COMPUTED_VALUE"""),"zentry")</f>
        <v>zentry</v>
      </c>
      <c r="B14664" s="2" t="str">
        <f ca="1">IFERROR(__xludf.DUMMYFUNCTION("""COMPUTED_VALUE"""),"zent")</f>
        <v>zent</v>
      </c>
      <c r="C14664" s="2" t="str">
        <f ca="1">IFERROR(__xludf.DUMMYFUNCTION("""COMPUTED_VALUE"""),"Zentry")</f>
        <v>Zentry</v>
      </c>
    </row>
    <row r="14665" spans="1:3" x14ac:dyDescent="0.25">
      <c r="A14665" s="2" t="str">
        <f ca="1">IFERROR(__xludf.DUMMYFUNCTION("""COMPUTED_VALUE"""),"zentu")</f>
        <v>zentu</v>
      </c>
      <c r="B14665" s="2" t="str">
        <f ca="1">IFERROR(__xludf.DUMMYFUNCTION("""COMPUTED_VALUE"""),"zent")</f>
        <v>zent</v>
      </c>
      <c r="C14665" s="2" t="str">
        <f ca="1">IFERROR(__xludf.DUMMYFUNCTION("""COMPUTED_VALUE"""),"ZENTU")</f>
        <v>ZENTU</v>
      </c>
    </row>
    <row r="14666" spans="1:3" x14ac:dyDescent="0.25">
      <c r="A14666" s="2" t="str">
        <f ca="1">IFERROR(__xludf.DUMMYFUNCTION("""COMPUTED_VALUE"""),"zenzo")</f>
        <v>zenzo</v>
      </c>
      <c r="B14666" s="2" t="str">
        <f ca="1">IFERROR(__xludf.DUMMYFUNCTION("""COMPUTED_VALUE"""),"znz")</f>
        <v>znz</v>
      </c>
      <c r="C14666" s="2" t="str">
        <f ca="1">IFERROR(__xludf.DUMMYFUNCTION("""COMPUTED_VALUE"""),"ZENZO")</f>
        <v>ZENZO</v>
      </c>
    </row>
    <row r="14667" spans="1:3" x14ac:dyDescent="0.25">
      <c r="A14667" s="2" t="str">
        <f ca="1">IFERROR(__xludf.DUMMYFUNCTION("""COMPUTED_VALUE"""),"zeon")</f>
        <v>zeon</v>
      </c>
      <c r="B14667" s="2" t="str">
        <f ca="1">IFERROR(__xludf.DUMMYFUNCTION("""COMPUTED_VALUE"""),"zeon")</f>
        <v>zeon</v>
      </c>
      <c r="C14667" s="2" t="str">
        <f ca="1">IFERROR(__xludf.DUMMYFUNCTION("""COMPUTED_VALUE"""),"ZEON Network")</f>
        <v>ZEON Network</v>
      </c>
    </row>
    <row r="14668" spans="1:3" x14ac:dyDescent="0.25">
      <c r="A14668" s="2" t="str">
        <f ca="1">IFERROR(__xludf.DUMMYFUNCTION("""COMPUTED_VALUE"""),"zephyr-protocol")</f>
        <v>zephyr-protocol</v>
      </c>
      <c r="B14668" s="2" t="str">
        <f ca="1">IFERROR(__xludf.DUMMYFUNCTION("""COMPUTED_VALUE"""),"zeph")</f>
        <v>zeph</v>
      </c>
      <c r="C14668" s="2" t="str">
        <f ca="1">IFERROR(__xludf.DUMMYFUNCTION("""COMPUTED_VALUE"""),"Zephyr Protocol")</f>
        <v>Zephyr Protocol</v>
      </c>
    </row>
    <row r="14669" spans="1:3" x14ac:dyDescent="0.25">
      <c r="A14669" s="2" t="str">
        <f ca="1">IFERROR(__xludf.DUMMYFUNCTION("""COMPUTED_VALUE"""),"zephyr-protocol-reserve-share")</f>
        <v>zephyr-protocol-reserve-share</v>
      </c>
      <c r="B14669" s="2" t="str">
        <f ca="1">IFERROR(__xludf.DUMMYFUNCTION("""COMPUTED_VALUE"""),"zrs")</f>
        <v>zrs</v>
      </c>
      <c r="C14669" s="2" t="str">
        <f ca="1">IFERROR(__xludf.DUMMYFUNCTION("""COMPUTED_VALUE"""),"Zephyr Protocol Reserve Share")</f>
        <v>Zephyr Protocol Reserve Share</v>
      </c>
    </row>
    <row r="14670" spans="1:3" x14ac:dyDescent="0.25">
      <c r="A14670" s="2" t="str">
        <f ca="1">IFERROR(__xludf.DUMMYFUNCTION("""COMPUTED_VALUE"""),"zephyr-protocol-stable-dollar")</f>
        <v>zephyr-protocol-stable-dollar</v>
      </c>
      <c r="B14670" s="2" t="str">
        <f ca="1">IFERROR(__xludf.DUMMYFUNCTION("""COMPUTED_VALUE"""),"zsd")</f>
        <v>zsd</v>
      </c>
      <c r="C14670" s="2" t="str">
        <f ca="1">IFERROR(__xludf.DUMMYFUNCTION("""COMPUTED_VALUE"""),"Zephyr Protocol Stable Dollar")</f>
        <v>Zephyr Protocol Stable Dollar</v>
      </c>
    </row>
    <row r="14671" spans="1:3" x14ac:dyDescent="0.25">
      <c r="A14671" s="2" t="str">
        <f ca="1">IFERROR(__xludf.DUMMYFUNCTION("""COMPUTED_VALUE"""),"zer0zer0")</f>
        <v>zer0zer0</v>
      </c>
      <c r="B14671" s="2" t="str">
        <f ca="1">IFERROR(__xludf.DUMMYFUNCTION("""COMPUTED_VALUE"""),"00")</f>
        <v>00</v>
      </c>
      <c r="C14671" s="2" t="str">
        <f ca="1">IFERROR(__xludf.DUMMYFUNCTION("""COMPUTED_VALUE"""),"00 Token")</f>
        <v>00 Token</v>
      </c>
    </row>
    <row r="14672" spans="1:3" x14ac:dyDescent="0.25">
      <c r="A14672" s="2" t="str">
        <f ca="1">IFERROR(__xludf.DUMMYFUNCTION("""COMPUTED_VALUE"""),"zero")</f>
        <v>zero</v>
      </c>
      <c r="B14672" s="2" t="str">
        <f ca="1">IFERROR(__xludf.DUMMYFUNCTION("""COMPUTED_VALUE"""),"zer")</f>
        <v>zer</v>
      </c>
      <c r="C14672" s="2" t="str">
        <f ca="1">IFERROR(__xludf.DUMMYFUNCTION("""COMPUTED_VALUE"""),"Zero")</f>
        <v>Zero</v>
      </c>
    </row>
    <row r="14673" spans="1:3" x14ac:dyDescent="0.25">
      <c r="A14673" s="2" t="str">
        <f ca="1">IFERROR(__xludf.DUMMYFUNCTION("""COMPUTED_VALUE"""),"zero1-labs")</f>
        <v>zero1-labs</v>
      </c>
      <c r="B14673" s="2" t="str">
        <f ca="1">IFERROR(__xludf.DUMMYFUNCTION("""COMPUTED_VALUE"""),"deai")</f>
        <v>deai</v>
      </c>
      <c r="C14673" s="2" t="str">
        <f ca="1">IFERROR(__xludf.DUMMYFUNCTION("""COMPUTED_VALUE"""),"Zero1 Labs")</f>
        <v>Zero1 Labs</v>
      </c>
    </row>
    <row r="14674" spans="1:3" x14ac:dyDescent="0.25">
      <c r="A14674" s="2" t="str">
        <f ca="1">IFERROR(__xludf.DUMMYFUNCTION("""COMPUTED_VALUE"""),"zero-exchange")</f>
        <v>zero-exchange</v>
      </c>
      <c r="B14674" s="2" t="str">
        <f ca="1">IFERROR(__xludf.DUMMYFUNCTION("""COMPUTED_VALUE"""),"zero")</f>
        <v>zero</v>
      </c>
      <c r="C14674" s="2" t="str">
        <f ca="1">IFERROR(__xludf.DUMMYFUNCTION("""COMPUTED_VALUE"""),"0.exchange")</f>
        <v>0.exchange</v>
      </c>
    </row>
    <row r="14675" spans="1:3" x14ac:dyDescent="0.25">
      <c r="A14675" s="2" t="str">
        <f ca="1">IFERROR(__xludf.DUMMYFUNCTION("""COMPUTED_VALUE"""),"zerolend")</f>
        <v>zerolend</v>
      </c>
      <c r="B14675" s="2" t="str">
        <f ca="1">IFERROR(__xludf.DUMMYFUNCTION("""COMPUTED_VALUE"""),"zero")</f>
        <v>zero</v>
      </c>
      <c r="C14675" s="2" t="str">
        <f ca="1">IFERROR(__xludf.DUMMYFUNCTION("""COMPUTED_VALUE"""),"ZeroLend")</f>
        <v>ZeroLend</v>
      </c>
    </row>
    <row r="14676" spans="1:3" x14ac:dyDescent="0.25">
      <c r="A14676" s="2" t="str">
        <f ca="1">IFERROR(__xludf.DUMMYFUNCTION("""COMPUTED_VALUE"""),"zeroliquid-eth")</f>
        <v>zeroliquid-eth</v>
      </c>
      <c r="B14676" s="2" t="str">
        <f ca="1">IFERROR(__xludf.DUMMYFUNCTION("""COMPUTED_VALUE"""),"zeth")</f>
        <v>zeth</v>
      </c>
      <c r="C14676" s="2" t="str">
        <f ca="1">IFERROR(__xludf.DUMMYFUNCTION("""COMPUTED_VALUE"""),"ZeroLiquid ETH")</f>
        <v>ZeroLiquid ETH</v>
      </c>
    </row>
    <row r="14677" spans="1:3" x14ac:dyDescent="0.25">
      <c r="A14677" s="2" t="str">
        <f ca="1">IFERROR(__xludf.DUMMYFUNCTION("""COMPUTED_VALUE"""),"zerosum")</f>
        <v>zerosum</v>
      </c>
      <c r="B14677" s="2" t="str">
        <f ca="1">IFERROR(__xludf.DUMMYFUNCTION("""COMPUTED_VALUE"""),"zsum")</f>
        <v>zsum</v>
      </c>
      <c r="C14677" s="2" t="str">
        <f ca="1">IFERROR(__xludf.DUMMYFUNCTION("""COMPUTED_VALUE"""),"ZeroSum")</f>
        <v>ZeroSum</v>
      </c>
    </row>
    <row r="14678" spans="1:3" x14ac:dyDescent="0.25">
      <c r="A14678" s="2" t="str">
        <f ca="1">IFERROR(__xludf.DUMMYFUNCTION("""COMPUTED_VALUE"""),"zeroswap")</f>
        <v>zeroswap</v>
      </c>
      <c r="B14678" s="2" t="str">
        <f ca="1">IFERROR(__xludf.DUMMYFUNCTION("""COMPUTED_VALUE"""),"zee")</f>
        <v>zee</v>
      </c>
      <c r="C14678" s="2" t="str">
        <f ca="1">IFERROR(__xludf.DUMMYFUNCTION("""COMPUTED_VALUE"""),"ZeroSwap")</f>
        <v>ZeroSwap</v>
      </c>
    </row>
    <row r="14679" spans="1:3" x14ac:dyDescent="0.25">
      <c r="A14679" s="2" t="str">
        <f ca="1">IFERROR(__xludf.DUMMYFUNCTION("""COMPUTED_VALUE"""),"zeroswapnft")</f>
        <v>zeroswapnft</v>
      </c>
      <c r="B14679" s="2" t="str">
        <f ca="1">IFERROR(__xludf.DUMMYFUNCTION("""COMPUTED_VALUE"""),"zero")</f>
        <v>zero</v>
      </c>
      <c r="C14679" s="2" t="str">
        <f ca="1">IFERROR(__xludf.DUMMYFUNCTION("""COMPUTED_VALUE"""),"ZeroSwapNFT")</f>
        <v>ZeroSwapNFT</v>
      </c>
    </row>
    <row r="14680" spans="1:3" x14ac:dyDescent="0.25">
      <c r="A14680" s="2" t="str">
        <f ca="1">IFERROR(__xludf.DUMMYFUNCTION("""COMPUTED_VALUE"""),"zero-tech")</f>
        <v>zero-tech</v>
      </c>
      <c r="B14680" s="2" t="str">
        <f ca="1">IFERROR(__xludf.DUMMYFUNCTION("""COMPUTED_VALUE"""),"meow")</f>
        <v>meow</v>
      </c>
      <c r="C14680" s="2" t="str">
        <f ca="1">IFERROR(__xludf.DUMMYFUNCTION("""COMPUTED_VALUE"""),"MEOW")</f>
        <v>MEOW</v>
      </c>
    </row>
    <row r="14681" spans="1:3" x14ac:dyDescent="0.25">
      <c r="A14681" s="2" t="str">
        <f ca="1">IFERROR(__xludf.DUMMYFUNCTION("""COMPUTED_VALUE"""),"zerpaay")</f>
        <v>zerpaay</v>
      </c>
      <c r="B14681" s="2" t="str">
        <f ca="1">IFERROR(__xludf.DUMMYFUNCTION("""COMPUTED_VALUE"""),"zrpy")</f>
        <v>zrpy</v>
      </c>
      <c r="C14681" s="2" t="str">
        <f ca="1">IFERROR(__xludf.DUMMYFUNCTION("""COMPUTED_VALUE"""),"Zerpaay")</f>
        <v>Zerpaay</v>
      </c>
    </row>
    <row r="14682" spans="1:3" x14ac:dyDescent="0.25">
      <c r="A14682" s="2" t="str">
        <f ca="1">IFERROR(__xludf.DUMMYFUNCTION("""COMPUTED_VALUE"""),"zesh")</f>
        <v>zesh</v>
      </c>
      <c r="B14682" s="2" t="str">
        <f ca="1">IFERROR(__xludf.DUMMYFUNCTION("""COMPUTED_VALUE"""),"zesh")</f>
        <v>zesh</v>
      </c>
      <c r="C14682" s="2" t="str">
        <f ca="1">IFERROR(__xludf.DUMMYFUNCTION("""COMPUTED_VALUE"""),"Zesh")</f>
        <v>Zesh</v>
      </c>
    </row>
    <row r="14683" spans="1:3" x14ac:dyDescent="0.25">
      <c r="A14683" s="2" t="str">
        <f ca="1">IFERROR(__xludf.DUMMYFUNCTION("""COMPUTED_VALUE"""),"zeta")</f>
        <v>zeta</v>
      </c>
      <c r="B14683" s="2" t="str">
        <f ca="1">IFERROR(__xludf.DUMMYFUNCTION("""COMPUTED_VALUE"""),"zex")</f>
        <v>zex</v>
      </c>
      <c r="C14683" s="2" t="str">
        <f ca="1">IFERROR(__xludf.DUMMYFUNCTION("""COMPUTED_VALUE"""),"Zeta")</f>
        <v>Zeta</v>
      </c>
    </row>
    <row r="14684" spans="1:3" x14ac:dyDescent="0.25">
      <c r="A14684" s="2" t="str">
        <f ca="1">IFERROR(__xludf.DUMMYFUNCTION("""COMPUTED_VALUE"""),"zetachain")</f>
        <v>zetachain</v>
      </c>
      <c r="B14684" s="2" t="str">
        <f ca="1">IFERROR(__xludf.DUMMYFUNCTION("""COMPUTED_VALUE"""),"zeta")</f>
        <v>zeta</v>
      </c>
      <c r="C14684" s="2" t="str">
        <f ca="1">IFERROR(__xludf.DUMMYFUNCTION("""COMPUTED_VALUE"""),"ZetaChain")</f>
        <v>ZetaChain</v>
      </c>
    </row>
    <row r="14685" spans="1:3" x14ac:dyDescent="0.25">
      <c r="A14685" s="2" t="str">
        <f ca="1">IFERROR(__xludf.DUMMYFUNCTION("""COMPUTED_VALUE"""),"zetachain-bridged-bnb-bsc-zetachain")</f>
        <v>zetachain-bridged-bnb-bsc-zetachain</v>
      </c>
      <c r="B14685" s="2" t="str">
        <f ca="1">IFERROR(__xludf.DUMMYFUNCTION("""COMPUTED_VALUE"""),"bnb.bsc")</f>
        <v>bnb.bsc</v>
      </c>
      <c r="C14685" s="2" t="str">
        <f ca="1">IFERROR(__xludf.DUMMYFUNCTION("""COMPUTED_VALUE"""),"ZetaChain Bridged BNB.BSC (ZetaChain)")</f>
        <v>ZetaChain Bridged BNB.BSC (ZetaChain)</v>
      </c>
    </row>
    <row r="14686" spans="1:3" x14ac:dyDescent="0.25">
      <c r="A14686" s="2" t="str">
        <f ca="1">IFERROR(__xludf.DUMMYFUNCTION("""COMPUTED_VALUE"""),"zetachain-bridged-btc-btc-zetachain")</f>
        <v>zetachain-bridged-btc-btc-zetachain</v>
      </c>
      <c r="B14686" s="2" t="str">
        <f ca="1">IFERROR(__xludf.DUMMYFUNCTION("""COMPUTED_VALUE"""),"btc.btc")</f>
        <v>btc.btc</v>
      </c>
      <c r="C14686" s="2" t="str">
        <f ca="1">IFERROR(__xludf.DUMMYFUNCTION("""COMPUTED_VALUE"""),"ZetaChain Bridged BTC.BTC (ZetaChain)")</f>
        <v>ZetaChain Bridged BTC.BTC (ZetaChain)</v>
      </c>
    </row>
    <row r="14687" spans="1:3" x14ac:dyDescent="0.25">
      <c r="A14687" s="2" t="str">
        <f ca="1">IFERROR(__xludf.DUMMYFUNCTION("""COMPUTED_VALUE"""),"zetachain-bridged-usdc-bsc-zetachain")</f>
        <v>zetachain-bridged-usdc-bsc-zetachain</v>
      </c>
      <c r="B14687" s="2" t="str">
        <f ca="1">IFERROR(__xludf.DUMMYFUNCTION("""COMPUTED_VALUE"""),"usdc.bsc")</f>
        <v>usdc.bsc</v>
      </c>
      <c r="C14687" s="2" t="str">
        <f ca="1">IFERROR(__xludf.DUMMYFUNCTION("""COMPUTED_VALUE"""),"ZetaChain Bridged USDC.BSC (ZetaChain)")</f>
        <v>ZetaChain Bridged USDC.BSC (ZetaChain)</v>
      </c>
    </row>
    <row r="14688" spans="1:3" x14ac:dyDescent="0.25">
      <c r="A14688" s="2" t="str">
        <f ca="1">IFERROR(__xludf.DUMMYFUNCTION("""COMPUTED_VALUE"""),"zetachain-bridged-usdc-eth-zetachain")</f>
        <v>zetachain-bridged-usdc-eth-zetachain</v>
      </c>
      <c r="B14688" s="2" t="str">
        <f ca="1">IFERROR(__xludf.DUMMYFUNCTION("""COMPUTED_VALUE"""),"usdc.eth")</f>
        <v>usdc.eth</v>
      </c>
      <c r="C14688" s="2" t="str">
        <f ca="1">IFERROR(__xludf.DUMMYFUNCTION("""COMPUTED_VALUE"""),"ZetaChain Bridged USDC.ETH (ZetaChain)")</f>
        <v>ZetaChain Bridged USDC.ETH (ZetaChain)</v>
      </c>
    </row>
    <row r="14689" spans="1:3" x14ac:dyDescent="0.25">
      <c r="A14689" s="2" t="str">
        <f ca="1">IFERROR(__xludf.DUMMYFUNCTION("""COMPUTED_VALUE"""),"zetachain-bridged-usdt-bsc-zetachain")</f>
        <v>zetachain-bridged-usdt-bsc-zetachain</v>
      </c>
      <c r="B14689" s="2" t="str">
        <f ca="1">IFERROR(__xludf.DUMMYFUNCTION("""COMPUTED_VALUE"""),"usdt.bsc")</f>
        <v>usdt.bsc</v>
      </c>
      <c r="C14689" s="2" t="str">
        <f ca="1">IFERROR(__xludf.DUMMYFUNCTION("""COMPUTED_VALUE"""),"ZetaChain Bridged USDT.BSC (ZetaChain)")</f>
        <v>ZetaChain Bridged USDT.BSC (ZetaChain)</v>
      </c>
    </row>
    <row r="14690" spans="1:3" x14ac:dyDescent="0.25">
      <c r="A14690" s="2" t="str">
        <f ca="1">IFERROR(__xludf.DUMMYFUNCTION("""COMPUTED_VALUE"""),"zetachain-bridged-usdt-eth-zetachain")</f>
        <v>zetachain-bridged-usdt-eth-zetachain</v>
      </c>
      <c r="B14690" s="2" t="str">
        <f ca="1">IFERROR(__xludf.DUMMYFUNCTION("""COMPUTED_VALUE"""),"usdt.eth")</f>
        <v>usdt.eth</v>
      </c>
      <c r="C14690" s="2" t="str">
        <f ca="1">IFERROR(__xludf.DUMMYFUNCTION("""COMPUTED_VALUE"""),"ZetaChain Bridged USDT.ETH (ZetaChain)")</f>
        <v>ZetaChain Bridged USDT.ETH (ZetaChain)</v>
      </c>
    </row>
    <row r="14691" spans="1:3" x14ac:dyDescent="0.25">
      <c r="A14691" s="2" t="str">
        <f ca="1">IFERROR(__xludf.DUMMYFUNCTION("""COMPUTED_VALUE"""),"zetachain-eth-eth")</f>
        <v>zetachain-eth-eth</v>
      </c>
      <c r="B14691" s="2" t="str">
        <f ca="1">IFERROR(__xludf.DUMMYFUNCTION("""COMPUTED_VALUE"""),"eth.eth")</f>
        <v>eth.eth</v>
      </c>
      <c r="C14691" s="2" t="str">
        <f ca="1">IFERROR(__xludf.DUMMYFUNCTION("""COMPUTED_VALUE"""),"ZetaChain Bridged ETH.ETH (ZetaChain)")</f>
        <v>ZetaChain Bridged ETH.ETH (ZetaChain)</v>
      </c>
    </row>
    <row r="14692" spans="1:3" x14ac:dyDescent="0.25">
      <c r="A14692" s="2" t="str">
        <f ca="1">IFERROR(__xludf.DUMMYFUNCTION("""COMPUTED_VALUE"""),"zetacoin")</f>
        <v>zetacoin</v>
      </c>
      <c r="B14692" s="2" t="str">
        <f ca="1">IFERROR(__xludf.DUMMYFUNCTION("""COMPUTED_VALUE"""),"zet")</f>
        <v>zet</v>
      </c>
      <c r="C14692" s="2" t="str">
        <f ca="1">IFERROR(__xludf.DUMMYFUNCTION("""COMPUTED_VALUE"""),"Zetacoin")</f>
        <v>Zetacoin</v>
      </c>
    </row>
    <row r="14693" spans="1:3" x14ac:dyDescent="0.25">
      <c r="A14693" s="2" t="str">
        <f ca="1">IFERROR(__xludf.DUMMYFUNCTION("""COMPUTED_VALUE"""),"zetaearn-staked-zeta")</f>
        <v>zetaearn-staked-zeta</v>
      </c>
      <c r="B14693" s="2" t="str">
        <f ca="1">IFERROR(__xludf.DUMMYFUNCTION("""COMPUTED_VALUE"""),"stzeta")</f>
        <v>stzeta</v>
      </c>
      <c r="C14693" s="2" t="str">
        <f ca="1">IFERROR(__xludf.DUMMYFUNCTION("""COMPUTED_VALUE"""),"ZetaEarn Staked ZETA")</f>
        <v>ZetaEarn Staked ZETA</v>
      </c>
    </row>
    <row r="14694" spans="1:3" x14ac:dyDescent="0.25">
      <c r="A14694" s="2" t="str">
        <f ca="1">IFERROR(__xludf.DUMMYFUNCTION("""COMPUTED_VALUE"""),"zeta-markets")</f>
        <v>zeta-markets</v>
      </c>
      <c r="B14694" s="2" t="str">
        <f ca="1">IFERROR(__xludf.DUMMYFUNCTION("""COMPUTED_VALUE"""),"z")</f>
        <v>z</v>
      </c>
      <c r="C14694" s="2" t="str">
        <f ca="1">IFERROR(__xludf.DUMMYFUNCTION("""COMPUTED_VALUE"""),"Zeta Markets")</f>
        <v>Zeta Markets</v>
      </c>
    </row>
    <row r="14695" spans="1:3" x14ac:dyDescent="0.25">
      <c r="A14695" s="2" t="str">
        <f ca="1">IFERROR(__xludf.DUMMYFUNCTION("""COMPUTED_VALUE"""),"zetrix")</f>
        <v>zetrix</v>
      </c>
      <c r="B14695" s="2" t="str">
        <f ca="1">IFERROR(__xludf.DUMMYFUNCTION("""COMPUTED_VALUE"""),"zetrix")</f>
        <v>zetrix</v>
      </c>
      <c r="C14695" s="2" t="str">
        <f ca="1">IFERROR(__xludf.DUMMYFUNCTION("""COMPUTED_VALUE"""),"Zetrix")</f>
        <v>Zetrix</v>
      </c>
    </row>
    <row r="14696" spans="1:3" x14ac:dyDescent="0.25">
      <c r="A14696" s="2" t="str">
        <f ca="1">IFERROR(__xludf.DUMMYFUNCTION("""COMPUTED_VALUE"""),"zeus-2")</f>
        <v>zeus-2</v>
      </c>
      <c r="B14696" s="2" t="str">
        <f ca="1">IFERROR(__xludf.DUMMYFUNCTION("""COMPUTED_VALUE"""),"zeus")</f>
        <v>zeus</v>
      </c>
      <c r="C14696" s="2" t="str">
        <f ca="1">IFERROR(__xludf.DUMMYFUNCTION("""COMPUTED_VALUE"""),"Zeus")</f>
        <v>Zeus</v>
      </c>
    </row>
    <row r="14697" spans="1:3" x14ac:dyDescent="0.25">
      <c r="A14697" s="2" t="str">
        <f ca="1">IFERROR(__xludf.DUMMYFUNCTION("""COMPUTED_VALUE"""),"zeus-ai")</f>
        <v>zeus-ai</v>
      </c>
      <c r="B14697" s="2" t="str">
        <f ca="1">IFERROR(__xludf.DUMMYFUNCTION("""COMPUTED_VALUE"""),"zeus")</f>
        <v>zeus</v>
      </c>
      <c r="C14697" s="2" t="str">
        <f ca="1">IFERROR(__xludf.DUMMYFUNCTION("""COMPUTED_VALUE"""),"Zeus AI")</f>
        <v>Zeus AI</v>
      </c>
    </row>
    <row r="14698" spans="1:3" x14ac:dyDescent="0.25">
      <c r="A14698" s="2" t="str">
        <f ca="1">IFERROR(__xludf.DUMMYFUNCTION("""COMPUTED_VALUE"""),"zeus-ai-2")</f>
        <v>zeus-ai-2</v>
      </c>
      <c r="B14698" s="2" t="str">
        <f ca="1">IFERROR(__xludf.DUMMYFUNCTION("""COMPUTED_VALUE"""),"zeus")</f>
        <v>zeus</v>
      </c>
      <c r="C14698" s="2" t="str">
        <f ca="1">IFERROR(__xludf.DUMMYFUNCTION("""COMPUTED_VALUE"""),"ZEUS AI")</f>
        <v>ZEUS AI</v>
      </c>
    </row>
    <row r="14699" spans="1:3" x14ac:dyDescent="0.25">
      <c r="A14699" s="2" t="str">
        <f ca="1">IFERROR(__xludf.DUMMYFUNCTION("""COMPUTED_VALUE"""),"zeus-network")</f>
        <v>zeus-network</v>
      </c>
      <c r="B14699" s="2" t="str">
        <f ca="1">IFERROR(__xludf.DUMMYFUNCTION("""COMPUTED_VALUE"""),"zeus")</f>
        <v>zeus</v>
      </c>
      <c r="C14699" s="2" t="str">
        <f ca="1">IFERROR(__xludf.DUMMYFUNCTION("""COMPUTED_VALUE"""),"Zeus Network")</f>
        <v>Zeus Network</v>
      </c>
    </row>
    <row r="14700" spans="1:3" x14ac:dyDescent="0.25">
      <c r="A14700" s="2" t="str">
        <f ca="1">IFERROR(__xludf.DUMMYFUNCTION("""COMPUTED_VALUE"""),"zeuspepesdog")</f>
        <v>zeuspepesdog</v>
      </c>
      <c r="B14700" s="2" t="str">
        <f ca="1">IFERROR(__xludf.DUMMYFUNCTION("""COMPUTED_VALUE"""),"zeus")</f>
        <v>zeus</v>
      </c>
      <c r="C14700" s="2" t="str">
        <f ca="1">IFERROR(__xludf.DUMMYFUNCTION("""COMPUTED_VALUE"""),"Zeus")</f>
        <v>Zeus</v>
      </c>
    </row>
    <row r="14701" spans="1:3" x14ac:dyDescent="0.25">
      <c r="A14701" s="2" t="str">
        <f ca="1">IFERROR(__xludf.DUMMYFUNCTION("""COMPUTED_VALUE"""),"zeusshield")</f>
        <v>zeusshield</v>
      </c>
      <c r="B14701" s="2" t="str">
        <f ca="1">IFERROR(__xludf.DUMMYFUNCTION("""COMPUTED_VALUE"""),"zsc")</f>
        <v>zsc</v>
      </c>
      <c r="C14701" s="2" t="str">
        <f ca="1">IFERROR(__xludf.DUMMYFUNCTION("""COMPUTED_VALUE"""),"Zeusshield")</f>
        <v>Zeusshield</v>
      </c>
    </row>
    <row r="14702" spans="1:3" x14ac:dyDescent="0.25">
      <c r="A14702" s="2" t="str">
        <f ca="1">IFERROR(__xludf.DUMMYFUNCTION("""COMPUTED_VALUE"""),"zhc-zero-hour-cash")</f>
        <v>zhc-zero-hour-cash</v>
      </c>
      <c r="B14702" s="2" t="str">
        <f ca="1">IFERROR(__xludf.DUMMYFUNCTION("""COMPUTED_VALUE"""),"zhc")</f>
        <v>zhc</v>
      </c>
      <c r="C14702" s="2" t="str">
        <f ca="1">IFERROR(__xludf.DUMMYFUNCTION("""COMPUTED_VALUE"""),"ZHC : Zero Hour Cash")</f>
        <v>ZHC : Zero Hour Cash</v>
      </c>
    </row>
    <row r="14703" spans="1:3" x14ac:dyDescent="0.25">
      <c r="A14703" s="2" t="str">
        <f ca="1">IFERROR(__xludf.DUMMYFUNCTION("""COMPUTED_VALUE"""),"ziesha")</f>
        <v>ziesha</v>
      </c>
      <c r="B14703" s="2" t="str">
        <f ca="1">IFERROR(__xludf.DUMMYFUNCTION("""COMPUTED_VALUE"""),"zsh")</f>
        <v>zsh</v>
      </c>
      <c r="C14703" s="2" t="str">
        <f ca="1">IFERROR(__xludf.DUMMYFUNCTION("""COMPUTED_VALUE"""),"Ziesha")</f>
        <v>Ziesha</v>
      </c>
    </row>
    <row r="14704" spans="1:3" x14ac:dyDescent="0.25">
      <c r="A14704" s="2" t="str">
        <f ca="1">IFERROR(__xludf.DUMMYFUNCTION("""COMPUTED_VALUE"""),"zigap")</f>
        <v>zigap</v>
      </c>
      <c r="B14704" s="2" t="str">
        <f ca="1">IFERROR(__xludf.DUMMYFUNCTION("""COMPUTED_VALUE"""),"zigap")</f>
        <v>zigap</v>
      </c>
      <c r="C14704" s="2" t="str">
        <f ca="1">IFERROR(__xludf.DUMMYFUNCTION("""COMPUTED_VALUE"""),"ZIGAP")</f>
        <v>ZIGAP</v>
      </c>
    </row>
    <row r="14705" spans="1:3" x14ac:dyDescent="0.25">
      <c r="A14705" s="2" t="str">
        <f ca="1">IFERROR(__xludf.DUMMYFUNCTION("""COMPUTED_VALUE"""),"zignaly")</f>
        <v>zignaly</v>
      </c>
      <c r="B14705" s="2" t="str">
        <f ca="1">IFERROR(__xludf.DUMMYFUNCTION("""COMPUTED_VALUE"""),"zig")</f>
        <v>zig</v>
      </c>
      <c r="C14705" s="2" t="str">
        <f ca="1">IFERROR(__xludf.DUMMYFUNCTION("""COMPUTED_VALUE"""),"Zignaly")</f>
        <v>Zignaly</v>
      </c>
    </row>
    <row r="14706" spans="1:3" x14ac:dyDescent="0.25">
      <c r="A14706" s="2" t="str">
        <f ca="1">IFERROR(__xludf.DUMMYFUNCTION("""COMPUTED_VALUE"""),"zigzag-2")</f>
        <v>zigzag-2</v>
      </c>
      <c r="B14706" s="2" t="str">
        <f ca="1">IFERROR(__xludf.DUMMYFUNCTION("""COMPUTED_VALUE"""),"zz")</f>
        <v>zz</v>
      </c>
      <c r="C14706" s="2" t="str">
        <f ca="1">IFERROR(__xludf.DUMMYFUNCTION("""COMPUTED_VALUE"""),"ZigZag")</f>
        <v>ZigZag</v>
      </c>
    </row>
    <row r="14707" spans="1:3" x14ac:dyDescent="0.25">
      <c r="A14707" s="2" t="str">
        <f ca="1">IFERROR(__xludf.DUMMYFUNCTION("""COMPUTED_VALUE"""),"zik-coin")</f>
        <v>zik-coin</v>
      </c>
      <c r="B14707" s="2" t="str">
        <f ca="1">IFERROR(__xludf.DUMMYFUNCTION("""COMPUTED_VALUE"""),"zik")</f>
        <v>zik</v>
      </c>
      <c r="C14707" s="2" t="str">
        <f ca="1">IFERROR(__xludf.DUMMYFUNCTION("""COMPUTED_VALUE"""),"ZIK coin")</f>
        <v>ZIK coin</v>
      </c>
    </row>
    <row r="14708" spans="1:3" x14ac:dyDescent="0.25">
      <c r="A14708" s="2" t="str">
        <f ca="1">IFERROR(__xludf.DUMMYFUNCTION("""COMPUTED_VALUE"""),"zik-token")</f>
        <v>zik-token</v>
      </c>
      <c r="B14708" s="2" t="str">
        <f ca="1">IFERROR(__xludf.DUMMYFUNCTION("""COMPUTED_VALUE"""),"zik")</f>
        <v>zik</v>
      </c>
      <c r="C14708" s="2" t="str">
        <f ca="1">IFERROR(__xludf.DUMMYFUNCTION("""COMPUTED_VALUE"""),"Ziktalk")</f>
        <v>Ziktalk</v>
      </c>
    </row>
    <row r="14709" spans="1:3" x14ac:dyDescent="0.25">
      <c r="A14709" s="2" t="str">
        <f ca="1">IFERROR(__xludf.DUMMYFUNCTION("""COMPUTED_VALUE"""),"zillion-aakar-xo")</f>
        <v>zillion-aakar-xo</v>
      </c>
      <c r="B14709" s="2" t="str">
        <f ca="1">IFERROR(__xludf.DUMMYFUNCTION("""COMPUTED_VALUE"""),"zillionxo")</f>
        <v>zillionxo</v>
      </c>
      <c r="C14709" s="2" t="str">
        <f ca="1">IFERROR(__xludf.DUMMYFUNCTION("""COMPUTED_VALUE"""),"Zillion Aakar XO")</f>
        <v>Zillion Aakar XO</v>
      </c>
    </row>
    <row r="14710" spans="1:3" x14ac:dyDescent="0.25">
      <c r="A14710" s="2" t="str">
        <f ca="1">IFERROR(__xludf.DUMMYFUNCTION("""COMPUTED_VALUE"""),"zilliqa")</f>
        <v>zilliqa</v>
      </c>
      <c r="B14710" s="2" t="str">
        <f ca="1">IFERROR(__xludf.DUMMYFUNCTION("""COMPUTED_VALUE"""),"zil")</f>
        <v>zil</v>
      </c>
      <c r="C14710" s="2" t="str">
        <f ca="1">IFERROR(__xludf.DUMMYFUNCTION("""COMPUTED_VALUE"""),"Zilliqa")</f>
        <v>Zilliqa</v>
      </c>
    </row>
    <row r="14711" spans="1:3" x14ac:dyDescent="0.25">
      <c r="A14711" s="2" t="str">
        <f ca="1">IFERROR(__xludf.DUMMYFUNCTION("""COMPUTED_VALUE"""),"zilpay-wallet")</f>
        <v>zilpay-wallet</v>
      </c>
      <c r="B14711" s="2" t="str">
        <f ca="1">IFERROR(__xludf.DUMMYFUNCTION("""COMPUTED_VALUE"""),"zlp")</f>
        <v>zlp</v>
      </c>
      <c r="C14711" s="2" t="str">
        <f ca="1">IFERROR(__xludf.DUMMYFUNCTION("""COMPUTED_VALUE"""),"ZilPay Wallet")</f>
        <v>ZilPay Wallet</v>
      </c>
    </row>
    <row r="14712" spans="1:3" x14ac:dyDescent="0.25">
      <c r="A14712" s="2" t="str">
        <f ca="1">IFERROR(__xludf.DUMMYFUNCTION("""COMPUTED_VALUE"""),"zilpepe")</f>
        <v>zilpepe</v>
      </c>
      <c r="B14712" s="2" t="str">
        <f ca="1">IFERROR(__xludf.DUMMYFUNCTION("""COMPUTED_VALUE"""),"zilpepe")</f>
        <v>zilpepe</v>
      </c>
      <c r="C14712" s="2" t="str">
        <f ca="1">IFERROR(__xludf.DUMMYFUNCTION("""COMPUTED_VALUE"""),"ZilPepe")</f>
        <v>ZilPepe</v>
      </c>
    </row>
    <row r="14713" spans="1:3" x14ac:dyDescent="0.25">
      <c r="A14713" s="2" t="str">
        <f ca="1">IFERROR(__xludf.DUMMYFUNCTION("""COMPUTED_VALUE"""),"zilstream")</f>
        <v>zilstream</v>
      </c>
      <c r="B14713" s="2" t="str">
        <f ca="1">IFERROR(__xludf.DUMMYFUNCTION("""COMPUTED_VALUE"""),"stream")</f>
        <v>stream</v>
      </c>
      <c r="C14713" s="2" t="str">
        <f ca="1">IFERROR(__xludf.DUMMYFUNCTION("""COMPUTED_VALUE"""),"ZilStream")</f>
        <v>ZilStream</v>
      </c>
    </row>
    <row r="14714" spans="1:3" x14ac:dyDescent="0.25">
      <c r="A14714" s="2" t="str">
        <f ca="1">IFERROR(__xludf.DUMMYFUNCTION("""COMPUTED_VALUE"""),"zilswap")</f>
        <v>zilswap</v>
      </c>
      <c r="B14714" s="2" t="str">
        <f ca="1">IFERROR(__xludf.DUMMYFUNCTION("""COMPUTED_VALUE"""),"zwap")</f>
        <v>zwap</v>
      </c>
      <c r="C14714" s="2" t="str">
        <f ca="1">IFERROR(__xludf.DUMMYFUNCTION("""COMPUTED_VALUE"""),"ZilSwap")</f>
        <v>ZilSwap</v>
      </c>
    </row>
    <row r="14715" spans="1:3" x14ac:dyDescent="0.25">
      <c r="A14715" s="2" t="str">
        <f ca="1">IFERROR(__xludf.DUMMYFUNCTION("""COMPUTED_VALUE"""),"zino-pet")</f>
        <v>zino-pet</v>
      </c>
      <c r="B14715" s="2" t="str">
        <f ca="1">IFERROR(__xludf.DUMMYFUNCTION("""COMPUTED_VALUE"""),"zpet")</f>
        <v>zpet</v>
      </c>
      <c r="C14715" s="2" t="str">
        <f ca="1">IFERROR(__xludf.DUMMYFUNCTION("""COMPUTED_VALUE"""),"Zino Pet")</f>
        <v>Zino Pet</v>
      </c>
    </row>
    <row r="14716" spans="1:3" x14ac:dyDescent="0.25">
      <c r="A14716" s="2" t="str">
        <f ca="1">IFERROR(__xludf.DUMMYFUNCTION("""COMPUTED_VALUE"""),"zionwallet")</f>
        <v>zionwallet</v>
      </c>
      <c r="B14716" s="2" t="str">
        <f ca="1">IFERROR(__xludf.DUMMYFUNCTION("""COMPUTED_VALUE"""),"zion")</f>
        <v>zion</v>
      </c>
      <c r="C14716" s="2" t="str">
        <f ca="1">IFERROR(__xludf.DUMMYFUNCTION("""COMPUTED_VALUE"""),"ZionWallet")</f>
        <v>ZionWallet</v>
      </c>
    </row>
    <row r="14717" spans="1:3" x14ac:dyDescent="0.25">
      <c r="A14717" s="2" t="str">
        <f ca="1">IFERROR(__xludf.DUMMYFUNCTION("""COMPUTED_VALUE"""),"zipmex-token")</f>
        <v>zipmex-token</v>
      </c>
      <c r="B14717" s="2" t="str">
        <f ca="1">IFERROR(__xludf.DUMMYFUNCTION("""COMPUTED_VALUE"""),"zmt")</f>
        <v>zmt</v>
      </c>
      <c r="C14717" s="2" t="str">
        <f ca="1">IFERROR(__xludf.DUMMYFUNCTION("""COMPUTED_VALUE"""),"Zipmex")</f>
        <v>Zipmex</v>
      </c>
    </row>
    <row r="14718" spans="1:3" x14ac:dyDescent="0.25">
      <c r="A14718" s="2" t="str">
        <f ca="1">IFERROR(__xludf.DUMMYFUNCTION("""COMPUTED_VALUE"""),"zippy-staked-sol")</f>
        <v>zippy-staked-sol</v>
      </c>
      <c r="B14718" s="2" t="str">
        <f ca="1">IFERROR(__xludf.DUMMYFUNCTION("""COMPUTED_VALUE"""),"zippysol")</f>
        <v>zippysol</v>
      </c>
      <c r="C14718" s="2" t="str">
        <f ca="1">IFERROR(__xludf.DUMMYFUNCTION("""COMPUTED_VALUE"""),"Zippy Staked SOL")</f>
        <v>Zippy Staked SOL</v>
      </c>
    </row>
    <row r="14719" spans="1:3" x14ac:dyDescent="0.25">
      <c r="A14719" s="2" t="str">
        <f ca="1">IFERROR(__xludf.DUMMYFUNCTION("""COMPUTED_VALUE"""),"zipswap")</f>
        <v>zipswap</v>
      </c>
      <c r="B14719" s="2" t="str">
        <f ca="1">IFERROR(__xludf.DUMMYFUNCTION("""COMPUTED_VALUE"""),"zip")</f>
        <v>zip</v>
      </c>
      <c r="C14719" s="2" t="str">
        <f ca="1">IFERROR(__xludf.DUMMYFUNCTION("""COMPUTED_VALUE"""),"ZipSwap")</f>
        <v>ZipSwap</v>
      </c>
    </row>
    <row r="14720" spans="1:3" x14ac:dyDescent="0.25">
      <c r="A14720" s="2" t="str">
        <f ca="1">IFERROR(__xludf.DUMMYFUNCTION("""COMPUTED_VALUE"""),"zircuit")</f>
        <v>zircuit</v>
      </c>
      <c r="B14720" s="2" t="str">
        <f ca="1">IFERROR(__xludf.DUMMYFUNCTION("""COMPUTED_VALUE"""),"zrc")</f>
        <v>zrc</v>
      </c>
      <c r="C14720" s="2" t="str">
        <f ca="1">IFERROR(__xludf.DUMMYFUNCTION("""COMPUTED_VALUE"""),"Zircuit")</f>
        <v>Zircuit</v>
      </c>
    </row>
    <row r="14721" spans="1:3" x14ac:dyDescent="0.25">
      <c r="A14721" s="2" t="str">
        <f ca="1">IFERROR(__xludf.DUMMYFUNCTION("""COMPUTED_VALUE"""),"ziv4-labs")</f>
        <v>ziv4-labs</v>
      </c>
      <c r="B14721" s="2" t="str">
        <f ca="1">IFERROR(__xludf.DUMMYFUNCTION("""COMPUTED_VALUE"""),"ziv4")</f>
        <v>ziv4</v>
      </c>
      <c r="C14721" s="2" t="str">
        <f ca="1">IFERROR(__xludf.DUMMYFUNCTION("""COMPUTED_VALUE"""),"Ziv4 Labs")</f>
        <v>Ziv4 Labs</v>
      </c>
    </row>
    <row r="14722" spans="1:3" x14ac:dyDescent="0.25">
      <c r="A14722" s="2" t="str">
        <f ca="1">IFERROR(__xludf.DUMMYFUNCTION("""COMPUTED_VALUE"""),"ziyon")</f>
        <v>ziyon</v>
      </c>
      <c r="B14722" s="2" t="str">
        <f ca="1">IFERROR(__xludf.DUMMYFUNCTION("""COMPUTED_VALUE"""),"ion")</f>
        <v>ion</v>
      </c>
      <c r="C14722" s="2" t="str">
        <f ca="1">IFERROR(__xludf.DUMMYFUNCTION("""COMPUTED_VALUE"""),"ZIYØN SAS")</f>
        <v>ZIYØN SAS</v>
      </c>
    </row>
    <row r="14723" spans="1:3" x14ac:dyDescent="0.25">
      <c r="A14723" s="2" t="str">
        <f ca="1">IFERROR(__xludf.DUMMYFUNCTION("""COMPUTED_VALUE"""),"zizle")</f>
        <v>zizle</v>
      </c>
      <c r="B14723" s="2" t="str">
        <f ca="1">IFERROR(__xludf.DUMMYFUNCTION("""COMPUTED_VALUE"""),"zizle")</f>
        <v>zizle</v>
      </c>
      <c r="C14723" s="2" t="str">
        <f ca="1">IFERROR(__xludf.DUMMYFUNCTION("""COMPUTED_VALUE"""),"Zizle")</f>
        <v>Zizle</v>
      </c>
    </row>
    <row r="14724" spans="1:3" x14ac:dyDescent="0.25">
      <c r="A14724" s="2" t="str">
        <f ca="1">IFERROR(__xludf.DUMMYFUNCTION("""COMPUTED_VALUE"""),"zjoe")</f>
        <v>zjoe</v>
      </c>
      <c r="B14724" s="2" t="str">
        <f ca="1">IFERROR(__xludf.DUMMYFUNCTION("""COMPUTED_VALUE"""),"zjoe")</f>
        <v>zjoe</v>
      </c>
      <c r="C14724" s="2" t="str">
        <f ca="1">IFERROR(__xludf.DUMMYFUNCTION("""COMPUTED_VALUE"""),"zJOE")</f>
        <v>zJOE</v>
      </c>
    </row>
    <row r="14725" spans="1:3" x14ac:dyDescent="0.25">
      <c r="A14725" s="2" t="str">
        <f ca="1">IFERROR(__xludf.DUMMYFUNCTION("""COMPUTED_VALUE"""),"zkapes-token")</f>
        <v>zkapes-token</v>
      </c>
      <c r="B14725" s="2" t="str">
        <f ca="1">IFERROR(__xludf.DUMMYFUNCTION("""COMPUTED_VALUE"""),"zat")</f>
        <v>zat</v>
      </c>
      <c r="C14725" s="2" t="str">
        <f ca="1">IFERROR(__xludf.DUMMYFUNCTION("""COMPUTED_VALUE"""),"zkApes Token")</f>
        <v>zkApes Token</v>
      </c>
    </row>
    <row r="14726" spans="1:3" x14ac:dyDescent="0.25">
      <c r="A14726" s="2" t="str">
        <f ca="1">IFERROR(__xludf.DUMMYFUNCTION("""COMPUTED_VALUE"""),"zkarchive")</f>
        <v>zkarchive</v>
      </c>
      <c r="B14726" s="2" t="str">
        <f ca="1">IFERROR(__xludf.DUMMYFUNCTION("""COMPUTED_VALUE"""),"zkarch")</f>
        <v>zkarch</v>
      </c>
      <c r="C14726" s="2" t="str">
        <f ca="1">IFERROR(__xludf.DUMMYFUNCTION("""COMPUTED_VALUE"""),"zkArchive")</f>
        <v>zkArchive</v>
      </c>
    </row>
    <row r="14727" spans="1:3" x14ac:dyDescent="0.25">
      <c r="A14727" s="2" t="str">
        <f ca="1">IFERROR(__xludf.DUMMYFUNCTION("""COMPUTED_VALUE"""),"zkcross-network")</f>
        <v>zkcross-network</v>
      </c>
      <c r="B14727" s="2" t="str">
        <f ca="1">IFERROR(__xludf.DUMMYFUNCTION("""COMPUTED_VALUE"""),"cross")</f>
        <v>cross</v>
      </c>
      <c r="C14727" s="2" t="str">
        <f ca="1">IFERROR(__xludf.DUMMYFUNCTION("""COMPUTED_VALUE"""),"zkCross Network")</f>
        <v>zkCross Network</v>
      </c>
    </row>
    <row r="14728" spans="1:3" x14ac:dyDescent="0.25">
      <c r="A14728" s="2" t="str">
        <f ca="1">IFERROR(__xludf.DUMMYFUNCTION("""COMPUTED_VALUE"""),"zkdoge")</f>
        <v>zkdoge</v>
      </c>
      <c r="B14728" s="2" t="str">
        <f ca="1">IFERROR(__xludf.DUMMYFUNCTION("""COMPUTED_VALUE"""),"zkdoge")</f>
        <v>zkdoge</v>
      </c>
      <c r="C14728" s="2" t="str">
        <f ca="1">IFERROR(__xludf.DUMMYFUNCTION("""COMPUTED_VALUE"""),"zkDoge")</f>
        <v>zkDoge</v>
      </c>
    </row>
    <row r="14729" spans="1:3" x14ac:dyDescent="0.25">
      <c r="A14729" s="2" t="str">
        <f ca="1">IFERROR(__xludf.DUMMYFUNCTION("""COMPUTED_VALUE"""),"zkdx")</f>
        <v>zkdx</v>
      </c>
      <c r="B14729" s="2" t="str">
        <f ca="1">IFERROR(__xludf.DUMMYFUNCTION("""COMPUTED_VALUE"""),"zkdx")</f>
        <v>zkdx</v>
      </c>
      <c r="C14729" s="2" t="str">
        <f ca="1">IFERROR(__xludf.DUMMYFUNCTION("""COMPUTED_VALUE"""),"ZKDX")</f>
        <v>ZKDX</v>
      </c>
    </row>
    <row r="14730" spans="1:3" x14ac:dyDescent="0.25">
      <c r="A14730" s="2" t="str">
        <f ca="1">IFERROR(__xludf.DUMMYFUNCTION("""COMPUTED_VALUE"""),"zkera-finance")</f>
        <v>zkera-finance</v>
      </c>
      <c r="B14730" s="2" t="str">
        <f ca="1">IFERROR(__xludf.DUMMYFUNCTION("""COMPUTED_VALUE"""),"zke")</f>
        <v>zke</v>
      </c>
      <c r="C14730" s="2" t="str">
        <f ca="1">IFERROR(__xludf.DUMMYFUNCTION("""COMPUTED_VALUE"""),"zkEra Finance")</f>
        <v>zkEra Finance</v>
      </c>
    </row>
    <row r="14731" spans="1:3" x14ac:dyDescent="0.25">
      <c r="A14731" s="2" t="str">
        <f ca="1">IFERROR(__xludf.DUMMYFUNCTION("""COMPUTED_VALUE"""),"zkevmchain-bsc")</f>
        <v>zkevmchain-bsc</v>
      </c>
      <c r="B14731" s="2" t="str">
        <f ca="1">IFERROR(__xludf.DUMMYFUNCTION("""COMPUTED_VALUE"""),"zkevm")</f>
        <v>zkevm</v>
      </c>
      <c r="C14731" s="2" t="str">
        <f ca="1">IFERROR(__xludf.DUMMYFUNCTION("""COMPUTED_VALUE"""),"zkEVMChain (BSC)")</f>
        <v>zkEVMChain (BSC)</v>
      </c>
    </row>
    <row r="14732" spans="1:3" x14ac:dyDescent="0.25">
      <c r="A14732" s="2" t="str">
        <f ca="1">IFERROR(__xludf.DUMMYFUNCTION("""COMPUTED_VALUE"""),"zkfair")</f>
        <v>zkfair</v>
      </c>
      <c r="B14732" s="2" t="str">
        <f ca="1">IFERROR(__xludf.DUMMYFUNCTION("""COMPUTED_VALUE"""),"zkf")</f>
        <v>zkf</v>
      </c>
      <c r="C14732" s="2" t="str">
        <f ca="1">IFERROR(__xludf.DUMMYFUNCTION("""COMPUTED_VALUE"""),"ZKFair")</f>
        <v>ZKFair</v>
      </c>
    </row>
    <row r="14733" spans="1:3" x14ac:dyDescent="0.25">
      <c r="A14733" s="2" t="str">
        <f ca="1">IFERROR(__xludf.DUMMYFUNCTION("""COMPUTED_VALUE"""),"zkgap")</f>
        <v>zkgap</v>
      </c>
      <c r="B14733" s="2" t="str">
        <f ca="1">IFERROR(__xludf.DUMMYFUNCTION("""COMPUTED_VALUE"""),"zkgap")</f>
        <v>zkgap</v>
      </c>
      <c r="C14733" s="2" t="str">
        <f ca="1">IFERROR(__xludf.DUMMYFUNCTION("""COMPUTED_VALUE"""),"ZKGAP")</f>
        <v>ZKGAP</v>
      </c>
    </row>
    <row r="14734" spans="1:3" x14ac:dyDescent="0.25">
      <c r="A14734" s="2" t="str">
        <f ca="1">IFERROR(__xludf.DUMMYFUNCTION("""COMPUTED_VALUE"""),"zkgun")</f>
        <v>zkgun</v>
      </c>
      <c r="B14734" s="2" t="str">
        <f ca="1">IFERROR(__xludf.DUMMYFUNCTION("""COMPUTED_VALUE"""),"zkgun")</f>
        <v>zkgun</v>
      </c>
      <c r="C14734" s="2" t="str">
        <f ca="1">IFERROR(__xludf.DUMMYFUNCTION("""COMPUTED_VALUE"""),"zkGUN")</f>
        <v>zkGUN</v>
      </c>
    </row>
    <row r="14735" spans="1:3" x14ac:dyDescent="0.25">
      <c r="A14735" s="2" t="str">
        <f ca="1">IFERROR(__xludf.DUMMYFUNCTION("""COMPUTED_VALUE"""),"zkhive")</f>
        <v>zkhive</v>
      </c>
      <c r="B14735" s="2" t="str">
        <f ca="1">IFERROR(__xludf.DUMMYFUNCTION("""COMPUTED_VALUE"""),"zkhive")</f>
        <v>zkhive</v>
      </c>
      <c r="C14735" s="2" t="str">
        <f ca="1">IFERROR(__xludf.DUMMYFUNCTION("""COMPUTED_VALUE"""),"zkHive")</f>
        <v>zkHive</v>
      </c>
    </row>
    <row r="14736" spans="1:3" x14ac:dyDescent="0.25">
      <c r="A14736" s="2" t="str">
        <f ca="1">IFERROR(__xludf.DUMMYFUNCTION("""COMPUTED_VALUE"""),"zkinfra")</f>
        <v>zkinfra</v>
      </c>
      <c r="B14736" s="2" t="str">
        <f ca="1">IFERROR(__xludf.DUMMYFUNCTION("""COMPUTED_VALUE"""),"zkin")</f>
        <v>zkin</v>
      </c>
      <c r="C14736" s="2" t="str">
        <f ca="1">IFERROR(__xludf.DUMMYFUNCTION("""COMPUTED_VALUE"""),"zkInfra")</f>
        <v>zkInfra</v>
      </c>
    </row>
    <row r="14737" spans="1:3" x14ac:dyDescent="0.25">
      <c r="A14737" s="2" t="str">
        <f ca="1">IFERROR(__xludf.DUMMYFUNCTION("""COMPUTED_VALUE"""),"zkitty-bot")</f>
        <v>zkitty-bot</v>
      </c>
      <c r="B14737" s="2" t="str">
        <f ca="1">IFERROR(__xludf.DUMMYFUNCTION("""COMPUTED_VALUE"""),"$zkitty")</f>
        <v>$zkitty</v>
      </c>
      <c r="C14737" s="2" t="str">
        <f ca="1">IFERROR(__xludf.DUMMYFUNCTION("""COMPUTED_VALUE"""),"ZKitty Bot")</f>
        <v>ZKitty Bot</v>
      </c>
    </row>
    <row r="14738" spans="1:3" x14ac:dyDescent="0.25">
      <c r="A14738" s="2" t="str">
        <f ca="1">IFERROR(__xludf.DUMMYFUNCTION("""COMPUTED_VALUE"""),"zklaunchpad")</f>
        <v>zklaunchpad</v>
      </c>
      <c r="B14738" s="2" t="str">
        <f ca="1">IFERROR(__xludf.DUMMYFUNCTION("""COMPUTED_VALUE"""),"zkpad")</f>
        <v>zkpad</v>
      </c>
      <c r="C14738" s="2" t="str">
        <f ca="1">IFERROR(__xludf.DUMMYFUNCTION("""COMPUTED_VALUE"""),"zkLaunchpad")</f>
        <v>zkLaunchpad</v>
      </c>
    </row>
    <row r="14739" spans="1:3" x14ac:dyDescent="0.25">
      <c r="A14739" s="2" t="str">
        <f ca="1">IFERROR(__xludf.DUMMYFUNCTION("""COMPUTED_VALUE"""),"zklend-2")</f>
        <v>zklend-2</v>
      </c>
      <c r="B14739" s="2" t="str">
        <f ca="1">IFERROR(__xludf.DUMMYFUNCTION("""COMPUTED_VALUE"""),"zend")</f>
        <v>zend</v>
      </c>
      <c r="C14739" s="2" t="str">
        <f ca="1">IFERROR(__xludf.DUMMYFUNCTION("""COMPUTED_VALUE"""),"zkLend")</f>
        <v>zkLend</v>
      </c>
    </row>
    <row r="14740" spans="1:3" x14ac:dyDescent="0.25">
      <c r="A14740" s="2" t="str">
        <f ca="1">IFERROR(__xludf.DUMMYFUNCTION("""COMPUTED_VALUE"""),"zklink")</f>
        <v>zklink</v>
      </c>
      <c r="B14740" s="2" t="str">
        <f ca="1">IFERROR(__xludf.DUMMYFUNCTION("""COMPUTED_VALUE"""),"zkl")</f>
        <v>zkl</v>
      </c>
      <c r="C14740" s="2" t="str">
        <f ca="1">IFERROR(__xludf.DUMMYFUNCTION("""COMPUTED_VALUE"""),"zkLink")</f>
        <v>zkLink</v>
      </c>
    </row>
    <row r="14741" spans="1:3" x14ac:dyDescent="0.25">
      <c r="A14741" s="2" t="str">
        <f ca="1">IFERROR(__xludf.DUMMYFUNCTION("""COMPUTED_VALUE"""),"zklock")</f>
        <v>zklock</v>
      </c>
      <c r="B14741" s="2" t="str">
        <f ca="1">IFERROR(__xludf.DUMMYFUNCTION("""COMPUTED_VALUE"""),"zklk")</f>
        <v>zklk</v>
      </c>
      <c r="C14741" s="2" t="str">
        <f ca="1">IFERROR(__xludf.DUMMYFUNCTION("""COMPUTED_VALUE"""),"ZkLock")</f>
        <v>ZkLock</v>
      </c>
    </row>
    <row r="14742" spans="1:3" x14ac:dyDescent="0.25">
      <c r="A14742" s="2" t="str">
        <f ca="1">IFERROR(__xludf.DUMMYFUNCTION("""COMPUTED_VALUE"""),"zkml")</f>
        <v>zkml</v>
      </c>
      <c r="B14742" s="2" t="str">
        <f ca="1">IFERROR(__xludf.DUMMYFUNCTION("""COMPUTED_VALUE"""),"zkml")</f>
        <v>zkml</v>
      </c>
      <c r="C14742" s="2" t="str">
        <f ca="1">IFERROR(__xludf.DUMMYFUNCTION("""COMPUTED_VALUE"""),"zKML")</f>
        <v>zKML</v>
      </c>
    </row>
    <row r="14743" spans="1:3" x14ac:dyDescent="0.25">
      <c r="A14743" s="2" t="str">
        <f ca="1">IFERROR(__xludf.DUMMYFUNCTION("""COMPUTED_VALUE"""),"zkpepe")</f>
        <v>zkpepe</v>
      </c>
      <c r="B14743" s="2" t="str">
        <f ca="1">IFERROR(__xludf.DUMMYFUNCTION("""COMPUTED_VALUE"""),"zkpepe")</f>
        <v>zkpepe</v>
      </c>
      <c r="C14743" s="2" t="str">
        <f ca="1">IFERROR(__xludf.DUMMYFUNCTION("""COMPUTED_VALUE"""),"ZKPepe")</f>
        <v>ZKPepe</v>
      </c>
    </row>
    <row r="14744" spans="1:3" x14ac:dyDescent="0.25">
      <c r="A14744" s="2" t="str">
        <f ca="1">IFERROR(__xludf.DUMMYFUNCTION("""COMPUTED_VALUE"""),"zkpepe-2")</f>
        <v>zkpepe-2</v>
      </c>
      <c r="B14744" s="2" t="str">
        <f ca="1">IFERROR(__xludf.DUMMYFUNCTION("""COMPUTED_VALUE"""),"zkpepe")</f>
        <v>zkpepe</v>
      </c>
      <c r="C14744" s="2" t="str">
        <f ca="1">IFERROR(__xludf.DUMMYFUNCTION("""COMPUTED_VALUE"""),"ZKPEPE")</f>
        <v>ZKPEPE</v>
      </c>
    </row>
    <row r="14745" spans="1:3" x14ac:dyDescent="0.25">
      <c r="A14745" s="2" t="str">
        <f ca="1">IFERROR(__xludf.DUMMYFUNCTION("""COMPUTED_VALUE"""),"zkspace")</f>
        <v>zkspace</v>
      </c>
      <c r="B14745" s="2" t="str">
        <f ca="1">IFERROR(__xludf.DUMMYFUNCTION("""COMPUTED_VALUE"""),"zkb")</f>
        <v>zkb</v>
      </c>
      <c r="C14745" s="2" t="str">
        <f ca="1">IFERROR(__xludf.DUMMYFUNCTION("""COMPUTED_VALUE"""),"ZKBase")</f>
        <v>ZKBase</v>
      </c>
    </row>
    <row r="14746" spans="1:3" x14ac:dyDescent="0.25">
      <c r="A14746" s="2" t="str">
        <f ca="1">IFERROR(__xludf.DUMMYFUNCTION("""COMPUTED_VALUE"""),"zkswap-finance")</f>
        <v>zkswap-finance</v>
      </c>
      <c r="B14746" s="2" t="str">
        <f ca="1">IFERROR(__xludf.DUMMYFUNCTION("""COMPUTED_VALUE"""),"zf")</f>
        <v>zf</v>
      </c>
      <c r="C14746" s="2" t="str">
        <f ca="1">IFERROR(__xludf.DUMMYFUNCTION("""COMPUTED_VALUE"""),"zkSwap Finance")</f>
        <v>zkSwap Finance</v>
      </c>
    </row>
    <row r="14747" spans="1:3" x14ac:dyDescent="0.25">
      <c r="A14747" s="2" t="str">
        <f ca="1">IFERROR(__xludf.DUMMYFUNCTION("""COMPUTED_VALUE"""),"zksync")</f>
        <v>zksync</v>
      </c>
      <c r="B14747" s="2" t="str">
        <f ca="1">IFERROR(__xludf.DUMMYFUNCTION("""COMPUTED_VALUE"""),"zk")</f>
        <v>zk</v>
      </c>
      <c r="C14747" s="2" t="str">
        <f ca="1">IFERROR(__xludf.DUMMYFUNCTION("""COMPUTED_VALUE"""),"ZKsync")</f>
        <v>ZKsync</v>
      </c>
    </row>
    <row r="14748" spans="1:3" x14ac:dyDescent="0.25">
      <c r="A14748" s="2" t="str">
        <f ca="1">IFERROR(__xludf.DUMMYFUNCTION("""COMPUTED_VALUE"""),"zksync-bridged-usdc-zksync")</f>
        <v>zksync-bridged-usdc-zksync</v>
      </c>
      <c r="B14748" s="2" t="str">
        <f ca="1">IFERROR(__xludf.DUMMYFUNCTION("""COMPUTED_VALUE"""),"usdc")</f>
        <v>usdc</v>
      </c>
      <c r="C14748" s="2" t="str">
        <f ca="1">IFERROR(__xludf.DUMMYFUNCTION("""COMPUTED_VALUE"""),"zkSync Bridged USDC (zkSync)")</f>
        <v>zkSync Bridged USDC (zkSync)</v>
      </c>
    </row>
    <row r="14749" spans="1:3" x14ac:dyDescent="0.25">
      <c r="A14749" s="2" t="str">
        <f ca="1">IFERROR(__xludf.DUMMYFUNCTION("""COMPUTED_VALUE"""),"zksync-bridged-wbtc-zksync")</f>
        <v>zksync-bridged-wbtc-zksync</v>
      </c>
      <c r="B14749" s="2" t="str">
        <f ca="1">IFERROR(__xludf.DUMMYFUNCTION("""COMPUTED_VALUE"""),"wbtc")</f>
        <v>wbtc</v>
      </c>
      <c r="C14749" s="2" t="str">
        <f ca="1">IFERROR(__xludf.DUMMYFUNCTION("""COMPUTED_VALUE"""),"zkSync Bridged WBTC (zkSync)")</f>
        <v>zkSync Bridged WBTC (zkSync)</v>
      </c>
    </row>
    <row r="14750" spans="1:3" x14ac:dyDescent="0.25">
      <c r="A14750" s="2" t="str">
        <f ca="1">IFERROR(__xludf.DUMMYFUNCTION("""COMPUTED_VALUE"""),"zksync-erc20-bridged-dai-zksync")</f>
        <v>zksync-erc20-bridged-dai-zksync</v>
      </c>
      <c r="B14750" s="2" t="str">
        <f ca="1">IFERROR(__xludf.DUMMYFUNCTION("""COMPUTED_VALUE"""),"dai")</f>
        <v>dai</v>
      </c>
      <c r="C14750" s="2" t="str">
        <f ca="1">IFERROR(__xludf.DUMMYFUNCTION("""COMPUTED_VALUE"""),"ZKsync ERC20 Bridged DAI (zkSync)")</f>
        <v>ZKsync ERC20 Bridged DAI (zkSync)</v>
      </c>
    </row>
    <row r="14751" spans="1:3" x14ac:dyDescent="0.25">
      <c r="A14751" s="2" t="str">
        <f ca="1">IFERROR(__xludf.DUMMYFUNCTION("""COMPUTED_VALUE"""),"zksync-id")</f>
        <v>zksync-id</v>
      </c>
      <c r="B14751" s="2" t="str">
        <f ca="1">IFERROR(__xludf.DUMMYFUNCTION("""COMPUTED_VALUE"""),"zkid")</f>
        <v>zkid</v>
      </c>
      <c r="C14751" s="2" t="str">
        <f ca="1">IFERROR(__xludf.DUMMYFUNCTION("""COMPUTED_VALUE"""),"zkSync id")</f>
        <v>zkSync id</v>
      </c>
    </row>
    <row r="14752" spans="1:3" x14ac:dyDescent="0.25">
      <c r="A14752" s="2" t="str">
        <f ca="1">IFERROR(__xludf.DUMMYFUNCTION("""COMPUTED_VALUE"""),"zktao")</f>
        <v>zktao</v>
      </c>
      <c r="B14752" s="2" t="str">
        <f ca="1">IFERROR(__xludf.DUMMYFUNCTION("""COMPUTED_VALUE"""),"zao")</f>
        <v>zao</v>
      </c>
      <c r="C14752" s="2" t="str">
        <f ca="1">IFERROR(__xludf.DUMMYFUNCTION("""COMPUTED_VALUE"""),"zkTAO")</f>
        <v>zkTAO</v>
      </c>
    </row>
    <row r="14753" spans="1:3" x14ac:dyDescent="0.25">
      <c r="A14753" s="2" t="str">
        <f ca="1">IFERROR(__xludf.DUMMYFUNCTION("""COMPUTED_VALUE"""),"zktsunami")</f>
        <v>zktsunami</v>
      </c>
      <c r="B14753" s="2" t="str">
        <f ca="1">IFERROR(__xludf.DUMMYFUNCTION("""COMPUTED_VALUE"""),":zkt:")</f>
        <v>:zkt:</v>
      </c>
      <c r="C14753" s="2" t="str">
        <f ca="1">IFERROR(__xludf.DUMMYFUNCTION("""COMPUTED_VALUE"""),"ZkTsunami")</f>
        <v>ZkTsunami</v>
      </c>
    </row>
    <row r="14754" spans="1:3" x14ac:dyDescent="0.25">
      <c r="A14754" s="2" t="str">
        <f ca="1">IFERROR(__xludf.DUMMYFUNCTION("""COMPUTED_VALUE"""),"zkzone")</f>
        <v>zkzone</v>
      </c>
      <c r="B14754" s="2" t="str">
        <f ca="1">IFERROR(__xludf.DUMMYFUNCTION("""COMPUTED_VALUE"""),"zkz")</f>
        <v>zkz</v>
      </c>
      <c r="C14754" s="2" t="str">
        <f ca="1">IFERROR(__xludf.DUMMYFUNCTION("""COMPUTED_VALUE"""),"Zkzone")</f>
        <v>Zkzone</v>
      </c>
    </row>
    <row r="14755" spans="1:3" x14ac:dyDescent="0.25">
      <c r="A14755" s="2" t="str">
        <f ca="1">IFERROR(__xludf.DUMMYFUNCTION("""COMPUTED_VALUE"""),"zmine")</f>
        <v>zmine</v>
      </c>
      <c r="B14755" s="2" t="str">
        <f ca="1">IFERROR(__xludf.DUMMYFUNCTION("""COMPUTED_VALUE"""),"zmn")</f>
        <v>zmn</v>
      </c>
      <c r="C14755" s="2" t="str">
        <f ca="1">IFERROR(__xludf.DUMMYFUNCTION("""COMPUTED_VALUE"""),"ZMINE")</f>
        <v>ZMINE</v>
      </c>
    </row>
    <row r="14756" spans="1:3" x14ac:dyDescent="0.25">
      <c r="A14756" s="2" t="str">
        <f ca="1">IFERROR(__xludf.DUMMYFUNCTION("""COMPUTED_VALUE"""),"zodiacsv2")</f>
        <v>zodiacsv2</v>
      </c>
      <c r="B14756" s="2" t="str">
        <f ca="1">IFERROR(__xludf.DUMMYFUNCTION("""COMPUTED_VALUE"""),"zdcv2")</f>
        <v>zdcv2</v>
      </c>
      <c r="C14756" s="2" t="str">
        <f ca="1">IFERROR(__xludf.DUMMYFUNCTION("""COMPUTED_VALUE"""),"ZodiacsV2")</f>
        <v>ZodiacsV2</v>
      </c>
    </row>
    <row r="14757" spans="1:3" x14ac:dyDescent="0.25">
      <c r="A14757" s="2" t="str">
        <f ca="1">IFERROR(__xludf.DUMMYFUNCTION("""COMPUTED_VALUE"""),"zodium")</f>
        <v>zodium</v>
      </c>
      <c r="B14757" s="2" t="str">
        <f ca="1">IFERROR(__xludf.DUMMYFUNCTION("""COMPUTED_VALUE"""),"zodi")</f>
        <v>zodi</v>
      </c>
      <c r="C14757" s="2" t="str">
        <f ca="1">IFERROR(__xludf.DUMMYFUNCTION("""COMPUTED_VALUE"""),"Zodium")</f>
        <v>Zodium</v>
      </c>
    </row>
    <row r="14758" spans="1:3" x14ac:dyDescent="0.25">
      <c r="A14758" s="2" t="str">
        <f ca="1">IFERROR(__xludf.DUMMYFUNCTION("""COMPUTED_VALUE"""),"zoid-pay")</f>
        <v>zoid-pay</v>
      </c>
      <c r="B14758" s="2" t="str">
        <f ca="1">IFERROR(__xludf.DUMMYFUNCTION("""COMPUTED_VALUE"""),"zpay")</f>
        <v>zpay</v>
      </c>
      <c r="C14758" s="2" t="str">
        <f ca="1">IFERROR(__xludf.DUMMYFUNCTION("""COMPUTED_VALUE"""),"ZoidPay")</f>
        <v>ZoidPay</v>
      </c>
    </row>
    <row r="14759" spans="1:3" x14ac:dyDescent="0.25">
      <c r="A14759" s="2" t="str">
        <f ca="1">IFERROR(__xludf.DUMMYFUNCTION("""COMPUTED_VALUE"""),"zoink")</f>
        <v>zoink</v>
      </c>
      <c r="B14759" s="2" t="str">
        <f ca="1">IFERROR(__xludf.DUMMYFUNCTION("""COMPUTED_VALUE"""),"zoink")</f>
        <v>zoink</v>
      </c>
      <c r="C14759" s="2" t="str">
        <f ca="1">IFERROR(__xludf.DUMMYFUNCTION("""COMPUTED_VALUE"""),"Zoink")</f>
        <v>Zoink</v>
      </c>
    </row>
    <row r="14760" spans="1:3" x14ac:dyDescent="0.25">
      <c r="A14760" s="2" t="str">
        <f ca="1">IFERROR(__xludf.DUMMYFUNCTION("""COMPUTED_VALUE"""),"zombiecoin")</f>
        <v>zombiecoin</v>
      </c>
      <c r="B14760" s="2" t="str">
        <f ca="1">IFERROR(__xludf.DUMMYFUNCTION("""COMPUTED_VALUE"""),"zmb")</f>
        <v>zmb</v>
      </c>
      <c r="C14760" s="2" t="str">
        <f ca="1">IFERROR(__xludf.DUMMYFUNCTION("""COMPUTED_VALUE"""),"ZombieCoin")</f>
        <v>ZombieCoin</v>
      </c>
    </row>
    <row r="14761" spans="1:3" x14ac:dyDescent="0.25">
      <c r="A14761" s="2" t="str">
        <f ca="1">IFERROR(__xludf.DUMMYFUNCTION("""COMPUTED_VALUE"""),"zombie-inu-2")</f>
        <v>zombie-inu-2</v>
      </c>
      <c r="B14761" s="2" t="str">
        <f ca="1">IFERROR(__xludf.DUMMYFUNCTION("""COMPUTED_VALUE"""),"zinu")</f>
        <v>zinu</v>
      </c>
      <c r="C14761" s="2" t="str">
        <f ca="1">IFERROR(__xludf.DUMMYFUNCTION("""COMPUTED_VALUE"""),"ZINU")</f>
        <v>ZINU</v>
      </c>
    </row>
    <row r="14762" spans="1:3" x14ac:dyDescent="0.25">
      <c r="A14762" s="2" t="str">
        <f ca="1">IFERROR(__xludf.DUMMYFUNCTION("""COMPUTED_VALUE"""),"zone")</f>
        <v>zone</v>
      </c>
      <c r="B14762" s="2" t="str">
        <f ca="1">IFERROR(__xludf.DUMMYFUNCTION("""COMPUTED_VALUE"""),"zone")</f>
        <v>zone</v>
      </c>
      <c r="C14762" s="2" t="str">
        <f ca="1">IFERROR(__xludf.DUMMYFUNCTION("""COMPUTED_VALUE"""),"Zone")</f>
        <v>Zone</v>
      </c>
    </row>
    <row r="14763" spans="1:3" x14ac:dyDescent="0.25">
      <c r="A14763" s="2" t="str">
        <f ca="1">IFERROR(__xludf.DUMMYFUNCTION("""COMPUTED_VALUE"""),"zonko-usdz")</f>
        <v>zonko-usdz</v>
      </c>
      <c r="B14763" s="2" t="str">
        <f ca="1">IFERROR(__xludf.DUMMYFUNCTION("""COMPUTED_VALUE"""),"usdz")</f>
        <v>usdz</v>
      </c>
      <c r="C14763" s="2" t="str">
        <f ca="1">IFERROR(__xludf.DUMMYFUNCTION("""COMPUTED_VALUE"""),"ZONKO USDZ")</f>
        <v>ZONKO USDZ</v>
      </c>
    </row>
    <row r="14764" spans="1:3" x14ac:dyDescent="0.25">
      <c r="A14764" s="2" t="str">
        <f ca="1">IFERROR(__xludf.DUMMYFUNCTION("""COMPUTED_VALUE"""),"zoocoin")</f>
        <v>zoocoin</v>
      </c>
      <c r="B14764" s="2" t="str">
        <f ca="1">IFERROR(__xludf.DUMMYFUNCTION("""COMPUTED_VALUE"""),"zoo")</f>
        <v>zoo</v>
      </c>
      <c r="C14764" s="2" t="str">
        <f ca="1">IFERROR(__xludf.DUMMYFUNCTION("""COMPUTED_VALUE"""),"ZooCoin")</f>
        <v>ZooCoin</v>
      </c>
    </row>
    <row r="14765" spans="1:3" x14ac:dyDescent="0.25">
      <c r="A14765" s="2" t="str">
        <f ca="1">IFERROR(__xludf.DUMMYFUNCTION("""COMPUTED_VALUE"""),"zoo-coin")</f>
        <v>zoo-coin</v>
      </c>
      <c r="B14765" s="2" t="str">
        <f ca="1">IFERROR(__xludf.DUMMYFUNCTION("""COMPUTED_VALUE"""),"zoo")</f>
        <v>zoo</v>
      </c>
      <c r="C14765" s="2" t="str">
        <f ca="1">IFERROR(__xludf.DUMMYFUNCTION("""COMPUTED_VALUE"""),"ZooCoin (OLD)")</f>
        <v>ZooCoin (OLD)</v>
      </c>
    </row>
    <row r="14766" spans="1:3" x14ac:dyDescent="0.25">
      <c r="A14766" s="2" t="str">
        <f ca="1">IFERROR(__xludf.DUMMYFUNCTION("""COMPUTED_VALUE"""),"zoo-crypto-world")</f>
        <v>zoo-crypto-world</v>
      </c>
      <c r="B14766" s="2" t="str">
        <f ca="1">IFERROR(__xludf.DUMMYFUNCTION("""COMPUTED_VALUE"""),"zoo")</f>
        <v>zoo</v>
      </c>
      <c r="C14766" s="2" t="str">
        <f ca="1">IFERROR(__xludf.DUMMYFUNCTION("""COMPUTED_VALUE"""),"ZOO Crypto World")</f>
        <v>ZOO Crypto World</v>
      </c>
    </row>
    <row r="14767" spans="1:3" x14ac:dyDescent="0.25">
      <c r="A14767" s="2" t="str">
        <f ca="1">IFERROR(__xludf.DUMMYFUNCTION("""COMPUTED_VALUE"""),"zookeeper")</f>
        <v>zookeeper</v>
      </c>
      <c r="B14767" s="2" t="str">
        <f ca="1">IFERROR(__xludf.DUMMYFUNCTION("""COMPUTED_VALUE"""),"zoo")</f>
        <v>zoo</v>
      </c>
      <c r="C14767" s="2" t="str">
        <f ca="1">IFERROR(__xludf.DUMMYFUNCTION("""COMPUTED_VALUE"""),"ZooKeeper")</f>
        <v>ZooKeeper</v>
      </c>
    </row>
    <row r="14768" spans="1:3" x14ac:dyDescent="0.25">
      <c r="A14768" s="2" t="str">
        <f ca="1">IFERROR(__xludf.DUMMYFUNCTION("""COMPUTED_VALUE"""),"zoomer")</f>
        <v>zoomer</v>
      </c>
      <c r="B14768" s="2" t="str">
        <f ca="1">IFERROR(__xludf.DUMMYFUNCTION("""COMPUTED_VALUE"""),"zoomer")</f>
        <v>zoomer</v>
      </c>
      <c r="C14768" s="2" t="str">
        <f ca="1">IFERROR(__xludf.DUMMYFUNCTION("""COMPUTED_VALUE"""),"Zoomer")</f>
        <v>Zoomer</v>
      </c>
    </row>
    <row r="14769" spans="1:3" x14ac:dyDescent="0.25">
      <c r="A14769" s="2" t="str">
        <f ca="1">IFERROR(__xludf.DUMMYFUNCTION("""COMPUTED_VALUE"""),"zoomer-2")</f>
        <v>zoomer-2</v>
      </c>
      <c r="B14769" s="2" t="str">
        <f ca="1">IFERROR(__xludf.DUMMYFUNCTION("""COMPUTED_VALUE"""),"zoomer")</f>
        <v>zoomer</v>
      </c>
      <c r="C14769" s="2" t="str">
        <f ca="1">IFERROR(__xludf.DUMMYFUNCTION("""COMPUTED_VALUE"""),"Zoomer")</f>
        <v>Zoomer</v>
      </c>
    </row>
    <row r="14770" spans="1:3" x14ac:dyDescent="0.25">
      <c r="A14770" s="2" t="str">
        <f ca="1">IFERROR(__xludf.DUMMYFUNCTION("""COMPUTED_VALUE"""),"zoomer-sol")</f>
        <v>zoomer-sol</v>
      </c>
      <c r="B14770" s="2" t="str">
        <f ca="1">IFERROR(__xludf.DUMMYFUNCTION("""COMPUTED_VALUE"""),"zoomer")</f>
        <v>zoomer</v>
      </c>
      <c r="C14770" s="2" t="str">
        <f ca="1">IFERROR(__xludf.DUMMYFUNCTION("""COMPUTED_VALUE"""),"Zoomer")</f>
        <v>Zoomer</v>
      </c>
    </row>
    <row r="14771" spans="1:3" x14ac:dyDescent="0.25">
      <c r="A14771" s="2" t="str">
        <f ca="1">IFERROR(__xludf.DUMMYFUNCTION("""COMPUTED_VALUE"""),"zoomswap")</f>
        <v>zoomswap</v>
      </c>
      <c r="B14771" s="2" t="str">
        <f ca="1">IFERROR(__xludf.DUMMYFUNCTION("""COMPUTED_VALUE"""),"zm")</f>
        <v>zm</v>
      </c>
      <c r="C14771" s="2" t="str">
        <f ca="1">IFERROR(__xludf.DUMMYFUNCTION("""COMPUTED_VALUE"""),"ZoomSwap")</f>
        <v>ZoomSwap</v>
      </c>
    </row>
    <row r="14772" spans="1:3" x14ac:dyDescent="0.25">
      <c r="A14772" s="2" t="str">
        <f ca="1">IFERROR(__xludf.DUMMYFUNCTION("""COMPUTED_VALUE"""),"zoopia")</f>
        <v>zoopia</v>
      </c>
      <c r="B14772" s="2" t="str">
        <f ca="1">IFERROR(__xludf.DUMMYFUNCTION("""COMPUTED_VALUE"""),"zooa")</f>
        <v>zooa</v>
      </c>
      <c r="C14772" s="2" t="str">
        <f ca="1">IFERROR(__xludf.DUMMYFUNCTION("""COMPUTED_VALUE"""),"Zoopia")</f>
        <v>Zoopia</v>
      </c>
    </row>
    <row r="14773" spans="1:3" x14ac:dyDescent="0.25">
      <c r="A14773" s="2" t="str">
        <f ca="1">IFERROR(__xludf.DUMMYFUNCTION("""COMPUTED_VALUE"""),"zoo-token")</f>
        <v>zoo-token</v>
      </c>
      <c r="B14773" s="2" t="str">
        <f ca="1">IFERROR(__xludf.DUMMYFUNCTION("""COMPUTED_VALUE"""),"zoot")</f>
        <v>zoot</v>
      </c>
      <c r="C14773" s="2" t="str">
        <f ca="1">IFERROR(__xludf.DUMMYFUNCTION("""COMPUTED_VALUE"""),"Zoo")</f>
        <v>Zoo</v>
      </c>
    </row>
    <row r="14774" spans="1:3" x14ac:dyDescent="0.25">
      <c r="A14774" s="2" t="str">
        <f ca="1">IFERROR(__xludf.DUMMYFUNCTION("""COMPUTED_VALUE"""),"zora-bridged-weth-zora-network")</f>
        <v>zora-bridged-weth-zora-network</v>
      </c>
      <c r="B14774" s="2" t="str">
        <f ca="1">IFERROR(__xludf.DUMMYFUNCTION("""COMPUTED_VALUE"""),"weth")</f>
        <v>weth</v>
      </c>
      <c r="C14774" s="2" t="str">
        <f ca="1">IFERROR(__xludf.DUMMYFUNCTION("""COMPUTED_VALUE"""),"Zora Bridged WETH (Zora Network)")</f>
        <v>Zora Bridged WETH (Zora Network)</v>
      </c>
    </row>
    <row r="14775" spans="1:3" x14ac:dyDescent="0.25">
      <c r="A14775" s="2" t="str">
        <f ca="1">IFERROR(__xludf.DUMMYFUNCTION("""COMPUTED_VALUE"""),"zorro")</f>
        <v>zorro</v>
      </c>
      <c r="B14775" s="2" t="str">
        <f ca="1">IFERROR(__xludf.DUMMYFUNCTION("""COMPUTED_VALUE"""),"zorro")</f>
        <v>zorro</v>
      </c>
      <c r="C14775" s="2" t="str">
        <f ca="1">IFERROR(__xludf.DUMMYFUNCTION("""COMPUTED_VALUE"""),"Zorro")</f>
        <v>Zorro</v>
      </c>
    </row>
    <row r="14776" spans="1:3" x14ac:dyDescent="0.25">
      <c r="A14776" s="2" t="str">
        <f ca="1">IFERROR(__xludf.DUMMYFUNCTION("""COMPUTED_VALUE"""),"z-protocol")</f>
        <v>z-protocol</v>
      </c>
      <c r="B14776" s="2" t="str">
        <f ca="1">IFERROR(__xludf.DUMMYFUNCTION("""COMPUTED_VALUE"""),"zp")</f>
        <v>zp</v>
      </c>
      <c r="C14776" s="2" t="str">
        <f ca="1">IFERROR(__xludf.DUMMYFUNCTION("""COMPUTED_VALUE"""),"Z Protocol")</f>
        <v>Z Protocol</v>
      </c>
    </row>
    <row r="14777" spans="1:3" x14ac:dyDescent="0.25">
      <c r="A14777" s="2" t="str">
        <f ca="1">IFERROR(__xludf.DUMMYFUNCTION("""COMPUTED_VALUE"""),"ztx")</f>
        <v>ztx</v>
      </c>
      <c r="B14777" s="2" t="str">
        <f ca="1">IFERROR(__xludf.DUMMYFUNCTION("""COMPUTED_VALUE"""),"ztx")</f>
        <v>ztx</v>
      </c>
      <c r="C14777" s="2" t="str">
        <f ca="1">IFERROR(__xludf.DUMMYFUNCTION("""COMPUTED_VALUE"""),"ZTX")</f>
        <v>ZTX</v>
      </c>
    </row>
    <row r="14778" spans="1:3" x14ac:dyDescent="0.25">
      <c r="A14778" s="2" t="str">
        <f ca="1">IFERROR(__xludf.DUMMYFUNCTION("""COMPUTED_VALUE"""),"zum-token")</f>
        <v>zum-token</v>
      </c>
      <c r="B14778" s="2" t="str">
        <f ca="1">IFERROR(__xludf.DUMMYFUNCTION("""COMPUTED_VALUE"""),"zum")</f>
        <v>zum</v>
      </c>
      <c r="C14778" s="2" t="str">
        <f ca="1">IFERROR(__xludf.DUMMYFUNCTION("""COMPUTED_VALUE"""),"ZUM")</f>
        <v>ZUM</v>
      </c>
    </row>
    <row r="14779" spans="1:3" x14ac:dyDescent="0.25">
      <c r="A14779" s="2" t="str">
        <f ca="1">IFERROR(__xludf.DUMMYFUNCTION("""COMPUTED_VALUE"""),"zunami-eth-2")</f>
        <v>zunami-eth-2</v>
      </c>
      <c r="B14779" s="2" t="str">
        <f ca="1">IFERROR(__xludf.DUMMYFUNCTION("""COMPUTED_VALUE"""),"zuneth")</f>
        <v>zuneth</v>
      </c>
      <c r="C14779" s="2" t="str">
        <f ca="1">IFERROR(__xludf.DUMMYFUNCTION("""COMPUTED_VALUE"""),"Zunami ETH")</f>
        <v>Zunami ETH</v>
      </c>
    </row>
    <row r="14780" spans="1:3" x14ac:dyDescent="0.25">
      <c r="A14780" s="2" t="str">
        <f ca="1">IFERROR(__xludf.DUMMYFUNCTION("""COMPUTED_VALUE"""),"zunami-governance-token")</f>
        <v>zunami-governance-token</v>
      </c>
      <c r="B14780" s="2" t="str">
        <f ca="1">IFERROR(__xludf.DUMMYFUNCTION("""COMPUTED_VALUE"""),"zun")</f>
        <v>zun</v>
      </c>
      <c r="C14780" s="2" t="str">
        <f ca="1">IFERROR(__xludf.DUMMYFUNCTION("""COMPUTED_VALUE"""),"Zunami Governance Token")</f>
        <v>Zunami Governance Token</v>
      </c>
    </row>
    <row r="14781" spans="1:3" x14ac:dyDescent="0.25">
      <c r="A14781" s="2" t="str">
        <f ca="1">IFERROR(__xludf.DUMMYFUNCTION("""COMPUTED_VALUE"""),"zunami-usd")</f>
        <v>zunami-usd</v>
      </c>
      <c r="B14781" s="2" t="str">
        <f ca="1">IFERROR(__xludf.DUMMYFUNCTION("""COMPUTED_VALUE"""),"zunusd")</f>
        <v>zunusd</v>
      </c>
      <c r="C14781" s="2" t="str">
        <f ca="1">IFERROR(__xludf.DUMMYFUNCTION("""COMPUTED_VALUE"""),"Zunami USD")</f>
        <v>Zunami USD</v>
      </c>
    </row>
    <row r="14782" spans="1:3" x14ac:dyDescent="0.25">
      <c r="A14782" s="2" t="str">
        <f ca="1">IFERROR(__xludf.DUMMYFUNCTION("""COMPUTED_VALUE"""),"zurrency")</f>
        <v>zurrency</v>
      </c>
      <c r="B14782" s="2" t="str">
        <f ca="1">IFERROR(__xludf.DUMMYFUNCTION("""COMPUTED_VALUE"""),"zurr")</f>
        <v>zurr</v>
      </c>
      <c r="C14782" s="2" t="str">
        <f ca="1">IFERROR(__xludf.DUMMYFUNCTION("""COMPUTED_VALUE"""),"ZURRENCY")</f>
        <v>ZURRENCY</v>
      </c>
    </row>
    <row r="14783" spans="1:3" x14ac:dyDescent="0.25">
      <c r="A14783" s="2" t="str">
        <f ca="1">IFERROR(__xludf.DUMMYFUNCTION("""COMPUTED_VALUE"""),"zushi")</f>
        <v>zushi</v>
      </c>
      <c r="B14783" s="2" t="str">
        <f ca="1">IFERROR(__xludf.DUMMYFUNCTION("""COMPUTED_VALUE"""),"zushi")</f>
        <v>zushi</v>
      </c>
      <c r="C14783" s="2" t="str">
        <f ca="1">IFERROR(__xludf.DUMMYFUNCTION("""COMPUTED_VALUE"""),"ZUSHI")</f>
        <v>ZUSHI</v>
      </c>
    </row>
    <row r="14784" spans="1:3" x14ac:dyDescent="0.25">
      <c r="A14784" s="2" t="str">
        <f ca="1">IFERROR(__xludf.DUMMYFUNCTION("""COMPUTED_VALUE"""),"zuzalu")</f>
        <v>zuzalu</v>
      </c>
      <c r="B14784" s="2" t="str">
        <f ca="1">IFERROR(__xludf.DUMMYFUNCTION("""COMPUTED_VALUE"""),"zuzalu")</f>
        <v>zuzalu</v>
      </c>
      <c r="C14784" s="2" t="str">
        <f ca="1">IFERROR(__xludf.DUMMYFUNCTION("""COMPUTED_VALUE"""),"zuzalu")</f>
        <v>zuzalu</v>
      </c>
    </row>
    <row r="14785" spans="1:3" x14ac:dyDescent="0.25">
      <c r="A14785" s="2" t="str">
        <f ca="1">IFERROR(__xludf.DUMMYFUNCTION("""COMPUTED_VALUE"""),"zuzalu-inu")</f>
        <v>zuzalu-inu</v>
      </c>
      <c r="B14785" s="2" t="str">
        <f ca="1">IFERROR(__xludf.DUMMYFUNCTION("""COMPUTED_VALUE"""),"zuzalu")</f>
        <v>zuzalu</v>
      </c>
      <c r="C14785" s="2" t="str">
        <f ca="1">IFERROR(__xludf.DUMMYFUNCTION("""COMPUTED_VALUE"""),"Zuzalu Inu")</f>
        <v>Zuzalu Inu</v>
      </c>
    </row>
    <row r="14786" spans="1:3" x14ac:dyDescent="0.25">
      <c r="A14786" s="2" t="str">
        <f ca="1">IFERROR(__xludf.DUMMYFUNCTION("""COMPUTED_VALUE"""),"zuzu-coin")</f>
        <v>zuzu-coin</v>
      </c>
      <c r="B14786" s="2" t="str">
        <f ca="1">IFERROR(__xludf.DUMMYFUNCTION("""COMPUTED_VALUE"""),"zuzu")</f>
        <v>zuzu</v>
      </c>
      <c r="C14786" s="2" t="str">
        <f ca="1">IFERROR(__xludf.DUMMYFUNCTION("""COMPUTED_VALUE"""),"ZUZU COIN")</f>
        <v>ZUZU COIN</v>
      </c>
    </row>
    <row r="14787" spans="1:3" x14ac:dyDescent="0.25">
      <c r="A14787" s="2" t="str">
        <f ca="1">IFERROR(__xludf.DUMMYFUNCTION("""COMPUTED_VALUE"""),"zyberswap")</f>
        <v>zyberswap</v>
      </c>
      <c r="B14787" s="2" t="str">
        <f ca="1">IFERROR(__xludf.DUMMYFUNCTION("""COMPUTED_VALUE"""),"zyb")</f>
        <v>zyb</v>
      </c>
      <c r="C14787" s="2" t="str">
        <f ca="1">IFERROR(__xludf.DUMMYFUNCTION("""COMPUTED_VALUE"""),"Zyberswap")</f>
        <v>Zyberswap</v>
      </c>
    </row>
    <row r="14788" spans="1:3" x14ac:dyDescent="0.25">
      <c r="A14788" s="2" t="str">
        <f ca="1">IFERROR(__xludf.DUMMYFUNCTION("""COMPUTED_VALUE"""),"zydio-ai")</f>
        <v>zydio-ai</v>
      </c>
      <c r="B14788" s="2" t="str">
        <f ca="1">IFERROR(__xludf.DUMMYFUNCTION("""COMPUTED_VALUE"""),"zdai")</f>
        <v>zdai</v>
      </c>
      <c r="C14788" s="2" t="str">
        <f ca="1">IFERROR(__xludf.DUMMYFUNCTION("""COMPUTED_VALUE"""),"Zydio AI")</f>
        <v>Zydio AI</v>
      </c>
    </row>
    <row r="14789" spans="1:3" x14ac:dyDescent="0.25">
      <c r="A14789" s="2" t="str">
        <f ca="1">IFERROR(__xludf.DUMMYFUNCTION("""COMPUTED_VALUE"""),"zyfi")</f>
        <v>zyfi</v>
      </c>
      <c r="B14789" s="2" t="str">
        <f ca="1">IFERROR(__xludf.DUMMYFUNCTION("""COMPUTED_VALUE"""),"zfi")</f>
        <v>zfi</v>
      </c>
      <c r="C14789" s="2" t="str">
        <f ca="1">IFERROR(__xludf.DUMMYFUNCTION("""COMPUTED_VALUE"""),"Zyfi")</f>
        <v>Zyfi</v>
      </c>
    </row>
    <row r="14790" spans="1:3" x14ac:dyDescent="0.25">
      <c r="A14790" s="2" t="str">
        <f ca="1">IFERROR(__xludf.DUMMYFUNCTION("""COMPUTED_VALUE"""),"zygo-the-frog")</f>
        <v>zygo-the-frog</v>
      </c>
      <c r="B14790" s="2" t="str">
        <f ca="1">IFERROR(__xludf.DUMMYFUNCTION("""COMPUTED_VALUE"""),"zygo")</f>
        <v>zygo</v>
      </c>
      <c r="C14790" s="2" t="str">
        <f ca="1">IFERROR(__xludf.DUMMYFUNCTION("""COMPUTED_VALUE"""),"Zygo The Frog")</f>
        <v>Zygo The Frog</v>
      </c>
    </row>
    <row r="14791" spans="1:3" x14ac:dyDescent="0.25">
      <c r="A14791" s="2" t="str">
        <f ca="1">IFERROR(__xludf.DUMMYFUNCTION("""COMPUTED_VALUE"""),"zyncoin-2")</f>
        <v>zyncoin-2</v>
      </c>
      <c r="B14791" s="2" t="str">
        <f ca="1">IFERROR(__xludf.DUMMYFUNCTION("""COMPUTED_VALUE"""),"zyn")</f>
        <v>zyn</v>
      </c>
      <c r="C14791" s="2" t="str">
        <f ca="1">IFERROR(__xludf.DUMMYFUNCTION("""COMPUTED_VALUE"""),"ZynCoin")</f>
        <v>ZynCoin</v>
      </c>
    </row>
    <row r="14792" spans="1:3" x14ac:dyDescent="0.25">
      <c r="A14792" s="2" t="str">
        <f ca="1">IFERROR(__xludf.DUMMYFUNCTION("""COMPUTED_VALUE"""),"zynecoin")</f>
        <v>zynecoin</v>
      </c>
      <c r="B14792" s="2" t="str">
        <f ca="1">IFERROR(__xludf.DUMMYFUNCTION("""COMPUTED_VALUE"""),"zyn")</f>
        <v>zyn</v>
      </c>
      <c r="C14792" s="2" t="str">
        <f ca="1">IFERROR(__xludf.DUMMYFUNCTION("""COMPUTED_VALUE"""),"Zynecoin")</f>
        <v>Zynecoin</v>
      </c>
    </row>
    <row r="14793" spans="1:3" x14ac:dyDescent="0.25">
      <c r="A14793" s="2" t="str">
        <f ca="1">IFERROR(__xludf.DUMMYFUNCTION("""COMPUTED_VALUE"""),"zyrri")</f>
        <v>zyrri</v>
      </c>
      <c r="B14793" s="2" t="str">
        <f ca="1">IFERROR(__xludf.DUMMYFUNCTION("""COMPUTED_VALUE"""),"zyr")</f>
        <v>zyr</v>
      </c>
      <c r="C14793" s="2" t="str">
        <f ca="1">IFERROR(__xludf.DUMMYFUNCTION("""COMPUTED_VALUE"""),"Zyrri")</f>
        <v>Zyrri</v>
      </c>
    </row>
    <row r="14794" spans="1:3" x14ac:dyDescent="0.25">
      <c r="A14794" s="2" t="str">
        <f ca="1">IFERROR(__xludf.DUMMYFUNCTION("""COMPUTED_VALUE"""),"zzz")</f>
        <v>zzz</v>
      </c>
      <c r="B14794" s="2" t="str">
        <f ca="1">IFERROR(__xludf.DUMMYFUNCTION("""COMPUTED_VALUE"""),"zzz")</f>
        <v>zzz</v>
      </c>
      <c r="C14794" s="2" t="str">
        <f ca="1">IFERROR(__xludf.DUMMYFUNCTION("""COMPUTED_VALUE"""),"GoSleep ZZZ")</f>
        <v>GoSleep ZZZ</v>
      </c>
    </row>
    <row r="14795" spans="1:3" x14ac:dyDescent="0.25">
      <c r="A14795" s="2" t="str">
        <f ca="1">IFERROR(__xludf.DUMMYFUNCTION("""COMPUTED_VALUE"""),"z-z-z-z-z-fehu-z-z-z-z-z")</f>
        <v>z-z-z-z-z-fehu-z-z-z-z-z</v>
      </c>
      <c r="B14795" s="2" t="str">
        <f ca="1">IFERROR(__xludf.DUMMYFUNCTION("""COMPUTED_VALUE"""),"ᚠ")</f>
        <v>ᚠ</v>
      </c>
      <c r="C14795" s="2" t="str">
        <f ca="1">IFERROR(__xludf.DUMMYFUNCTION("""COMPUTED_VALUE"""),"Z•Z•Z•Z•Z•FEHU•Z•Z•Z•Z•Z")</f>
        <v>Z•Z•Z•Z•Z•FEHU•Z•Z•Z•Z•Z</v>
      </c>
    </row>
    <row r="14796" spans="1:3" x14ac:dyDescent="0.25">
      <c r="A14796" s="2"/>
      <c r="B14796" s="2"/>
      <c r="C14796" s="2"/>
    </row>
    <row r="14797" spans="1:3" x14ac:dyDescent="0.25">
      <c r="A14797" s="2"/>
      <c r="B14797" s="2"/>
      <c r="C14797" s="2"/>
    </row>
    <row r="14798" spans="1:3" x14ac:dyDescent="0.25">
      <c r="A14798" s="2"/>
      <c r="B14798" s="2"/>
      <c r="C14798" s="2"/>
    </row>
    <row r="14799" spans="1:3" x14ac:dyDescent="0.25">
      <c r="A14799" s="2"/>
      <c r="B14799" s="2"/>
      <c r="C14799" s="2"/>
    </row>
    <row r="14800" spans="1:3" x14ac:dyDescent="0.25">
      <c r="A14800" s="2"/>
      <c r="B14800" s="2"/>
      <c r="C14800" s="2"/>
    </row>
    <row r="14801" spans="1:3" x14ac:dyDescent="0.25">
      <c r="A14801" s="2"/>
      <c r="B14801" s="2"/>
      <c r="C14801" s="2"/>
    </row>
    <row r="14802" spans="1:3" x14ac:dyDescent="0.25">
      <c r="A14802" s="2"/>
      <c r="B14802" s="2"/>
      <c r="C14802" s="2"/>
    </row>
    <row r="14803" spans="1:3" x14ac:dyDescent="0.25">
      <c r="A14803" s="2"/>
      <c r="B14803" s="2"/>
      <c r="C14803" s="2"/>
    </row>
    <row r="14804" spans="1:3" x14ac:dyDescent="0.25">
      <c r="A14804" s="2"/>
      <c r="B14804" s="2"/>
      <c r="C14804" s="2"/>
    </row>
    <row r="14805" spans="1:3" x14ac:dyDescent="0.25">
      <c r="A14805" s="2"/>
      <c r="B14805" s="2"/>
      <c r="C14805" s="2"/>
    </row>
    <row r="14806" spans="1:3" x14ac:dyDescent="0.25">
      <c r="A14806" s="2"/>
      <c r="B14806" s="2"/>
      <c r="C14806" s="2"/>
    </row>
    <row r="14807" spans="1:3" x14ac:dyDescent="0.25">
      <c r="A14807" s="2"/>
      <c r="B14807" s="2"/>
      <c r="C14807" s="2"/>
    </row>
    <row r="14808" spans="1:3" x14ac:dyDescent="0.25">
      <c r="A14808" s="2"/>
      <c r="B14808" s="2"/>
      <c r="C14808" s="2"/>
    </row>
    <row r="14809" spans="1:3" x14ac:dyDescent="0.25">
      <c r="A14809" s="2"/>
      <c r="B14809" s="2"/>
      <c r="C14809" s="2"/>
    </row>
    <row r="14810" spans="1:3" x14ac:dyDescent="0.25">
      <c r="A14810" s="2"/>
      <c r="B14810" s="2"/>
      <c r="C14810" s="2"/>
    </row>
    <row r="14811" spans="1:3" x14ac:dyDescent="0.25">
      <c r="A14811" s="2"/>
      <c r="B14811" s="2"/>
      <c r="C14811" s="2"/>
    </row>
    <row r="14812" spans="1:3" x14ac:dyDescent="0.25">
      <c r="A14812" s="2"/>
      <c r="B14812" s="2"/>
      <c r="C14812" s="2"/>
    </row>
    <row r="14813" spans="1:3" x14ac:dyDescent="0.25">
      <c r="A14813" s="2"/>
      <c r="B14813" s="2"/>
      <c r="C14813" s="2"/>
    </row>
    <row r="14814" spans="1:3" x14ac:dyDescent="0.25">
      <c r="A14814" s="2"/>
      <c r="B14814" s="2"/>
      <c r="C14814" s="2"/>
    </row>
    <row r="14815" spans="1:3" x14ac:dyDescent="0.25">
      <c r="A14815" s="2"/>
      <c r="B14815" s="2"/>
      <c r="C14815" s="2"/>
    </row>
    <row r="14816" spans="1:3" x14ac:dyDescent="0.25">
      <c r="A14816" s="2"/>
      <c r="B14816" s="2"/>
      <c r="C14816" s="2"/>
    </row>
    <row r="14817" spans="1:3" x14ac:dyDescent="0.25">
      <c r="A14817" s="2"/>
      <c r="B14817" s="2"/>
      <c r="C14817" s="2"/>
    </row>
    <row r="14818" spans="1:3" x14ac:dyDescent="0.25">
      <c r="A14818" s="2"/>
      <c r="B14818" s="2"/>
      <c r="C14818" s="2"/>
    </row>
    <row r="14819" spans="1:3" x14ac:dyDescent="0.25">
      <c r="A14819" s="2"/>
      <c r="B14819" s="2"/>
      <c r="C14819" s="2"/>
    </row>
    <row r="14820" spans="1:3" x14ac:dyDescent="0.25">
      <c r="A14820" s="2"/>
      <c r="B14820" s="2"/>
      <c r="C14820" s="2"/>
    </row>
    <row r="14821" spans="1:3" x14ac:dyDescent="0.25">
      <c r="A14821" s="2"/>
      <c r="B14821" s="2"/>
      <c r="C14821" s="2"/>
    </row>
    <row r="14822" spans="1:3" x14ac:dyDescent="0.25">
      <c r="A14822" s="2"/>
      <c r="B14822" s="2"/>
      <c r="C14822" s="2"/>
    </row>
    <row r="14823" spans="1:3" x14ac:dyDescent="0.25">
      <c r="A14823" s="2"/>
      <c r="B14823" s="2"/>
      <c r="C14823" s="2"/>
    </row>
    <row r="14824" spans="1:3" x14ac:dyDescent="0.25">
      <c r="A14824" s="2"/>
      <c r="B14824" s="2"/>
      <c r="C14824" s="2"/>
    </row>
    <row r="14825" spans="1:3" x14ac:dyDescent="0.25">
      <c r="A14825" s="2"/>
      <c r="B14825" s="2"/>
      <c r="C14825" s="2"/>
    </row>
    <row r="14826" spans="1:3" x14ac:dyDescent="0.25">
      <c r="A14826" s="2"/>
      <c r="B14826" s="2"/>
      <c r="C14826" s="2"/>
    </row>
    <row r="14827" spans="1:3" x14ac:dyDescent="0.25">
      <c r="A14827" s="2"/>
      <c r="B14827" s="2"/>
      <c r="C14827" s="2"/>
    </row>
    <row r="14828" spans="1:3" x14ac:dyDescent="0.25">
      <c r="A14828" s="2"/>
      <c r="B14828" s="2"/>
      <c r="C14828" s="2"/>
    </row>
    <row r="14829" spans="1:3" x14ac:dyDescent="0.25">
      <c r="A14829" s="2"/>
      <c r="B14829" s="2"/>
      <c r="C14829" s="2"/>
    </row>
    <row r="14830" spans="1:3" x14ac:dyDescent="0.25">
      <c r="A14830" s="2"/>
      <c r="B14830" s="2"/>
      <c r="C14830" s="2"/>
    </row>
    <row r="14831" spans="1:3" x14ac:dyDescent="0.25">
      <c r="A14831" s="2"/>
      <c r="B14831" s="2"/>
      <c r="C14831" s="2"/>
    </row>
    <row r="14832" spans="1:3" x14ac:dyDescent="0.25">
      <c r="A14832" s="2"/>
      <c r="B14832" s="2"/>
      <c r="C14832" s="2"/>
    </row>
    <row r="14833" spans="1:3" x14ac:dyDescent="0.25">
      <c r="A14833" s="2"/>
      <c r="B14833" s="2"/>
      <c r="C14833" s="2"/>
    </row>
    <row r="14834" spans="1:3" x14ac:dyDescent="0.25">
      <c r="A14834" s="2"/>
      <c r="B14834" s="2"/>
      <c r="C14834" s="2"/>
    </row>
    <row r="14835" spans="1:3" x14ac:dyDescent="0.25">
      <c r="A14835" s="2"/>
      <c r="B14835" s="2"/>
      <c r="C14835" s="2"/>
    </row>
    <row r="14836" spans="1:3" x14ac:dyDescent="0.25">
      <c r="A14836" s="2"/>
      <c r="B14836" s="2"/>
      <c r="C14836" s="2"/>
    </row>
    <row r="14837" spans="1:3" x14ac:dyDescent="0.25">
      <c r="A14837" s="2"/>
      <c r="B14837" s="2"/>
      <c r="C14837" s="2"/>
    </row>
    <row r="14838" spans="1:3" x14ac:dyDescent="0.25">
      <c r="A14838" s="2"/>
      <c r="B14838" s="2"/>
      <c r="C14838" s="2"/>
    </row>
    <row r="14839" spans="1:3" x14ac:dyDescent="0.25">
      <c r="A14839" s="2"/>
      <c r="B14839" s="2"/>
      <c r="C14839" s="2"/>
    </row>
    <row r="14840" spans="1:3" x14ac:dyDescent="0.25">
      <c r="A14840" s="2"/>
      <c r="B14840" s="2"/>
      <c r="C14840" s="2"/>
    </row>
    <row r="14841" spans="1:3" x14ac:dyDescent="0.25">
      <c r="A14841" s="2"/>
      <c r="B14841" s="2"/>
      <c r="C14841" s="2"/>
    </row>
    <row r="14842" spans="1:3" x14ac:dyDescent="0.25">
      <c r="A14842" s="2"/>
      <c r="B14842" s="2"/>
      <c r="C14842" s="2"/>
    </row>
    <row r="14843" spans="1:3" x14ac:dyDescent="0.25">
      <c r="A14843" s="2"/>
      <c r="B14843" s="2"/>
      <c r="C14843" s="2"/>
    </row>
    <row r="14844" spans="1:3" x14ac:dyDescent="0.25">
      <c r="A14844" s="2"/>
      <c r="B14844" s="2"/>
      <c r="C14844" s="2"/>
    </row>
    <row r="14845" spans="1:3" x14ac:dyDescent="0.25">
      <c r="A14845" s="2"/>
      <c r="B14845" s="2"/>
      <c r="C14845" s="2"/>
    </row>
    <row r="14846" spans="1:3" x14ac:dyDescent="0.25">
      <c r="A14846" s="2"/>
      <c r="B14846" s="2"/>
      <c r="C14846" s="2"/>
    </row>
    <row r="14847" spans="1:3" x14ac:dyDescent="0.25">
      <c r="A14847" s="2"/>
      <c r="B14847" s="2"/>
      <c r="C14847" s="2"/>
    </row>
    <row r="14848" spans="1:3" x14ac:dyDescent="0.25">
      <c r="A14848" s="2"/>
      <c r="B14848" s="2"/>
      <c r="C14848" s="2"/>
    </row>
    <row r="14849" spans="1:3" x14ac:dyDescent="0.25">
      <c r="A14849" s="2"/>
      <c r="B14849" s="2"/>
      <c r="C14849" s="2"/>
    </row>
    <row r="14850" spans="1:3" x14ac:dyDescent="0.25">
      <c r="A14850" s="2"/>
      <c r="B14850" s="2"/>
      <c r="C14850" s="2"/>
    </row>
    <row r="14851" spans="1:3" x14ac:dyDescent="0.25">
      <c r="A14851" s="2"/>
      <c r="B14851" s="2"/>
      <c r="C14851" s="2"/>
    </row>
    <row r="14852" spans="1:3" x14ac:dyDescent="0.25">
      <c r="A14852" s="2"/>
      <c r="B14852" s="2"/>
      <c r="C14852" s="2"/>
    </row>
    <row r="14853" spans="1:3" x14ac:dyDescent="0.25">
      <c r="A14853" s="2"/>
      <c r="B14853" s="2"/>
      <c r="C14853" s="2"/>
    </row>
    <row r="14854" spans="1:3" x14ac:dyDescent="0.25">
      <c r="A14854" s="2"/>
      <c r="B14854" s="2"/>
      <c r="C14854" s="2"/>
    </row>
    <row r="14855" spans="1:3" x14ac:dyDescent="0.25">
      <c r="A14855" s="2"/>
      <c r="B14855" s="2"/>
      <c r="C14855" s="2"/>
    </row>
    <row r="14856" spans="1:3" x14ac:dyDescent="0.25">
      <c r="A14856" s="2"/>
      <c r="B14856" s="2"/>
      <c r="C14856" s="2"/>
    </row>
    <row r="14857" spans="1:3" x14ac:dyDescent="0.25">
      <c r="A14857" s="2"/>
      <c r="B14857" s="2"/>
      <c r="C14857" s="2"/>
    </row>
    <row r="14858" spans="1:3" x14ac:dyDescent="0.25">
      <c r="A14858" s="2"/>
      <c r="B14858" s="2"/>
      <c r="C14858" s="2"/>
    </row>
    <row r="14859" spans="1:3" x14ac:dyDescent="0.25">
      <c r="A14859" s="2"/>
      <c r="B14859" s="2"/>
      <c r="C14859" s="2"/>
    </row>
    <row r="14860" spans="1:3" x14ac:dyDescent="0.25">
      <c r="A14860" s="2"/>
      <c r="B14860" s="2"/>
      <c r="C14860" s="2"/>
    </row>
    <row r="14861" spans="1:3" x14ac:dyDescent="0.25">
      <c r="A14861" s="2"/>
      <c r="B14861" s="2"/>
      <c r="C14861" s="2"/>
    </row>
    <row r="14862" spans="1:3" x14ac:dyDescent="0.25">
      <c r="A14862" s="2"/>
      <c r="B14862" s="2"/>
      <c r="C14862" s="2"/>
    </row>
    <row r="14863" spans="1:3" x14ac:dyDescent="0.25">
      <c r="A14863" s="2"/>
      <c r="B14863" s="2"/>
      <c r="C14863" s="2"/>
    </row>
    <row r="14864" spans="1:3" x14ac:dyDescent="0.25">
      <c r="A14864" s="2"/>
      <c r="B14864" s="2"/>
      <c r="C14864" s="2"/>
    </row>
    <row r="14865" spans="1:3" x14ac:dyDescent="0.25">
      <c r="A14865" s="2"/>
      <c r="B14865" s="2"/>
      <c r="C14865" s="2"/>
    </row>
    <row r="14866" spans="1:3" x14ac:dyDescent="0.25">
      <c r="A14866" s="2"/>
      <c r="B14866" s="2"/>
      <c r="C14866" s="2"/>
    </row>
    <row r="14867" spans="1:3" x14ac:dyDescent="0.25">
      <c r="A14867" s="2"/>
      <c r="B14867" s="2"/>
      <c r="C14867" s="2"/>
    </row>
    <row r="14868" spans="1:3" x14ac:dyDescent="0.25">
      <c r="A14868" s="2"/>
      <c r="B14868" s="2"/>
      <c r="C14868" s="2"/>
    </row>
    <row r="14869" spans="1:3" x14ac:dyDescent="0.25">
      <c r="A14869" s="2"/>
      <c r="B14869" s="2"/>
      <c r="C14869" s="2"/>
    </row>
    <row r="14870" spans="1:3" x14ac:dyDescent="0.25">
      <c r="A14870" s="2"/>
      <c r="B14870" s="2"/>
      <c r="C14870" s="2"/>
    </row>
    <row r="14871" spans="1:3" x14ac:dyDescent="0.25">
      <c r="A14871" s="2"/>
      <c r="B14871" s="2"/>
      <c r="C14871" s="2"/>
    </row>
    <row r="14872" spans="1:3" x14ac:dyDescent="0.25">
      <c r="A14872" s="2"/>
      <c r="B14872" s="2"/>
      <c r="C14872" s="2"/>
    </row>
    <row r="14873" spans="1:3" x14ac:dyDescent="0.25">
      <c r="A14873" s="2"/>
      <c r="B14873" s="2"/>
      <c r="C14873" s="2"/>
    </row>
    <row r="14874" spans="1:3" x14ac:dyDescent="0.25">
      <c r="A14874" s="2"/>
      <c r="B14874" s="2"/>
      <c r="C14874" s="2"/>
    </row>
    <row r="14875" spans="1:3" x14ac:dyDescent="0.25">
      <c r="A14875" s="2"/>
      <c r="B14875" s="2"/>
      <c r="C14875" s="2"/>
    </row>
    <row r="14876" spans="1:3" x14ac:dyDescent="0.25">
      <c r="A14876" s="2"/>
      <c r="B14876" s="2"/>
      <c r="C14876" s="2"/>
    </row>
    <row r="14877" spans="1:3" x14ac:dyDescent="0.25">
      <c r="A14877" s="2"/>
      <c r="B14877" s="2"/>
      <c r="C14877" s="2"/>
    </row>
    <row r="14878" spans="1:3" x14ac:dyDescent="0.25">
      <c r="A14878" s="2"/>
      <c r="B14878" s="2"/>
      <c r="C14878" s="2"/>
    </row>
    <row r="14879" spans="1:3" x14ac:dyDescent="0.25">
      <c r="A14879" s="2"/>
      <c r="B14879" s="2"/>
      <c r="C14879" s="2"/>
    </row>
    <row r="14880" spans="1:3" x14ac:dyDescent="0.25">
      <c r="A14880" s="2"/>
      <c r="B14880" s="2"/>
      <c r="C14880" s="2"/>
    </row>
    <row r="14881" spans="1:3" x14ac:dyDescent="0.25">
      <c r="A14881" s="2"/>
      <c r="B14881" s="2"/>
      <c r="C14881" s="2"/>
    </row>
    <row r="14882" spans="1:3" x14ac:dyDescent="0.25">
      <c r="A14882" s="2"/>
      <c r="B14882" s="2"/>
      <c r="C14882" s="2"/>
    </row>
    <row r="14883" spans="1:3" x14ac:dyDescent="0.25">
      <c r="A14883" s="2"/>
      <c r="B14883" s="2"/>
      <c r="C14883" s="2"/>
    </row>
    <row r="14884" spans="1:3" x14ac:dyDescent="0.25">
      <c r="A14884" s="2"/>
      <c r="B14884" s="2"/>
      <c r="C14884" s="2"/>
    </row>
    <row r="14885" spans="1:3" x14ac:dyDescent="0.25">
      <c r="A14885" s="2"/>
      <c r="B14885" s="2"/>
      <c r="C14885" s="2"/>
    </row>
    <row r="14886" spans="1:3" x14ac:dyDescent="0.25">
      <c r="A14886" s="2"/>
      <c r="B14886" s="2"/>
      <c r="C14886" s="2"/>
    </row>
    <row r="14887" spans="1:3" x14ac:dyDescent="0.25">
      <c r="A14887" s="2"/>
      <c r="B14887" s="2"/>
      <c r="C14887" s="2"/>
    </row>
    <row r="14888" spans="1:3" x14ac:dyDescent="0.25">
      <c r="A14888" s="2"/>
      <c r="B14888" s="2"/>
      <c r="C14888" s="2"/>
    </row>
    <row r="14889" spans="1:3" x14ac:dyDescent="0.25">
      <c r="A14889" s="2"/>
      <c r="B14889" s="2"/>
      <c r="C14889" s="2"/>
    </row>
    <row r="14890" spans="1:3" x14ac:dyDescent="0.25">
      <c r="A14890" s="2"/>
      <c r="B14890" s="2"/>
      <c r="C14890" s="2"/>
    </row>
    <row r="14891" spans="1:3" x14ac:dyDescent="0.25">
      <c r="A14891" s="2"/>
      <c r="B14891" s="2"/>
      <c r="C14891" s="2"/>
    </row>
    <row r="14892" spans="1:3" x14ac:dyDescent="0.25">
      <c r="A14892" s="2"/>
      <c r="B14892" s="2"/>
      <c r="C14892" s="2"/>
    </row>
    <row r="14893" spans="1:3" x14ac:dyDescent="0.25">
      <c r="A14893" s="2"/>
      <c r="B14893" s="2"/>
      <c r="C14893" s="2"/>
    </row>
    <row r="14894" spans="1:3" x14ac:dyDescent="0.25">
      <c r="A14894" s="2"/>
      <c r="B14894" s="2"/>
      <c r="C14894" s="2"/>
    </row>
    <row r="14895" spans="1:3" x14ac:dyDescent="0.25">
      <c r="A14895" s="2"/>
      <c r="B14895" s="2"/>
      <c r="C14895" s="2"/>
    </row>
    <row r="14896" spans="1:3" x14ac:dyDescent="0.25">
      <c r="A14896" s="2"/>
      <c r="B14896" s="2"/>
      <c r="C14896" s="2"/>
    </row>
    <row r="14897" spans="1:3" x14ac:dyDescent="0.25">
      <c r="A14897" s="2"/>
      <c r="B14897" s="2"/>
      <c r="C14897" s="2"/>
    </row>
    <row r="14898" spans="1:3" x14ac:dyDescent="0.25">
      <c r="A14898" s="2"/>
      <c r="B14898" s="2"/>
      <c r="C14898" s="2"/>
    </row>
    <row r="14899" spans="1:3" x14ac:dyDescent="0.25">
      <c r="A14899" s="2"/>
      <c r="B14899" s="2"/>
      <c r="C14899" s="2"/>
    </row>
    <row r="14900" spans="1:3" x14ac:dyDescent="0.25">
      <c r="A14900" s="2"/>
      <c r="B14900" s="2"/>
      <c r="C14900" s="2"/>
    </row>
    <row r="14901" spans="1:3" x14ac:dyDescent="0.25">
      <c r="A14901" s="2"/>
      <c r="B14901" s="2"/>
      <c r="C14901" s="2"/>
    </row>
    <row r="14902" spans="1:3" x14ac:dyDescent="0.25">
      <c r="A14902" s="2"/>
      <c r="B14902" s="2"/>
      <c r="C14902" s="2"/>
    </row>
    <row r="14903" spans="1:3" x14ac:dyDescent="0.25">
      <c r="A14903" s="2"/>
      <c r="B14903" s="2"/>
      <c r="C14903" s="2"/>
    </row>
    <row r="14904" spans="1:3" x14ac:dyDescent="0.25">
      <c r="A14904" s="2"/>
      <c r="B14904" s="2"/>
      <c r="C14904" s="2"/>
    </row>
    <row r="14905" spans="1:3" x14ac:dyDescent="0.25">
      <c r="A14905" s="2"/>
      <c r="B14905" s="2"/>
      <c r="C14905" s="2"/>
    </row>
    <row r="14906" spans="1:3" x14ac:dyDescent="0.25">
      <c r="A14906" s="2"/>
      <c r="B14906" s="2"/>
      <c r="C14906" s="2"/>
    </row>
    <row r="14907" spans="1:3" x14ac:dyDescent="0.25">
      <c r="A14907" s="2"/>
      <c r="B14907" s="2"/>
      <c r="C14907" s="2"/>
    </row>
    <row r="14908" spans="1:3" x14ac:dyDescent="0.25">
      <c r="A14908" s="2"/>
      <c r="B14908" s="2"/>
      <c r="C14908" s="2"/>
    </row>
    <row r="14909" spans="1:3" x14ac:dyDescent="0.25">
      <c r="A14909" s="2"/>
      <c r="B14909" s="2"/>
      <c r="C14909" s="2"/>
    </row>
    <row r="14910" spans="1:3" x14ac:dyDescent="0.25">
      <c r="A14910" s="2"/>
      <c r="B14910" s="2"/>
      <c r="C14910" s="2"/>
    </row>
    <row r="14911" spans="1:3" x14ac:dyDescent="0.25">
      <c r="A14911" s="2"/>
      <c r="B14911" s="2"/>
      <c r="C14911" s="2"/>
    </row>
    <row r="14912" spans="1:3" x14ac:dyDescent="0.25">
      <c r="A14912" s="2"/>
      <c r="B14912" s="2"/>
      <c r="C14912" s="2"/>
    </row>
    <row r="14913" spans="1:3" x14ac:dyDescent="0.25">
      <c r="A14913" s="2"/>
      <c r="B14913" s="2"/>
      <c r="C14913" s="2"/>
    </row>
    <row r="14914" spans="1:3" x14ac:dyDescent="0.25">
      <c r="A14914" s="2"/>
      <c r="B14914" s="2"/>
      <c r="C14914" s="2"/>
    </row>
    <row r="14915" spans="1:3" x14ac:dyDescent="0.25">
      <c r="A14915" s="2"/>
      <c r="B14915" s="2"/>
      <c r="C14915" s="2"/>
    </row>
    <row r="14916" spans="1:3" x14ac:dyDescent="0.25">
      <c r="A14916" s="2"/>
      <c r="B14916" s="2"/>
      <c r="C14916" s="2"/>
    </row>
    <row r="14917" spans="1:3" x14ac:dyDescent="0.25">
      <c r="A14917" s="2"/>
      <c r="B14917" s="2"/>
      <c r="C14917" s="2"/>
    </row>
    <row r="14918" spans="1:3" x14ac:dyDescent="0.25">
      <c r="A14918" s="2"/>
      <c r="B14918" s="2"/>
      <c r="C14918" s="2"/>
    </row>
    <row r="14919" spans="1:3" x14ac:dyDescent="0.25">
      <c r="A14919" s="2"/>
      <c r="B14919" s="2"/>
      <c r="C14919" s="2"/>
    </row>
    <row r="14920" spans="1:3" x14ac:dyDescent="0.25">
      <c r="A14920" s="2"/>
      <c r="B14920" s="2"/>
      <c r="C14920" s="2"/>
    </row>
    <row r="14921" spans="1:3" x14ac:dyDescent="0.25">
      <c r="A14921" s="2"/>
      <c r="B14921" s="2"/>
      <c r="C14921" s="2"/>
    </row>
    <row r="14922" spans="1:3" x14ac:dyDescent="0.25">
      <c r="A14922" s="2"/>
      <c r="B14922" s="2"/>
      <c r="C14922" s="2"/>
    </row>
    <row r="14923" spans="1:3" x14ac:dyDescent="0.25">
      <c r="A14923" s="2"/>
      <c r="B14923" s="2"/>
      <c r="C14923" s="2"/>
    </row>
    <row r="14924" spans="1:3" x14ac:dyDescent="0.25">
      <c r="A14924" s="2"/>
      <c r="B14924" s="2"/>
      <c r="C14924" s="2"/>
    </row>
    <row r="14925" spans="1:3" x14ac:dyDescent="0.25">
      <c r="A14925" s="2"/>
      <c r="B14925" s="2"/>
      <c r="C14925" s="2"/>
    </row>
    <row r="14926" spans="1:3" x14ac:dyDescent="0.25">
      <c r="A14926" s="2"/>
      <c r="B14926" s="2"/>
      <c r="C14926" s="2"/>
    </row>
    <row r="14927" spans="1:3" x14ac:dyDescent="0.25">
      <c r="A14927" s="2"/>
      <c r="B14927" s="2"/>
      <c r="C14927" s="2"/>
    </row>
    <row r="14928" spans="1:3" x14ac:dyDescent="0.25">
      <c r="A14928" s="2"/>
      <c r="B14928" s="2"/>
      <c r="C14928" s="2"/>
    </row>
    <row r="14929" spans="1:3" x14ac:dyDescent="0.25">
      <c r="A14929" s="2"/>
      <c r="B14929" s="2"/>
      <c r="C14929" s="2"/>
    </row>
    <row r="14930" spans="1:3" x14ac:dyDescent="0.25">
      <c r="A14930" s="2"/>
      <c r="B14930" s="2"/>
      <c r="C14930" s="2"/>
    </row>
    <row r="14931" spans="1:3" x14ac:dyDescent="0.25">
      <c r="A14931" s="2"/>
      <c r="B14931" s="2"/>
      <c r="C14931" s="2"/>
    </row>
    <row r="14932" spans="1:3" x14ac:dyDescent="0.25">
      <c r="A14932" s="2"/>
      <c r="B14932" s="2"/>
      <c r="C14932" s="2"/>
    </row>
    <row r="14933" spans="1:3" x14ac:dyDescent="0.25">
      <c r="A14933" s="2"/>
      <c r="B14933" s="2"/>
      <c r="C14933" s="2"/>
    </row>
    <row r="14934" spans="1:3" x14ac:dyDescent="0.25">
      <c r="A14934" s="2"/>
      <c r="B14934" s="2"/>
      <c r="C14934" s="2"/>
    </row>
    <row r="14935" spans="1:3" x14ac:dyDescent="0.25">
      <c r="A14935" s="2"/>
      <c r="B14935" s="2"/>
      <c r="C14935" s="2"/>
    </row>
    <row r="14936" spans="1:3" x14ac:dyDescent="0.25">
      <c r="A14936" s="2"/>
      <c r="B14936" s="2"/>
      <c r="C14936" s="2"/>
    </row>
    <row r="14937" spans="1:3" x14ac:dyDescent="0.25">
      <c r="A14937" s="2"/>
      <c r="B14937" s="2"/>
      <c r="C14937" s="2"/>
    </row>
    <row r="14938" spans="1:3" x14ac:dyDescent="0.25">
      <c r="A14938" s="2"/>
      <c r="B14938" s="2"/>
      <c r="C14938" s="2"/>
    </row>
    <row r="14939" spans="1:3" x14ac:dyDescent="0.25">
      <c r="A14939" s="2"/>
      <c r="B14939" s="2"/>
      <c r="C14939" s="2"/>
    </row>
    <row r="14940" spans="1:3" x14ac:dyDescent="0.25">
      <c r="A14940" s="2"/>
      <c r="B14940" s="2"/>
      <c r="C14940" s="2"/>
    </row>
    <row r="14941" spans="1:3" x14ac:dyDescent="0.25">
      <c r="A14941" s="2"/>
      <c r="B14941" s="2"/>
      <c r="C14941" s="2"/>
    </row>
    <row r="14942" spans="1:3" x14ac:dyDescent="0.25">
      <c r="A14942" s="2"/>
      <c r="B14942" s="2"/>
      <c r="C14942" s="2"/>
    </row>
    <row r="14943" spans="1:3" x14ac:dyDescent="0.25">
      <c r="A14943" s="2"/>
      <c r="B14943" s="2"/>
      <c r="C14943" s="2"/>
    </row>
    <row r="14944" spans="1:3" x14ac:dyDescent="0.25">
      <c r="A14944" s="2"/>
      <c r="B14944" s="2"/>
      <c r="C14944" s="2"/>
    </row>
    <row r="14945" spans="1:3" x14ac:dyDescent="0.25">
      <c r="A14945" s="2"/>
      <c r="B14945" s="2"/>
      <c r="C14945" s="2"/>
    </row>
    <row r="14946" spans="1:3" x14ac:dyDescent="0.25">
      <c r="A14946" s="2"/>
      <c r="B14946" s="2"/>
      <c r="C14946" s="2"/>
    </row>
    <row r="14947" spans="1:3" x14ac:dyDescent="0.25">
      <c r="A14947" s="2"/>
      <c r="B14947" s="2"/>
      <c r="C14947" s="2"/>
    </row>
    <row r="14948" spans="1:3" x14ac:dyDescent="0.25">
      <c r="A14948" s="2"/>
      <c r="B14948" s="2"/>
      <c r="C14948" s="2"/>
    </row>
    <row r="14949" spans="1:3" x14ac:dyDescent="0.25">
      <c r="A14949" s="2"/>
      <c r="B14949" s="2"/>
      <c r="C14949" s="2"/>
    </row>
    <row r="14950" spans="1:3" x14ac:dyDescent="0.25">
      <c r="A14950" s="2"/>
      <c r="B14950" s="2"/>
      <c r="C14950" s="2"/>
    </row>
    <row r="14951" spans="1:3" x14ac:dyDescent="0.25">
      <c r="A14951" s="2"/>
      <c r="B14951" s="2"/>
      <c r="C14951" s="2"/>
    </row>
    <row r="14952" spans="1:3" x14ac:dyDescent="0.25">
      <c r="A14952" s="2"/>
      <c r="B14952" s="2"/>
      <c r="C14952" s="2"/>
    </row>
    <row r="14953" spans="1:3" x14ac:dyDescent="0.25">
      <c r="A14953" s="2"/>
      <c r="B14953" s="2"/>
      <c r="C14953" s="2"/>
    </row>
    <row r="14954" spans="1:3" x14ac:dyDescent="0.25">
      <c r="A14954" s="2"/>
      <c r="B14954" s="2"/>
      <c r="C14954" s="2"/>
    </row>
    <row r="14955" spans="1:3" x14ac:dyDescent="0.25">
      <c r="A14955" s="2"/>
      <c r="B14955" s="2"/>
      <c r="C14955" s="2"/>
    </row>
    <row r="14956" spans="1:3" x14ac:dyDescent="0.25">
      <c r="A14956" s="2"/>
      <c r="B14956" s="2"/>
      <c r="C14956" s="2"/>
    </row>
    <row r="14957" spans="1:3" x14ac:dyDescent="0.25">
      <c r="A14957" s="2"/>
      <c r="B14957" s="2"/>
      <c r="C14957" s="2"/>
    </row>
    <row r="14958" spans="1:3" x14ac:dyDescent="0.25">
      <c r="A14958" s="2"/>
      <c r="B14958" s="2"/>
      <c r="C14958" s="2"/>
    </row>
    <row r="14959" spans="1:3" x14ac:dyDescent="0.25">
      <c r="A14959" s="2"/>
      <c r="B14959" s="2"/>
      <c r="C14959" s="2"/>
    </row>
    <row r="14960" spans="1:3" x14ac:dyDescent="0.25">
      <c r="A14960" s="2"/>
      <c r="B14960" s="2"/>
      <c r="C14960" s="2"/>
    </row>
    <row r="14961" spans="1:3" x14ac:dyDescent="0.25">
      <c r="A14961" s="2"/>
      <c r="B14961" s="2"/>
      <c r="C14961" s="2"/>
    </row>
    <row r="14962" spans="1:3" x14ac:dyDescent="0.25">
      <c r="A14962" s="2"/>
      <c r="B14962" s="2"/>
      <c r="C14962" s="2"/>
    </row>
    <row r="14963" spans="1:3" x14ac:dyDescent="0.25">
      <c r="A14963" s="2"/>
      <c r="B14963" s="2"/>
      <c r="C14963" s="2"/>
    </row>
    <row r="14964" spans="1:3" x14ac:dyDescent="0.25">
      <c r="A14964" s="2"/>
      <c r="B14964" s="2"/>
      <c r="C14964" s="2"/>
    </row>
    <row r="14965" spans="1:3" x14ac:dyDescent="0.25">
      <c r="A14965" s="2"/>
      <c r="B14965" s="2"/>
      <c r="C14965" s="2"/>
    </row>
    <row r="14966" spans="1:3" x14ac:dyDescent="0.25">
      <c r="A14966" s="2"/>
      <c r="B14966" s="2"/>
      <c r="C14966" s="2"/>
    </row>
    <row r="14967" spans="1:3" x14ac:dyDescent="0.25">
      <c r="A14967" s="2"/>
      <c r="B14967" s="2"/>
      <c r="C14967" s="2"/>
    </row>
    <row r="14968" spans="1:3" x14ac:dyDescent="0.25">
      <c r="A14968" s="2"/>
      <c r="B14968" s="2"/>
      <c r="C14968" s="2"/>
    </row>
    <row r="14969" spans="1:3" x14ac:dyDescent="0.25">
      <c r="A14969" s="2"/>
      <c r="B14969" s="2"/>
      <c r="C14969" s="2"/>
    </row>
    <row r="14970" spans="1:3" x14ac:dyDescent="0.25">
      <c r="A14970" s="2"/>
      <c r="B14970" s="2"/>
      <c r="C14970" s="2"/>
    </row>
    <row r="14971" spans="1:3" x14ac:dyDescent="0.25">
      <c r="A14971" s="2"/>
      <c r="B14971" s="2"/>
      <c r="C14971" s="2"/>
    </row>
    <row r="14972" spans="1:3" x14ac:dyDescent="0.25">
      <c r="A14972" s="2"/>
      <c r="B14972" s="2"/>
      <c r="C14972" s="2"/>
    </row>
    <row r="14973" spans="1:3" x14ac:dyDescent="0.25">
      <c r="A14973" s="2"/>
      <c r="B14973" s="2"/>
      <c r="C14973" s="2"/>
    </row>
    <row r="14974" spans="1:3" x14ac:dyDescent="0.25">
      <c r="A14974" s="2"/>
      <c r="B14974" s="2"/>
      <c r="C14974" s="2"/>
    </row>
    <row r="14975" spans="1:3" x14ac:dyDescent="0.25">
      <c r="A14975" s="2"/>
      <c r="B14975" s="2"/>
      <c r="C14975" s="2"/>
    </row>
    <row r="14976" spans="1:3" x14ac:dyDescent="0.25">
      <c r="A14976" s="2"/>
      <c r="B14976" s="2"/>
      <c r="C14976" s="2"/>
    </row>
    <row r="14977" spans="1:3" x14ac:dyDescent="0.25">
      <c r="A14977" s="2"/>
      <c r="B14977" s="2"/>
      <c r="C14977" s="2"/>
    </row>
    <row r="14978" spans="1:3" x14ac:dyDescent="0.25">
      <c r="A14978" s="2"/>
      <c r="B14978" s="2"/>
      <c r="C14978" s="2"/>
    </row>
    <row r="14979" spans="1:3" x14ac:dyDescent="0.25">
      <c r="A14979" s="2"/>
      <c r="B14979" s="2"/>
      <c r="C14979" s="2"/>
    </row>
    <row r="14980" spans="1:3" x14ac:dyDescent="0.25">
      <c r="A14980" s="2"/>
      <c r="B14980" s="2"/>
      <c r="C14980" s="2"/>
    </row>
    <row r="14981" spans="1:3" x14ac:dyDescent="0.25">
      <c r="A14981" s="2"/>
      <c r="B14981" s="2"/>
      <c r="C14981" s="2"/>
    </row>
    <row r="14982" spans="1:3" x14ac:dyDescent="0.25">
      <c r="A14982" s="2"/>
      <c r="B14982" s="2"/>
      <c r="C14982" s="2"/>
    </row>
    <row r="14983" spans="1:3" x14ac:dyDescent="0.25">
      <c r="A14983" s="2"/>
      <c r="B14983" s="2"/>
      <c r="C14983" s="2"/>
    </row>
    <row r="14984" spans="1:3" x14ac:dyDescent="0.25">
      <c r="A14984" s="2"/>
      <c r="B14984" s="2"/>
      <c r="C14984" s="2"/>
    </row>
    <row r="14985" spans="1:3" x14ac:dyDescent="0.25">
      <c r="A14985" s="2"/>
      <c r="B14985" s="2"/>
      <c r="C14985" s="2"/>
    </row>
    <row r="14986" spans="1:3" x14ac:dyDescent="0.25">
      <c r="A14986" s="2"/>
      <c r="B14986" s="2"/>
      <c r="C14986" s="2"/>
    </row>
    <row r="14987" spans="1:3" x14ac:dyDescent="0.25">
      <c r="A14987" s="2"/>
      <c r="B14987" s="2"/>
      <c r="C14987" s="2"/>
    </row>
    <row r="14988" spans="1:3" x14ac:dyDescent="0.25">
      <c r="A14988" s="2"/>
      <c r="B14988" s="2"/>
      <c r="C14988" s="2"/>
    </row>
    <row r="14989" spans="1:3" x14ac:dyDescent="0.25">
      <c r="A14989" s="2"/>
      <c r="B14989" s="2"/>
      <c r="C14989" s="2"/>
    </row>
    <row r="14990" spans="1:3" x14ac:dyDescent="0.25">
      <c r="A14990" s="2"/>
      <c r="B14990" s="2"/>
      <c r="C14990" s="2"/>
    </row>
    <row r="14991" spans="1:3" x14ac:dyDescent="0.25">
      <c r="A14991" s="2"/>
      <c r="B14991" s="2"/>
      <c r="C14991" s="2"/>
    </row>
    <row r="14992" spans="1:3" x14ac:dyDescent="0.25">
      <c r="A14992" s="2"/>
      <c r="B14992" s="2"/>
      <c r="C14992" s="2"/>
    </row>
    <row r="14993" spans="1:3" x14ac:dyDescent="0.25">
      <c r="A14993" s="2"/>
      <c r="B14993" s="2"/>
      <c r="C14993" s="2"/>
    </row>
    <row r="14994" spans="1:3" x14ac:dyDescent="0.25">
      <c r="A14994" s="2"/>
      <c r="B14994" s="2"/>
      <c r="C14994" s="2"/>
    </row>
    <row r="14995" spans="1:3" x14ac:dyDescent="0.25">
      <c r="A14995" s="2"/>
      <c r="B14995" s="2"/>
      <c r="C14995" s="2"/>
    </row>
    <row r="14996" spans="1:3" x14ac:dyDescent="0.25">
      <c r="A14996" s="2"/>
      <c r="B14996" s="2"/>
      <c r="C14996" s="2"/>
    </row>
    <row r="14997" spans="1:3" x14ac:dyDescent="0.25">
      <c r="A14997" s="2"/>
      <c r="B14997" s="2"/>
      <c r="C14997" s="2"/>
    </row>
    <row r="14998" spans="1:3" x14ac:dyDescent="0.25">
      <c r="A14998" s="2"/>
      <c r="B14998" s="2"/>
      <c r="C14998" s="2"/>
    </row>
    <row r="14999" spans="1:3" x14ac:dyDescent="0.25">
      <c r="A14999" s="2"/>
      <c r="B14999" s="2"/>
      <c r="C14999" s="2"/>
    </row>
    <row r="15000" spans="1:3" x14ac:dyDescent="0.25">
      <c r="A15000" s="2"/>
      <c r="B15000" s="2"/>
      <c r="C15000" s="2"/>
    </row>
    <row r="15001" spans="1:3" x14ac:dyDescent="0.25">
      <c r="A15001" s="2"/>
      <c r="B15001" s="2"/>
      <c r="C15001" s="2"/>
    </row>
    <row r="15002" spans="1:3" x14ac:dyDescent="0.25">
      <c r="A15002" s="2"/>
      <c r="B15002" s="2"/>
      <c r="C15002" s="2"/>
    </row>
    <row r="15003" spans="1:3" x14ac:dyDescent="0.25">
      <c r="A15003" s="2"/>
      <c r="B15003" s="2"/>
      <c r="C15003" s="2"/>
    </row>
    <row r="15004" spans="1:3" x14ac:dyDescent="0.25">
      <c r="A15004" s="2"/>
      <c r="B15004" s="2"/>
      <c r="C15004" s="2"/>
    </row>
    <row r="15005" spans="1:3" x14ac:dyDescent="0.25">
      <c r="A15005" s="2"/>
      <c r="B15005" s="2"/>
      <c r="C15005" s="2"/>
    </row>
    <row r="15006" spans="1:3" x14ac:dyDescent="0.25">
      <c r="A15006" s="2"/>
      <c r="B15006" s="2"/>
      <c r="C15006" s="2"/>
    </row>
    <row r="15007" spans="1:3" x14ac:dyDescent="0.25">
      <c r="A15007" s="2"/>
      <c r="B15007" s="2"/>
      <c r="C15007" s="2"/>
    </row>
    <row r="15008" spans="1:3" x14ac:dyDescent="0.25">
      <c r="A15008" s="2"/>
      <c r="B15008" s="2"/>
      <c r="C15008" s="2"/>
    </row>
    <row r="15009" spans="1:3" x14ac:dyDescent="0.25">
      <c r="A15009" s="2"/>
      <c r="B15009" s="2"/>
      <c r="C15009" s="2"/>
    </row>
    <row r="15010" spans="1:3" x14ac:dyDescent="0.25">
      <c r="A15010" s="2"/>
      <c r="B15010" s="2"/>
      <c r="C15010" s="2"/>
    </row>
    <row r="15011" spans="1:3" x14ac:dyDescent="0.25">
      <c r="A15011" s="2"/>
      <c r="B15011" s="2"/>
      <c r="C15011" s="2"/>
    </row>
    <row r="15012" spans="1:3" x14ac:dyDescent="0.25">
      <c r="A15012" s="2"/>
      <c r="B15012" s="2"/>
      <c r="C15012" s="2"/>
    </row>
    <row r="15013" spans="1:3" x14ac:dyDescent="0.25">
      <c r="A15013" s="2"/>
      <c r="B15013" s="2"/>
      <c r="C15013" s="2"/>
    </row>
    <row r="15014" spans="1:3" x14ac:dyDescent="0.25">
      <c r="A15014" s="2"/>
      <c r="B15014" s="2"/>
      <c r="C15014" s="2"/>
    </row>
    <row r="15015" spans="1:3" x14ac:dyDescent="0.25">
      <c r="A15015" s="2"/>
      <c r="B15015" s="2"/>
      <c r="C15015" s="2"/>
    </row>
    <row r="15016" spans="1:3" x14ac:dyDescent="0.25">
      <c r="A15016" s="2"/>
      <c r="B15016" s="2"/>
      <c r="C15016" s="2"/>
    </row>
    <row r="15017" spans="1:3" x14ac:dyDescent="0.25">
      <c r="A15017" s="2"/>
      <c r="B15017" s="2"/>
      <c r="C15017" s="2"/>
    </row>
    <row r="15018" spans="1:3" x14ac:dyDescent="0.25">
      <c r="A15018" s="2"/>
      <c r="B15018" s="2"/>
      <c r="C15018" s="2"/>
    </row>
    <row r="15019" spans="1:3" x14ac:dyDescent="0.25">
      <c r="A15019" s="2"/>
      <c r="B15019" s="2"/>
      <c r="C15019" s="2"/>
    </row>
    <row r="15020" spans="1:3" x14ac:dyDescent="0.25">
      <c r="A15020" s="2"/>
      <c r="B15020" s="2"/>
      <c r="C15020" s="2"/>
    </row>
    <row r="15021" spans="1:3" x14ac:dyDescent="0.25">
      <c r="A15021" s="2"/>
      <c r="B15021" s="2"/>
      <c r="C15021" s="2"/>
    </row>
    <row r="15022" spans="1:3" x14ac:dyDescent="0.25">
      <c r="A15022" s="2"/>
      <c r="B15022" s="2"/>
      <c r="C15022" s="2"/>
    </row>
    <row r="15023" spans="1:3" x14ac:dyDescent="0.25">
      <c r="A15023" s="2"/>
      <c r="B15023" s="2"/>
      <c r="C15023" s="2"/>
    </row>
    <row r="15024" spans="1:3" x14ac:dyDescent="0.25">
      <c r="A15024" s="2"/>
      <c r="B15024" s="2"/>
      <c r="C15024" s="2"/>
    </row>
    <row r="15025" spans="1:3" x14ac:dyDescent="0.25">
      <c r="A15025" s="2"/>
      <c r="B15025" s="2"/>
      <c r="C15025" s="2"/>
    </row>
    <row r="15026" spans="1:3" x14ac:dyDescent="0.25">
      <c r="A15026" s="2"/>
      <c r="B15026" s="2"/>
      <c r="C15026" s="2"/>
    </row>
    <row r="15027" spans="1:3" x14ac:dyDescent="0.25">
      <c r="A15027" s="2"/>
      <c r="B15027" s="2"/>
      <c r="C15027" s="2"/>
    </row>
    <row r="15028" spans="1:3" x14ac:dyDescent="0.25">
      <c r="A15028" s="2"/>
      <c r="B15028" s="2"/>
      <c r="C15028" s="2"/>
    </row>
    <row r="15029" spans="1:3" x14ac:dyDescent="0.25">
      <c r="A15029" s="2"/>
      <c r="B15029" s="2"/>
      <c r="C15029" s="2"/>
    </row>
    <row r="15030" spans="1:3" x14ac:dyDescent="0.25">
      <c r="A15030" s="2"/>
      <c r="B15030" s="2"/>
      <c r="C15030" s="2"/>
    </row>
    <row r="15031" spans="1:3" x14ac:dyDescent="0.25">
      <c r="A15031" s="2"/>
      <c r="B15031" s="2"/>
      <c r="C15031" s="2"/>
    </row>
    <row r="15032" spans="1:3" x14ac:dyDescent="0.25">
      <c r="A15032" s="2"/>
      <c r="B15032" s="2"/>
      <c r="C15032" s="2"/>
    </row>
    <row r="15033" spans="1:3" x14ac:dyDescent="0.25">
      <c r="A15033" s="2"/>
      <c r="B15033" s="2"/>
      <c r="C15033" s="2"/>
    </row>
    <row r="15034" spans="1:3" x14ac:dyDescent="0.25">
      <c r="A15034" s="2"/>
      <c r="B15034" s="2"/>
      <c r="C15034" s="2"/>
    </row>
    <row r="15035" spans="1:3" x14ac:dyDescent="0.25">
      <c r="A15035" s="2"/>
      <c r="B15035" s="2"/>
      <c r="C15035" s="2"/>
    </row>
    <row r="15036" spans="1:3" x14ac:dyDescent="0.25">
      <c r="A15036" s="2"/>
      <c r="B15036" s="2"/>
      <c r="C15036" s="2"/>
    </row>
    <row r="15037" spans="1:3" x14ac:dyDescent="0.25">
      <c r="A15037" s="2"/>
      <c r="B15037" s="2"/>
      <c r="C15037" s="2"/>
    </row>
    <row r="15038" spans="1:3" x14ac:dyDescent="0.25">
      <c r="A15038" s="2"/>
      <c r="B15038" s="2"/>
      <c r="C15038" s="2"/>
    </row>
    <row r="15039" spans="1:3" x14ac:dyDescent="0.25">
      <c r="A15039" s="2"/>
      <c r="B15039" s="2"/>
      <c r="C15039" s="2"/>
    </row>
    <row r="15040" spans="1:3" x14ac:dyDescent="0.25">
      <c r="A15040" s="2"/>
      <c r="B15040" s="2"/>
      <c r="C15040" s="2"/>
    </row>
    <row r="15041" spans="1:3" x14ac:dyDescent="0.25">
      <c r="A15041" s="2"/>
      <c r="B15041" s="2"/>
      <c r="C15041" s="2"/>
    </row>
    <row r="15042" spans="1:3" x14ac:dyDescent="0.25">
      <c r="A15042" s="2"/>
      <c r="B15042" s="2"/>
      <c r="C15042" s="2"/>
    </row>
    <row r="15043" spans="1:3" x14ac:dyDescent="0.25">
      <c r="A15043" s="2"/>
      <c r="B15043" s="2"/>
      <c r="C15043" s="2"/>
    </row>
    <row r="15044" spans="1:3" x14ac:dyDescent="0.25">
      <c r="A15044" s="2"/>
      <c r="B15044" s="2"/>
      <c r="C15044" s="2"/>
    </row>
    <row r="15045" spans="1:3" x14ac:dyDescent="0.25">
      <c r="A15045" s="2"/>
      <c r="B15045" s="2"/>
      <c r="C15045" s="2"/>
    </row>
    <row r="15046" spans="1:3" x14ac:dyDescent="0.25">
      <c r="A15046" s="2"/>
      <c r="B15046" s="2"/>
      <c r="C15046" s="2"/>
    </row>
    <row r="15047" spans="1:3" x14ac:dyDescent="0.25">
      <c r="A15047" s="2"/>
      <c r="B15047" s="2"/>
      <c r="C15047" s="2"/>
    </row>
    <row r="15048" spans="1:3" x14ac:dyDescent="0.25">
      <c r="A15048" s="2"/>
      <c r="B15048" s="2"/>
      <c r="C15048" s="2"/>
    </row>
    <row r="15049" spans="1:3" x14ac:dyDescent="0.25">
      <c r="A15049" s="2"/>
      <c r="B15049" s="2"/>
      <c r="C15049" s="2"/>
    </row>
    <row r="15050" spans="1:3" x14ac:dyDescent="0.25">
      <c r="A15050" s="2"/>
      <c r="B15050" s="2"/>
      <c r="C15050" s="2"/>
    </row>
    <row r="15051" spans="1:3" x14ac:dyDescent="0.25">
      <c r="A15051" s="2"/>
      <c r="B15051" s="2"/>
      <c r="C15051" s="2"/>
    </row>
    <row r="15052" spans="1:3" x14ac:dyDescent="0.25">
      <c r="A15052" s="2"/>
      <c r="B15052" s="2"/>
      <c r="C15052" s="2"/>
    </row>
    <row r="15053" spans="1:3" x14ac:dyDescent="0.25">
      <c r="A15053" s="2"/>
      <c r="B15053" s="2"/>
      <c r="C15053" s="2"/>
    </row>
    <row r="15054" spans="1:3" x14ac:dyDescent="0.25">
      <c r="A15054" s="2"/>
      <c r="B15054" s="2"/>
      <c r="C15054" s="2"/>
    </row>
    <row r="15055" spans="1:3" x14ac:dyDescent="0.25">
      <c r="A15055" s="2"/>
      <c r="B15055" s="2"/>
      <c r="C15055" s="2"/>
    </row>
    <row r="15056" spans="1:3" x14ac:dyDescent="0.25">
      <c r="A15056" s="2"/>
      <c r="B15056" s="2"/>
      <c r="C15056" s="2"/>
    </row>
    <row r="15057" spans="1:3" x14ac:dyDescent="0.25">
      <c r="A15057" s="2"/>
      <c r="B15057" s="2"/>
      <c r="C15057" s="2"/>
    </row>
    <row r="15058" spans="1:3" x14ac:dyDescent="0.25">
      <c r="A15058" s="2"/>
      <c r="B15058" s="2"/>
      <c r="C15058" s="2"/>
    </row>
    <row r="15059" spans="1:3" x14ac:dyDescent="0.25">
      <c r="A15059" s="2"/>
      <c r="B15059" s="2"/>
      <c r="C15059" s="2"/>
    </row>
    <row r="15060" spans="1:3" x14ac:dyDescent="0.25">
      <c r="A15060" s="2"/>
      <c r="B15060" s="2"/>
      <c r="C15060" s="2"/>
    </row>
    <row r="15061" spans="1:3" x14ac:dyDescent="0.25">
      <c r="A15061" s="2"/>
      <c r="B15061" s="2"/>
      <c r="C15061" s="2"/>
    </row>
    <row r="15062" spans="1:3" x14ac:dyDescent="0.25">
      <c r="A15062" s="2"/>
      <c r="B15062" s="2"/>
      <c r="C15062" s="2"/>
    </row>
    <row r="15063" spans="1:3" x14ac:dyDescent="0.25">
      <c r="A15063" s="2"/>
      <c r="B15063" s="2"/>
      <c r="C15063" s="2"/>
    </row>
    <row r="15064" spans="1:3" x14ac:dyDescent="0.25">
      <c r="A15064" s="2"/>
      <c r="B15064" s="2"/>
      <c r="C15064" s="2"/>
    </row>
    <row r="15065" spans="1:3" x14ac:dyDescent="0.25">
      <c r="A15065" s="2"/>
      <c r="B15065" s="2"/>
      <c r="C15065" s="2"/>
    </row>
    <row r="15066" spans="1:3" x14ac:dyDescent="0.25">
      <c r="A15066" s="2"/>
      <c r="B15066" s="2"/>
      <c r="C15066" s="2"/>
    </row>
    <row r="15067" spans="1:3" x14ac:dyDescent="0.25">
      <c r="A15067" s="2"/>
      <c r="B15067" s="2"/>
      <c r="C15067" s="2"/>
    </row>
    <row r="15068" spans="1:3" x14ac:dyDescent="0.25">
      <c r="A15068" s="2"/>
      <c r="B15068" s="2"/>
      <c r="C15068" s="2"/>
    </row>
    <row r="15069" spans="1:3" x14ac:dyDescent="0.25">
      <c r="A15069" s="2"/>
      <c r="B15069" s="2"/>
      <c r="C15069" s="2"/>
    </row>
    <row r="15070" spans="1:3" x14ac:dyDescent="0.25">
      <c r="A15070" s="2"/>
      <c r="B15070" s="2"/>
      <c r="C15070" s="2"/>
    </row>
    <row r="15071" spans="1:3" x14ac:dyDescent="0.25">
      <c r="A15071" s="2"/>
      <c r="B15071" s="2"/>
      <c r="C15071" s="2"/>
    </row>
    <row r="15072" spans="1:3" x14ac:dyDescent="0.25">
      <c r="A15072" s="2"/>
      <c r="B15072" s="2"/>
      <c r="C15072" s="2"/>
    </row>
    <row r="15073" spans="1:3" x14ac:dyDescent="0.25">
      <c r="A15073" s="2"/>
      <c r="B15073" s="2"/>
      <c r="C15073" s="2"/>
    </row>
    <row r="15074" spans="1:3" x14ac:dyDescent="0.25">
      <c r="A15074" s="2"/>
      <c r="B15074" s="2"/>
      <c r="C15074" s="2"/>
    </row>
    <row r="15075" spans="1:3" x14ac:dyDescent="0.25">
      <c r="A15075" s="2"/>
      <c r="B15075" s="2"/>
      <c r="C15075" s="2"/>
    </row>
    <row r="15076" spans="1:3" x14ac:dyDescent="0.25">
      <c r="A15076" s="2"/>
      <c r="B15076" s="2"/>
      <c r="C15076" s="2"/>
    </row>
    <row r="15077" spans="1:3" x14ac:dyDescent="0.25">
      <c r="A15077" s="2"/>
      <c r="B15077" s="2"/>
      <c r="C15077" s="2"/>
    </row>
    <row r="15078" spans="1:3" x14ac:dyDescent="0.25">
      <c r="A15078" s="2"/>
      <c r="B15078" s="2"/>
      <c r="C15078" s="2"/>
    </row>
    <row r="15079" spans="1:3" x14ac:dyDescent="0.25">
      <c r="A15079" s="2"/>
      <c r="B15079" s="2"/>
      <c r="C15079" s="2"/>
    </row>
    <row r="15080" spans="1:3" x14ac:dyDescent="0.25">
      <c r="A15080" s="2"/>
      <c r="B15080" s="2"/>
      <c r="C15080" s="2"/>
    </row>
    <row r="15081" spans="1:3" x14ac:dyDescent="0.25">
      <c r="A15081" s="2"/>
      <c r="B15081" s="2"/>
      <c r="C15081" s="2"/>
    </row>
    <row r="15082" spans="1:3" x14ac:dyDescent="0.25">
      <c r="A15082" s="2"/>
      <c r="B15082" s="2"/>
      <c r="C15082" s="2"/>
    </row>
    <row r="15083" spans="1:3" x14ac:dyDescent="0.25">
      <c r="A15083" s="2"/>
      <c r="B15083" s="2"/>
      <c r="C15083" s="2"/>
    </row>
    <row r="15084" spans="1:3" x14ac:dyDescent="0.25">
      <c r="A15084" s="2"/>
      <c r="B15084" s="2"/>
      <c r="C15084" s="2"/>
    </row>
    <row r="15085" spans="1:3" x14ac:dyDescent="0.25">
      <c r="A15085" s="2"/>
      <c r="B15085" s="2"/>
      <c r="C15085" s="2"/>
    </row>
    <row r="15086" spans="1:3" x14ac:dyDescent="0.25">
      <c r="A15086" s="2"/>
      <c r="B15086" s="2"/>
      <c r="C15086" s="2"/>
    </row>
    <row r="15087" spans="1:3" x14ac:dyDescent="0.25">
      <c r="A15087" s="2"/>
      <c r="B15087" s="2"/>
      <c r="C15087" s="2"/>
    </row>
    <row r="15088" spans="1:3" x14ac:dyDescent="0.25">
      <c r="A15088" s="2"/>
      <c r="B15088" s="2"/>
      <c r="C15088" s="2"/>
    </row>
    <row r="15089" spans="1:3" x14ac:dyDescent="0.25">
      <c r="A15089" s="2"/>
      <c r="B15089" s="2"/>
      <c r="C15089" s="2"/>
    </row>
    <row r="15090" spans="1:3" x14ac:dyDescent="0.25">
      <c r="A15090" s="2"/>
      <c r="B15090" s="2"/>
      <c r="C15090" s="2"/>
    </row>
    <row r="15091" spans="1:3" x14ac:dyDescent="0.25">
      <c r="A15091" s="2"/>
      <c r="B15091" s="2"/>
      <c r="C15091" s="2"/>
    </row>
    <row r="15092" spans="1:3" x14ac:dyDescent="0.25">
      <c r="A15092" s="2"/>
      <c r="B15092" s="2"/>
      <c r="C15092" s="2"/>
    </row>
    <row r="15093" spans="1:3" x14ac:dyDescent="0.25">
      <c r="A15093" s="2"/>
      <c r="B15093" s="2"/>
      <c r="C15093" s="2"/>
    </row>
    <row r="15094" spans="1:3" x14ac:dyDescent="0.25">
      <c r="A15094" s="2"/>
      <c r="B15094" s="2"/>
      <c r="C15094" s="2"/>
    </row>
    <row r="15095" spans="1:3" x14ac:dyDescent="0.25">
      <c r="A15095" s="2"/>
      <c r="B15095" s="2"/>
      <c r="C15095" s="2"/>
    </row>
    <row r="15096" spans="1:3" x14ac:dyDescent="0.25">
      <c r="A15096" s="2"/>
      <c r="B15096" s="2"/>
      <c r="C15096" s="2"/>
    </row>
    <row r="15097" spans="1:3" x14ac:dyDescent="0.25">
      <c r="A15097" s="2"/>
      <c r="B15097" s="2"/>
      <c r="C15097" s="2"/>
    </row>
    <row r="15098" spans="1:3" x14ac:dyDescent="0.25">
      <c r="A15098" s="2"/>
      <c r="B15098" s="2"/>
      <c r="C15098" s="2"/>
    </row>
    <row r="15099" spans="1:3" x14ac:dyDescent="0.25">
      <c r="A15099" s="2"/>
      <c r="B15099" s="2"/>
      <c r="C15099" s="2"/>
    </row>
    <row r="15100" spans="1:3" x14ac:dyDescent="0.25">
      <c r="A15100" s="2"/>
      <c r="B15100" s="2"/>
      <c r="C15100" s="2"/>
    </row>
    <row r="15101" spans="1:3" x14ac:dyDescent="0.25">
      <c r="A15101" s="2"/>
      <c r="B15101" s="2"/>
      <c r="C15101" s="2"/>
    </row>
    <row r="15102" spans="1:3" x14ac:dyDescent="0.25">
      <c r="A15102" s="2"/>
      <c r="B15102" s="2"/>
      <c r="C15102" s="2"/>
    </row>
    <row r="15103" spans="1:3" x14ac:dyDescent="0.25">
      <c r="A15103" s="2"/>
      <c r="B15103" s="2"/>
      <c r="C15103" s="2"/>
    </row>
    <row r="15104" spans="1:3" x14ac:dyDescent="0.25">
      <c r="A15104" s="2"/>
      <c r="B15104" s="2"/>
      <c r="C15104" s="2"/>
    </row>
    <row r="15105" spans="1:3" x14ac:dyDescent="0.25">
      <c r="A15105" s="2"/>
      <c r="B15105" s="2"/>
      <c r="C15105" s="2"/>
    </row>
    <row r="15106" spans="1:3" x14ac:dyDescent="0.25">
      <c r="A15106" s="2"/>
      <c r="B15106" s="2"/>
      <c r="C15106" s="2"/>
    </row>
    <row r="15107" spans="1:3" x14ac:dyDescent="0.25">
      <c r="A15107" s="2"/>
      <c r="B15107" s="2"/>
      <c r="C15107" s="2"/>
    </row>
    <row r="15108" spans="1:3" x14ac:dyDescent="0.25">
      <c r="A15108" s="2"/>
      <c r="B15108" s="2"/>
      <c r="C15108" s="2"/>
    </row>
    <row r="15109" spans="1:3" x14ac:dyDescent="0.25">
      <c r="A15109" s="2"/>
      <c r="B15109" s="2"/>
      <c r="C15109" s="2"/>
    </row>
    <row r="15110" spans="1:3" x14ac:dyDescent="0.25">
      <c r="A15110" s="2"/>
      <c r="B15110" s="2"/>
      <c r="C15110" s="2"/>
    </row>
    <row r="15111" spans="1:3" x14ac:dyDescent="0.25">
      <c r="A15111" s="2"/>
      <c r="B15111" s="2"/>
      <c r="C15111" s="2"/>
    </row>
    <row r="15112" spans="1:3" x14ac:dyDescent="0.25">
      <c r="A15112" s="2"/>
      <c r="B15112" s="2"/>
      <c r="C15112" s="2"/>
    </row>
    <row r="15113" spans="1:3" x14ac:dyDescent="0.25">
      <c r="A15113" s="2"/>
      <c r="B15113" s="2"/>
      <c r="C15113" s="2"/>
    </row>
    <row r="15114" spans="1:3" x14ac:dyDescent="0.25">
      <c r="A15114" s="2"/>
      <c r="B15114" s="2"/>
      <c r="C15114" s="2"/>
    </row>
    <row r="15115" spans="1:3" x14ac:dyDescent="0.25">
      <c r="A15115" s="2"/>
      <c r="B15115" s="2"/>
      <c r="C15115" s="2"/>
    </row>
    <row r="15116" spans="1:3" x14ac:dyDescent="0.25">
      <c r="A15116" s="2"/>
      <c r="B15116" s="2"/>
      <c r="C15116" s="2"/>
    </row>
    <row r="15117" spans="1:3" x14ac:dyDescent="0.25">
      <c r="A15117" s="2"/>
      <c r="B15117" s="2"/>
      <c r="C15117" s="2"/>
    </row>
    <row r="15118" spans="1:3" x14ac:dyDescent="0.25">
      <c r="A15118" s="2"/>
      <c r="B15118" s="2"/>
      <c r="C15118" s="2"/>
    </row>
    <row r="15119" spans="1:3" x14ac:dyDescent="0.25">
      <c r="A15119" s="2"/>
      <c r="B15119" s="2"/>
      <c r="C15119" s="2"/>
    </row>
    <row r="15120" spans="1:3" x14ac:dyDescent="0.25">
      <c r="A15120" s="2"/>
      <c r="B15120" s="2"/>
      <c r="C15120" s="2"/>
    </row>
    <row r="15121" spans="1:3" x14ac:dyDescent="0.25">
      <c r="A15121" s="2"/>
      <c r="B15121" s="2"/>
      <c r="C15121" s="2"/>
    </row>
    <row r="15122" spans="1:3" x14ac:dyDescent="0.25">
      <c r="A15122" s="2"/>
      <c r="B15122" s="2"/>
      <c r="C15122" s="2"/>
    </row>
    <row r="15123" spans="1:3" x14ac:dyDescent="0.25">
      <c r="A15123" s="2"/>
      <c r="B15123" s="2"/>
      <c r="C15123" s="2"/>
    </row>
    <row r="15124" spans="1:3" x14ac:dyDescent="0.25">
      <c r="A15124" s="2"/>
      <c r="B15124" s="2"/>
      <c r="C15124" s="2"/>
    </row>
    <row r="15125" spans="1:3" x14ac:dyDescent="0.25">
      <c r="A15125" s="2"/>
      <c r="B15125" s="2"/>
      <c r="C15125" s="2"/>
    </row>
    <row r="15126" spans="1:3" x14ac:dyDescent="0.25">
      <c r="A15126" s="2"/>
      <c r="B15126" s="2"/>
      <c r="C15126" s="2"/>
    </row>
    <row r="15127" spans="1:3" x14ac:dyDescent="0.25">
      <c r="A15127" s="2"/>
      <c r="B15127" s="2"/>
      <c r="C15127" s="2"/>
    </row>
    <row r="15128" spans="1:3" x14ac:dyDescent="0.25">
      <c r="A15128" s="2"/>
      <c r="B15128" s="2"/>
      <c r="C15128" s="2"/>
    </row>
    <row r="15129" spans="1:3" x14ac:dyDescent="0.25">
      <c r="A15129" s="2"/>
      <c r="B15129" s="2"/>
      <c r="C15129" s="2"/>
    </row>
    <row r="15130" spans="1:3" x14ac:dyDescent="0.25">
      <c r="A15130" s="2"/>
      <c r="B15130" s="2"/>
      <c r="C15130" s="2"/>
    </row>
    <row r="15131" spans="1:3" x14ac:dyDescent="0.25">
      <c r="A15131" s="2"/>
      <c r="B15131" s="2"/>
      <c r="C15131" s="2"/>
    </row>
    <row r="15132" spans="1:3" x14ac:dyDescent="0.25">
      <c r="A15132" s="2"/>
      <c r="B15132" s="2"/>
      <c r="C15132" s="2"/>
    </row>
    <row r="15133" spans="1:3" x14ac:dyDescent="0.25">
      <c r="A15133" s="2"/>
      <c r="B15133" s="2"/>
      <c r="C15133" s="2"/>
    </row>
    <row r="15134" spans="1:3" x14ac:dyDescent="0.25">
      <c r="A15134" s="2"/>
      <c r="B15134" s="2"/>
      <c r="C15134" s="2"/>
    </row>
    <row r="15135" spans="1:3" x14ac:dyDescent="0.25">
      <c r="A15135" s="2"/>
      <c r="B15135" s="2"/>
      <c r="C15135" s="2"/>
    </row>
    <row r="15136" spans="1:3" x14ac:dyDescent="0.25">
      <c r="A15136" s="2"/>
      <c r="B15136" s="2"/>
      <c r="C15136" s="2"/>
    </row>
    <row r="15137" spans="1:3" x14ac:dyDescent="0.25">
      <c r="A15137" s="2"/>
      <c r="B15137" s="2"/>
      <c r="C15137" s="2"/>
    </row>
    <row r="15138" spans="1:3" x14ac:dyDescent="0.25">
      <c r="A15138" s="2"/>
      <c r="B15138" s="2"/>
      <c r="C15138" s="2"/>
    </row>
    <row r="15139" spans="1:3" x14ac:dyDescent="0.25">
      <c r="A15139" s="2"/>
      <c r="B15139" s="2"/>
      <c r="C15139" s="2"/>
    </row>
    <row r="15140" spans="1:3" x14ac:dyDescent="0.25">
      <c r="A15140" s="2"/>
      <c r="B15140" s="2"/>
      <c r="C15140" s="2"/>
    </row>
    <row r="15141" spans="1:3" x14ac:dyDescent="0.25">
      <c r="A15141" s="2"/>
      <c r="B15141" s="2"/>
      <c r="C15141" s="2"/>
    </row>
    <row r="15142" spans="1:3" x14ac:dyDescent="0.25">
      <c r="A15142" s="2"/>
      <c r="B15142" s="2"/>
      <c r="C15142" s="2"/>
    </row>
    <row r="15143" spans="1:3" x14ac:dyDescent="0.25">
      <c r="A15143" s="2"/>
      <c r="B15143" s="2"/>
      <c r="C15143" s="2"/>
    </row>
    <row r="15144" spans="1:3" x14ac:dyDescent="0.25">
      <c r="A15144" s="2"/>
      <c r="B15144" s="2"/>
      <c r="C15144" s="2"/>
    </row>
    <row r="15145" spans="1:3" x14ac:dyDescent="0.25">
      <c r="A15145" s="2"/>
      <c r="B15145" s="2"/>
      <c r="C15145" s="2"/>
    </row>
    <row r="15146" spans="1:3" x14ac:dyDescent="0.25">
      <c r="A15146" s="2"/>
      <c r="B15146" s="2"/>
      <c r="C15146" s="2"/>
    </row>
    <row r="15147" spans="1:3" x14ac:dyDescent="0.25">
      <c r="A15147" s="2"/>
      <c r="B15147" s="2"/>
      <c r="C15147" s="2"/>
    </row>
    <row r="15148" spans="1:3" x14ac:dyDescent="0.25">
      <c r="A15148" s="2"/>
      <c r="B15148" s="2"/>
      <c r="C15148" s="2"/>
    </row>
    <row r="15149" spans="1:3" x14ac:dyDescent="0.25">
      <c r="A15149" s="2"/>
      <c r="B15149" s="2"/>
      <c r="C15149" s="2"/>
    </row>
    <row r="15150" spans="1:3" x14ac:dyDescent="0.25">
      <c r="A15150" s="2"/>
      <c r="B15150" s="2"/>
      <c r="C15150" s="2"/>
    </row>
    <row r="15151" spans="1:3" x14ac:dyDescent="0.25">
      <c r="A15151" s="2"/>
      <c r="B15151" s="2"/>
      <c r="C15151" s="2"/>
    </row>
    <row r="15152" spans="1:3" x14ac:dyDescent="0.25">
      <c r="A15152" s="2"/>
      <c r="B15152" s="2"/>
      <c r="C15152" s="2"/>
    </row>
    <row r="15153" spans="1:3" x14ac:dyDescent="0.25">
      <c r="A15153" s="2"/>
      <c r="B15153" s="2"/>
      <c r="C15153" s="2"/>
    </row>
    <row r="15154" spans="1:3" x14ac:dyDescent="0.25">
      <c r="A15154" s="2"/>
      <c r="B15154" s="2"/>
      <c r="C15154" s="2"/>
    </row>
    <row r="15155" spans="1:3" x14ac:dyDescent="0.25">
      <c r="A15155" s="2"/>
      <c r="B15155" s="2"/>
      <c r="C15155" s="2"/>
    </row>
    <row r="15156" spans="1:3" x14ac:dyDescent="0.25">
      <c r="A15156" s="2"/>
      <c r="B15156" s="2"/>
      <c r="C15156" s="2"/>
    </row>
    <row r="15157" spans="1:3" x14ac:dyDescent="0.25">
      <c r="A15157" s="2"/>
      <c r="B15157" s="2"/>
      <c r="C15157" s="2"/>
    </row>
    <row r="15158" spans="1:3" x14ac:dyDescent="0.25">
      <c r="A15158" s="2"/>
      <c r="B15158" s="2"/>
      <c r="C15158" s="2"/>
    </row>
    <row r="15159" spans="1:3" x14ac:dyDescent="0.25">
      <c r="A15159" s="2"/>
      <c r="B15159" s="2"/>
      <c r="C15159" s="2"/>
    </row>
    <row r="15160" spans="1:3" x14ac:dyDescent="0.25">
      <c r="A15160" s="2"/>
      <c r="B15160" s="2"/>
      <c r="C15160" s="2"/>
    </row>
    <row r="15161" spans="1:3" x14ac:dyDescent="0.25">
      <c r="A15161" s="2"/>
      <c r="B15161" s="2"/>
      <c r="C15161" s="2"/>
    </row>
    <row r="15162" spans="1:3" x14ac:dyDescent="0.25">
      <c r="A15162" s="2"/>
      <c r="B15162" s="2"/>
      <c r="C15162" s="2"/>
    </row>
    <row r="15163" spans="1:3" x14ac:dyDescent="0.25">
      <c r="A15163" s="2"/>
      <c r="B15163" s="2"/>
      <c r="C15163" s="2"/>
    </row>
    <row r="15164" spans="1:3" x14ac:dyDescent="0.25">
      <c r="A15164" s="2"/>
      <c r="B15164" s="2"/>
      <c r="C15164" s="2"/>
    </row>
    <row r="15165" spans="1:3" x14ac:dyDescent="0.25">
      <c r="A15165" s="2"/>
      <c r="B15165" s="2"/>
      <c r="C15165" s="2"/>
    </row>
    <row r="15166" spans="1:3" x14ac:dyDescent="0.25">
      <c r="A15166" s="2"/>
      <c r="B15166" s="2"/>
      <c r="C15166" s="2"/>
    </row>
    <row r="15167" spans="1:3" x14ac:dyDescent="0.25">
      <c r="A15167" s="2"/>
      <c r="B15167" s="2"/>
      <c r="C15167" s="2"/>
    </row>
    <row r="15168" spans="1:3" x14ac:dyDescent="0.25">
      <c r="A15168" s="2"/>
      <c r="B15168" s="2"/>
      <c r="C15168" s="2"/>
    </row>
    <row r="15169" spans="1:3" x14ac:dyDescent="0.25">
      <c r="A15169" s="2"/>
      <c r="B15169" s="2"/>
      <c r="C15169" s="2"/>
    </row>
    <row r="15170" spans="1:3" x14ac:dyDescent="0.25">
      <c r="A15170" s="2"/>
      <c r="B15170" s="2"/>
      <c r="C15170" s="2"/>
    </row>
    <row r="15171" spans="1:3" x14ac:dyDescent="0.25">
      <c r="A15171" s="2"/>
      <c r="B15171" s="2"/>
      <c r="C15171" s="2"/>
    </row>
    <row r="15172" spans="1:3" x14ac:dyDescent="0.25">
      <c r="A15172" s="2"/>
      <c r="B15172" s="2"/>
      <c r="C15172" s="2"/>
    </row>
    <row r="15173" spans="1:3" x14ac:dyDescent="0.25">
      <c r="A15173" s="2"/>
      <c r="B15173" s="2"/>
      <c r="C15173" s="2"/>
    </row>
    <row r="15174" spans="1:3" x14ac:dyDescent="0.25">
      <c r="A15174" s="2"/>
      <c r="B15174" s="2"/>
      <c r="C15174" s="2"/>
    </row>
    <row r="15175" spans="1:3" x14ac:dyDescent="0.25">
      <c r="A15175" s="2"/>
      <c r="B15175" s="2"/>
      <c r="C15175" s="2"/>
    </row>
    <row r="15176" spans="1:3" x14ac:dyDescent="0.25">
      <c r="A15176" s="2"/>
      <c r="B15176" s="2"/>
      <c r="C15176" s="2"/>
    </row>
    <row r="15177" spans="1:3" x14ac:dyDescent="0.25">
      <c r="A15177" s="2"/>
      <c r="B15177" s="2"/>
      <c r="C15177" s="2"/>
    </row>
    <row r="15178" spans="1:3" x14ac:dyDescent="0.25">
      <c r="A15178" s="2"/>
      <c r="B15178" s="2"/>
      <c r="C15178" s="2"/>
    </row>
    <row r="15179" spans="1:3" x14ac:dyDescent="0.25">
      <c r="A15179" s="2"/>
      <c r="B15179" s="2"/>
      <c r="C15179" s="2"/>
    </row>
    <row r="15180" spans="1:3" x14ac:dyDescent="0.25">
      <c r="A15180" s="2"/>
      <c r="B15180" s="2"/>
      <c r="C15180" s="2"/>
    </row>
    <row r="15181" spans="1:3" x14ac:dyDescent="0.25">
      <c r="A15181" s="2"/>
      <c r="B15181" s="2"/>
      <c r="C15181" s="2"/>
    </row>
    <row r="15182" spans="1:3" x14ac:dyDescent="0.25">
      <c r="A15182" s="2"/>
      <c r="B15182" s="2"/>
      <c r="C15182" s="2"/>
    </row>
    <row r="15183" spans="1:3" x14ac:dyDescent="0.25">
      <c r="A15183" s="2"/>
      <c r="B15183" s="2"/>
      <c r="C15183" s="2"/>
    </row>
    <row r="15184" spans="1:3" x14ac:dyDescent="0.25">
      <c r="A15184" s="2"/>
      <c r="B15184" s="2"/>
      <c r="C15184" s="2"/>
    </row>
    <row r="15185" spans="1:3" x14ac:dyDescent="0.25">
      <c r="A15185" s="2"/>
      <c r="B15185" s="2"/>
      <c r="C15185" s="2"/>
    </row>
    <row r="15186" spans="1:3" x14ac:dyDescent="0.25">
      <c r="A15186" s="2"/>
      <c r="B15186" s="2"/>
      <c r="C15186" s="2"/>
    </row>
    <row r="15187" spans="1:3" x14ac:dyDescent="0.25">
      <c r="A15187" s="2"/>
      <c r="B15187" s="2"/>
      <c r="C15187" s="2"/>
    </row>
    <row r="15188" spans="1:3" x14ac:dyDescent="0.25">
      <c r="A15188" s="2"/>
      <c r="B15188" s="2"/>
      <c r="C15188" s="2"/>
    </row>
    <row r="15189" spans="1:3" x14ac:dyDescent="0.25">
      <c r="A15189" s="2"/>
      <c r="B15189" s="2"/>
      <c r="C15189" s="2"/>
    </row>
    <row r="15190" spans="1:3" x14ac:dyDescent="0.25">
      <c r="A15190" s="2"/>
      <c r="B15190" s="2"/>
      <c r="C15190" s="2"/>
    </row>
    <row r="15191" spans="1:3" x14ac:dyDescent="0.25">
      <c r="A15191" s="2"/>
      <c r="B15191" s="2"/>
      <c r="C15191" s="2"/>
    </row>
    <row r="15192" spans="1:3" x14ac:dyDescent="0.25">
      <c r="A15192" s="2"/>
      <c r="B15192" s="2"/>
      <c r="C15192" s="2"/>
    </row>
    <row r="15193" spans="1:3" x14ac:dyDescent="0.25">
      <c r="A15193" s="2"/>
      <c r="B15193" s="2"/>
      <c r="C15193" s="2"/>
    </row>
    <row r="15194" spans="1:3" x14ac:dyDescent="0.25">
      <c r="A15194" s="2"/>
      <c r="B15194" s="2"/>
      <c r="C15194" s="2"/>
    </row>
    <row r="15195" spans="1:3" x14ac:dyDescent="0.25">
      <c r="A15195" s="2"/>
      <c r="B15195" s="2"/>
      <c r="C15195" s="2"/>
    </row>
    <row r="15196" spans="1:3" x14ac:dyDescent="0.25">
      <c r="A15196" s="2"/>
      <c r="B15196" s="2"/>
      <c r="C15196" s="2"/>
    </row>
    <row r="15197" spans="1:3" x14ac:dyDescent="0.25">
      <c r="A15197" s="2"/>
      <c r="B15197" s="2"/>
      <c r="C15197" s="2"/>
    </row>
    <row r="15198" spans="1:3" x14ac:dyDescent="0.25">
      <c r="A15198" s="2"/>
      <c r="B15198" s="2"/>
      <c r="C15198" s="2"/>
    </row>
    <row r="15199" spans="1:3" x14ac:dyDescent="0.25">
      <c r="A15199" s="2"/>
      <c r="B15199" s="2"/>
      <c r="C15199" s="2"/>
    </row>
    <row r="15200" spans="1:3" x14ac:dyDescent="0.25">
      <c r="A15200" s="2"/>
      <c r="B15200" s="2"/>
      <c r="C15200" s="2"/>
    </row>
    <row r="15201" spans="1:3" x14ac:dyDescent="0.25">
      <c r="A15201" s="2"/>
      <c r="B15201" s="2"/>
      <c r="C15201" s="2"/>
    </row>
    <row r="15202" spans="1:3" x14ac:dyDescent="0.25">
      <c r="A15202" s="2"/>
      <c r="B15202" s="2"/>
      <c r="C15202" s="2"/>
    </row>
    <row r="15203" spans="1:3" x14ac:dyDescent="0.25">
      <c r="A15203" s="2"/>
      <c r="B15203" s="2"/>
      <c r="C15203" s="2"/>
    </row>
    <row r="15204" spans="1:3" x14ac:dyDescent="0.25">
      <c r="A15204" s="2"/>
      <c r="B15204" s="2"/>
      <c r="C15204" s="2"/>
    </row>
    <row r="15205" spans="1:3" x14ac:dyDescent="0.25">
      <c r="A15205" s="2"/>
      <c r="B15205" s="2"/>
      <c r="C15205" s="2"/>
    </row>
    <row r="15206" spans="1:3" x14ac:dyDescent="0.25">
      <c r="A15206" s="2"/>
      <c r="B15206" s="2"/>
      <c r="C15206" s="2"/>
    </row>
    <row r="15207" spans="1:3" x14ac:dyDescent="0.25">
      <c r="A15207" s="2"/>
      <c r="B15207" s="2"/>
      <c r="C15207" s="2"/>
    </row>
    <row r="15208" spans="1:3" x14ac:dyDescent="0.25">
      <c r="A15208" s="2"/>
      <c r="B15208" s="2"/>
      <c r="C15208" s="2"/>
    </row>
    <row r="15209" spans="1:3" x14ac:dyDescent="0.25">
      <c r="A15209" s="2"/>
      <c r="B15209" s="2"/>
      <c r="C15209" s="2"/>
    </row>
    <row r="15210" spans="1:3" x14ac:dyDescent="0.25">
      <c r="A15210" s="2"/>
      <c r="B15210" s="2"/>
      <c r="C15210" s="2"/>
    </row>
    <row r="15211" spans="1:3" x14ac:dyDescent="0.25">
      <c r="A15211" s="2"/>
      <c r="B15211" s="2"/>
      <c r="C15211" s="2"/>
    </row>
    <row r="15212" spans="1:3" x14ac:dyDescent="0.25">
      <c r="A15212" s="2"/>
      <c r="B15212" s="2"/>
      <c r="C15212" s="2"/>
    </row>
    <row r="15213" spans="1:3" x14ac:dyDescent="0.25">
      <c r="A15213" s="2"/>
      <c r="B15213" s="2"/>
      <c r="C15213" s="2"/>
    </row>
    <row r="15214" spans="1:3" x14ac:dyDescent="0.25">
      <c r="A15214" s="2"/>
      <c r="B15214" s="2"/>
      <c r="C15214" s="2"/>
    </row>
    <row r="15215" spans="1:3" x14ac:dyDescent="0.25">
      <c r="A15215" s="2"/>
      <c r="B15215" s="2"/>
      <c r="C15215" s="2"/>
    </row>
    <row r="15216" spans="1:3" x14ac:dyDescent="0.25">
      <c r="A15216" s="2"/>
      <c r="B15216" s="2"/>
      <c r="C15216" s="2"/>
    </row>
    <row r="15217" spans="1:3" x14ac:dyDescent="0.25">
      <c r="A15217" s="2"/>
      <c r="B15217" s="2"/>
      <c r="C15217" s="2"/>
    </row>
    <row r="15218" spans="1:3" x14ac:dyDescent="0.25">
      <c r="A15218" s="2"/>
      <c r="B15218" s="2"/>
      <c r="C15218" s="2"/>
    </row>
    <row r="15219" spans="1:3" x14ac:dyDescent="0.25">
      <c r="A15219" s="2"/>
      <c r="B15219" s="2"/>
      <c r="C15219" s="2"/>
    </row>
    <row r="15220" spans="1:3" x14ac:dyDescent="0.25">
      <c r="A15220" s="2"/>
      <c r="B15220" s="2"/>
      <c r="C15220" s="2"/>
    </row>
    <row r="15221" spans="1:3" x14ac:dyDescent="0.25">
      <c r="A15221" s="2"/>
      <c r="B15221" s="2"/>
      <c r="C15221" s="2"/>
    </row>
    <row r="15222" spans="1:3" x14ac:dyDescent="0.25">
      <c r="A15222" s="2"/>
      <c r="B15222" s="2"/>
      <c r="C15222" s="2"/>
    </row>
    <row r="15223" spans="1:3" x14ac:dyDescent="0.25">
      <c r="A15223" s="2"/>
      <c r="B15223" s="2"/>
      <c r="C15223" s="2"/>
    </row>
    <row r="15224" spans="1:3" x14ac:dyDescent="0.25">
      <c r="A15224" s="2"/>
      <c r="B15224" s="2"/>
      <c r="C15224" s="2"/>
    </row>
    <row r="15225" spans="1:3" x14ac:dyDescent="0.25">
      <c r="A15225" s="2"/>
      <c r="B15225" s="2"/>
      <c r="C15225" s="2"/>
    </row>
    <row r="15226" spans="1:3" x14ac:dyDescent="0.25">
      <c r="A15226" s="2"/>
      <c r="B15226" s="2"/>
      <c r="C15226" s="2"/>
    </row>
    <row r="15227" spans="1:3" x14ac:dyDescent="0.25">
      <c r="A15227" s="2"/>
      <c r="B15227" s="2"/>
      <c r="C15227" s="2"/>
    </row>
    <row r="15228" spans="1:3" x14ac:dyDescent="0.25">
      <c r="A15228" s="2"/>
      <c r="B15228" s="2"/>
      <c r="C15228" s="2"/>
    </row>
    <row r="15229" spans="1:3" x14ac:dyDescent="0.25">
      <c r="A15229" s="2"/>
      <c r="B15229" s="2"/>
      <c r="C15229" s="2"/>
    </row>
    <row r="15230" spans="1:3" x14ac:dyDescent="0.25">
      <c r="A15230" s="2"/>
      <c r="B15230" s="2"/>
      <c r="C15230" s="2"/>
    </row>
    <row r="15231" spans="1:3" x14ac:dyDescent="0.25">
      <c r="A15231" s="2"/>
      <c r="B15231" s="2"/>
      <c r="C15231" s="2"/>
    </row>
    <row r="15232" spans="1:3" x14ac:dyDescent="0.25">
      <c r="A15232" s="2"/>
      <c r="B15232" s="2"/>
      <c r="C15232" s="2"/>
    </row>
    <row r="15233" spans="1:3" x14ac:dyDescent="0.25">
      <c r="A15233" s="2"/>
      <c r="B15233" s="2"/>
      <c r="C15233" s="2"/>
    </row>
    <row r="15234" spans="1:3" x14ac:dyDescent="0.25">
      <c r="A15234" s="2"/>
      <c r="B15234" s="2"/>
      <c r="C15234" s="2"/>
    </row>
    <row r="15235" spans="1:3" x14ac:dyDescent="0.25">
      <c r="A15235" s="2"/>
      <c r="B15235" s="2"/>
      <c r="C15235" s="2"/>
    </row>
    <row r="15236" spans="1:3" x14ac:dyDescent="0.25">
      <c r="A15236" s="2"/>
      <c r="B15236" s="2"/>
      <c r="C15236" s="2"/>
    </row>
    <row r="15237" spans="1:3" x14ac:dyDescent="0.25">
      <c r="A15237" s="2"/>
      <c r="B15237" s="2"/>
      <c r="C15237" s="2"/>
    </row>
    <row r="15238" spans="1:3" x14ac:dyDescent="0.25">
      <c r="A15238" s="2"/>
      <c r="B15238" s="2"/>
      <c r="C15238" s="2"/>
    </row>
    <row r="15239" spans="1:3" x14ac:dyDescent="0.25">
      <c r="A15239" s="2"/>
      <c r="B15239" s="2"/>
      <c r="C15239" s="2"/>
    </row>
    <row r="15240" spans="1:3" x14ac:dyDescent="0.25">
      <c r="A15240" s="2"/>
      <c r="B15240" s="2"/>
      <c r="C15240" s="2"/>
    </row>
    <row r="15241" spans="1:3" x14ac:dyDescent="0.25">
      <c r="A15241" s="2"/>
      <c r="B15241" s="2"/>
      <c r="C15241" s="2"/>
    </row>
    <row r="15242" spans="1:3" x14ac:dyDescent="0.25">
      <c r="A15242" s="2"/>
      <c r="B15242" s="2"/>
      <c r="C15242" s="2"/>
    </row>
    <row r="15243" spans="1:3" x14ac:dyDescent="0.25">
      <c r="A15243" s="2"/>
      <c r="B15243" s="2"/>
      <c r="C15243" s="2"/>
    </row>
    <row r="15244" spans="1:3" x14ac:dyDescent="0.25">
      <c r="A15244" s="2"/>
      <c r="B15244" s="2"/>
      <c r="C15244" s="2"/>
    </row>
    <row r="15245" spans="1:3" x14ac:dyDescent="0.25">
      <c r="A15245" s="2"/>
      <c r="B15245" s="2"/>
      <c r="C15245" s="2"/>
    </row>
    <row r="15246" spans="1:3" x14ac:dyDescent="0.25">
      <c r="A15246" s="2"/>
      <c r="B15246" s="2"/>
      <c r="C15246" s="2"/>
    </row>
    <row r="15247" spans="1:3" x14ac:dyDescent="0.25">
      <c r="A15247" s="2"/>
      <c r="B15247" s="2"/>
      <c r="C15247" s="2"/>
    </row>
    <row r="15248" spans="1:3" x14ac:dyDescent="0.25">
      <c r="A15248" s="2"/>
      <c r="B15248" s="2"/>
      <c r="C15248" s="2"/>
    </row>
    <row r="15249" spans="1:3" x14ac:dyDescent="0.25">
      <c r="A15249" s="2"/>
      <c r="B15249" s="2"/>
      <c r="C15249" s="2"/>
    </row>
    <row r="15250" spans="1:3" x14ac:dyDescent="0.25">
      <c r="A15250" s="2"/>
      <c r="B15250" s="2"/>
      <c r="C15250" s="2"/>
    </row>
    <row r="15251" spans="1:3" x14ac:dyDescent="0.25">
      <c r="A15251" s="2"/>
      <c r="B15251" s="2"/>
      <c r="C15251" s="2"/>
    </row>
    <row r="15252" spans="1:3" x14ac:dyDescent="0.25">
      <c r="A15252" s="2"/>
      <c r="B15252" s="2"/>
      <c r="C15252" s="2"/>
    </row>
    <row r="15253" spans="1:3" x14ac:dyDescent="0.25">
      <c r="A15253" s="2"/>
      <c r="B15253" s="2"/>
      <c r="C15253" s="2"/>
    </row>
    <row r="15254" spans="1:3" x14ac:dyDescent="0.25">
      <c r="A15254" s="2"/>
      <c r="B15254" s="2"/>
      <c r="C15254" s="2"/>
    </row>
    <row r="15255" spans="1:3" x14ac:dyDescent="0.25">
      <c r="A15255" s="2"/>
      <c r="B15255" s="2"/>
      <c r="C15255" s="2"/>
    </row>
    <row r="15256" spans="1:3" x14ac:dyDescent="0.25">
      <c r="A15256" s="2"/>
      <c r="B15256" s="2"/>
      <c r="C15256" s="2"/>
    </row>
    <row r="15257" spans="1:3" x14ac:dyDescent="0.25">
      <c r="A15257" s="2"/>
      <c r="B15257" s="2"/>
      <c r="C15257" s="2"/>
    </row>
    <row r="15258" spans="1:3" x14ac:dyDescent="0.25">
      <c r="A15258" s="2"/>
      <c r="B15258" s="2"/>
      <c r="C15258" s="2"/>
    </row>
    <row r="15259" spans="1:3" x14ac:dyDescent="0.25">
      <c r="A15259" s="2"/>
      <c r="B15259" s="2"/>
      <c r="C15259" s="2"/>
    </row>
    <row r="15260" spans="1:3" x14ac:dyDescent="0.25">
      <c r="A15260" s="2"/>
      <c r="B15260" s="2"/>
      <c r="C15260" s="2"/>
    </row>
    <row r="15261" spans="1:3" x14ac:dyDescent="0.25">
      <c r="A15261" s="2"/>
      <c r="B15261" s="2"/>
      <c r="C15261" s="2"/>
    </row>
    <row r="15262" spans="1:3" x14ac:dyDescent="0.25">
      <c r="A15262" s="2"/>
      <c r="B15262" s="2"/>
      <c r="C15262" s="2"/>
    </row>
    <row r="15263" spans="1:3" x14ac:dyDescent="0.25">
      <c r="A15263" s="2"/>
      <c r="B15263" s="2"/>
      <c r="C15263" s="2"/>
    </row>
    <row r="15264" spans="1:3" x14ac:dyDescent="0.25">
      <c r="A15264" s="2"/>
      <c r="B15264" s="2"/>
      <c r="C15264" s="2"/>
    </row>
    <row r="15265" spans="1:3" x14ac:dyDescent="0.25">
      <c r="A15265" s="2"/>
      <c r="B15265" s="2"/>
      <c r="C15265" s="2"/>
    </row>
    <row r="15266" spans="1:3" x14ac:dyDescent="0.25">
      <c r="A15266" s="2"/>
      <c r="B15266" s="2"/>
      <c r="C15266" s="2"/>
    </row>
    <row r="15267" spans="1:3" x14ac:dyDescent="0.25">
      <c r="A15267" s="2"/>
      <c r="B15267" s="2"/>
      <c r="C15267" s="2"/>
    </row>
    <row r="15268" spans="1:3" x14ac:dyDescent="0.25">
      <c r="A15268" s="2"/>
      <c r="B15268" s="2"/>
      <c r="C15268" s="2"/>
    </row>
    <row r="15269" spans="1:3" x14ac:dyDescent="0.25">
      <c r="A15269" s="2"/>
      <c r="B15269" s="2"/>
      <c r="C15269" s="2"/>
    </row>
    <row r="15270" spans="1:3" x14ac:dyDescent="0.25">
      <c r="A15270" s="2"/>
      <c r="B15270" s="2"/>
      <c r="C15270" s="2"/>
    </row>
    <row r="15271" spans="1:3" x14ac:dyDescent="0.25">
      <c r="A15271" s="2"/>
      <c r="B15271" s="2"/>
      <c r="C15271" s="2"/>
    </row>
    <row r="15272" spans="1:3" x14ac:dyDescent="0.25">
      <c r="A15272" s="2"/>
      <c r="B15272" s="2"/>
      <c r="C15272" s="2"/>
    </row>
    <row r="15273" spans="1:3" x14ac:dyDescent="0.25">
      <c r="A15273" s="2"/>
      <c r="B15273" s="2"/>
      <c r="C15273" s="2"/>
    </row>
    <row r="15274" spans="1:3" x14ac:dyDescent="0.25">
      <c r="A15274" s="2"/>
      <c r="B15274" s="2"/>
      <c r="C15274" s="2"/>
    </row>
    <row r="15275" spans="1:3" x14ac:dyDescent="0.25">
      <c r="A15275" s="2"/>
      <c r="B15275" s="2"/>
      <c r="C15275" s="2"/>
    </row>
    <row r="15276" spans="1:3" x14ac:dyDescent="0.25">
      <c r="A15276" s="2"/>
      <c r="B15276" s="2"/>
      <c r="C15276" s="2"/>
    </row>
    <row r="15277" spans="1:3" x14ac:dyDescent="0.25">
      <c r="A15277" s="2"/>
      <c r="B15277" s="2"/>
      <c r="C15277" s="2"/>
    </row>
    <row r="15278" spans="1:3" x14ac:dyDescent="0.25">
      <c r="A15278" s="2"/>
      <c r="B15278" s="2"/>
      <c r="C15278" s="2"/>
    </row>
    <row r="15279" spans="1:3" x14ac:dyDescent="0.25">
      <c r="A15279" s="2"/>
      <c r="B15279" s="2"/>
      <c r="C15279" s="2"/>
    </row>
    <row r="15280" spans="1:3" x14ac:dyDescent="0.25">
      <c r="A15280" s="2"/>
      <c r="B15280" s="2"/>
      <c r="C15280" s="2"/>
    </row>
    <row r="15281" spans="1:3" x14ac:dyDescent="0.25">
      <c r="A15281" s="2"/>
      <c r="B15281" s="2"/>
      <c r="C15281" s="2"/>
    </row>
    <row r="15282" spans="1:3" x14ac:dyDescent="0.25">
      <c r="A15282" s="2"/>
      <c r="B15282" s="2"/>
      <c r="C15282" s="2"/>
    </row>
    <row r="15283" spans="1:3" x14ac:dyDescent="0.25">
      <c r="A15283" s="2"/>
      <c r="B15283" s="2"/>
      <c r="C15283" s="2"/>
    </row>
    <row r="15284" spans="1:3" x14ac:dyDescent="0.25">
      <c r="A15284" s="2"/>
      <c r="B15284" s="2"/>
      <c r="C15284" s="2"/>
    </row>
    <row r="15285" spans="1:3" x14ac:dyDescent="0.25">
      <c r="A15285" s="2"/>
      <c r="B15285" s="2"/>
      <c r="C15285" s="2"/>
    </row>
    <row r="15286" spans="1:3" x14ac:dyDescent="0.25">
      <c r="A15286" s="2"/>
      <c r="B15286" s="2"/>
      <c r="C15286" s="2"/>
    </row>
    <row r="15287" spans="1:3" x14ac:dyDescent="0.25">
      <c r="A15287" s="2"/>
      <c r="B15287" s="2"/>
      <c r="C15287" s="2"/>
    </row>
    <row r="15288" spans="1:3" x14ac:dyDescent="0.25">
      <c r="A15288" s="2"/>
      <c r="B15288" s="2"/>
      <c r="C15288" s="2"/>
    </row>
    <row r="15289" spans="1:3" x14ac:dyDescent="0.25">
      <c r="A15289" s="2"/>
      <c r="B15289" s="2"/>
      <c r="C15289" s="2"/>
    </row>
    <row r="15290" spans="1:3" x14ac:dyDescent="0.25">
      <c r="A15290" s="2"/>
      <c r="B15290" s="2"/>
      <c r="C15290" s="2"/>
    </row>
    <row r="15291" spans="1:3" x14ac:dyDescent="0.25">
      <c r="A15291" s="2"/>
      <c r="B15291" s="2"/>
      <c r="C15291" s="2"/>
    </row>
    <row r="15292" spans="1:3" x14ac:dyDescent="0.25">
      <c r="A15292" s="2"/>
      <c r="B15292" s="2"/>
      <c r="C15292" s="2"/>
    </row>
    <row r="15293" spans="1:3" x14ac:dyDescent="0.25">
      <c r="A15293" s="2"/>
      <c r="B15293" s="2"/>
      <c r="C15293" s="2"/>
    </row>
    <row r="15294" spans="1:3" x14ac:dyDescent="0.25">
      <c r="A15294" s="2"/>
      <c r="B15294" s="2"/>
      <c r="C15294" s="2"/>
    </row>
    <row r="15295" spans="1:3" x14ac:dyDescent="0.25">
      <c r="A15295" s="2"/>
      <c r="B15295" s="2"/>
      <c r="C15295" s="2"/>
    </row>
    <row r="15296" spans="1:3" x14ac:dyDescent="0.25">
      <c r="A15296" s="2"/>
      <c r="B15296" s="2"/>
      <c r="C15296" s="2"/>
    </row>
    <row r="15297" spans="1:3" x14ac:dyDescent="0.25">
      <c r="A15297" s="2"/>
      <c r="B15297" s="2"/>
      <c r="C15297" s="2"/>
    </row>
    <row r="15298" spans="1:3" x14ac:dyDescent="0.25">
      <c r="A15298" s="2"/>
      <c r="B15298" s="2"/>
      <c r="C15298" s="2"/>
    </row>
    <row r="15299" spans="1:3" x14ac:dyDescent="0.25">
      <c r="A15299" s="2"/>
      <c r="B15299" s="2"/>
      <c r="C15299" s="2"/>
    </row>
    <row r="15300" spans="1:3" x14ac:dyDescent="0.25">
      <c r="A15300" s="2"/>
      <c r="B15300" s="2"/>
      <c r="C15300" s="2"/>
    </row>
    <row r="15301" spans="1:3" x14ac:dyDescent="0.25">
      <c r="A15301" s="2"/>
      <c r="B15301" s="2"/>
      <c r="C15301" s="2"/>
    </row>
    <row r="15302" spans="1:3" x14ac:dyDescent="0.25">
      <c r="A15302" s="2"/>
      <c r="B15302" s="2"/>
      <c r="C15302" s="2"/>
    </row>
    <row r="15303" spans="1:3" x14ac:dyDescent="0.25">
      <c r="A15303" s="2"/>
      <c r="B15303" s="2"/>
      <c r="C15303" s="2"/>
    </row>
    <row r="15304" spans="1:3" x14ac:dyDescent="0.25">
      <c r="A15304" s="2"/>
      <c r="B15304" s="2"/>
      <c r="C15304" s="2"/>
    </row>
    <row r="15305" spans="1:3" x14ac:dyDescent="0.25">
      <c r="A15305" s="2"/>
      <c r="B15305" s="2"/>
      <c r="C15305" s="2"/>
    </row>
    <row r="15306" spans="1:3" x14ac:dyDescent="0.25">
      <c r="A15306" s="2"/>
      <c r="B15306" s="2"/>
      <c r="C15306" s="2"/>
    </row>
    <row r="15307" spans="1:3" x14ac:dyDescent="0.25">
      <c r="A15307" s="2"/>
      <c r="B15307" s="2"/>
      <c r="C15307" s="2"/>
    </row>
    <row r="15308" spans="1:3" x14ac:dyDescent="0.25">
      <c r="A15308" s="2"/>
      <c r="B15308" s="2"/>
      <c r="C15308" s="2"/>
    </row>
    <row r="15309" spans="1:3" x14ac:dyDescent="0.25">
      <c r="A15309" s="2"/>
      <c r="B15309" s="2"/>
      <c r="C15309" s="2"/>
    </row>
    <row r="15310" spans="1:3" x14ac:dyDescent="0.25">
      <c r="A15310" s="2"/>
      <c r="B15310" s="2"/>
      <c r="C15310" s="2"/>
    </row>
    <row r="15311" spans="1:3" x14ac:dyDescent="0.25">
      <c r="A15311" s="2"/>
      <c r="B15311" s="2"/>
      <c r="C15311" s="2"/>
    </row>
    <row r="15312" spans="1:3" x14ac:dyDescent="0.25">
      <c r="A15312" s="2"/>
      <c r="B15312" s="2"/>
      <c r="C15312" s="2"/>
    </row>
    <row r="15313" spans="1:3" x14ac:dyDescent="0.25">
      <c r="A15313" s="2"/>
      <c r="B15313" s="2"/>
      <c r="C15313" s="2"/>
    </row>
    <row r="15314" spans="1:3" x14ac:dyDescent="0.25">
      <c r="A15314" s="2"/>
      <c r="B15314" s="2"/>
      <c r="C15314" s="2"/>
    </row>
    <row r="15315" spans="1:3" x14ac:dyDescent="0.25">
      <c r="A15315" s="2"/>
      <c r="B15315" s="2"/>
      <c r="C15315" s="2"/>
    </row>
    <row r="15316" spans="1:3" x14ac:dyDescent="0.25">
      <c r="A15316" s="2"/>
      <c r="B15316" s="2"/>
      <c r="C15316" s="2"/>
    </row>
    <row r="15317" spans="1:3" x14ac:dyDescent="0.25">
      <c r="A15317" s="2"/>
      <c r="B15317" s="2"/>
      <c r="C15317" s="2"/>
    </row>
    <row r="15318" spans="1:3" x14ac:dyDescent="0.25">
      <c r="A15318" s="2"/>
      <c r="B15318" s="2"/>
      <c r="C15318" s="2"/>
    </row>
    <row r="15319" spans="1:3" x14ac:dyDescent="0.25">
      <c r="A15319" s="2"/>
      <c r="B15319" s="2"/>
      <c r="C15319" s="2"/>
    </row>
    <row r="15320" spans="1:3" x14ac:dyDescent="0.25">
      <c r="A15320" s="2"/>
      <c r="B15320" s="2"/>
      <c r="C15320" s="2"/>
    </row>
    <row r="15321" spans="1:3" x14ac:dyDescent="0.25">
      <c r="A15321" s="2"/>
      <c r="B15321" s="2"/>
      <c r="C15321" s="2"/>
    </row>
    <row r="15322" spans="1:3" x14ac:dyDescent="0.25">
      <c r="A15322" s="2"/>
      <c r="B15322" s="2"/>
      <c r="C15322" s="2"/>
    </row>
    <row r="15323" spans="1:3" x14ac:dyDescent="0.25">
      <c r="A15323" s="2"/>
      <c r="B15323" s="2"/>
      <c r="C15323" s="2"/>
    </row>
    <row r="15324" spans="1:3" x14ac:dyDescent="0.25">
      <c r="A15324" s="2"/>
      <c r="B15324" s="2"/>
      <c r="C15324" s="2"/>
    </row>
    <row r="15325" spans="1:3" x14ac:dyDescent="0.25">
      <c r="A15325" s="2"/>
      <c r="B15325" s="2"/>
      <c r="C15325" s="2"/>
    </row>
    <row r="15326" spans="1:3" x14ac:dyDescent="0.25">
      <c r="A15326" s="2"/>
      <c r="B15326" s="2"/>
      <c r="C15326" s="2"/>
    </row>
    <row r="15327" spans="1:3" x14ac:dyDescent="0.25">
      <c r="A15327" s="2"/>
      <c r="B15327" s="2"/>
      <c r="C15327" s="2"/>
    </row>
    <row r="15328" spans="1:3" x14ac:dyDescent="0.25">
      <c r="A15328" s="2"/>
      <c r="B15328" s="2"/>
      <c r="C15328" s="2"/>
    </row>
    <row r="15329" spans="1:3" x14ac:dyDescent="0.25">
      <c r="A15329" s="2"/>
      <c r="B15329" s="2"/>
      <c r="C15329" s="2"/>
    </row>
    <row r="15330" spans="1:3" x14ac:dyDescent="0.25">
      <c r="A15330" s="2"/>
      <c r="B15330" s="2"/>
      <c r="C15330" s="2"/>
    </row>
    <row r="15331" spans="1:3" x14ac:dyDescent="0.25">
      <c r="A15331" s="2"/>
      <c r="B15331" s="2"/>
      <c r="C15331" s="2"/>
    </row>
    <row r="15332" spans="1:3" x14ac:dyDescent="0.25">
      <c r="A15332" s="2"/>
      <c r="B15332" s="2"/>
      <c r="C15332" s="2"/>
    </row>
    <row r="15333" spans="1:3" x14ac:dyDescent="0.25">
      <c r="A15333" s="2"/>
      <c r="B15333" s="2"/>
      <c r="C15333" s="2"/>
    </row>
    <row r="15334" spans="1:3" x14ac:dyDescent="0.25">
      <c r="A15334" s="2"/>
      <c r="B15334" s="2"/>
      <c r="C15334" s="2"/>
    </row>
    <row r="15335" spans="1:3" x14ac:dyDescent="0.25">
      <c r="A15335" s="2"/>
      <c r="B15335" s="2"/>
      <c r="C15335" s="2"/>
    </row>
    <row r="15336" spans="1:3" x14ac:dyDescent="0.25">
      <c r="A15336" s="2"/>
      <c r="B15336" s="2"/>
      <c r="C15336" s="2"/>
    </row>
    <row r="15337" spans="1:3" x14ac:dyDescent="0.25">
      <c r="A15337" s="2"/>
      <c r="B15337" s="2"/>
      <c r="C15337" s="2"/>
    </row>
    <row r="15338" spans="1:3" x14ac:dyDescent="0.25">
      <c r="A15338" s="2"/>
      <c r="B15338" s="2"/>
      <c r="C15338" s="2"/>
    </row>
    <row r="15339" spans="1:3" x14ac:dyDescent="0.25">
      <c r="A15339" s="2"/>
      <c r="B15339" s="2"/>
      <c r="C15339" s="2"/>
    </row>
    <row r="15340" spans="1:3" x14ac:dyDescent="0.25">
      <c r="A15340" s="2"/>
      <c r="B15340" s="2"/>
      <c r="C15340" s="2"/>
    </row>
    <row r="15341" spans="1:3" x14ac:dyDescent="0.25">
      <c r="A15341" s="2"/>
      <c r="B15341" s="2"/>
      <c r="C15341" s="2"/>
    </row>
    <row r="15342" spans="1:3" x14ac:dyDescent="0.25">
      <c r="A15342" s="2"/>
      <c r="B15342" s="2"/>
      <c r="C15342" s="2"/>
    </row>
    <row r="15343" spans="1:3" x14ac:dyDescent="0.25">
      <c r="A15343" s="2"/>
      <c r="B15343" s="2"/>
      <c r="C15343" s="2"/>
    </row>
    <row r="15344" spans="1:3" x14ac:dyDescent="0.25">
      <c r="A15344" s="2"/>
      <c r="B15344" s="2"/>
      <c r="C15344" s="2"/>
    </row>
    <row r="15345" spans="1:3" x14ac:dyDescent="0.25">
      <c r="A15345" s="2"/>
      <c r="B15345" s="2"/>
      <c r="C15345" s="2"/>
    </row>
    <row r="15346" spans="1:3" x14ac:dyDescent="0.25">
      <c r="A15346" s="2"/>
      <c r="B15346" s="2"/>
      <c r="C15346" s="2"/>
    </row>
    <row r="15347" spans="1:3" x14ac:dyDescent="0.25">
      <c r="A15347" s="2"/>
      <c r="B15347" s="2"/>
      <c r="C15347" s="2"/>
    </row>
    <row r="15348" spans="1:3" x14ac:dyDescent="0.25">
      <c r="A15348" s="2"/>
      <c r="B15348" s="2"/>
      <c r="C15348" s="2"/>
    </row>
    <row r="15349" spans="1:3" x14ac:dyDescent="0.25">
      <c r="A15349" s="2"/>
      <c r="B15349" s="2"/>
      <c r="C15349" s="2"/>
    </row>
    <row r="15350" spans="1:3" x14ac:dyDescent="0.25">
      <c r="A15350" s="2"/>
      <c r="B15350" s="2"/>
      <c r="C15350" s="2"/>
    </row>
    <row r="15351" spans="1:3" x14ac:dyDescent="0.25">
      <c r="A15351" s="2"/>
      <c r="B15351" s="2"/>
      <c r="C15351" s="2"/>
    </row>
    <row r="15352" spans="1:3" x14ac:dyDescent="0.25">
      <c r="A15352" s="2"/>
      <c r="B15352" s="2"/>
      <c r="C15352" s="2"/>
    </row>
    <row r="15353" spans="1:3" x14ac:dyDescent="0.25">
      <c r="A15353" s="2"/>
      <c r="B15353" s="2"/>
      <c r="C15353" s="2"/>
    </row>
    <row r="15354" spans="1:3" x14ac:dyDescent="0.25">
      <c r="A15354" s="2"/>
      <c r="B15354" s="2"/>
      <c r="C15354" s="2"/>
    </row>
    <row r="15355" spans="1:3" x14ac:dyDescent="0.25">
      <c r="A15355" s="2"/>
      <c r="B15355" s="2"/>
      <c r="C15355" s="2"/>
    </row>
    <row r="15356" spans="1:3" x14ac:dyDescent="0.25">
      <c r="A15356" s="2"/>
      <c r="B15356" s="2"/>
      <c r="C15356" s="2"/>
    </row>
    <row r="15357" spans="1:3" x14ac:dyDescent="0.25">
      <c r="A15357" s="2"/>
      <c r="B15357" s="2"/>
      <c r="C15357" s="2"/>
    </row>
    <row r="15358" spans="1:3" x14ac:dyDescent="0.25">
      <c r="A15358" s="2"/>
      <c r="B15358" s="2"/>
      <c r="C15358" s="2"/>
    </row>
    <row r="15359" spans="1:3" x14ac:dyDescent="0.25">
      <c r="A15359" s="2"/>
      <c r="B15359" s="2"/>
      <c r="C15359" s="2"/>
    </row>
    <row r="15360" spans="1:3" x14ac:dyDescent="0.25">
      <c r="A15360" s="2"/>
      <c r="B15360" s="2"/>
      <c r="C15360" s="2"/>
    </row>
    <row r="15361" spans="1:3" x14ac:dyDescent="0.25">
      <c r="A15361" s="2"/>
      <c r="B15361" s="2"/>
      <c r="C15361" s="2"/>
    </row>
    <row r="15362" spans="1:3" x14ac:dyDescent="0.25">
      <c r="A15362" s="2"/>
      <c r="B15362" s="2"/>
      <c r="C15362" s="2"/>
    </row>
    <row r="15363" spans="1:3" x14ac:dyDescent="0.25">
      <c r="A15363" s="2"/>
      <c r="B15363" s="2"/>
      <c r="C15363" s="2"/>
    </row>
    <row r="15364" spans="1:3" x14ac:dyDescent="0.25">
      <c r="A15364" s="2"/>
      <c r="B15364" s="2"/>
      <c r="C15364" s="2"/>
    </row>
    <row r="15365" spans="1:3" x14ac:dyDescent="0.25">
      <c r="A15365" s="2"/>
      <c r="B15365" s="2"/>
      <c r="C15365" s="2"/>
    </row>
    <row r="15366" spans="1:3" x14ac:dyDescent="0.25">
      <c r="A15366" s="2"/>
      <c r="B15366" s="2"/>
      <c r="C15366" s="2"/>
    </row>
  </sheetData>
  <hyperlinks>
    <hyperlink ref="C20" r:id="rId1" display="http://0xgpu.ai/" xr:uid="{00000000-0004-0000-0000-000001000000}"/>
    <hyperlink ref="C28" r:id="rId2" display="http://0xvpn.org/" xr:uid="{00000000-0004-0000-0000-000002000000}"/>
    <hyperlink ref="C57" r:id="rId3" display="http://2dai.io/" xr:uid="{00000000-0004-0000-0000-000003000000}"/>
    <hyperlink ref="C108" r:id="rId4" display="http://aann.ai/" xr:uid="{00000000-0004-0000-0000-000004000000}"/>
    <hyperlink ref="C275" r:id="rId5" display="http://acquire.fi/" xr:uid="{00000000-0004-0000-0000-000005000000}"/>
    <hyperlink ref="C276" r:id="rId6" display="http://acria.ai/" xr:uid="{00000000-0004-0000-0000-000006000000}"/>
    <hyperlink ref="B387" r:id="rId7" display="http://ai.com/" xr:uid="{00000000-0004-0000-0000-000007000000}"/>
    <hyperlink ref="C387" r:id="rId8" display="http://ai.com/" xr:uid="{00000000-0004-0000-0000-000008000000}"/>
    <hyperlink ref="C480" r:id="rId9" display="http://alaaddin.ai/" xr:uid="{00000000-0004-0000-0000-000009000000}"/>
    <hyperlink ref="C502" r:id="rId10" display="http://aleph.im/" xr:uid="{00000000-0004-0000-0000-00000A000000}"/>
    <hyperlink ref="C574" r:id="rId11" display="http://alphakek.ai/" xr:uid="{00000000-0004-0000-0000-00000B000000}"/>
    <hyperlink ref="C965" r:id="rId12" display="http://astrospaces.io/" xr:uid="{00000000-0004-0000-0000-00000C000000}"/>
    <hyperlink ref="C1404" r:id="rId13" display="http://b-cube.ai/" xr:uid="{00000000-0004-0000-0000-00000D000000}"/>
    <hyperlink ref="C1466" r:id="rId14" display="http://beluga.fi/" xr:uid="{00000000-0004-0000-0000-00000E000000}"/>
    <hyperlink ref="C1507" r:id="rId15" display="http://betswap.gg/" xr:uid="{00000000-0004-0000-0000-00000F000000}"/>
    <hyperlink ref="C1826" r:id="rId16" display="http://blinks.gg/" xr:uid="{00000000-0004-0000-0000-000010000000}"/>
    <hyperlink ref="C2031" r:id="rId17" display="http://stuff.io/" xr:uid="{00000000-0004-0000-0000-000011000000}"/>
    <hyperlink ref="C2102" r:id="rId18" display="http://bowled.io/" xr:uid="{00000000-0004-0000-0000-000012000000}"/>
    <hyperlink ref="C2272" r:id="rId19" display="http://starter.xyz/" xr:uid="{00000000-0004-0000-0000-000013000000}"/>
    <hyperlink ref="C2371" r:id="rId20" display="http://buying.com/" xr:uid="{00000000-0004-0000-0000-000014000000}"/>
    <hyperlink ref="C2788" r:id="rId21" display="http://choise.ai/" xr:uid="{00000000-0004-0000-0000-000015000000}"/>
    <hyperlink ref="C2883" r:id="rId22" display="http://clore.ai/" xr:uid="{00000000-0004-0000-0000-000016000000}"/>
    <hyperlink ref="C2973" r:id="rId23" display="http://coinrobot.ai/" xr:uid="{00000000-0004-0000-0000-000017000000}"/>
    <hyperlink ref="C3297" r:id="rId24" display="http://cryptoart.ai/" xr:uid="{00000000-0004-0000-0000-000018000000}"/>
    <hyperlink ref="C4087" r:id="rId25" display="http://dolz.io/" xr:uid="{00000000-0004-0000-0000-000019000000}"/>
    <hyperlink ref="C4416" r:id="rId26" display="http://electrify.asia/" xr:uid="{00000000-0004-0000-0000-00001A000000}"/>
    <hyperlink ref="C4451" r:id="rId27" display="http://elondoge.io/" xr:uid="{00000000-0004-0000-0000-00001B000000}"/>
    <hyperlink ref="C4647" r:id="rId28" display="http://ether.fi/" xr:uid="{00000000-0004-0000-0000-00001C000000}"/>
    <hyperlink ref="C4808" r:id="rId29" display="http://film.io/" xr:uid="{00000000-0004-0000-0000-00001D000000}"/>
    <hyperlink ref="C4917" r:id="rId30" display="http://fimarkcoin.com/" xr:uid="{00000000-0004-0000-0000-00001E000000}"/>
    <hyperlink ref="C5066" r:id="rId31" display="http://fnk.com/" xr:uid="{00000000-0004-0000-0000-00001F000000}"/>
    <hyperlink ref="C5208" r:id="rId32" display="http://frok.ai/" xr:uid="{00000000-0004-0000-0000-000020000000}"/>
    <hyperlink ref="C5306" r:id="rId33" display="http://gam3s.gg/" xr:uid="{00000000-0004-0000-0000-000021000000}"/>
    <hyperlink ref="C5321" r:id="rId34" display="http://gamefi.org/" xr:uid="{00000000-0004-0000-0000-000022000000}"/>
    <hyperlink ref="C5487" r:id="rId35" display="http://ghostdag.org/" xr:uid="{00000000-0004-0000-0000-000023000000}"/>
    <hyperlink ref="C5563" r:id="rId36" display="http://gm.ai/" xr:uid="{00000000-0004-0000-0000-000024000000}"/>
    <hyperlink ref="C5909" r:id="rId37" display="http://handle.fi/" xr:uid="{00000000-0004-0000-0000-000025000000}"/>
    <hyperlink ref="C6044" r:id="rId38" display="http://her.ai/" xr:uid="{00000000-0004-0000-0000-000026000000}"/>
    <hyperlink ref="C6128" r:id="rId39" display="http://hodooi.com/" xr:uid="{00000000-0004-0000-0000-000027000000}"/>
    <hyperlink ref="C6154" r:id="rId40" display="http://holygrails.io/" xr:uid="{00000000-0004-0000-0000-000028000000}"/>
    <hyperlink ref="C6234" r:id="rId41" display="http://humans.ai/" xr:uid="{00000000-0004-0000-0000-000029000000}"/>
    <hyperlink ref="C6259" r:id="rId42" display="http://husky.ai/" xr:uid="{00000000-0004-0000-0000-00002A000000}"/>
    <hyperlink ref="C6302" r:id="rId43" display="http://hyzen.ai/" xr:uid="{00000000-0004-0000-0000-00002B000000}"/>
    <hyperlink ref="C6346" r:id="rId44" display="http://ide.x.ai/" xr:uid="{00000000-0004-0000-0000-00002C000000}"/>
    <hyperlink ref="C6547" r:id="rId45" display="http://io.net/" xr:uid="{00000000-0004-0000-0000-00002D000000}"/>
    <hyperlink ref="C7590" r:id="rId46" display="http://love.io/" xr:uid="{00000000-0004-0000-0000-00002E000000}"/>
    <hyperlink ref="C7763" r:id="rId47" display="http://magikal.ai/" xr:uid="{00000000-0004-0000-0000-00002F000000}"/>
    <hyperlink ref="C8506" r:id="rId48" display="http://monk.gg/" xr:uid="{00000000-0004-0000-0000-000030000000}"/>
    <hyperlink ref="C8544" r:id="rId49" display="http://mooncloud.ai/" xr:uid="{00000000-0004-0000-0000-000031000000}"/>
    <hyperlink ref="C8575" r:id="rId50" display="http://moonwolf.io/" xr:uid="{00000000-0004-0000-0000-000032000000}"/>
    <hyperlink ref="C8821" r:id="rId51" display="http://naws.ai/" xr:uid="{00000000-0004-0000-0000-000033000000}"/>
    <hyperlink ref="C8830" r:id="rId52" display="http://pad.fi/" xr:uid="{00000000-0004-0000-0000-000034000000}"/>
    <hyperlink ref="C9228" r:id="rId53" display="http://ocada.ai/" xr:uid="{00000000-0004-0000-0000-000035000000}"/>
    <hyperlink ref="C9899" r:id="rId54" display="http://petshop.io/" xr:uid="{00000000-0004-0000-0000-000036000000}"/>
    <hyperlink ref="C10292" r:id="rId55" display="http://precipitate.ai/" xr:uid="{00000000-0004-0000-0000-000037000000}"/>
    <hyperlink ref="C10298" r:id="rId56" display="http://preprints.io/" xr:uid="{00000000-0004-0000-0000-000038000000}"/>
    <hyperlink ref="C10503" r:id="rId57" display="http://qna3.ai/" xr:uid="{00000000-0004-0000-0000-000039000000}"/>
    <hyperlink ref="C10630" r:id="rId58" display="http://rake.com/" xr:uid="{00000000-0004-0000-0000-00003A000000}"/>
    <hyperlink ref="C10632" r:id="rId59" display="http://rake.in/" xr:uid="{00000000-0004-0000-0000-00003B000000}"/>
    <hyperlink ref="C10640" r:id="rId60" display="http://random.tg/" xr:uid="{00000000-0004-0000-0000-00003C000000}"/>
    <hyperlink ref="C10686" r:id="rId61" display="http://re.al/" xr:uid="{00000000-0004-0000-0000-00003D000000}"/>
    <hyperlink ref="C10777" r:id="rId62" display="http://rejuve.ai/" xr:uid="{00000000-0004-0000-0000-00003E000000}"/>
    <hyperlink ref="C10954" r:id="rId63" display="http://rod.ai/" xr:uid="{00000000-0004-0000-0000-00003F000000}"/>
    <hyperlink ref="C11251" r:id="rId64" display="http://scry.info/" xr:uid="{00000000-0004-0000-0000-000040000000}"/>
    <hyperlink ref="C11494" r:id="rId65" display="http://shopping.io/" xr:uid="{00000000-0004-0000-0000-000041000000}"/>
    <hyperlink ref="C11689" r:id="rId66" display="http://snapmuse.io/" xr:uid="{00000000-0004-0000-0000-000042000000}"/>
    <hyperlink ref="C12496" r:id="rId67" display="http://swing.xyz/" xr:uid="{00000000-0004-0000-0000-000043000000}"/>
    <hyperlink ref="C13150" r:id="rId68" display="http://trendingtool.io/" xr:uid="{00000000-0004-0000-0000-000044000000}"/>
    <hyperlink ref="C13248" r:id="rId69" display="http://tune.fm/" xr:uid="{00000000-0004-0000-0000-000045000000}"/>
    <hyperlink ref="C13407" r:id="rId70" display="http://universe.xyz/" xr:uid="{00000000-0004-0000-0000-000046000000}"/>
    <hyperlink ref="C13573" r:id="rId71" display="http://vectorchat.ai/" xr:uid="{00000000-0004-0000-0000-000047000000}"/>
    <hyperlink ref="C14087" r:id="rId72" display="http://woofwork.io/" xr:uid="{00000000-0004-0000-0000-000048000000}"/>
    <hyperlink ref="C14317" r:id="rId73" display="http://xalpha.ai/" xr:uid="{00000000-0004-0000-0000-000049000000}"/>
    <hyperlink ref="C14422" r:id="rId74" display="http://xpad.pro/" xr:uid="{00000000-0004-0000-0000-00004A000000}"/>
    <hyperlink ref="C14467" r:id="rId75" display="http://xt.com/" xr:uid="{00000000-0004-0000-0000-00004B000000}"/>
    <hyperlink ref="C14601" r:id="rId76" display="http://zam.io/" xr:uid="{00000000-0004-0000-0000-00004C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"/>
  <sheetViews>
    <sheetView workbookViewId="0"/>
  </sheetViews>
  <sheetFormatPr defaultColWidth="12.6640625" defaultRowHeight="15.75" customHeight="1" x14ac:dyDescent="0.25"/>
  <cols>
    <col min="2" max="26" width="12.6640625" hidden="1"/>
  </cols>
  <sheetData>
    <row r="1" spans="1:1" x14ac:dyDescent="0.25">
      <c r="A1" s="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CoinGecko Token API List</vt:lpstr>
      <vt:lpstr>doNotDelete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Владимир Хоккей</cp:lastModifiedBy>
  <dcterms:modified xsi:type="dcterms:W3CDTF">2024-10-10T15:41:41Z</dcterms:modified>
</cp:coreProperties>
</file>